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xml"/>
  <Override PartName="/xl/charts/chart2.xml" ContentType="application/vnd.openxmlformats-officedocument.drawingml.chart+xml"/>
  <Override PartName="/xl/theme/themeOverride2.xml" ContentType="application/vnd.openxmlformats-officedocument.themeOverride+xml"/>
  <Override PartName="/xl/drawings/drawing4.xml" ContentType="application/vnd.openxmlformats-officedocument.drawing+xml"/>
  <Override PartName="/xl/charts/chart3.xml" ContentType="application/vnd.openxmlformats-officedocument.drawingml.chart+xml"/>
  <Override PartName="/xl/theme/themeOverride3.xml" ContentType="application/vnd.openxmlformats-officedocument.themeOverride+xml"/>
  <Override PartName="/xl/drawings/drawing5.xml" ContentType="application/vnd.openxmlformats-officedocument.drawing+xml"/>
  <Override PartName="/xl/charts/chart4.xml" ContentType="application/vnd.openxmlformats-officedocument.drawingml.chart+xml"/>
  <Override PartName="/xl/theme/themeOverride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bookViews>
    <workbookView xWindow="-12" yWindow="1188" windowWidth="9576" windowHeight="7416" tabRatio="789"/>
  </bookViews>
  <sheets>
    <sheet name="TitlePage" sheetId="78" r:id="rId1"/>
    <sheet name="Instructions" sheetId="79" r:id="rId2"/>
    <sheet name="Acknowledgements" sheetId="80" r:id="rId3"/>
    <sheet name="Version Notes" sheetId="26" r:id="rId4"/>
    <sheet name="Input" sheetId="27" r:id="rId5"/>
    <sheet name="Unitflowchart" sheetId="14" r:id="rId6"/>
    <sheet name="SummaryEtEnergy" sheetId="95" r:id="rId7"/>
    <sheet name="SummaryEtPrice" sheetId="96" r:id="rId8"/>
    <sheet name="SummaryEtMass" sheetId="97" r:id="rId9"/>
    <sheet name="SummaryEtSubstitution" sheetId="98" r:id="rId10"/>
    <sheet name="AllocationEnergy" sheetId="48" r:id="rId11"/>
    <sheet name="AllocationPrice" sheetId="34" r:id="rId12"/>
    <sheet name="AllocationMass" sheetId="47" r:id="rId13"/>
    <sheet name="SubstitutionCredit" sheetId="49" r:id="rId14"/>
    <sheet name="GlobalWarmingPotentials" sheetId="12" r:id="rId15"/>
    <sheet name="Cultivation" sheetId="87" r:id="rId16"/>
    <sheet name="NFertiliser" sheetId="39" r:id="rId17"/>
    <sheet name="PFertiliser" sheetId="56" r:id="rId18"/>
    <sheet name="KFertiliser" sheetId="82" r:id="rId19"/>
    <sheet name="Lime" sheetId="83" r:id="rId20"/>
    <sheet name="CropProtectChemicals" sheetId="86" r:id="rId21"/>
    <sheet name="OrganicManure" sheetId="85" r:id="rId22"/>
    <sheet name="CropResidues" sheetId="88" r:id="rId23"/>
    <sheet name="RoadTransportStage1" sheetId="35" r:id="rId24"/>
    <sheet name="RoadTransportStage2" sheetId="57" r:id="rId25"/>
    <sheet name="RailTransport" sheetId="19" r:id="rId26"/>
    <sheet name="BargeTransport" sheetId="18" r:id="rId27"/>
    <sheet name="ShipTransport" sheetId="17" r:id="rId28"/>
    <sheet name="BoilerGrid" sheetId="23" r:id="rId29"/>
    <sheet name="CHP" sheetId="22" r:id="rId30"/>
    <sheet name="EnergySupply" sheetId="21" r:id="rId31"/>
    <sheet name="Milling" sheetId="84" r:id="rId32"/>
    <sheet name="Pre-TreatHydrolysis" sheetId="45" r:id="rId33"/>
    <sheet name="Ferment" sheetId="42" r:id="rId34"/>
    <sheet name="EthanolRecovery" sheetId="43" r:id="rId35"/>
    <sheet name="WasteSolidFilter" sheetId="46" r:id="rId36"/>
    <sheet name="AnaerobicDigestion" sheetId="44" r:id="rId37"/>
    <sheet name="Utilities" sheetId="99" r:id="rId38"/>
    <sheet name="ElectricitySales" sheetId="24" r:id="rId39"/>
    <sheet name="Biorefinery" sheetId="13" r:id="rId40"/>
    <sheet name="RoadTransportEthanolStage1" sheetId="58" r:id="rId41"/>
    <sheet name="RoadTransportEthanolStage2" sheetId="59" r:id="rId42"/>
    <sheet name="RoadTransportEthanolStage3" sheetId="60" r:id="rId43"/>
    <sheet name="References" sheetId="11" r:id="rId44"/>
  </sheets>
  <definedNames>
    <definedName name="an_source">Input!$F$39</definedName>
    <definedName name="as_source">Input!$F$40</definedName>
    <definedName name="biogas_ch4">Input!$F$195</definedName>
    <definedName name="biogas_gen">Input!$F$194</definedName>
    <definedName name="boiler_eff_fm">Input!$F$130</definedName>
    <definedName name="broth_conc">Input!$F$170</definedName>
    <definedName name="can_source">Input!$F$41</definedName>
    <definedName name="carbondioxide_emit">Input!$F$173</definedName>
    <definedName name="chp_eff_fm">Input!$F$131</definedName>
    <definedName name="chp_h_to_p_fm">Input!$F$132</definedName>
    <definedName name="chp_weight_fm">Input!$F$126</definedName>
    <definedName name="Credit">Input!$F$11</definedName>
    <definedName name="crop_protect">Input!$F$56</definedName>
    <definedName name="crop_protect_source">Input!$F$57</definedName>
    <definedName name="cs_mois">Input!$F$35</definedName>
    <definedName name="cs_yield">Input!$F$34</definedName>
    <definedName name="cult_energy">Input!$F$61</definedName>
    <definedName name="cult_fuel_consumption">Input!$F$62</definedName>
    <definedName name="cult_harrow">Input!$F$67</definedName>
    <definedName name="cult_time">Input!$F$64</definedName>
    <definedName name="CV_be">Input!$F$211</definedName>
    <definedName name="CV_biogas">Input!$F$210</definedName>
    <definedName name="CV_cs">Input!$F$209</definedName>
    <definedName name="CV_gm">Input!$F$208</definedName>
    <definedName name="CV_hx">Input!$F$212</definedName>
    <definedName name="CV_ln">Input!$F$213</definedName>
    <definedName name="CV_methane">Input!$F$196</definedName>
    <definedName name="CV_pen">Input!$F$214</definedName>
    <definedName name="CV_wax">Input!$F$216</definedName>
    <definedName name="CV_ws">Input!$F$215</definedName>
    <definedName name="distil_elec">Input!$F$178</definedName>
    <definedName name="distil_heat">Input!$F$177</definedName>
    <definedName name="distil_loss">Input!$F$179</definedName>
    <definedName name="drill_harrow">Input!$F$68</definedName>
    <definedName name="e_req_ws">Input!$F$182</definedName>
    <definedName name="ferm_loss">Input!$F$174</definedName>
    <definedName name="ferment_elec">Input!$F$169</definedName>
    <definedName name="ferment_heat">Input!$F$168</definedName>
    <definedName name="fert_application">Input!$F$70</definedName>
    <definedName name="final_chop_elec">Input!$F$136</definedName>
    <definedName name="final_chop_loss">Input!$F$137</definedName>
    <definedName name="fm_mois">Input!$F$31</definedName>
    <definedName name="fm_type">Input!$F$29</definedName>
    <definedName name="fm_waste_solid_mois">Input!$F$167</definedName>
    <definedName name="fm_yield">Input!$F$30</definedName>
    <definedName name="forage_maize_harvest">Input!$F$72</definedName>
    <definedName name="func_unit">Input!$F$12</definedName>
    <definedName name="fym_app1">Input!$F$50</definedName>
    <definedName name="fym_app2">Input!$F$51</definedName>
    <definedName name="fym_app3">Input!$F$52</definedName>
    <definedName name="fym_application">Input!$F$69</definedName>
    <definedName name="fym_C">Input!$F$21</definedName>
    <definedName name="fym_emissions">Input!$F$19</definedName>
    <definedName name="gas_capt">Input!$F$172</definedName>
    <definedName name="gas_credit">Input!$F$10</definedName>
    <definedName name="gm_mois">Input!$F$33</definedName>
    <definedName name="gm_yield">Input!$F$32</definedName>
    <definedName name="h_req_ws">Input!$F$181</definedName>
    <definedName name="hexoses">Input!$F$155</definedName>
    <definedName name="hexoses_conc">Input!$F$159</definedName>
    <definedName name="hexoses_maizhd">Input!$F$158</definedName>
    <definedName name="hexoses_maizld">Input!$F$157</definedName>
    <definedName name="hexoses_sce">Input!$F$156</definedName>
    <definedName name="include_machinery">Input!$F$9</definedName>
    <definedName name="k_fert">Input!$F$46</definedName>
    <definedName name="k_fert_source">Input!$F$45</definedName>
    <definedName name="lignin">Input!$F$161</definedName>
    <definedName name="lignin_energy_source">Input!$F$166</definedName>
    <definedName name="lignin_maizhd">Input!$F$164</definedName>
    <definedName name="lignin_maizld">Input!$F$163</definedName>
    <definedName name="lignin_mois">Input!$F$165</definedName>
    <definedName name="lignin_sce">Input!$F$162</definedName>
    <definedName name="lime_fert">Input!$F$49</definedName>
    <definedName name="lime_fert_source">Input!$F$47</definedName>
    <definedName name="lime_type">Input!$F$48</definedName>
    <definedName name="maize_type">Input!$F$25</definedName>
    <definedName name="method">Input!$F$8</definedName>
    <definedName name="mms">Input!$F$20</definedName>
    <definedName name="moist_dry_feed">Input!$F$183</definedName>
    <definedName name="moist_ws">Input!$F$176</definedName>
    <definedName name="Monoammonium_Phosphate">Input!$F$47</definedName>
    <definedName name="n_fert">Input!$F$37</definedName>
    <definedName name="n_fert_type">Input!$F$38</definedName>
    <definedName name="ncv_diesel">Input!$F$63</definedName>
    <definedName name="p_fert">Input!$F$44</definedName>
    <definedName name="p_fert_type">Input!$F$43</definedName>
    <definedName name="pentose">Input!$F$160</definedName>
    <definedName name="ploughing">Input!$F$66</definedName>
    <definedName name="pretreat_loss">Input!$F$154</definedName>
    <definedName name="price_be_sc">Input!$F$207</definedName>
    <definedName name="price_carbondioxide">Input!$F$206</definedName>
    <definedName name="price_cs">Input!$F$201</definedName>
    <definedName name="price_gm">Input!$F$200</definedName>
    <definedName name="price_hx">Input!$F$202</definedName>
    <definedName name="price_ln">Input!$F$203</definedName>
    <definedName name="price_pen">Input!$F$204</definedName>
    <definedName name="price_wax">Input!$F$205</definedName>
    <definedName name="process_CSL">Input!$F$148</definedName>
    <definedName name="process_DIAPHOS">Input!$F$149</definedName>
    <definedName name="process_elect">Input!$F$143</definedName>
    <definedName name="process_GLUCOSE">Input!$F$151</definedName>
    <definedName name="process_H2O">Input!$F$146</definedName>
    <definedName name="process_H2SO4">Input!$F$144</definedName>
    <definedName name="process_NaOH">Input!$F$145</definedName>
    <definedName name="process_NH3">Input!$F$147</definedName>
    <definedName name="process_NUTRIENT">Input!$F$152</definedName>
    <definedName name="process_SO2">Input!$F$153</definedName>
    <definedName name="process_SORBITOL">Input!$F$150</definedName>
    <definedName name="process_steam">Input!$F$142</definedName>
    <definedName name="prod_pl_input_fm">Input!$F$127</definedName>
    <definedName name="prod_pl_life_fm">Input!$F$128</definedName>
    <definedName name="prod_pl_op_time_fm">Input!$F$129</definedName>
    <definedName name="pur_loss_sc">Input!$F$174</definedName>
    <definedName name="ref_sys">Input!$F$16</definedName>
    <definedName name="residue_C">Input!$F$18</definedName>
    <definedName name="residue_emissions">Input!$F$17</definedName>
    <definedName name="sce_elect">Input!$F$140</definedName>
    <definedName name="sce_heat">Input!$F$139</definedName>
    <definedName name="sce_option">Input!$F$138</definedName>
    <definedName name="sce_wax">Input!$F$141</definedName>
    <definedName name="seed_incl">Input!$F$15</definedName>
    <definedName name="seeds">Input!$F$26</definedName>
    <definedName name="soil_emissions">Input!$F$14</definedName>
    <definedName name="spray_application">Input!$F$71</definedName>
    <definedName name="steam_heat">Input!$F$184</definedName>
    <definedName name="sub_cred_gm">Input!$F$217</definedName>
    <definedName name="sub_cred_ln">Input!$F$218</definedName>
    <definedName name="sub_cred_pen">Input!$F$219</definedName>
    <definedName name="sub_cred_wax">Input!$F$220</definedName>
    <definedName name="sub_soiling">Input!$F$65</definedName>
    <definedName name="subs_cred_carb_diox">Input!$F$221</definedName>
    <definedName name="total_solids">Input!$F$190</definedName>
    <definedName name="tr_f_pl_1_km">Input!$F$79</definedName>
    <definedName name="tr_f_pl_1_loss">Input!$F$80</definedName>
    <definedName name="tr_f_pl_1_mode">Input!$F$78</definedName>
    <definedName name="tr_f_pl_1_truck">Input!$F$77</definedName>
    <definedName name="tr_f_pl_2_km">Input!$F$83</definedName>
    <definedName name="tr_f_pl_2_loss">Input!$F$84</definedName>
    <definedName name="tr_f_pl_2_mode">Input!$F$82</definedName>
    <definedName name="tr_f_pl_2_truck">Input!$F$81</definedName>
    <definedName name="tr_pl_dtb_1_km">Input!$F$88</definedName>
    <definedName name="tr_pl_dtb_1_km_ace">Input!$F$100</definedName>
    <definedName name="tr_pl_dtb_1_km_but">Input!$F$112</definedName>
    <definedName name="tr_pl_dtb_1_loss">Input!$F$89</definedName>
    <definedName name="tr_pl_dtb_1_loss_ace">Input!$F$101</definedName>
    <definedName name="tr_pl_dtb_1_loss_but">Input!$F$113</definedName>
    <definedName name="tr_pl_dtb_1_mode">Input!$F$87</definedName>
    <definedName name="tr_pl_dtb_1_mode_ace">Input!$F$99</definedName>
    <definedName name="tr_pl_dtb_1_mode_but">Input!$F$111</definedName>
    <definedName name="tr_pl_dtb_1_truck">Input!$F$86</definedName>
    <definedName name="tr_pl_dtb_1_truck_ace">Input!$F$98</definedName>
    <definedName name="tr_pl_dtb_1_truck_but">Input!$F$110</definedName>
    <definedName name="tr_pl_dtb_2_km">Input!$F$92</definedName>
    <definedName name="tr_pl_dtb_2_km_ace">Input!$F$104</definedName>
    <definedName name="tr_pl_dtb_2_km_but">Input!$F$116</definedName>
    <definedName name="tr_pl_dtb_2_loss">Input!$F$93</definedName>
    <definedName name="tr_pl_dtb_2_loss_ace">Input!$F$105</definedName>
    <definedName name="tr_pl_dtb_2_loss_but">Input!$F$117</definedName>
    <definedName name="tr_pl_dtb_2_mode">Input!$F$91</definedName>
    <definedName name="tr_pl_dtb_2_mode_ace">Input!$F$103</definedName>
    <definedName name="tr_pl_dtb_2_mode_but">Input!$F$115</definedName>
    <definedName name="tr_pl_dtb_2_truck">Input!$F$90</definedName>
    <definedName name="tr_pl_dtb_2_truck_ace">Input!$F$102</definedName>
    <definedName name="tr_pl_dtb_2_truck_but">Input!$F$114</definedName>
    <definedName name="tr_pl_dtb_3_km">Input!$F$96</definedName>
    <definedName name="tr_pl_dtb_3_km_ace">Input!$F$108</definedName>
    <definedName name="tr_pl_dtb_3_km_but">Input!$F$120</definedName>
    <definedName name="tr_pl_dtb_3_loss">Input!$F$97</definedName>
    <definedName name="tr_pl_dtb_3_loss_ace">Input!$F$109</definedName>
    <definedName name="tr_pl_dtb_3_loss_but">Input!$F$121</definedName>
    <definedName name="tr_pl_dtb_3_mode">Input!$F$95</definedName>
    <definedName name="tr_pl_dtb_3_mode_ace">Input!$F$107</definedName>
    <definedName name="tr_pl_dtb_3_mode_but">Input!$F$119</definedName>
    <definedName name="tr_pl_dtb_3_truck">Input!$F$94</definedName>
    <definedName name="tr_pl_dtb_3_truck_ace">Input!$F$106</definedName>
    <definedName name="tr_pl_dtb_3_truck_but">Input!$F$118</definedName>
    <definedName name="ur_source">Input!$F$42</definedName>
    <definedName name="use_chp_fm">Input!$F$125</definedName>
    <definedName name="util_elec">Input!$F$180</definedName>
    <definedName name="vinasse">Input!$F$188</definedName>
    <definedName name="vinasse_COD">Input!$F$189</definedName>
    <definedName name="vinasse_loss">Input!$F$193</definedName>
    <definedName name="vol_ws">Input!$F$175</definedName>
    <definedName name="wwt_elec">Input!$F$191</definedName>
    <definedName name="wwt_NaOH">Input!$F$192</definedName>
    <definedName name="yield_et">Input!$F$171</definedName>
  </definedNames>
  <calcPr calcId="145621"/>
</workbook>
</file>

<file path=xl/calcChain.xml><?xml version="1.0" encoding="utf-8"?>
<calcChain xmlns="http://schemas.openxmlformats.org/spreadsheetml/2006/main">
  <c r="C16" i="13" l="1"/>
  <c r="D16" i="13" s="1"/>
  <c r="C9" i="13"/>
  <c r="C8" i="13"/>
  <c r="C23" i="49"/>
  <c r="C13" i="49"/>
  <c r="C36" i="34"/>
  <c r="C19" i="34"/>
  <c r="C32" i="48"/>
  <c r="C19" i="48"/>
  <c r="AA179" i="14"/>
  <c r="AA177" i="14"/>
  <c r="AA175" i="14"/>
  <c r="S162" i="14" l="1"/>
  <c r="S5" i="14"/>
  <c r="A229" i="98"/>
  <c r="A227" i="97"/>
  <c r="A227" i="96"/>
  <c r="A228" i="95"/>
  <c r="A223" i="98" l="1"/>
  <c r="A221" i="97"/>
  <c r="A221" i="96"/>
  <c r="A222" i="95"/>
  <c r="S261" i="14" l="1"/>
  <c r="B12" i="99" s="1"/>
  <c r="AC302" i="14" l="1"/>
  <c r="AC304" i="14"/>
  <c r="N175" i="14"/>
  <c r="N181" i="14" s="1"/>
  <c r="A195" i="98"/>
  <c r="A194" i="98"/>
  <c r="A193" i="98"/>
  <c r="A192" i="98"/>
  <c r="A191" i="98"/>
  <c r="A190" i="98"/>
  <c r="A189" i="98"/>
  <c r="A188" i="98"/>
  <c r="A187" i="98"/>
  <c r="A186" i="98"/>
  <c r="A193" i="97"/>
  <c r="A192" i="97"/>
  <c r="A191" i="97"/>
  <c r="A190" i="97"/>
  <c r="A189" i="97"/>
  <c r="A188" i="97"/>
  <c r="A187" i="97"/>
  <c r="A186" i="97"/>
  <c r="A185" i="97"/>
  <c r="A184" i="97"/>
  <c r="A193" i="96"/>
  <c r="A192" i="96"/>
  <c r="A191" i="96"/>
  <c r="A190" i="96"/>
  <c r="A189" i="96"/>
  <c r="A188" i="96"/>
  <c r="A187" i="96"/>
  <c r="A186" i="96"/>
  <c r="A185" i="96"/>
  <c r="A184" i="96"/>
  <c r="N179" i="14" l="1"/>
  <c r="N177" i="14"/>
  <c r="A194" i="95"/>
  <c r="A193" i="95"/>
  <c r="A192" i="95"/>
  <c r="A191" i="95"/>
  <c r="A190" i="95"/>
  <c r="A189" i="95"/>
  <c r="A188" i="95"/>
  <c r="A187" i="95"/>
  <c r="A186" i="95"/>
  <c r="A185" i="95"/>
  <c r="S175" i="14" l="1"/>
  <c r="S177" i="14" s="1"/>
  <c r="S179" i="14" l="1"/>
  <c r="S234" i="14"/>
  <c r="S232" i="14"/>
  <c r="S215" i="14"/>
  <c r="A185" i="98" l="1"/>
  <c r="A183" i="97"/>
  <c r="A183" i="96"/>
  <c r="A184" i="95"/>
  <c r="A321" i="98" l="1"/>
  <c r="A320" i="98"/>
  <c r="A319" i="98"/>
  <c r="A287" i="98"/>
  <c r="A286" i="98"/>
  <c r="A285" i="98"/>
  <c r="A253" i="98"/>
  <c r="A252" i="98"/>
  <c r="A251" i="98"/>
  <c r="A309" i="97"/>
  <c r="A308" i="97"/>
  <c r="A307" i="97"/>
  <c r="A275" i="97"/>
  <c r="A274" i="97"/>
  <c r="A273" i="97"/>
  <c r="A241" i="97"/>
  <c r="A240" i="97"/>
  <c r="A239" i="97"/>
  <c r="A316" i="95"/>
  <c r="A315" i="95"/>
  <c r="A314" i="95"/>
  <c r="A282" i="95"/>
  <c r="A281" i="95"/>
  <c r="A280" i="95"/>
  <c r="A248" i="95"/>
  <c r="A247" i="95"/>
  <c r="A246" i="95"/>
  <c r="A309" i="96"/>
  <c r="A308" i="96"/>
  <c r="A307" i="96"/>
  <c r="A275" i="96"/>
  <c r="A274" i="96"/>
  <c r="A273" i="96"/>
  <c r="A241" i="96"/>
  <c r="A240" i="96"/>
  <c r="A239" i="96"/>
  <c r="Y72" i="87" l="1"/>
  <c r="S72" i="87"/>
  <c r="M72" i="87"/>
  <c r="P246" i="98" l="1"/>
  <c r="C4" i="88" l="1"/>
  <c r="C7" i="49" l="1"/>
  <c r="C18" i="49" s="1"/>
  <c r="C7" i="47" l="1"/>
  <c r="C6" i="47"/>
  <c r="C7" i="34"/>
  <c r="C6" i="34"/>
  <c r="S30" i="14"/>
  <c r="C9" i="34" s="1"/>
  <c r="C28" i="34" s="1"/>
  <c r="S28" i="14"/>
  <c r="C9" i="48" s="1"/>
  <c r="C7" i="48"/>
  <c r="C6" i="48"/>
  <c r="Y32" i="14"/>
  <c r="C11" i="34" s="1"/>
  <c r="C29" i="34" s="1"/>
  <c r="Y30" i="14"/>
  <c r="C11" i="48" s="1"/>
  <c r="C25" i="48" s="1"/>
  <c r="Y28" i="14"/>
  <c r="Y24" i="14"/>
  <c r="S26" i="14"/>
  <c r="S19" i="14"/>
  <c r="C5" i="88" s="1"/>
  <c r="S17" i="14"/>
  <c r="S173" i="14" l="1"/>
  <c r="N173" i="14"/>
  <c r="C6" i="88"/>
  <c r="S155" i="14"/>
  <c r="C24" i="48"/>
  <c r="A355" i="98"/>
  <c r="A354" i="98"/>
  <c r="A353" i="98"/>
  <c r="A345" i="98"/>
  <c r="A344" i="98"/>
  <c r="A343" i="98"/>
  <c r="A337" i="98"/>
  <c r="A336" i="98"/>
  <c r="A335" i="98"/>
  <c r="A329" i="98"/>
  <c r="A328" i="98"/>
  <c r="A327" i="98"/>
  <c r="A311" i="98"/>
  <c r="A310" i="98"/>
  <c r="A309" i="98"/>
  <c r="A303" i="98"/>
  <c r="A302" i="98"/>
  <c r="A301" i="98"/>
  <c r="A295" i="98"/>
  <c r="A294" i="98"/>
  <c r="A293" i="98"/>
  <c r="A277" i="98"/>
  <c r="A276" i="98"/>
  <c r="A275" i="98"/>
  <c r="A269" i="98"/>
  <c r="A268" i="98"/>
  <c r="A267" i="98"/>
  <c r="A261" i="98"/>
  <c r="A260" i="98"/>
  <c r="A259" i="98"/>
  <c r="M24" i="98"/>
  <c r="A235" i="98"/>
  <c r="A222" i="98"/>
  <c r="A216" i="98"/>
  <c r="A215" i="98"/>
  <c r="A209" i="98"/>
  <c r="A208" i="98"/>
  <c r="A202" i="98"/>
  <c r="A201" i="98"/>
  <c r="A184" i="98"/>
  <c r="A178" i="98"/>
  <c r="A170" i="98"/>
  <c r="A169" i="98"/>
  <c r="A168" i="98"/>
  <c r="A162" i="98"/>
  <c r="A161" i="98"/>
  <c r="A160" i="98"/>
  <c r="A154" i="98"/>
  <c r="A153" i="98"/>
  <c r="A152" i="98"/>
  <c r="A146" i="98"/>
  <c r="A145" i="98"/>
  <c r="A144" i="98"/>
  <c r="A136" i="98"/>
  <c r="A135" i="98"/>
  <c r="A134" i="98"/>
  <c r="A128" i="98"/>
  <c r="A127" i="98"/>
  <c r="A126" i="98"/>
  <c r="A120" i="98"/>
  <c r="A119" i="98"/>
  <c r="A118" i="98"/>
  <c r="A112" i="98"/>
  <c r="A111" i="98"/>
  <c r="A110" i="98"/>
  <c r="A104" i="98"/>
  <c r="A103" i="98"/>
  <c r="A102" i="98"/>
  <c r="A101" i="98"/>
  <c r="A100" i="98"/>
  <c r="A99" i="98"/>
  <c r="A97" i="98"/>
  <c r="A96" i="98"/>
  <c r="A95" i="98"/>
  <c r="A94" i="98"/>
  <c r="A93" i="98"/>
  <c r="A92" i="98"/>
  <c r="A91" i="98"/>
  <c r="A89" i="98"/>
  <c r="A87" i="98"/>
  <c r="A86" i="98"/>
  <c r="A85" i="98"/>
  <c r="A84" i="98"/>
  <c r="A83" i="98"/>
  <c r="A82" i="98"/>
  <c r="A81" i="98"/>
  <c r="A80" i="98"/>
  <c r="A79" i="98"/>
  <c r="A77" i="98"/>
  <c r="A75" i="98"/>
  <c r="A74" i="98"/>
  <c r="A73" i="98"/>
  <c r="A72" i="98"/>
  <c r="A71" i="98"/>
  <c r="A70" i="98"/>
  <c r="A69" i="98"/>
  <c r="A68" i="98"/>
  <c r="A67" i="98"/>
  <c r="A65" i="98"/>
  <c r="A63" i="98"/>
  <c r="A62" i="98"/>
  <c r="J24" i="98"/>
  <c r="I24" i="98"/>
  <c r="C24" i="98"/>
  <c r="B24" i="98"/>
  <c r="A343" i="97"/>
  <c r="A342" i="97"/>
  <c r="A341" i="97"/>
  <c r="A333" i="97"/>
  <c r="A332" i="97"/>
  <c r="A331" i="97"/>
  <c r="A325" i="97"/>
  <c r="A324" i="97"/>
  <c r="A323" i="97"/>
  <c r="A317" i="97"/>
  <c r="A316" i="97"/>
  <c r="A315" i="97"/>
  <c r="A299" i="97"/>
  <c r="A298" i="97"/>
  <c r="A297" i="97"/>
  <c r="A291" i="97"/>
  <c r="A290" i="97"/>
  <c r="A289" i="97"/>
  <c r="A283" i="97"/>
  <c r="A282" i="97"/>
  <c r="A281" i="97"/>
  <c r="A265" i="97"/>
  <c r="A264" i="97"/>
  <c r="A263" i="97"/>
  <c r="A257" i="97"/>
  <c r="A256" i="97"/>
  <c r="A255" i="97"/>
  <c r="A249" i="97"/>
  <c r="A248" i="97"/>
  <c r="A247" i="97"/>
  <c r="A233" i="97"/>
  <c r="A220" i="97"/>
  <c r="A214" i="97"/>
  <c r="A213" i="97"/>
  <c r="A207" i="97"/>
  <c r="A206" i="97"/>
  <c r="A200" i="97"/>
  <c r="A199" i="97"/>
  <c r="A182" i="97"/>
  <c r="A176" i="97"/>
  <c r="A168" i="97"/>
  <c r="A167" i="97"/>
  <c r="A166" i="97"/>
  <c r="A160" i="97"/>
  <c r="A159" i="97"/>
  <c r="A158" i="97"/>
  <c r="A152" i="97"/>
  <c r="A151" i="97"/>
  <c r="A150" i="97"/>
  <c r="A144" i="97"/>
  <c r="A143" i="97"/>
  <c r="A142" i="97"/>
  <c r="A134" i="97"/>
  <c r="A133" i="97"/>
  <c r="A132" i="97"/>
  <c r="A126" i="97"/>
  <c r="A125" i="97"/>
  <c r="A124" i="97"/>
  <c r="A118" i="97"/>
  <c r="A117" i="97"/>
  <c r="A116" i="97"/>
  <c r="A110" i="97"/>
  <c r="A109" i="97"/>
  <c r="A108" i="97"/>
  <c r="A102" i="97"/>
  <c r="A101" i="97"/>
  <c r="A100" i="97"/>
  <c r="A99" i="97"/>
  <c r="A98" i="97"/>
  <c r="A97" i="97"/>
  <c r="A95" i="97"/>
  <c r="A94" i="97"/>
  <c r="A93" i="97"/>
  <c r="A92" i="97"/>
  <c r="A91" i="97"/>
  <c r="A90" i="97"/>
  <c r="A89" i="97"/>
  <c r="A87" i="97"/>
  <c r="A85" i="97"/>
  <c r="A84" i="97"/>
  <c r="A83" i="97"/>
  <c r="A82" i="97"/>
  <c r="A81" i="97"/>
  <c r="A80" i="97"/>
  <c r="A79" i="97"/>
  <c r="A78" i="97"/>
  <c r="A77" i="97"/>
  <c r="A75" i="97"/>
  <c r="A73" i="97"/>
  <c r="A72" i="97"/>
  <c r="A71" i="97"/>
  <c r="A70" i="97"/>
  <c r="A69" i="97"/>
  <c r="A68" i="97"/>
  <c r="A67" i="97"/>
  <c r="A66" i="97"/>
  <c r="A65" i="97"/>
  <c r="A63" i="97"/>
  <c r="A61" i="97"/>
  <c r="A60" i="97"/>
  <c r="A343" i="96"/>
  <c r="A342" i="96"/>
  <c r="A341" i="96"/>
  <c r="A333" i="96"/>
  <c r="A332" i="96"/>
  <c r="A331" i="96"/>
  <c r="A325" i="96"/>
  <c r="A324" i="96"/>
  <c r="A323" i="96"/>
  <c r="A317" i="96"/>
  <c r="A316" i="96"/>
  <c r="A315" i="96"/>
  <c r="A299" i="96"/>
  <c r="A298" i="96"/>
  <c r="A297" i="96"/>
  <c r="A291" i="96"/>
  <c r="A290" i="96"/>
  <c r="A289" i="96"/>
  <c r="A283" i="96"/>
  <c r="A282" i="96"/>
  <c r="A281" i="96"/>
  <c r="A265" i="96"/>
  <c r="A264" i="96"/>
  <c r="A263" i="96"/>
  <c r="A257" i="96"/>
  <c r="A256" i="96"/>
  <c r="A255" i="96"/>
  <c r="A249" i="96"/>
  <c r="A248" i="96"/>
  <c r="A247" i="96"/>
  <c r="A233" i="96"/>
  <c r="A220" i="96"/>
  <c r="A214" i="96"/>
  <c r="A213" i="96"/>
  <c r="A207" i="96"/>
  <c r="A206" i="96"/>
  <c r="A200" i="96"/>
  <c r="A199" i="96"/>
  <c r="A182" i="96"/>
  <c r="A176" i="96"/>
  <c r="A168" i="96"/>
  <c r="A167" i="96"/>
  <c r="A166" i="96"/>
  <c r="A160" i="96"/>
  <c r="A159" i="96"/>
  <c r="A158" i="96"/>
  <c r="A152" i="96"/>
  <c r="A151" i="96"/>
  <c r="A150" i="96"/>
  <c r="A144" i="96"/>
  <c r="A143" i="96"/>
  <c r="A142" i="96"/>
  <c r="A134" i="96"/>
  <c r="A133" i="96"/>
  <c r="A132" i="96"/>
  <c r="A126" i="96"/>
  <c r="A125" i="96"/>
  <c r="A124" i="96"/>
  <c r="A118" i="96"/>
  <c r="A117" i="96"/>
  <c r="A116" i="96"/>
  <c r="A110" i="96"/>
  <c r="A109" i="96"/>
  <c r="A108" i="96"/>
  <c r="A102" i="96"/>
  <c r="A101" i="96"/>
  <c r="A100" i="96"/>
  <c r="A99" i="96"/>
  <c r="A98" i="96"/>
  <c r="A97" i="96"/>
  <c r="A95" i="96"/>
  <c r="A94" i="96"/>
  <c r="A93" i="96"/>
  <c r="A92" i="96"/>
  <c r="A91" i="96"/>
  <c r="A90" i="96"/>
  <c r="A89" i="96"/>
  <c r="A87" i="96"/>
  <c r="A85" i="96"/>
  <c r="A84" i="96"/>
  <c r="A83" i="96"/>
  <c r="A82" i="96"/>
  <c r="A81" i="96"/>
  <c r="A80" i="96"/>
  <c r="A79" i="96"/>
  <c r="A78" i="96"/>
  <c r="A77" i="96"/>
  <c r="A75" i="96"/>
  <c r="A73" i="96"/>
  <c r="A72" i="96"/>
  <c r="A71" i="96"/>
  <c r="A70" i="96"/>
  <c r="A69" i="96"/>
  <c r="A68" i="96"/>
  <c r="A67" i="96"/>
  <c r="A66" i="96"/>
  <c r="A65" i="96"/>
  <c r="A63" i="96"/>
  <c r="A61" i="96"/>
  <c r="A60" i="96"/>
  <c r="A350" i="95"/>
  <c r="A349" i="95"/>
  <c r="A348" i="95"/>
  <c r="A340" i="95"/>
  <c r="A339" i="95"/>
  <c r="A338" i="95"/>
  <c r="A332" i="95"/>
  <c r="A331" i="95"/>
  <c r="A330" i="95"/>
  <c r="A324" i="95"/>
  <c r="A323" i="95"/>
  <c r="A322" i="95"/>
  <c r="A306" i="95"/>
  <c r="A305" i="95"/>
  <c r="A304" i="95"/>
  <c r="A298" i="95"/>
  <c r="A297" i="95"/>
  <c r="A296" i="95"/>
  <c r="A290" i="95"/>
  <c r="A289" i="95"/>
  <c r="A288" i="95"/>
  <c r="A272" i="95"/>
  <c r="A271" i="95"/>
  <c r="A270" i="95"/>
  <c r="A264" i="95"/>
  <c r="A263" i="95"/>
  <c r="A262" i="95"/>
  <c r="A256" i="95"/>
  <c r="A255" i="95"/>
  <c r="A254" i="95"/>
  <c r="A240" i="95"/>
  <c r="A221" i="95"/>
  <c r="A215" i="95"/>
  <c r="A214" i="95"/>
  <c r="A208" i="95"/>
  <c r="A207" i="95"/>
  <c r="A201" i="95"/>
  <c r="A200" i="95"/>
  <c r="A183" i="95"/>
  <c r="A177" i="95"/>
  <c r="A169" i="95"/>
  <c r="A168" i="95"/>
  <c r="A167" i="95"/>
  <c r="A161" i="95"/>
  <c r="A160" i="95"/>
  <c r="A159" i="95"/>
  <c r="A153" i="95"/>
  <c r="A152" i="95"/>
  <c r="A151" i="95"/>
  <c r="A145" i="95"/>
  <c r="A144" i="95"/>
  <c r="A143" i="95"/>
  <c r="A135" i="95"/>
  <c r="A134" i="95"/>
  <c r="A133" i="95"/>
  <c r="A127" i="95"/>
  <c r="A126" i="95"/>
  <c r="A125" i="95"/>
  <c r="A119" i="95"/>
  <c r="A118" i="95"/>
  <c r="A117" i="95"/>
  <c r="A111" i="95"/>
  <c r="A110" i="95"/>
  <c r="A109" i="95"/>
  <c r="A103" i="95"/>
  <c r="A102" i="95"/>
  <c r="A101" i="95"/>
  <c r="A100" i="95"/>
  <c r="A99" i="95"/>
  <c r="A98" i="95"/>
  <c r="A96" i="95"/>
  <c r="A95" i="95"/>
  <c r="A94" i="95"/>
  <c r="A93" i="95"/>
  <c r="A92" i="95"/>
  <c r="A91" i="95"/>
  <c r="A90" i="95"/>
  <c r="A88" i="95"/>
  <c r="A86" i="95"/>
  <c r="A85" i="95"/>
  <c r="A84" i="95"/>
  <c r="A83" i="95"/>
  <c r="A82" i="95"/>
  <c r="A81" i="95"/>
  <c r="A80" i="95"/>
  <c r="A79" i="95"/>
  <c r="A78" i="95"/>
  <c r="A76" i="95"/>
  <c r="A74" i="95"/>
  <c r="A73" i="95"/>
  <c r="A72" i="95"/>
  <c r="A71" i="95"/>
  <c r="A70" i="95"/>
  <c r="A69" i="95"/>
  <c r="A68" i="95"/>
  <c r="A67" i="95"/>
  <c r="A66" i="95"/>
  <c r="A64" i="95"/>
  <c r="A62" i="95"/>
  <c r="A61" i="95"/>
  <c r="J23" i="95"/>
  <c r="I23" i="95"/>
  <c r="B23" i="95"/>
  <c r="AA173" i="14" l="1"/>
  <c r="S164" i="14"/>
  <c r="S166" i="14"/>
  <c r="A3" i="97"/>
  <c r="A3" i="96"/>
  <c r="A3" i="98" s="1"/>
  <c r="AA111" i="14" l="1"/>
  <c r="AA113" i="14"/>
  <c r="AA119" i="14"/>
  <c r="AA79" i="14"/>
  <c r="S105" i="14"/>
  <c r="S103" i="14"/>
  <c r="S101" i="14"/>
  <c r="S128" i="14"/>
  <c r="S148" i="14" l="1"/>
  <c r="J175" i="14" l="1"/>
  <c r="S168" i="14"/>
  <c r="S146" i="14"/>
  <c r="C37" i="87" l="1"/>
  <c r="C8" i="87"/>
  <c r="C17" i="87"/>
  <c r="B7" i="39"/>
  <c r="C8" i="88" l="1"/>
  <c r="C9" i="88" s="1"/>
  <c r="S72" i="14"/>
  <c r="S153" i="14" l="1"/>
  <c r="C12" i="88"/>
  <c r="C19" i="88" s="1"/>
  <c r="Q85" i="87"/>
  <c r="AC84" i="87"/>
  <c r="Q83" i="87"/>
  <c r="AC82" i="87"/>
  <c r="AC80" i="87"/>
  <c r="AC68" i="87"/>
  <c r="W68" i="87"/>
  <c r="AC67" i="87"/>
  <c r="W67" i="87"/>
  <c r="AC66" i="87"/>
  <c r="W66" i="87"/>
  <c r="AC65" i="87"/>
  <c r="W65" i="87"/>
  <c r="AC64" i="87"/>
  <c r="W64" i="87"/>
  <c r="AC63" i="87"/>
  <c r="W63" i="87"/>
  <c r="AC62" i="87"/>
  <c r="W62" i="87"/>
  <c r="AC61" i="87"/>
  <c r="W61" i="87"/>
  <c r="M56" i="87"/>
  <c r="Q68" i="87" s="1"/>
  <c r="G56" i="87"/>
  <c r="K68" i="87" s="1"/>
  <c r="M55" i="87"/>
  <c r="Q67" i="87" s="1"/>
  <c r="G55" i="87"/>
  <c r="K67" i="87" s="1"/>
  <c r="M54" i="87"/>
  <c r="Q66" i="87" s="1"/>
  <c r="G54" i="87"/>
  <c r="K66" i="87" s="1"/>
  <c r="M53" i="87"/>
  <c r="Q65" i="87" s="1"/>
  <c r="G53" i="87"/>
  <c r="K65" i="87" s="1"/>
  <c r="M52" i="87"/>
  <c r="Q64" i="87" s="1"/>
  <c r="G52" i="87"/>
  <c r="K64" i="87" s="1"/>
  <c r="M51" i="87"/>
  <c r="Q63" i="87" s="1"/>
  <c r="G51" i="87"/>
  <c r="K63" i="87" s="1"/>
  <c r="M50" i="87"/>
  <c r="Q62" i="87" s="1"/>
  <c r="G50" i="87"/>
  <c r="K62" i="87" s="1"/>
  <c r="M49" i="87"/>
  <c r="Q61" i="87" s="1"/>
  <c r="G49" i="87"/>
  <c r="K61" i="87" s="1"/>
  <c r="C39" i="87"/>
  <c r="C38" i="87"/>
  <c r="C78" i="87" s="1"/>
  <c r="C36" i="87"/>
  <c r="C76" i="87" s="1"/>
  <c r="C35" i="87"/>
  <c r="C75" i="87" s="1"/>
  <c r="C34" i="87"/>
  <c r="C33" i="87"/>
  <c r="C31" i="87"/>
  <c r="C30" i="87"/>
  <c r="C29" i="87"/>
  <c r="C27" i="87"/>
  <c r="C56" i="87" s="1"/>
  <c r="C26" i="87"/>
  <c r="C55" i="87" s="1"/>
  <c r="C25" i="87"/>
  <c r="C54" i="87" s="1"/>
  <c r="C24" i="87"/>
  <c r="C53" i="87" s="1"/>
  <c r="C23" i="87"/>
  <c r="C52" i="87" s="1"/>
  <c r="C22" i="87"/>
  <c r="C51" i="87" s="1"/>
  <c r="C21" i="87"/>
  <c r="C50" i="87" s="1"/>
  <c r="C20" i="87"/>
  <c r="C49" i="87" s="1"/>
  <c r="C19" i="87"/>
  <c r="C18" i="87"/>
  <c r="C16" i="87"/>
  <c r="C15" i="87"/>
  <c r="C14" i="87"/>
  <c r="C44" i="87" s="1"/>
  <c r="C13" i="87"/>
  <c r="Y84" i="87" s="1"/>
  <c r="C12" i="87"/>
  <c r="M80" i="87" s="1"/>
  <c r="C11" i="87"/>
  <c r="C74" i="87" s="1"/>
  <c r="C10" i="87"/>
  <c r="C9" i="87"/>
  <c r="C7" i="87"/>
  <c r="S9" i="14"/>
  <c r="S209" i="14" l="1"/>
  <c r="W173" i="14"/>
  <c r="J173" i="14" s="1"/>
  <c r="Y260" i="14" s="1"/>
  <c r="D19" i="88"/>
  <c r="D18" i="88"/>
  <c r="C18" i="88"/>
  <c r="C20" i="88" s="1"/>
  <c r="C82" i="87" s="1"/>
  <c r="C72" i="87"/>
  <c r="Q80" i="87" s="1"/>
  <c r="W70" i="87"/>
  <c r="K70" i="87"/>
  <c r="Q70" i="87"/>
  <c r="AC70" i="87"/>
  <c r="Q81" i="87"/>
  <c r="P81" i="87"/>
  <c r="P80" i="87"/>
  <c r="C32" i="87"/>
  <c r="C73" i="87" s="1"/>
  <c r="V73" i="87" s="1"/>
  <c r="K50" i="87"/>
  <c r="K52" i="87"/>
  <c r="K54" i="87"/>
  <c r="K56" i="87"/>
  <c r="J50" i="87"/>
  <c r="P50" i="87"/>
  <c r="P62" i="87" s="1"/>
  <c r="J52" i="87"/>
  <c r="P52" i="87"/>
  <c r="P64" i="87" s="1"/>
  <c r="J54" i="87"/>
  <c r="P54" i="87"/>
  <c r="P66" i="87" s="1"/>
  <c r="AC56" i="87"/>
  <c r="W56" i="87"/>
  <c r="J56" i="87"/>
  <c r="J68" i="87" s="1"/>
  <c r="AB56" i="87"/>
  <c r="AB68" i="87" s="1"/>
  <c r="V56" i="87"/>
  <c r="V68" i="87" s="1"/>
  <c r="P56" i="87"/>
  <c r="P68" i="87" s="1"/>
  <c r="Q49" i="87"/>
  <c r="Q51" i="87"/>
  <c r="Q53" i="87"/>
  <c r="Q55" i="87"/>
  <c r="AC44" i="87"/>
  <c r="W44" i="87"/>
  <c r="Q44" i="87"/>
  <c r="K44" i="87"/>
  <c r="AB44" i="87"/>
  <c r="V44" i="87"/>
  <c r="P44" i="87"/>
  <c r="J44" i="87"/>
  <c r="P49" i="87"/>
  <c r="J49" i="87"/>
  <c r="P51" i="87"/>
  <c r="P63" i="87" s="1"/>
  <c r="J51" i="87"/>
  <c r="P53" i="87"/>
  <c r="P65" i="87" s="1"/>
  <c r="J53" i="87"/>
  <c r="P55" i="87"/>
  <c r="P67" i="87" s="1"/>
  <c r="J55" i="87"/>
  <c r="Y80" i="87"/>
  <c r="Y82" i="87"/>
  <c r="K49" i="87"/>
  <c r="Q50" i="87"/>
  <c r="K51" i="87"/>
  <c r="Q52" i="87"/>
  <c r="K53" i="87"/>
  <c r="Q54" i="87"/>
  <c r="K55" i="87"/>
  <c r="Q56" i="87"/>
  <c r="D20" i="88" l="1"/>
  <c r="C83" i="87" s="1"/>
  <c r="P83" i="87" s="1"/>
  <c r="AB82" i="87"/>
  <c r="W73" i="87"/>
  <c r="AB80" i="87"/>
  <c r="J72" i="87"/>
  <c r="K72" i="87"/>
  <c r="V72" i="87"/>
  <c r="Q72" i="87"/>
  <c r="P72" i="87"/>
  <c r="AC72" i="87"/>
  <c r="W72" i="87"/>
  <c r="AB72" i="87"/>
  <c r="P46" i="87"/>
  <c r="AB46" i="87"/>
  <c r="Q46" i="87"/>
  <c r="J46" i="87"/>
  <c r="V46" i="87"/>
  <c r="K46" i="87"/>
  <c r="W46" i="87"/>
  <c r="AC46" i="87"/>
  <c r="K73" i="87"/>
  <c r="P73" i="87"/>
  <c r="Q73" i="87"/>
  <c r="AC73" i="87"/>
  <c r="AB73" i="87"/>
  <c r="J73" i="87"/>
  <c r="W52" i="87"/>
  <c r="W54" i="87"/>
  <c r="W50" i="87"/>
  <c r="AC52" i="87"/>
  <c r="AC54" i="87"/>
  <c r="AC50" i="87"/>
  <c r="AC55" i="87"/>
  <c r="W55" i="87"/>
  <c r="AC51" i="87"/>
  <c r="W51" i="87"/>
  <c r="AB55" i="87"/>
  <c r="AB67" i="87" s="1"/>
  <c r="V55" i="87"/>
  <c r="V67" i="87" s="1"/>
  <c r="J67" i="87"/>
  <c r="AB53" i="87"/>
  <c r="AB65" i="87" s="1"/>
  <c r="V53" i="87"/>
  <c r="V65" i="87" s="1"/>
  <c r="J65" i="87"/>
  <c r="AB51" i="87"/>
  <c r="AB63" i="87" s="1"/>
  <c r="V51" i="87"/>
  <c r="V63" i="87" s="1"/>
  <c r="J63" i="87"/>
  <c r="AB49" i="87"/>
  <c r="V49" i="87"/>
  <c r="J61" i="87"/>
  <c r="J58" i="87"/>
  <c r="Q58" i="87"/>
  <c r="AC53" i="87"/>
  <c r="W53" i="87"/>
  <c r="K58" i="87"/>
  <c r="AC49" i="87"/>
  <c r="W49" i="87"/>
  <c r="P61" i="87"/>
  <c r="P70" i="87" s="1"/>
  <c r="P58" i="87"/>
  <c r="J66" i="87"/>
  <c r="AB54" i="87"/>
  <c r="AB66" i="87" s="1"/>
  <c r="V54" i="87"/>
  <c r="V66" i="87" s="1"/>
  <c r="J64" i="87"/>
  <c r="AB52" i="87"/>
  <c r="AB64" i="87" s="1"/>
  <c r="V52" i="87"/>
  <c r="V64" i="87" s="1"/>
  <c r="J62" i="87"/>
  <c r="AB50" i="87"/>
  <c r="AB62" i="87" s="1"/>
  <c r="V50" i="87"/>
  <c r="V62" i="87" s="1"/>
  <c r="P14" i="86"/>
  <c r="L14" i="86"/>
  <c r="H14" i="86"/>
  <c r="D14" i="86"/>
  <c r="B7" i="86"/>
  <c r="K30" i="85"/>
  <c r="K29" i="85"/>
  <c r="K28" i="85"/>
  <c r="K27" i="85"/>
  <c r="K26" i="85"/>
  <c r="K25" i="85"/>
  <c r="K24" i="85"/>
  <c r="K23" i="85"/>
  <c r="K22" i="85"/>
  <c r="K21" i="85"/>
  <c r="K20" i="85"/>
  <c r="K19" i="85"/>
  <c r="K18" i="85"/>
  <c r="K17" i="85"/>
  <c r="K16" i="85"/>
  <c r="K15" i="85"/>
  <c r="K14" i="85"/>
  <c r="K13" i="85"/>
  <c r="K12" i="85"/>
  <c r="K11" i="85"/>
  <c r="K10" i="85"/>
  <c r="K9" i="85"/>
  <c r="K8" i="85"/>
  <c r="K7" i="85"/>
  <c r="C85" i="87" s="1"/>
  <c r="P85" i="87" s="1"/>
  <c r="C4" i="85"/>
  <c r="F30" i="85" s="1"/>
  <c r="O16" i="86" l="1"/>
  <c r="Y77" i="87" s="1"/>
  <c r="C16" i="86"/>
  <c r="G77" i="87" s="1"/>
  <c r="W58" i="87"/>
  <c r="V61" i="87"/>
  <c r="V70" i="87" s="1"/>
  <c r="V58" i="87"/>
  <c r="AB61" i="87"/>
  <c r="AB70" i="87" s="1"/>
  <c r="AB58" i="87"/>
  <c r="AC58" i="87"/>
  <c r="J70" i="87"/>
  <c r="D16" i="86"/>
  <c r="H77" i="87" s="1"/>
  <c r="H16" i="86"/>
  <c r="N77" i="87" s="1"/>
  <c r="L16" i="86"/>
  <c r="T77" i="87" s="1"/>
  <c r="P16" i="86"/>
  <c r="Z77" i="87" s="1"/>
  <c r="G16" i="86"/>
  <c r="M77" i="87" s="1"/>
  <c r="K16" i="86"/>
  <c r="S77" i="87" s="1"/>
  <c r="F7" i="85"/>
  <c r="F8" i="85"/>
  <c r="F9" i="85"/>
  <c r="F10" i="85"/>
  <c r="F11" i="85"/>
  <c r="F12" i="85"/>
  <c r="F13" i="85"/>
  <c r="F14" i="85"/>
  <c r="F15" i="85"/>
  <c r="F16" i="85"/>
  <c r="F17" i="85"/>
  <c r="F18" i="85"/>
  <c r="F19" i="85"/>
  <c r="F20" i="85"/>
  <c r="F21" i="85"/>
  <c r="F22" i="85"/>
  <c r="F23" i="85"/>
  <c r="F24" i="85"/>
  <c r="F25" i="85"/>
  <c r="F26" i="85"/>
  <c r="F27" i="85"/>
  <c r="F28" i="85"/>
  <c r="F29" i="85"/>
  <c r="C84" i="87" l="1"/>
  <c r="AB84" i="87" s="1"/>
  <c r="P77" i="87"/>
  <c r="Q77" i="87"/>
  <c r="V77" i="87"/>
  <c r="W77" i="87"/>
  <c r="AB77" i="87"/>
  <c r="AC77" i="87"/>
  <c r="J77" i="87"/>
  <c r="K77" i="87"/>
  <c r="P17" i="83" l="1"/>
  <c r="L17" i="83"/>
  <c r="H17" i="83"/>
  <c r="D17" i="83"/>
  <c r="B8" i="83" l="1"/>
  <c r="B7" i="83" l="1"/>
  <c r="C19" i="83" l="1"/>
  <c r="O19" i="83"/>
  <c r="K19" i="83"/>
  <c r="G19" i="83"/>
  <c r="C13" i="34"/>
  <c r="C33" i="34" s="1"/>
  <c r="C13" i="48"/>
  <c r="S78" i="87" l="1"/>
  <c r="G78" i="87"/>
  <c r="M78" i="87"/>
  <c r="Y78" i="87"/>
  <c r="C29" i="48"/>
  <c r="AB78" i="87" l="1"/>
  <c r="P78" i="87"/>
  <c r="J78" i="87"/>
  <c r="V78" i="87"/>
  <c r="G20" i="23" l="1"/>
  <c r="D23" i="57" l="1"/>
  <c r="AC21" i="57"/>
  <c r="AB21" i="57"/>
  <c r="W21" i="57"/>
  <c r="V21" i="57"/>
  <c r="Q21" i="57"/>
  <c r="P21" i="57"/>
  <c r="K21" i="57"/>
  <c r="J21" i="57"/>
  <c r="D16" i="57"/>
  <c r="AC14" i="57"/>
  <c r="AB14" i="57"/>
  <c r="W14" i="57"/>
  <c r="V14" i="57"/>
  <c r="Q14" i="57"/>
  <c r="P14" i="57"/>
  <c r="K14" i="57"/>
  <c r="J14" i="57"/>
  <c r="C8" i="57"/>
  <c r="AB22" i="57" s="1"/>
  <c r="AB23" i="57" s="1"/>
  <c r="AB25" i="57" l="1"/>
  <c r="J15" i="57"/>
  <c r="P15" i="57"/>
  <c r="V15" i="57"/>
  <c r="AB15" i="57"/>
  <c r="K22" i="57"/>
  <c r="Q22" i="57"/>
  <c r="W22" i="57"/>
  <c r="AC22" i="57"/>
  <c r="AC23" i="57" s="1"/>
  <c r="K15" i="57"/>
  <c r="Q15" i="57"/>
  <c r="W15" i="57"/>
  <c r="AC15" i="57"/>
  <c r="J22" i="57"/>
  <c r="P22" i="57"/>
  <c r="P23" i="57" s="1"/>
  <c r="V22" i="57"/>
  <c r="V23" i="57" s="1"/>
  <c r="Q23" i="57" l="1"/>
  <c r="Q25" i="57" s="1"/>
  <c r="AB16" i="57"/>
  <c r="AB18" i="57" s="1"/>
  <c r="P16" i="57"/>
  <c r="P18" i="57" s="1"/>
  <c r="V16" i="57"/>
  <c r="V18" i="57" s="1"/>
  <c r="W23" i="57"/>
  <c r="W25" i="57" s="1"/>
  <c r="K23" i="57"/>
  <c r="K25" i="57" s="1"/>
  <c r="AC16" i="57"/>
  <c r="Q16" i="57"/>
  <c r="P25" i="57"/>
  <c r="AC25" i="57"/>
  <c r="W16" i="57"/>
  <c r="K16" i="57"/>
  <c r="J16" i="57"/>
  <c r="J23" i="57"/>
  <c r="J25" i="57" s="1"/>
  <c r="V25" i="57"/>
  <c r="K18" i="57" l="1"/>
  <c r="J18" i="57"/>
  <c r="W18" i="57"/>
  <c r="AC18" i="57"/>
  <c r="Q18" i="57"/>
  <c r="K14" i="35" l="1"/>
  <c r="D23" i="35"/>
  <c r="AC21" i="35"/>
  <c r="AB21" i="35"/>
  <c r="W21" i="35"/>
  <c r="V21" i="35"/>
  <c r="Q21" i="35"/>
  <c r="P21" i="35"/>
  <c r="K21" i="35"/>
  <c r="J21" i="35"/>
  <c r="D16" i="35"/>
  <c r="AC14" i="35"/>
  <c r="AB14" i="35"/>
  <c r="W14" i="35"/>
  <c r="V14" i="35"/>
  <c r="Q14" i="35"/>
  <c r="P14" i="35"/>
  <c r="J14" i="35"/>
  <c r="C8" i="35"/>
  <c r="J15" i="35" l="1"/>
  <c r="P15" i="35"/>
  <c r="V15" i="35"/>
  <c r="AB15" i="35"/>
  <c r="K22" i="35"/>
  <c r="Q22" i="35"/>
  <c r="W22" i="35"/>
  <c r="AC22" i="35"/>
  <c r="K15" i="35"/>
  <c r="Q15" i="35"/>
  <c r="W15" i="35"/>
  <c r="AC15" i="35"/>
  <c r="J22" i="35"/>
  <c r="P22" i="35"/>
  <c r="P23" i="35" s="1"/>
  <c r="V22" i="35"/>
  <c r="AB22" i="35"/>
  <c r="K23" i="35" l="1"/>
  <c r="K25" i="35" s="1"/>
  <c r="V23" i="35"/>
  <c r="V25" i="35" s="1"/>
  <c r="V16" i="35"/>
  <c r="V18" i="35" s="1"/>
  <c r="AB23" i="35"/>
  <c r="AB25" i="35" s="1"/>
  <c r="AB16" i="35"/>
  <c r="AB18" i="35" s="1"/>
  <c r="P16" i="35"/>
  <c r="P18" i="35" s="1"/>
  <c r="W23" i="35"/>
  <c r="W25" i="35" s="1"/>
  <c r="AC23" i="35"/>
  <c r="AC25" i="35" s="1"/>
  <c r="Q23" i="35"/>
  <c r="Q25" i="35" s="1"/>
  <c r="AC16" i="35"/>
  <c r="Q16" i="35"/>
  <c r="P25" i="35"/>
  <c r="W16" i="35"/>
  <c r="K16" i="35"/>
  <c r="J16" i="35"/>
  <c r="J23" i="35"/>
  <c r="J25" i="35" s="1"/>
  <c r="K18" i="35" l="1"/>
  <c r="AC18" i="35"/>
  <c r="W18" i="35"/>
  <c r="J18" i="35"/>
  <c r="Q18" i="35"/>
  <c r="B7" i="82" l="1"/>
  <c r="P15" i="83"/>
  <c r="P19" i="83" s="1"/>
  <c r="Z78" i="87" s="1"/>
  <c r="AC78" i="87" s="1"/>
  <c r="L15" i="83"/>
  <c r="L19" i="83" s="1"/>
  <c r="T78" i="87" s="1"/>
  <c r="W78" i="87" s="1"/>
  <c r="H15" i="83"/>
  <c r="H19" i="83" s="1"/>
  <c r="N78" i="87" s="1"/>
  <c r="Q78" i="87" s="1"/>
  <c r="D15" i="83"/>
  <c r="D19" i="83" s="1"/>
  <c r="H78" i="87" s="1"/>
  <c r="K78" i="87" s="1"/>
  <c r="P15" i="82"/>
  <c r="L15" i="82"/>
  <c r="H15" i="82"/>
  <c r="D15" i="82"/>
  <c r="P14" i="82"/>
  <c r="L14" i="82"/>
  <c r="H14" i="82"/>
  <c r="D14" i="82"/>
  <c r="P17" i="82" l="1"/>
  <c r="C17" i="82"/>
  <c r="G17" i="82"/>
  <c r="K17" i="82"/>
  <c r="O17" i="82"/>
  <c r="D17" i="82"/>
  <c r="H17" i="82"/>
  <c r="L17" i="82"/>
  <c r="N76" i="87" l="1"/>
  <c r="Y76" i="87"/>
  <c r="M76" i="87"/>
  <c r="Z76" i="87"/>
  <c r="T76" i="87"/>
  <c r="S76" i="87"/>
  <c r="H76" i="87"/>
  <c r="G76" i="87"/>
  <c r="V76" i="87" l="1"/>
  <c r="W76" i="87"/>
  <c r="Q76" i="87"/>
  <c r="P76" i="87"/>
  <c r="AC76" i="87"/>
  <c r="AB76" i="87"/>
  <c r="J76" i="87"/>
  <c r="K76" i="87"/>
  <c r="C28" i="87" l="1"/>
  <c r="N183" i="14" l="1"/>
  <c r="W179" i="14"/>
  <c r="C9" i="49"/>
  <c r="W177" i="14"/>
  <c r="C17" i="34" s="1"/>
  <c r="C15" i="34"/>
  <c r="W175" i="14"/>
  <c r="C17" i="48" s="1"/>
  <c r="C15" i="48"/>
  <c r="C30" i="48" s="1"/>
  <c r="Y262" i="14"/>
  <c r="C11" i="47" l="1"/>
  <c r="C8" i="49"/>
  <c r="C14" i="34"/>
  <c r="C14" i="48"/>
  <c r="B30" i="48" s="1"/>
  <c r="E30" i="48" s="1"/>
  <c r="C11" i="49" l="1"/>
  <c r="C22" i="49" s="1"/>
  <c r="C21" i="49"/>
  <c r="C35" i="34" l="1"/>
  <c r="C34" i="34"/>
  <c r="AC12" i="18" l="1"/>
  <c r="AB12" i="18"/>
  <c r="W12" i="18"/>
  <c r="V12" i="18"/>
  <c r="Q12" i="18"/>
  <c r="P12" i="18"/>
  <c r="K12" i="18"/>
  <c r="J12" i="18"/>
  <c r="B7" i="18"/>
  <c r="AC12" i="19"/>
  <c r="AB12" i="19"/>
  <c r="W12" i="19"/>
  <c r="V12" i="19"/>
  <c r="Q12" i="19"/>
  <c r="P12" i="19"/>
  <c r="K12" i="19"/>
  <c r="J12" i="19"/>
  <c r="B7" i="19"/>
  <c r="C31" i="48" l="1"/>
  <c r="I33" i="21" l="1"/>
  <c r="H33" i="21"/>
  <c r="G33" i="21"/>
  <c r="F33" i="21"/>
  <c r="E33" i="21"/>
  <c r="D33" i="21"/>
  <c r="C33" i="21"/>
  <c r="B33" i="21"/>
  <c r="H27" i="21" l="1"/>
  <c r="D37" i="60" l="1"/>
  <c r="AC35" i="60"/>
  <c r="AB35" i="60"/>
  <c r="W35" i="60"/>
  <c r="V35" i="60"/>
  <c r="Q35" i="60"/>
  <c r="P35" i="60"/>
  <c r="K35" i="60"/>
  <c r="J35" i="60"/>
  <c r="AC28" i="60"/>
  <c r="AB28" i="60"/>
  <c r="W28" i="60"/>
  <c r="V28" i="60"/>
  <c r="Q28" i="60"/>
  <c r="P28" i="60"/>
  <c r="K28" i="60"/>
  <c r="J28" i="60"/>
  <c r="AC21" i="60"/>
  <c r="AB21" i="60"/>
  <c r="W21" i="60"/>
  <c r="V21" i="60"/>
  <c r="Q21" i="60"/>
  <c r="P21" i="60"/>
  <c r="K21" i="60"/>
  <c r="J21" i="60"/>
  <c r="AC14" i="60"/>
  <c r="AB14" i="60"/>
  <c r="W14" i="60"/>
  <c r="V14" i="60"/>
  <c r="Q14" i="60"/>
  <c r="P14" i="60"/>
  <c r="K14" i="60"/>
  <c r="J14" i="60"/>
  <c r="C8" i="60"/>
  <c r="V36" i="60" s="1"/>
  <c r="D37" i="59"/>
  <c r="AC35" i="59"/>
  <c r="AB35" i="59"/>
  <c r="W35" i="59"/>
  <c r="V35" i="59"/>
  <c r="Q35" i="59"/>
  <c r="P35" i="59"/>
  <c r="K35" i="59"/>
  <c r="J35" i="59"/>
  <c r="AC28" i="59"/>
  <c r="AB28" i="59"/>
  <c r="W28" i="59"/>
  <c r="V28" i="59"/>
  <c r="Q28" i="59"/>
  <c r="P28" i="59"/>
  <c r="K28" i="59"/>
  <c r="J28" i="59"/>
  <c r="AC21" i="59"/>
  <c r="AB21" i="59"/>
  <c r="W21" i="59"/>
  <c r="V21" i="59"/>
  <c r="Q21" i="59"/>
  <c r="P21" i="59"/>
  <c r="K21" i="59"/>
  <c r="J21" i="59"/>
  <c r="AC14" i="59"/>
  <c r="AB14" i="59"/>
  <c r="W14" i="59"/>
  <c r="V14" i="59"/>
  <c r="Q14" i="59"/>
  <c r="P14" i="59"/>
  <c r="K14" i="59"/>
  <c r="J14" i="59"/>
  <c r="C8" i="59"/>
  <c r="V36" i="59" s="1"/>
  <c r="S343" i="14"/>
  <c r="C7" i="60" s="1"/>
  <c r="S322" i="14"/>
  <c r="C7" i="59" s="1"/>
  <c r="S353" i="14"/>
  <c r="S351" i="14"/>
  <c r="S349" i="14"/>
  <c r="S347" i="14"/>
  <c r="S345" i="14"/>
  <c r="V22" i="59" l="1"/>
  <c r="V23" i="59" s="1"/>
  <c r="V25" i="59" s="1"/>
  <c r="K36" i="59"/>
  <c r="P15" i="59"/>
  <c r="P16" i="59" s="1"/>
  <c r="V29" i="59"/>
  <c r="V30" i="59" s="1"/>
  <c r="W15" i="60"/>
  <c r="W43" i="60" s="1"/>
  <c r="Q29" i="60"/>
  <c r="J15" i="60"/>
  <c r="J30" i="60" s="1"/>
  <c r="AC22" i="60"/>
  <c r="AB29" i="60"/>
  <c r="AB30" i="60" s="1"/>
  <c r="K15" i="60"/>
  <c r="J22" i="60"/>
  <c r="AC29" i="60"/>
  <c r="W36" i="60"/>
  <c r="W37" i="60" s="1"/>
  <c r="W39" i="60" s="1"/>
  <c r="V22" i="60"/>
  <c r="V23" i="60" s="1"/>
  <c r="K36" i="60"/>
  <c r="P36" i="60"/>
  <c r="P37" i="60" s="1"/>
  <c r="V15" i="60"/>
  <c r="V16" i="60" s="1"/>
  <c r="V44" i="60" s="1"/>
  <c r="Q22" i="60"/>
  <c r="P29" i="60"/>
  <c r="P30" i="60" s="1"/>
  <c r="AB36" i="60"/>
  <c r="AB37" i="60" s="1"/>
  <c r="AC42" i="60"/>
  <c r="Q42" i="60"/>
  <c r="K42" i="60"/>
  <c r="V42" i="60"/>
  <c r="J42" i="60"/>
  <c r="AB42" i="60"/>
  <c r="P42" i="60"/>
  <c r="W42" i="60"/>
  <c r="V37" i="60"/>
  <c r="V39" i="60" s="1"/>
  <c r="V15" i="59"/>
  <c r="V16" i="59" s="1"/>
  <c r="W22" i="59"/>
  <c r="J29" i="59"/>
  <c r="J15" i="59"/>
  <c r="J30" i="59" s="1"/>
  <c r="W15" i="59"/>
  <c r="K22" i="59"/>
  <c r="AC22" i="59"/>
  <c r="P29" i="59"/>
  <c r="P30" i="59" s="1"/>
  <c r="AC29" i="59"/>
  <c r="W36" i="59"/>
  <c r="W37" i="59" s="1"/>
  <c r="W39" i="59" s="1"/>
  <c r="P15" i="60"/>
  <c r="P16" i="60" s="1"/>
  <c r="P44" i="60" s="1"/>
  <c r="AB15" i="60"/>
  <c r="AB16" i="60" s="1"/>
  <c r="AB44" i="60" s="1"/>
  <c r="K22" i="60"/>
  <c r="W22" i="60"/>
  <c r="J23" i="60"/>
  <c r="J25" i="60" s="1"/>
  <c r="J29" i="60"/>
  <c r="V29" i="60"/>
  <c r="V30" i="60" s="1"/>
  <c r="Q36" i="60"/>
  <c r="AC36" i="60"/>
  <c r="J22" i="59"/>
  <c r="AB29" i="59"/>
  <c r="AB30" i="59" s="1"/>
  <c r="Q36" i="59"/>
  <c r="K15" i="59"/>
  <c r="AB15" i="59"/>
  <c r="AB16" i="59" s="1"/>
  <c r="Q22" i="59"/>
  <c r="Q29" i="59"/>
  <c r="AC36" i="59"/>
  <c r="Q15" i="60"/>
  <c r="Q43" i="60" s="1"/>
  <c r="AC15" i="60"/>
  <c r="P22" i="60"/>
  <c r="AB22" i="60"/>
  <c r="K29" i="60"/>
  <c r="W29" i="60"/>
  <c r="J36" i="60"/>
  <c r="V37" i="59"/>
  <c r="V39" i="59" s="1"/>
  <c r="P36" i="59"/>
  <c r="AB36" i="59"/>
  <c r="Q15" i="59"/>
  <c r="AC15" i="59"/>
  <c r="P22" i="59"/>
  <c r="AB22" i="59"/>
  <c r="K29" i="59"/>
  <c r="W29" i="59"/>
  <c r="J36" i="59"/>
  <c r="C8" i="58"/>
  <c r="AC36" i="58" s="1"/>
  <c r="AC35" i="58"/>
  <c r="AB35" i="58"/>
  <c r="W35" i="58"/>
  <c r="V35" i="58"/>
  <c r="Q35" i="58"/>
  <c r="P35" i="58"/>
  <c r="K35" i="58"/>
  <c r="J35" i="58"/>
  <c r="AC28" i="58"/>
  <c r="AB28" i="58"/>
  <c r="W28" i="58"/>
  <c r="V28" i="58"/>
  <c r="Q28" i="58"/>
  <c r="P28" i="58"/>
  <c r="K28" i="58"/>
  <c r="J28" i="58"/>
  <c r="AC21" i="58"/>
  <c r="AB21" i="58"/>
  <c r="W21" i="58"/>
  <c r="V21" i="58"/>
  <c r="Q21" i="58"/>
  <c r="P21" i="58"/>
  <c r="K21" i="58"/>
  <c r="J21" i="58"/>
  <c r="AC14" i="58"/>
  <c r="AB14" i="58"/>
  <c r="W14" i="58"/>
  <c r="V14" i="58"/>
  <c r="Q14" i="58"/>
  <c r="P14" i="58"/>
  <c r="K14" i="58"/>
  <c r="J14" i="58"/>
  <c r="Q16" i="59" l="1"/>
  <c r="Q18" i="59" s="1"/>
  <c r="V32" i="59"/>
  <c r="Q37" i="59"/>
  <c r="Q39" i="59" s="1"/>
  <c r="AC16" i="60"/>
  <c r="AC44" i="60" s="1"/>
  <c r="Q37" i="60"/>
  <c r="Q39" i="60" s="1"/>
  <c r="W23" i="60"/>
  <c r="W25" i="60" s="1"/>
  <c r="W23" i="59"/>
  <c r="W25" i="59" s="1"/>
  <c r="W16" i="59"/>
  <c r="W18" i="59" s="1"/>
  <c r="V18" i="59"/>
  <c r="P18" i="59"/>
  <c r="J32" i="60"/>
  <c r="J43" i="60"/>
  <c r="AB32" i="59"/>
  <c r="K23" i="59"/>
  <c r="K25" i="59" s="1"/>
  <c r="AB39" i="60"/>
  <c r="Q23" i="59"/>
  <c r="Q25" i="59" s="1"/>
  <c r="J37" i="59"/>
  <c r="J39" i="59" s="1"/>
  <c r="K16" i="59"/>
  <c r="K18" i="59" s="1"/>
  <c r="AB32" i="60"/>
  <c r="Q30" i="59"/>
  <c r="Q32" i="59" s="1"/>
  <c r="J37" i="60"/>
  <c r="J39" i="60" s="1"/>
  <c r="K23" i="60"/>
  <c r="K25" i="60" s="1"/>
  <c r="P39" i="60"/>
  <c r="J23" i="59"/>
  <c r="J25" i="59" s="1"/>
  <c r="J16" i="59"/>
  <c r="J18" i="59" s="1"/>
  <c r="P32" i="59"/>
  <c r="AC37" i="60"/>
  <c r="AC39" i="60" s="1"/>
  <c r="J32" i="59"/>
  <c r="K37" i="60"/>
  <c r="K39" i="60" s="1"/>
  <c r="P32" i="60"/>
  <c r="W16" i="60"/>
  <c r="W18" i="60" s="1"/>
  <c r="W46" i="60" s="1"/>
  <c r="Q30" i="60"/>
  <c r="Q32" i="60" s="1"/>
  <c r="V25" i="60"/>
  <c r="AC30" i="59"/>
  <c r="AC32" i="59" s="1"/>
  <c r="K30" i="60"/>
  <c r="K32" i="60" s="1"/>
  <c r="AC30" i="60"/>
  <c r="AC32" i="60" s="1"/>
  <c r="K16" i="60"/>
  <c r="K44" i="60" s="1"/>
  <c r="J16" i="60"/>
  <c r="J44" i="60" s="1"/>
  <c r="V43" i="60"/>
  <c r="K43" i="60"/>
  <c r="V18" i="60"/>
  <c r="V46" i="60" s="1"/>
  <c r="P18" i="60"/>
  <c r="P46" i="60" s="1"/>
  <c r="K37" i="59"/>
  <c r="K39" i="59" s="1"/>
  <c r="P23" i="60"/>
  <c r="P25" i="60" s="1"/>
  <c r="Q16" i="60"/>
  <c r="Q44" i="60" s="1"/>
  <c r="P43" i="60"/>
  <c r="AB23" i="60"/>
  <c r="AB25" i="60" s="1"/>
  <c r="AC23" i="60"/>
  <c r="AC25" i="60" s="1"/>
  <c r="AB18" i="59"/>
  <c r="AB43" i="60"/>
  <c r="AC43" i="60"/>
  <c r="Q23" i="60"/>
  <c r="Q25" i="60" s="1"/>
  <c r="W30" i="60"/>
  <c r="W32" i="60" s="1"/>
  <c r="V32" i="60"/>
  <c r="AB18" i="60"/>
  <c r="AB46" i="60" s="1"/>
  <c r="AB23" i="59"/>
  <c r="AB25" i="59" s="1"/>
  <c r="P23" i="59"/>
  <c r="P25" i="59" s="1"/>
  <c r="K30" i="59"/>
  <c r="K32" i="59" s="1"/>
  <c r="AC16" i="59"/>
  <c r="AC18" i="59" s="1"/>
  <c r="P37" i="59"/>
  <c r="P39" i="59" s="1"/>
  <c r="AB37" i="59"/>
  <c r="AB39" i="59" s="1"/>
  <c r="AC23" i="59"/>
  <c r="AC25" i="59" s="1"/>
  <c r="W30" i="59"/>
  <c r="W32" i="59" s="1"/>
  <c r="AC37" i="59"/>
  <c r="AC39" i="59" s="1"/>
  <c r="J36" i="58"/>
  <c r="J15" i="58"/>
  <c r="V15" i="58"/>
  <c r="V16" i="58" s="1"/>
  <c r="Q22" i="58"/>
  <c r="AC22" i="58"/>
  <c r="P29" i="58"/>
  <c r="P30" i="58" s="1"/>
  <c r="AB29" i="58"/>
  <c r="AB30" i="58" s="1"/>
  <c r="K36" i="58"/>
  <c r="W36" i="58"/>
  <c r="Q15" i="58"/>
  <c r="P22" i="58"/>
  <c r="P23" i="58" s="1"/>
  <c r="K29" i="58"/>
  <c r="K15" i="58"/>
  <c r="W15" i="58"/>
  <c r="J22" i="58"/>
  <c r="V22" i="58"/>
  <c r="Q29" i="58"/>
  <c r="AC29" i="58"/>
  <c r="P36" i="58"/>
  <c r="AB36" i="58"/>
  <c r="AC15" i="58"/>
  <c r="AB22" i="58"/>
  <c r="AB23" i="58" s="1"/>
  <c r="W29" i="58"/>
  <c r="V36" i="58"/>
  <c r="V37" i="58" s="1"/>
  <c r="P15" i="58"/>
  <c r="AB15" i="58"/>
  <c r="K22" i="58"/>
  <c r="W22" i="58"/>
  <c r="J29" i="58"/>
  <c r="V29" i="58"/>
  <c r="Q36" i="58"/>
  <c r="AC18" i="60" l="1"/>
  <c r="AC46" i="60" s="1"/>
  <c r="Q18" i="60"/>
  <c r="Q46" i="60" s="1"/>
  <c r="W44" i="60"/>
  <c r="K18" i="60"/>
  <c r="K46" i="60" s="1"/>
  <c r="J18" i="60"/>
  <c r="J46" i="60" s="1"/>
  <c r="K37" i="58"/>
  <c r="K39" i="58" s="1"/>
  <c r="K16" i="58"/>
  <c r="K18" i="58" s="1"/>
  <c r="W30" i="58"/>
  <c r="W32" i="58" s="1"/>
  <c r="K30" i="58"/>
  <c r="K32" i="58" s="1"/>
  <c r="K23" i="58"/>
  <c r="K25" i="58" s="1"/>
  <c r="AB16" i="58"/>
  <c r="AB18" i="58" s="1"/>
  <c r="AB37" i="58"/>
  <c r="AB39" i="58" s="1"/>
  <c r="AC37" i="58"/>
  <c r="AC39" i="58" s="1"/>
  <c r="AC23" i="58"/>
  <c r="AC25" i="58" s="1"/>
  <c r="J23" i="58"/>
  <c r="J25" i="58" s="1"/>
  <c r="J30" i="58"/>
  <c r="J32" i="58" s="1"/>
  <c r="J16" i="58"/>
  <c r="J18" i="58" s="1"/>
  <c r="J37" i="58"/>
  <c r="J39" i="58" s="1"/>
  <c r="Q30" i="58"/>
  <c r="Q32" i="58" s="1"/>
  <c r="P16" i="58"/>
  <c r="P18" i="58" s="1"/>
  <c r="P37" i="58"/>
  <c r="P39" i="58" s="1"/>
  <c r="Q37" i="58"/>
  <c r="Q39" i="58" s="1"/>
  <c r="Q23" i="58"/>
  <c r="Q25" i="58" s="1"/>
  <c r="AC16" i="58"/>
  <c r="AC18" i="58" s="1"/>
  <c r="AB32" i="58"/>
  <c r="AC30" i="58"/>
  <c r="AC32" i="58" s="1"/>
  <c r="P25" i="58"/>
  <c r="V30" i="58"/>
  <c r="V32" i="58" s="1"/>
  <c r="W16" i="58"/>
  <c r="W18" i="58" s="1"/>
  <c r="W37" i="58"/>
  <c r="W39" i="58" s="1"/>
  <c r="V23" i="58"/>
  <c r="V25" i="58" s="1"/>
  <c r="W23" i="58"/>
  <c r="W25" i="58" s="1"/>
  <c r="Q16" i="58"/>
  <c r="Q18" i="58" s="1"/>
  <c r="V39" i="58"/>
  <c r="AB25" i="58"/>
  <c r="P32" i="58"/>
  <c r="V18" i="58"/>
  <c r="S301" i="14" l="1"/>
  <c r="C7" i="57" l="1"/>
  <c r="C7" i="35"/>
  <c r="C7" i="58"/>
  <c r="AC46" i="58" s="1"/>
  <c r="AB28" i="57" l="1"/>
  <c r="V28" i="57"/>
  <c r="P28" i="57"/>
  <c r="J28" i="57"/>
  <c r="AC28" i="57"/>
  <c r="W28" i="57"/>
  <c r="Q28" i="57"/>
  <c r="K28" i="57"/>
  <c r="Q29" i="57"/>
  <c r="K29" i="57"/>
  <c r="AC29" i="57"/>
  <c r="W29" i="57"/>
  <c r="J29" i="57"/>
  <c r="AB29" i="57"/>
  <c r="P29" i="57"/>
  <c r="V29" i="57"/>
  <c r="P32" i="57"/>
  <c r="AC30" i="57"/>
  <c r="W30" i="57"/>
  <c r="Q30" i="57"/>
  <c r="P30" i="57"/>
  <c r="V32" i="57"/>
  <c r="K30" i="57"/>
  <c r="J30" i="57"/>
  <c r="AB32" i="57"/>
  <c r="V30" i="57"/>
  <c r="AB30" i="57"/>
  <c r="AC32" i="57"/>
  <c r="Q32" i="57"/>
  <c r="W32" i="57"/>
  <c r="J32" i="57"/>
  <c r="K32" i="57"/>
  <c r="AB28" i="35"/>
  <c r="V28" i="35"/>
  <c r="P28" i="35"/>
  <c r="J28" i="35"/>
  <c r="AC28" i="35"/>
  <c r="W28" i="35"/>
  <c r="Q28" i="35"/>
  <c r="K28" i="35"/>
  <c r="K29" i="35"/>
  <c r="AC29" i="35"/>
  <c r="V29" i="35"/>
  <c r="W29" i="35"/>
  <c r="J29" i="35"/>
  <c r="Q29" i="35"/>
  <c r="AB29" i="35"/>
  <c r="P29" i="35"/>
  <c r="K30" i="35"/>
  <c r="AC30" i="35"/>
  <c r="P32" i="35"/>
  <c r="W30" i="35"/>
  <c r="P30" i="35"/>
  <c r="AB32" i="35"/>
  <c r="V32" i="35"/>
  <c r="V30" i="35"/>
  <c r="J30" i="35"/>
  <c r="Q30" i="35"/>
  <c r="AB30" i="35"/>
  <c r="J32" i="35"/>
  <c r="W32" i="35"/>
  <c r="Q32" i="35"/>
  <c r="AC32" i="35"/>
  <c r="K32" i="35"/>
  <c r="AB44" i="58"/>
  <c r="K44" i="58"/>
  <c r="J43" i="58"/>
  <c r="P46" i="58"/>
  <c r="AB43" i="58"/>
  <c r="K43" i="58"/>
  <c r="V42" i="58"/>
  <c r="W46" i="58"/>
  <c r="W42" i="58"/>
  <c r="J42" i="58"/>
  <c r="K42" i="58"/>
  <c r="K46" i="58"/>
  <c r="AC44" i="58"/>
  <c r="P44" i="58"/>
  <c r="J46" i="58"/>
  <c r="W43" i="58"/>
  <c r="W44" i="58"/>
  <c r="P43" i="58"/>
  <c r="J44" i="58"/>
  <c r="V44" i="58"/>
  <c r="Q42" i="58"/>
  <c r="V46" i="58"/>
  <c r="Q43" i="58"/>
  <c r="AC43" i="58"/>
  <c r="AC42" i="58"/>
  <c r="V43" i="58"/>
  <c r="P42" i="58"/>
  <c r="AB42" i="58"/>
  <c r="Q44" i="58"/>
  <c r="AB46" i="58"/>
  <c r="Q46" i="58"/>
  <c r="AC46" i="59"/>
  <c r="Q46" i="59"/>
  <c r="AC44" i="59"/>
  <c r="Q44" i="59"/>
  <c r="AC43" i="59"/>
  <c r="Q43" i="59"/>
  <c r="AC42" i="59"/>
  <c r="Q42" i="59"/>
  <c r="AB46" i="59"/>
  <c r="P46" i="59"/>
  <c r="AB44" i="59"/>
  <c r="P44" i="59"/>
  <c r="AB43" i="59"/>
  <c r="P43" i="59"/>
  <c r="AB42" i="59"/>
  <c r="P42" i="59"/>
  <c r="W46" i="59"/>
  <c r="K46" i="59"/>
  <c r="W44" i="59"/>
  <c r="K44" i="59"/>
  <c r="W43" i="59"/>
  <c r="K43" i="59"/>
  <c r="W42" i="59"/>
  <c r="K42" i="59"/>
  <c r="V46" i="59"/>
  <c r="J46" i="59"/>
  <c r="V44" i="59"/>
  <c r="J44" i="59"/>
  <c r="V43" i="59"/>
  <c r="J43" i="59"/>
  <c r="V42" i="59"/>
  <c r="J42" i="59"/>
  <c r="AC319" i="14" l="1"/>
  <c r="S217" i="14" l="1"/>
  <c r="S219" i="14"/>
  <c r="S241" i="14" l="1"/>
  <c r="S203" i="14" s="1"/>
  <c r="B11" i="39" l="1"/>
  <c r="B10" i="39"/>
  <c r="B7" i="56"/>
  <c r="K26" i="56" s="1"/>
  <c r="O24" i="56"/>
  <c r="P24" i="56" s="1"/>
  <c r="K24" i="56"/>
  <c r="L24" i="56" s="1"/>
  <c r="G24" i="56"/>
  <c r="H24" i="56" s="1"/>
  <c r="D24" i="56"/>
  <c r="P21" i="56"/>
  <c r="L21" i="56"/>
  <c r="H21" i="56"/>
  <c r="D21" i="56"/>
  <c r="P18" i="56"/>
  <c r="L18" i="56"/>
  <c r="H18" i="56"/>
  <c r="D18" i="56"/>
  <c r="S75" i="87" l="1"/>
  <c r="G26" i="56"/>
  <c r="O26" i="56"/>
  <c r="C26" i="56"/>
  <c r="P15" i="56"/>
  <c r="L15" i="56"/>
  <c r="H15" i="56"/>
  <c r="D15" i="56"/>
  <c r="P12" i="56"/>
  <c r="P26" i="56" s="1"/>
  <c r="L12" i="56"/>
  <c r="L26" i="56" s="1"/>
  <c r="T75" i="87" s="1"/>
  <c r="H12" i="56"/>
  <c r="H26" i="56" s="1"/>
  <c r="D12" i="56"/>
  <c r="D26" i="56" s="1"/>
  <c r="N75" i="87" l="1"/>
  <c r="Z75" i="87"/>
  <c r="M75" i="87"/>
  <c r="Y75" i="87"/>
  <c r="W75" i="87"/>
  <c r="V75" i="87"/>
  <c r="G75" i="87"/>
  <c r="H75" i="87"/>
  <c r="P29" i="39"/>
  <c r="L29" i="39"/>
  <c r="H29" i="39"/>
  <c r="D29" i="39"/>
  <c r="P28" i="39"/>
  <c r="L28" i="39"/>
  <c r="H28" i="39"/>
  <c r="D28" i="39"/>
  <c r="P25" i="39"/>
  <c r="L25" i="39"/>
  <c r="H25" i="39"/>
  <c r="D25" i="39"/>
  <c r="P24" i="39"/>
  <c r="L24" i="39"/>
  <c r="H24" i="39"/>
  <c r="D24" i="39"/>
  <c r="AC75" i="87" l="1"/>
  <c r="AB75" i="87"/>
  <c r="Q75" i="87"/>
  <c r="P75" i="87"/>
  <c r="K75" i="87"/>
  <c r="J75" i="87"/>
  <c r="B7" i="23"/>
  <c r="C7" i="13"/>
  <c r="C7" i="17"/>
  <c r="AB12" i="17" s="1"/>
  <c r="Y12" i="21"/>
  <c r="S12" i="21"/>
  <c r="B7" i="21"/>
  <c r="B7" i="22"/>
  <c r="Y224" i="14"/>
  <c r="AC279" i="14"/>
  <c r="AC277" i="14"/>
  <c r="AC254" i="14"/>
  <c r="AC250" i="14"/>
  <c r="S228" i="14"/>
  <c r="S230" i="14" s="1"/>
  <c r="P21" i="39"/>
  <c r="L21" i="39"/>
  <c r="H21" i="39"/>
  <c r="D21" i="39"/>
  <c r="P20" i="39"/>
  <c r="L20" i="39"/>
  <c r="H20" i="39"/>
  <c r="D20" i="39"/>
  <c r="P17" i="39"/>
  <c r="L17" i="39"/>
  <c r="H17" i="39"/>
  <c r="D17" i="39"/>
  <c r="P16" i="39"/>
  <c r="L16" i="39"/>
  <c r="H16" i="39"/>
  <c r="D16" i="39"/>
  <c r="B9" i="39"/>
  <c r="B8" i="39"/>
  <c r="AC228" i="14"/>
  <c r="C23" i="34" s="1"/>
  <c r="C41" i="34" s="1"/>
  <c r="B4" i="12"/>
  <c r="C11" i="12" s="1"/>
  <c r="S58" i="14"/>
  <c r="S37" i="14"/>
  <c r="S290" i="14"/>
  <c r="C21" i="48" s="1"/>
  <c r="C36" i="48" s="1"/>
  <c r="S288" i="14"/>
  <c r="C25" i="34" s="1"/>
  <c r="C45" i="34" s="1"/>
  <c r="S245" i="14"/>
  <c r="S221" i="14"/>
  <c r="AA85" i="14"/>
  <c r="B12" i="23" s="1"/>
  <c r="AC308" i="14"/>
  <c r="AC317" i="14"/>
  <c r="AC321" i="14" s="1"/>
  <c r="AC230" i="14"/>
  <c r="C15" i="49" s="1"/>
  <c r="C27" i="49" s="1"/>
  <c r="S243" i="14"/>
  <c r="B12" i="43"/>
  <c r="C19" i="43" s="1"/>
  <c r="S332" i="14"/>
  <c r="S311" i="14"/>
  <c r="S68" i="14"/>
  <c r="S47" i="14"/>
  <c r="S60" i="14"/>
  <c r="S62" i="14"/>
  <c r="Q11" i="19"/>
  <c r="W11" i="19"/>
  <c r="AC11" i="19"/>
  <c r="S64" i="14"/>
  <c r="Q11" i="18"/>
  <c r="W11" i="18"/>
  <c r="AC11" i="18"/>
  <c r="AC13" i="18"/>
  <c r="S66" i="14"/>
  <c r="Q11" i="17"/>
  <c r="W11" i="17"/>
  <c r="AC11" i="17"/>
  <c r="K11" i="19"/>
  <c r="K13" i="19"/>
  <c r="K11" i="18"/>
  <c r="J13" i="18"/>
  <c r="K11" i="17"/>
  <c r="AB11" i="19"/>
  <c r="AB11" i="18"/>
  <c r="AB13" i="18"/>
  <c r="AB11" i="17"/>
  <c r="V11" i="19"/>
  <c r="V11" i="18"/>
  <c r="V13" i="18"/>
  <c r="V11" i="17"/>
  <c r="P11" i="19"/>
  <c r="P11" i="18"/>
  <c r="P13" i="18"/>
  <c r="P11" i="17"/>
  <c r="J11" i="19"/>
  <c r="J11" i="18"/>
  <c r="J11" i="17"/>
  <c r="I27" i="21"/>
  <c r="F27" i="21"/>
  <c r="G27" i="21"/>
  <c r="D27" i="21"/>
  <c r="E27" i="21"/>
  <c r="B27" i="21"/>
  <c r="C27" i="21"/>
  <c r="S39" i="14"/>
  <c r="S41" i="14"/>
  <c r="S43" i="14"/>
  <c r="S45" i="14"/>
  <c r="S324" i="14"/>
  <c r="S330" i="14"/>
  <c r="S328" i="14"/>
  <c r="S326" i="14"/>
  <c r="S303" i="14"/>
  <c r="S309" i="14"/>
  <c r="S307" i="14"/>
  <c r="S305" i="14"/>
  <c r="J13" i="19"/>
  <c r="W13" i="18"/>
  <c r="Q13" i="19"/>
  <c r="P13" i="19"/>
  <c r="K13" i="18"/>
  <c r="W13" i="19"/>
  <c r="V13" i="19"/>
  <c r="V15" i="19" s="1"/>
  <c r="AC13" i="19"/>
  <c r="AB13" i="19"/>
  <c r="AB15" i="19" s="1"/>
  <c r="Q13" i="18"/>
  <c r="V16" i="13" l="1"/>
  <c r="V17" i="13" s="1"/>
  <c r="AC16" i="13"/>
  <c r="Q16" i="13"/>
  <c r="AB16" i="13"/>
  <c r="AB18" i="13" s="1"/>
  <c r="P16" i="13"/>
  <c r="P18" i="13" s="1"/>
  <c r="W16" i="13"/>
  <c r="K16" i="13"/>
  <c r="J16" i="13"/>
  <c r="J17" i="13" s="1"/>
  <c r="B13" i="43"/>
  <c r="S205" i="14"/>
  <c r="L24" i="98"/>
  <c r="E24" i="98"/>
  <c r="E23" i="95"/>
  <c r="L23" i="95"/>
  <c r="S226" i="14"/>
  <c r="S250" i="14" s="1"/>
  <c r="S51" i="14"/>
  <c r="S24" i="14" s="1"/>
  <c r="P15" i="18"/>
  <c r="AB13" i="17"/>
  <c r="AC15" i="18"/>
  <c r="AB15" i="18"/>
  <c r="W15" i="18"/>
  <c r="V15" i="18"/>
  <c r="Q15" i="18"/>
  <c r="J15" i="18"/>
  <c r="K15" i="18"/>
  <c r="AC15" i="19"/>
  <c r="W15" i="19"/>
  <c r="P15" i="19"/>
  <c r="Q15" i="19"/>
  <c r="K15" i="19"/>
  <c r="J15" i="19"/>
  <c r="S126" i="14"/>
  <c r="AA121" i="14"/>
  <c r="O31" i="39"/>
  <c r="G31" i="39"/>
  <c r="L31" i="39"/>
  <c r="D31" i="39"/>
  <c r="K31" i="39"/>
  <c r="P31" i="39"/>
  <c r="Z74" i="87" s="1"/>
  <c r="H31" i="39"/>
  <c r="C31" i="39"/>
  <c r="W12" i="17"/>
  <c r="AC12" i="17"/>
  <c r="B11" i="12"/>
  <c r="AA83" i="14"/>
  <c r="Q12" i="17"/>
  <c r="P12" i="17"/>
  <c r="AA123" i="14"/>
  <c r="B11" i="22" s="1"/>
  <c r="C11" i="13"/>
  <c r="AB15" i="17"/>
  <c r="K12" i="17"/>
  <c r="V12" i="17"/>
  <c r="J12" i="17"/>
  <c r="S252" i="14"/>
  <c r="W18" i="13" l="1"/>
  <c r="W17" i="13"/>
  <c r="Q17" i="13"/>
  <c r="Q18" i="13"/>
  <c r="AC17" i="13"/>
  <c r="AC18" i="13"/>
  <c r="V18" i="13"/>
  <c r="AB17" i="13"/>
  <c r="P17" i="13"/>
  <c r="J18" i="13"/>
  <c r="K17" i="13"/>
  <c r="K18" i="13"/>
  <c r="S286" i="14"/>
  <c r="S294" i="14"/>
  <c r="C12" i="49" s="1"/>
  <c r="B23" i="49" s="1"/>
  <c r="D23" i="49" s="1"/>
  <c r="F9" i="99"/>
  <c r="B9" i="99"/>
  <c r="I9" i="99"/>
  <c r="E9" i="99"/>
  <c r="H9" i="99"/>
  <c r="D9" i="99"/>
  <c r="G9" i="99"/>
  <c r="C9" i="99"/>
  <c r="D24" i="98"/>
  <c r="K24" i="98"/>
  <c r="P236" i="95"/>
  <c r="P234" i="95"/>
  <c r="K23" i="95"/>
  <c r="M23" i="95" s="1"/>
  <c r="D23" i="95"/>
  <c r="N74" i="87"/>
  <c r="S74" i="87"/>
  <c r="T74" i="87"/>
  <c r="Y74" i="87"/>
  <c r="M74" i="87"/>
  <c r="G74" i="87"/>
  <c r="J74" i="87" s="1"/>
  <c r="J87" i="87" s="1"/>
  <c r="H74" i="87"/>
  <c r="H9" i="84"/>
  <c r="F9" i="84"/>
  <c r="D9" i="84"/>
  <c r="B9" i="84"/>
  <c r="G9" i="84"/>
  <c r="E9" i="84"/>
  <c r="C9" i="84"/>
  <c r="I9" i="84"/>
  <c r="I9" i="45"/>
  <c r="I9" i="44"/>
  <c r="I9" i="46"/>
  <c r="I9" i="42"/>
  <c r="I9" i="43"/>
  <c r="V13" i="17"/>
  <c r="J13" i="17"/>
  <c r="P13" i="17"/>
  <c r="AC13" i="17"/>
  <c r="C9" i="42"/>
  <c r="D9" i="45"/>
  <c r="H9" i="46"/>
  <c r="H9" i="42"/>
  <c r="D9" i="42"/>
  <c r="B9" i="46"/>
  <c r="E9" i="44"/>
  <c r="B9" i="45"/>
  <c r="C9" i="44"/>
  <c r="G9" i="45"/>
  <c r="F9" i="43"/>
  <c r="F9" i="44"/>
  <c r="D9" i="44"/>
  <c r="F9" i="45"/>
  <c r="E9" i="42"/>
  <c r="G9" i="44"/>
  <c r="E9" i="43"/>
  <c r="H9" i="45"/>
  <c r="G9" i="43"/>
  <c r="H9" i="44"/>
  <c r="E9" i="45"/>
  <c r="B9" i="44"/>
  <c r="H9" i="43"/>
  <c r="F9" i="42"/>
  <c r="C9" i="45"/>
  <c r="F9" i="46"/>
  <c r="C9" i="43"/>
  <c r="D9" i="43"/>
  <c r="G9" i="42"/>
  <c r="B9" i="43"/>
  <c r="D9" i="46"/>
  <c r="B9" i="42"/>
  <c r="C9" i="46"/>
  <c r="G9" i="46"/>
  <c r="E9" i="46"/>
  <c r="Q13" i="17"/>
  <c r="B12" i="42"/>
  <c r="C19" i="42" s="1"/>
  <c r="W13" i="17"/>
  <c r="K13" i="17"/>
  <c r="C18" i="34" l="1"/>
  <c r="B36" i="34" s="1"/>
  <c r="E36" i="34" s="1"/>
  <c r="C13" i="47"/>
  <c r="B27" i="47" s="1"/>
  <c r="C18" i="48"/>
  <c r="B32" i="48" s="1"/>
  <c r="E32" i="48" s="1"/>
  <c r="B20" i="45"/>
  <c r="C37" i="45" s="1"/>
  <c r="B16" i="45"/>
  <c r="C33" i="45" s="1"/>
  <c r="B23" i="45"/>
  <c r="C40" i="45" s="1"/>
  <c r="B19" i="45"/>
  <c r="C36" i="45" s="1"/>
  <c r="B15" i="45"/>
  <c r="C32" i="45" s="1"/>
  <c r="B18" i="45"/>
  <c r="C35" i="45" s="1"/>
  <c r="B21" i="45"/>
  <c r="C38" i="45" s="1"/>
  <c r="B22" i="45"/>
  <c r="C39" i="45" s="1"/>
  <c r="B14" i="45"/>
  <c r="C31" i="45" s="1"/>
  <c r="B17" i="45"/>
  <c r="C34" i="45" s="1"/>
  <c r="B12" i="45"/>
  <c r="B13" i="45"/>
  <c r="J15" i="17"/>
  <c r="S15" i="14"/>
  <c r="Q74" i="87"/>
  <c r="Q87" i="87" s="1"/>
  <c r="P74" i="87"/>
  <c r="P87" i="87" s="1"/>
  <c r="AC74" i="87"/>
  <c r="AC87" i="87" s="1"/>
  <c r="AB74" i="87"/>
  <c r="AB87" i="87" s="1"/>
  <c r="W74" i="87"/>
  <c r="W87" i="87" s="1"/>
  <c r="V74" i="87"/>
  <c r="V87" i="87" s="1"/>
  <c r="K74" i="87"/>
  <c r="K87" i="87" s="1"/>
  <c r="V15" i="17"/>
  <c r="W15" i="17"/>
  <c r="AC15" i="17"/>
  <c r="K15" i="17"/>
  <c r="Q15" i="17"/>
  <c r="P15" i="17"/>
  <c r="B13" i="42"/>
  <c r="C20" i="42" s="1"/>
  <c r="AB32" i="45" l="1"/>
  <c r="V32" i="45"/>
  <c r="P32" i="45"/>
  <c r="J32" i="45"/>
  <c r="AC32" i="45"/>
  <c r="W32" i="45"/>
  <c r="Q32" i="45"/>
  <c r="K32" i="45"/>
  <c r="AC33" i="45"/>
  <c r="W33" i="45"/>
  <c r="Q33" i="45"/>
  <c r="K33" i="45"/>
  <c r="AB33" i="45"/>
  <c r="V33" i="45"/>
  <c r="P33" i="45"/>
  <c r="J33" i="45"/>
  <c r="AC39" i="45"/>
  <c r="V39" i="45"/>
  <c r="W39" i="45"/>
  <c r="P39" i="45"/>
  <c r="Q39" i="45"/>
  <c r="K39" i="45"/>
  <c r="J39" i="45"/>
  <c r="AB39" i="45"/>
  <c r="V38" i="45"/>
  <c r="AC38" i="45"/>
  <c r="P38" i="45"/>
  <c r="W38" i="45"/>
  <c r="K38" i="45"/>
  <c r="Q38" i="45"/>
  <c r="AB38" i="45"/>
  <c r="J38" i="45"/>
  <c r="Q31" i="45"/>
  <c r="AB31" i="45"/>
  <c r="AC31" i="45"/>
  <c r="V31" i="45"/>
  <c r="W31" i="45"/>
  <c r="K31" i="45"/>
  <c r="J31" i="45"/>
  <c r="P31" i="45"/>
  <c r="AC37" i="45"/>
  <c r="V37" i="45"/>
  <c r="W37" i="45"/>
  <c r="P37" i="45"/>
  <c r="Q37" i="45"/>
  <c r="K37" i="45"/>
  <c r="J37" i="45"/>
  <c r="AB37" i="45"/>
  <c r="V40" i="45"/>
  <c r="AC40" i="45"/>
  <c r="P40" i="45"/>
  <c r="W40" i="45"/>
  <c r="K40" i="45"/>
  <c r="Q40" i="45"/>
  <c r="AB40" i="45"/>
  <c r="J40" i="45"/>
  <c r="V34" i="45"/>
  <c r="AC34" i="45"/>
  <c r="P34" i="45"/>
  <c r="W34" i="45"/>
  <c r="K34" i="45"/>
  <c r="Q34" i="45"/>
  <c r="AB34" i="45"/>
  <c r="J34" i="45"/>
  <c r="V36" i="45"/>
  <c r="AC36" i="45"/>
  <c r="P36" i="45"/>
  <c r="W36" i="45"/>
  <c r="K36" i="45"/>
  <c r="Q36" i="45"/>
  <c r="AB36" i="45"/>
  <c r="J36" i="45"/>
  <c r="AC35" i="45"/>
  <c r="V35" i="45"/>
  <c r="W35" i="45"/>
  <c r="P35" i="45"/>
  <c r="Q35" i="45"/>
  <c r="K35" i="45"/>
  <c r="J35" i="45"/>
  <c r="AB35" i="45"/>
  <c r="Y26" i="14"/>
  <c r="S7" i="14"/>
  <c r="AC252" i="14" l="1"/>
  <c r="AC256" i="14" s="1"/>
  <c r="AC260" i="14" s="1"/>
  <c r="AC226" i="14"/>
  <c r="AC262" i="14" l="1"/>
  <c r="AC286" i="14"/>
  <c r="AC300" i="14" s="1"/>
  <c r="B25" i="47"/>
  <c r="B21" i="49"/>
  <c r="D21" i="49" s="1"/>
  <c r="B34" i="34"/>
  <c r="E34" i="34" s="1"/>
  <c r="AC306" i="14" l="1"/>
  <c r="B13" i="44"/>
  <c r="C20" i="44" s="1"/>
  <c r="AC313" i="14"/>
  <c r="AC315" i="14" s="1"/>
  <c r="C30" i="45"/>
  <c r="C29" i="45"/>
  <c r="AC275" i="14"/>
  <c r="AC281" i="14" s="1"/>
  <c r="C6" i="49"/>
  <c r="B18" i="49" s="1"/>
  <c r="D18" i="49" s="1"/>
  <c r="C8" i="47"/>
  <c r="B19" i="47" s="1"/>
  <c r="C9" i="47"/>
  <c r="B20" i="47" s="1"/>
  <c r="C8" i="34"/>
  <c r="B28" i="34" s="1"/>
  <c r="E28" i="34" s="1"/>
  <c r="C10" i="34"/>
  <c r="B29" i="34" s="1"/>
  <c r="E29" i="34" s="1"/>
  <c r="C10" i="47"/>
  <c r="B24" i="47" s="1"/>
  <c r="B28" i="47" s="1"/>
  <c r="D27" i="47" s="1"/>
  <c r="C8" i="48"/>
  <c r="B24" i="48" s="1"/>
  <c r="E24" i="48" s="1"/>
  <c r="C10" i="48"/>
  <c r="B25" i="48" s="1"/>
  <c r="E25" i="48" s="1"/>
  <c r="N242" i="98"/>
  <c r="C20" i="48"/>
  <c r="B36" i="48" s="1"/>
  <c r="E36" i="48" s="1"/>
  <c r="C22" i="34"/>
  <c r="B41" i="34" s="1"/>
  <c r="E41" i="34" s="1"/>
  <c r="C14" i="47"/>
  <c r="C16" i="34"/>
  <c r="B35" i="34" s="1"/>
  <c r="E35" i="34" s="1"/>
  <c r="C24" i="34"/>
  <c r="B45" i="34" s="1"/>
  <c r="E45" i="34" s="1"/>
  <c r="C10" i="49"/>
  <c r="B22" i="49" s="1"/>
  <c r="D22" i="49" s="1"/>
  <c r="C12" i="48"/>
  <c r="B29" i="48" s="1"/>
  <c r="E29" i="48" s="1"/>
  <c r="E33" i="48" s="1"/>
  <c r="F32" i="48" s="1"/>
  <c r="C12" i="47"/>
  <c r="B26" i="47" s="1"/>
  <c r="S315" i="14"/>
  <c r="C20" i="34"/>
  <c r="B40" i="34" s="1"/>
  <c r="C15" i="47"/>
  <c r="C16" i="47"/>
  <c r="C14" i="49"/>
  <c r="C16" i="48"/>
  <c r="B31" i="48" s="1"/>
  <c r="E31" i="48" s="1"/>
  <c r="C12" i="34"/>
  <c r="B33" i="34" s="1"/>
  <c r="E33" i="34" s="1"/>
  <c r="C21" i="34"/>
  <c r="C40" i="34" s="1"/>
  <c r="H48" i="34" l="1"/>
  <c r="E37" i="34"/>
  <c r="F36" i="34" s="1"/>
  <c r="H40" i="48"/>
  <c r="AC20" i="44"/>
  <c r="K20" i="44"/>
  <c r="W20" i="44"/>
  <c r="V20" i="44"/>
  <c r="J20" i="44"/>
  <c r="P20" i="44"/>
  <c r="Q20" i="44"/>
  <c r="AB20" i="44"/>
  <c r="AC268" i="14"/>
  <c r="E40" i="34"/>
  <c r="E42" i="34" s="1"/>
  <c r="F41" i="34" s="1"/>
  <c r="AC270" i="14"/>
  <c r="N241" i="98"/>
  <c r="S336" i="14"/>
  <c r="N243" i="98"/>
  <c r="B21" i="47"/>
  <c r="D20" i="47" s="1"/>
  <c r="E30" i="34"/>
  <c r="F29" i="34" s="1"/>
  <c r="D24" i="47"/>
  <c r="E26" i="48"/>
  <c r="F25" i="48" s="1"/>
  <c r="F29" i="48"/>
  <c r="E37" i="48"/>
  <c r="F33" i="34"/>
  <c r="E46" i="34"/>
  <c r="F45" i="34" s="1"/>
  <c r="S137" i="14" l="1"/>
  <c r="AA115" i="14" s="1"/>
  <c r="F40" i="34"/>
  <c r="F42" i="34" s="1"/>
  <c r="S357" i="14"/>
  <c r="C18" i="99" s="1"/>
  <c r="D19" i="47"/>
  <c r="F28" i="34"/>
  <c r="F30" i="34" s="1"/>
  <c r="F24" i="48"/>
  <c r="F31" i="48"/>
  <c r="F30" i="48"/>
  <c r="F36" i="48"/>
  <c r="F35" i="34"/>
  <c r="F34" i="34"/>
  <c r="B33" i="47"/>
  <c r="B27" i="49"/>
  <c r="D27" i="49" s="1"/>
  <c r="B37" i="47"/>
  <c r="F41" i="47" s="1"/>
  <c r="B32" i="47"/>
  <c r="H45" i="34"/>
  <c r="H33" i="34" s="1"/>
  <c r="F37" i="34" l="1"/>
  <c r="F33" i="48"/>
  <c r="B221" i="96"/>
  <c r="D222" i="95"/>
  <c r="D221" i="96"/>
  <c r="E222" i="95"/>
  <c r="E221" i="96"/>
  <c r="G222" i="95"/>
  <c r="G221" i="96"/>
  <c r="B222" i="95"/>
  <c r="H223" i="98"/>
  <c r="B223" i="98"/>
  <c r="M223" i="98"/>
  <c r="G223" i="98"/>
  <c r="K223" i="98"/>
  <c r="E223" i="98"/>
  <c r="J223" i="98"/>
  <c r="D223" i="98"/>
  <c r="H221" i="96"/>
  <c r="K221" i="96"/>
  <c r="J222" i="95"/>
  <c r="M222" i="95"/>
  <c r="J221" i="96"/>
  <c r="M221" i="96"/>
  <c r="K222" i="95"/>
  <c r="H222" i="95"/>
  <c r="J321" i="98"/>
  <c r="G195" i="98"/>
  <c r="B191" i="98"/>
  <c r="B195" i="98"/>
  <c r="E186" i="98"/>
  <c r="K194" i="98"/>
  <c r="D187" i="98"/>
  <c r="K191" i="98"/>
  <c r="K195" i="98"/>
  <c r="B186" i="98"/>
  <c r="B194" i="98"/>
  <c r="G187" i="98"/>
  <c r="M189" i="98"/>
  <c r="K186" i="98"/>
  <c r="H194" i="98"/>
  <c r="H187" i="98"/>
  <c r="H191" i="98"/>
  <c r="H195" i="98"/>
  <c r="G186" i="98"/>
  <c r="M194" i="98"/>
  <c r="K187" i="98"/>
  <c r="D190" i="98"/>
  <c r="D192" i="98"/>
  <c r="J191" i="98"/>
  <c r="J195" i="98"/>
  <c r="H186" i="98"/>
  <c r="E194" i="98"/>
  <c r="B187" i="98"/>
  <c r="E191" i="98"/>
  <c r="E195" i="98"/>
  <c r="M186" i="98"/>
  <c r="J194" i="98"/>
  <c r="E187" i="98"/>
  <c r="M195" i="98"/>
  <c r="G193" i="98"/>
  <c r="H188" i="98"/>
  <c r="G190" i="98"/>
  <c r="D189" i="98"/>
  <c r="G192" i="98"/>
  <c r="D193" i="98"/>
  <c r="K188" i="98"/>
  <c r="H190" i="98"/>
  <c r="K190" i="98"/>
  <c r="B189" i="98"/>
  <c r="K192" i="98"/>
  <c r="B193" i="98"/>
  <c r="B188" i="98"/>
  <c r="B190" i="98"/>
  <c r="K189" i="98"/>
  <c r="B192" i="98"/>
  <c r="K193" i="98"/>
  <c r="E188" i="98"/>
  <c r="G191" i="98"/>
  <c r="H192" i="98"/>
  <c r="M193" i="98"/>
  <c r="J188" i="98"/>
  <c r="M190" i="98"/>
  <c r="H189" i="98"/>
  <c r="M192" i="98"/>
  <c r="H193" i="98"/>
  <c r="M188" i="98"/>
  <c r="M191" i="98"/>
  <c r="E190" i="98"/>
  <c r="J189" i="98"/>
  <c r="E192" i="98"/>
  <c r="J193" i="98"/>
  <c r="D188" i="98"/>
  <c r="J190" i="98"/>
  <c r="E189" i="98"/>
  <c r="J192" i="98"/>
  <c r="E193" i="98"/>
  <c r="G188" i="98"/>
  <c r="G189" i="98"/>
  <c r="D186" i="98"/>
  <c r="D194" i="98"/>
  <c r="J187" i="98"/>
  <c r="D191" i="98"/>
  <c r="D195" i="98"/>
  <c r="J186" i="98"/>
  <c r="G194" i="98"/>
  <c r="P194" i="98" s="1"/>
  <c r="M187" i="98"/>
  <c r="M193" i="96"/>
  <c r="D193" i="96"/>
  <c r="G192" i="96"/>
  <c r="B192" i="96"/>
  <c r="H191" i="96"/>
  <c r="D191" i="96"/>
  <c r="M190" i="96"/>
  <c r="H190" i="96"/>
  <c r="D190" i="96"/>
  <c r="K189" i="96"/>
  <c r="G189" i="96"/>
  <c r="J188" i="96"/>
  <c r="D188" i="96"/>
  <c r="K187" i="96"/>
  <c r="B187" i="96"/>
  <c r="J186" i="96"/>
  <c r="M185" i="96"/>
  <c r="D185" i="96"/>
  <c r="G184" i="96"/>
  <c r="B184" i="96"/>
  <c r="G193" i="96"/>
  <c r="M192" i="96"/>
  <c r="E192" i="96"/>
  <c r="K191" i="96"/>
  <c r="E191" i="96"/>
  <c r="K190" i="96"/>
  <c r="E189" i="96"/>
  <c r="E188" i="96"/>
  <c r="J187" i="96"/>
  <c r="D187" i="96"/>
  <c r="K186" i="96"/>
  <c r="E186" i="96"/>
  <c r="K185" i="96"/>
  <c r="E185" i="96"/>
  <c r="K184" i="96"/>
  <c r="D184" i="96"/>
  <c r="K193" i="96"/>
  <c r="E193" i="96"/>
  <c r="K192" i="96"/>
  <c r="D192" i="96"/>
  <c r="J191" i="96"/>
  <c r="J190" i="96"/>
  <c r="E190" i="96"/>
  <c r="J189" i="96"/>
  <c r="D189" i="96"/>
  <c r="K188" i="96"/>
  <c r="H187" i="96"/>
  <c r="D186" i="96"/>
  <c r="J185" i="96"/>
  <c r="B185" i="96"/>
  <c r="J184" i="96"/>
  <c r="J193" i="96"/>
  <c r="B193" i="96"/>
  <c r="J192" i="96"/>
  <c r="G191" i="96"/>
  <c r="H188" i="96"/>
  <c r="G187" i="96"/>
  <c r="H186" i="96"/>
  <c r="H185" i="96"/>
  <c r="H184" i="96"/>
  <c r="H192" i="96"/>
  <c r="G190" i="96"/>
  <c r="H189" i="96"/>
  <c r="G188" i="96"/>
  <c r="E187" i="96"/>
  <c r="G186" i="96"/>
  <c r="G185" i="96"/>
  <c r="E184" i="96"/>
  <c r="H193" i="96"/>
  <c r="B191" i="96"/>
  <c r="B190" i="96"/>
  <c r="B189" i="96"/>
  <c r="B188" i="96"/>
  <c r="B186" i="96"/>
  <c r="M191" i="96"/>
  <c r="M189" i="96"/>
  <c r="M188" i="96"/>
  <c r="M187" i="96"/>
  <c r="M186" i="96"/>
  <c r="M184" i="96"/>
  <c r="AA81" i="14"/>
  <c r="B343" i="98"/>
  <c r="K339" i="95"/>
  <c r="G323" i="96"/>
  <c r="J332" i="95"/>
  <c r="K342" i="95"/>
  <c r="M322" i="95"/>
  <c r="H338" i="95"/>
  <c r="K330" i="95"/>
  <c r="K322" i="95"/>
  <c r="M327" i="96"/>
  <c r="G325" i="96"/>
  <c r="G308" i="96"/>
  <c r="K323" i="96"/>
  <c r="G331" i="95"/>
  <c r="K311" i="96"/>
  <c r="B329" i="98"/>
  <c r="H40" i="34"/>
  <c r="F37" i="48"/>
  <c r="B309" i="96"/>
  <c r="K309" i="96"/>
  <c r="J339" i="95"/>
  <c r="J315" i="95"/>
  <c r="J316" i="96"/>
  <c r="B331" i="96"/>
  <c r="B319" i="97"/>
  <c r="K331" i="97"/>
  <c r="E325" i="97"/>
  <c r="D311" i="97"/>
  <c r="E338" i="95"/>
  <c r="D323" i="96"/>
  <c r="G323" i="95"/>
  <c r="H316" i="95"/>
  <c r="H316" i="97"/>
  <c r="D340" i="95"/>
  <c r="K327" i="96"/>
  <c r="J331" i="95"/>
  <c r="K324" i="96"/>
  <c r="E330" i="95"/>
  <c r="M314" i="95"/>
  <c r="K325" i="96"/>
  <c r="J324" i="95"/>
  <c r="E339" i="95"/>
  <c r="K307" i="96"/>
  <c r="D333" i="96"/>
  <c r="B324" i="95"/>
  <c r="H314" i="95"/>
  <c r="M325" i="96"/>
  <c r="B344" i="98"/>
  <c r="B309" i="97"/>
  <c r="B317" i="96"/>
  <c r="H307" i="97"/>
  <c r="H335" i="98"/>
  <c r="H328" i="98"/>
  <c r="D319" i="97"/>
  <c r="B12" i="44"/>
  <c r="C19" i="44" s="1"/>
  <c r="E314" i="95"/>
  <c r="D323" i="95"/>
  <c r="K324" i="95"/>
  <c r="J318" i="95"/>
  <c r="B327" i="98"/>
  <c r="D342" i="95"/>
  <c r="K332" i="96"/>
  <c r="D338" i="95"/>
  <c r="D331" i="96"/>
  <c r="D331" i="95"/>
  <c r="G316" i="95"/>
  <c r="G331" i="96"/>
  <c r="E326" i="95"/>
  <c r="J340" i="95"/>
  <c r="K308" i="96"/>
  <c r="G335" i="96"/>
  <c r="B330" i="95"/>
  <c r="E316" i="95"/>
  <c r="J327" i="96"/>
  <c r="M316" i="96"/>
  <c r="B323" i="97"/>
  <c r="H317" i="96"/>
  <c r="K311" i="97"/>
  <c r="H345" i="98"/>
  <c r="H331" i="98"/>
  <c r="D324" i="97"/>
  <c r="E324" i="95"/>
  <c r="D322" i="95"/>
  <c r="M308" i="96"/>
  <c r="G334" i="95"/>
  <c r="G317" i="96"/>
  <c r="D330" i="95"/>
  <c r="M318" i="95"/>
  <c r="B335" i="98"/>
  <c r="B318" i="95"/>
  <c r="H335" i="97"/>
  <c r="K338" i="95"/>
  <c r="G309" i="96"/>
  <c r="H332" i="97"/>
  <c r="M331" i="95"/>
  <c r="B315" i="95"/>
  <c r="D317" i="96"/>
  <c r="H331" i="97"/>
  <c r="B338" i="95"/>
  <c r="M309" i="96"/>
  <c r="G308" i="97"/>
  <c r="E327" i="96"/>
  <c r="B307" i="96"/>
  <c r="H325" i="96"/>
  <c r="K327" i="97"/>
  <c r="E317" i="97"/>
  <c r="J308" i="97"/>
  <c r="J332" i="97"/>
  <c r="G311" i="97"/>
  <c r="D332" i="97"/>
  <c r="E323" i="98"/>
  <c r="G319" i="97"/>
  <c r="M319" i="97"/>
  <c r="E329" i="98"/>
  <c r="G332" i="97"/>
  <c r="K321" i="98"/>
  <c r="M343" i="98"/>
  <c r="K331" i="98"/>
  <c r="D321" i="98"/>
  <c r="B12" i="84"/>
  <c r="E345" i="98"/>
  <c r="M327" i="97"/>
  <c r="M337" i="98"/>
  <c r="D335" i="98"/>
  <c r="D319" i="98"/>
  <c r="K323" i="98"/>
  <c r="M332" i="97"/>
  <c r="M324" i="97"/>
  <c r="M316" i="97"/>
  <c r="E347" i="98"/>
  <c r="E331" i="98"/>
  <c r="J335" i="97"/>
  <c r="J327" i="97"/>
  <c r="J319" i="97"/>
  <c r="J311" i="97"/>
  <c r="H347" i="98"/>
  <c r="E335" i="97"/>
  <c r="E319" i="97"/>
  <c r="E307" i="97"/>
  <c r="H319" i="98"/>
  <c r="K323" i="97"/>
  <c r="E308" i="97"/>
  <c r="H331" i="96"/>
  <c r="H323" i="96"/>
  <c r="H315" i="96"/>
  <c r="H307" i="96"/>
  <c r="B325" i="97"/>
  <c r="J333" i="96"/>
  <c r="E324" i="96"/>
  <c r="M311" i="96"/>
  <c r="B324" i="97"/>
  <c r="E333" i="96"/>
  <c r="M323" i="96"/>
  <c r="J311" i="96"/>
  <c r="K316" i="95"/>
  <c r="H340" i="95"/>
  <c r="H332" i="95"/>
  <c r="H324" i="95"/>
  <c r="B345" i="98"/>
  <c r="H315" i="97"/>
  <c r="K331" i="96"/>
  <c r="G319" i="96"/>
  <c r="J309" i="96"/>
  <c r="M316" i="95"/>
  <c r="J314" i="95"/>
  <c r="M339" i="95"/>
  <c r="E334" i="95"/>
  <c r="J330" i="95"/>
  <c r="M323" i="95"/>
  <c r="B321" i="98"/>
  <c r="G333" i="96"/>
  <c r="D319" i="96"/>
  <c r="E308" i="96"/>
  <c r="H315" i="95"/>
  <c r="G340" i="95"/>
  <c r="M332" i="95"/>
  <c r="G326" i="95"/>
  <c r="B337" i="98"/>
  <c r="K333" i="96"/>
  <c r="D316" i="96"/>
  <c r="J342" i="95"/>
  <c r="K332" i="95"/>
  <c r="D324" i="95"/>
  <c r="H317" i="97"/>
  <c r="G324" i="96"/>
  <c r="D308" i="96"/>
  <c r="K314" i="95"/>
  <c r="J334" i="95"/>
  <c r="M324" i="95"/>
  <c r="H327" i="97"/>
  <c r="D327" i="96"/>
  <c r="D309" i="96"/>
  <c r="E315" i="95"/>
  <c r="G338" i="95"/>
  <c r="K326" i="95"/>
  <c r="B319" i="98"/>
  <c r="D315" i="95"/>
  <c r="H311" i="97"/>
  <c r="G339" i="95"/>
  <c r="K316" i="96"/>
  <c r="J326" i="95"/>
  <c r="D334" i="95"/>
  <c r="N185" i="14"/>
  <c r="AC323" i="14"/>
  <c r="M321" i="98"/>
  <c r="D328" i="98"/>
  <c r="B12" i="46"/>
  <c r="C19" i="46" s="1"/>
  <c r="E234" i="95"/>
  <c r="E236" i="95" s="1"/>
  <c r="E311" i="96"/>
  <c r="B316" i="95"/>
  <c r="G318" i="95"/>
  <c r="K331" i="95"/>
  <c r="H325" i="97"/>
  <c r="M330" i="95"/>
  <c r="M340" i="95"/>
  <c r="J307" i="96"/>
  <c r="G332" i="96"/>
  <c r="G322" i="95"/>
  <c r="G332" i="95"/>
  <c r="K315" i="95"/>
  <c r="G315" i="96"/>
  <c r="G307" i="97"/>
  <c r="D326" i="95"/>
  <c r="D339" i="95"/>
  <c r="D311" i="96"/>
  <c r="K308" i="97"/>
  <c r="J323" i="95"/>
  <c r="D332" i="95"/>
  <c r="G342" i="95"/>
  <c r="D318" i="95"/>
  <c r="G316" i="96"/>
  <c r="H309" i="97"/>
  <c r="J322" i="95"/>
  <c r="M326" i="95"/>
  <c r="M334" i="95"/>
  <c r="E342" i="95"/>
  <c r="D316" i="95"/>
  <c r="G311" i="96"/>
  <c r="D325" i="96"/>
  <c r="B308" i="97"/>
  <c r="B322" i="95"/>
  <c r="H330" i="95"/>
  <c r="B340" i="95"/>
  <c r="E307" i="96"/>
  <c r="E317" i="96"/>
  <c r="J332" i="96"/>
  <c r="B335" i="97"/>
  <c r="J317" i="96"/>
  <c r="M332" i="96"/>
  <c r="B323" i="98"/>
  <c r="H309" i="96"/>
  <c r="B323" i="96"/>
  <c r="B333" i="96"/>
  <c r="K315" i="97"/>
  <c r="K335" i="97"/>
  <c r="E309" i="97"/>
  <c r="E327" i="97"/>
  <c r="H344" i="98"/>
  <c r="D316" i="97"/>
  <c r="J324" i="97"/>
  <c r="D335" i="97"/>
  <c r="E337" i="98"/>
  <c r="M311" i="97"/>
  <c r="G324" i="97"/>
  <c r="G335" i="97"/>
  <c r="K337" i="98"/>
  <c r="J343" i="98"/>
  <c r="B13" i="46"/>
  <c r="C20" i="46" s="1"/>
  <c r="D332" i="96"/>
  <c r="D335" i="96"/>
  <c r="G307" i="96"/>
  <c r="K340" i="95"/>
  <c r="E322" i="95"/>
  <c r="E332" i="95"/>
  <c r="G314" i="95"/>
  <c r="D315" i="96"/>
  <c r="K335" i="96"/>
  <c r="K323" i="95"/>
  <c r="M338" i="95"/>
  <c r="J316" i="95"/>
  <c r="K317" i="96"/>
  <c r="H333" i="97"/>
  <c r="G330" i="95"/>
  <c r="E340" i="95"/>
  <c r="K319" i="96"/>
  <c r="H324" i="97"/>
  <c r="G324" i="95"/>
  <c r="K334" i="95"/>
  <c r="D314" i="95"/>
  <c r="D307" i="96"/>
  <c r="D324" i="96"/>
  <c r="H319" i="97"/>
  <c r="E323" i="95"/>
  <c r="E331" i="95"/>
  <c r="J338" i="95"/>
  <c r="M342" i="95"/>
  <c r="H318" i="95"/>
  <c r="K315" i="96"/>
  <c r="G327" i="96"/>
  <c r="H323" i="97"/>
  <c r="H322" i="95"/>
  <c r="B332" i="95"/>
  <c r="B314" i="95"/>
  <c r="M307" i="96"/>
  <c r="E323" i="96"/>
  <c r="B307" i="97"/>
  <c r="B320" i="98"/>
  <c r="J323" i="96"/>
  <c r="K307" i="97"/>
  <c r="B331" i="98"/>
  <c r="B315" i="96"/>
  <c r="B325" i="96"/>
  <c r="H333" i="96"/>
  <c r="K319" i="97"/>
  <c r="H329" i="98"/>
  <c r="E311" i="97"/>
  <c r="E333" i="97"/>
  <c r="D308" i="97"/>
  <c r="J316" i="97"/>
  <c r="D327" i="97"/>
  <c r="E321" i="98"/>
  <c r="E339" i="98"/>
  <c r="G316" i="97"/>
  <c r="G327" i="97"/>
  <c r="M335" i="97"/>
  <c r="K339" i="98"/>
  <c r="G321" i="98"/>
  <c r="G347" i="98"/>
  <c r="J337" i="98"/>
  <c r="G328" i="98"/>
  <c r="D331" i="98"/>
  <c r="D344" i="98"/>
  <c r="G335" i="98"/>
  <c r="G319" i="98"/>
  <c r="G331" i="98"/>
  <c r="G344" i="98"/>
  <c r="K329" i="98"/>
  <c r="K345" i="98"/>
  <c r="J327" i="98"/>
  <c r="D337" i="98"/>
  <c r="D347" i="98"/>
  <c r="M327" i="98"/>
  <c r="G337" i="98"/>
  <c r="M350" i="95"/>
  <c r="M345" i="98"/>
  <c r="G343" i="98"/>
  <c r="G336" i="98"/>
  <c r="M329" i="98"/>
  <c r="G327" i="98"/>
  <c r="G320" i="98"/>
  <c r="J345" i="98"/>
  <c r="D343" i="98"/>
  <c r="D336" i="98"/>
  <c r="J329" i="98"/>
  <c r="D327" i="98"/>
  <c r="D320" i="98"/>
  <c r="K344" i="98"/>
  <c r="K336" i="98"/>
  <c r="K328" i="98"/>
  <c r="K320" i="98"/>
  <c r="M333" i="97"/>
  <c r="M331" i="97"/>
  <c r="M325" i="97"/>
  <c r="M323" i="97"/>
  <c r="M317" i="97"/>
  <c r="M315" i="97"/>
  <c r="M309" i="97"/>
  <c r="E344" i="98"/>
  <c r="E336" i="98"/>
  <c r="E328" i="98"/>
  <c r="E320" i="98"/>
  <c r="J333" i="97"/>
  <c r="J331" i="97"/>
  <c r="J325" i="97"/>
  <c r="J323" i="97"/>
  <c r="J317" i="97"/>
  <c r="J315" i="97"/>
  <c r="J309" i="97"/>
  <c r="J307" i="97"/>
  <c r="H339" i="98"/>
  <c r="H323" i="98"/>
  <c r="E332" i="97"/>
  <c r="E324" i="97"/>
  <c r="E316" i="97"/>
  <c r="H308" i="97"/>
  <c r="H343" i="98"/>
  <c r="H327" i="98"/>
  <c r="K333" i="97"/>
  <c r="K325" i="97"/>
  <c r="K317" i="97"/>
  <c r="K309" i="97"/>
  <c r="H335" i="96"/>
  <c r="H332" i="96"/>
  <c r="H327" i="96"/>
  <c r="H324" i="96"/>
  <c r="H319" i="96"/>
  <c r="H316" i="96"/>
  <c r="H311" i="96"/>
  <c r="H308" i="96"/>
  <c r="B347" i="98"/>
  <c r="B333" i="97"/>
  <c r="B317" i="97"/>
  <c r="M335" i="96"/>
  <c r="E332" i="96"/>
  <c r="J325" i="96"/>
  <c r="M319" i="96"/>
  <c r="E316" i="96"/>
  <c r="B336" i="98"/>
  <c r="B332" i="97"/>
  <c r="B316" i="97"/>
  <c r="J335" i="96"/>
  <c r="M331" i="96"/>
  <c r="E325" i="96"/>
  <c r="J319" i="96"/>
  <c r="M315" i="96"/>
  <c r="E309" i="96"/>
  <c r="K318" i="95"/>
  <c r="M315" i="95"/>
  <c r="H342" i="95"/>
  <c r="H339" i="95"/>
  <c r="H334" i="95"/>
  <c r="H331" i="95"/>
  <c r="H326" i="95"/>
  <c r="H323" i="95"/>
  <c r="J343" i="96"/>
  <c r="G345" i="98"/>
  <c r="G339" i="98"/>
  <c r="M335" i="98"/>
  <c r="G329" i="98"/>
  <c r="G323" i="98"/>
  <c r="M319" i="98"/>
  <c r="D345" i="98"/>
  <c r="D339" i="98"/>
  <c r="J335" i="98"/>
  <c r="D329" i="98"/>
  <c r="D323" i="98"/>
  <c r="J319" i="98"/>
  <c r="K343" i="98"/>
  <c r="K335" i="98"/>
  <c r="K327" i="98"/>
  <c r="K319" i="98"/>
  <c r="G333" i="97"/>
  <c r="G331" i="97"/>
  <c r="G325" i="97"/>
  <c r="G323" i="97"/>
  <c r="G317" i="97"/>
  <c r="G315" i="97"/>
  <c r="G309" i="97"/>
  <c r="E343" i="98"/>
  <c r="E335" i="98"/>
  <c r="E327" i="98"/>
  <c r="E319" i="98"/>
  <c r="D333" i="97"/>
  <c r="D331" i="97"/>
  <c r="D325" i="97"/>
  <c r="D323" i="97"/>
  <c r="D317" i="97"/>
  <c r="D315" i="97"/>
  <c r="D309" i="97"/>
  <c r="D307" i="97"/>
  <c r="H336" i="98"/>
  <c r="H320" i="98"/>
  <c r="E331" i="97"/>
  <c r="E323" i="97"/>
  <c r="E315" i="97"/>
  <c r="M307" i="97"/>
  <c r="H337" i="98"/>
  <c r="H321" i="98"/>
  <c r="K332" i="97"/>
  <c r="K324" i="97"/>
  <c r="K316" i="97"/>
  <c r="M308" i="97"/>
  <c r="B335" i="96"/>
  <c r="B332" i="96"/>
  <c r="B327" i="96"/>
  <c r="B324" i="96"/>
  <c r="B319" i="96"/>
  <c r="B316" i="96"/>
  <c r="B311" i="96"/>
  <c r="B308" i="96"/>
  <c r="B339" i="98"/>
  <c r="B331" i="97"/>
  <c r="B315" i="97"/>
  <c r="E335" i="96"/>
  <c r="J331" i="96"/>
  <c r="M324" i="96"/>
  <c r="E319" i="96"/>
  <c r="J315" i="96"/>
  <c r="B328" i="98"/>
  <c r="B327" i="97"/>
  <c r="B311" i="97"/>
  <c r="M333" i="96"/>
  <c r="E331" i="96"/>
  <c r="J324" i="96"/>
  <c r="M317" i="96"/>
  <c r="E315" i="96"/>
  <c r="J308" i="96"/>
  <c r="E318" i="95"/>
  <c r="G315" i="95"/>
  <c r="B342" i="95"/>
  <c r="B339" i="95"/>
  <c r="B334" i="95"/>
  <c r="B331" i="95"/>
  <c r="B326" i="95"/>
  <c r="B323" i="95"/>
  <c r="G343" i="96"/>
  <c r="K347" i="98"/>
  <c r="J320" i="98"/>
  <c r="J323" i="98"/>
  <c r="J328" i="98"/>
  <c r="J331" i="98"/>
  <c r="J336" i="98"/>
  <c r="J339" i="98"/>
  <c r="J344" i="98"/>
  <c r="J347" i="98"/>
  <c r="M320" i="98"/>
  <c r="M323" i="98"/>
  <c r="M328" i="98"/>
  <c r="M331" i="98"/>
  <c r="M336" i="98"/>
  <c r="M339" i="98"/>
  <c r="M344" i="98"/>
  <c r="M347" i="98"/>
  <c r="M343" i="96"/>
  <c r="J350" i="95"/>
  <c r="G355" i="98"/>
  <c r="M355" i="98"/>
  <c r="J355" i="98"/>
  <c r="G277" i="98"/>
  <c r="G275" i="98"/>
  <c r="D277" i="98"/>
  <c r="D275" i="98"/>
  <c r="D269" i="98"/>
  <c r="D267" i="98"/>
  <c r="D261" i="98"/>
  <c r="K276" i="98"/>
  <c r="H269" i="98"/>
  <c r="M263" i="98"/>
  <c r="E260" i="98"/>
  <c r="E255" i="98"/>
  <c r="E252" i="98"/>
  <c r="E277" i="98"/>
  <c r="M269" i="98"/>
  <c r="E267" i="98"/>
  <c r="H260" i="98"/>
  <c r="H255" i="98"/>
  <c r="H252" i="98"/>
  <c r="H279" i="98"/>
  <c r="B268" i="98"/>
  <c r="D259" i="98"/>
  <c r="D251" i="98"/>
  <c r="K268" i="98"/>
  <c r="J259" i="98"/>
  <c r="J251" i="98"/>
  <c r="G265" i="97"/>
  <c r="G263" i="97"/>
  <c r="G257" i="97"/>
  <c r="G255" i="97"/>
  <c r="G249" i="97"/>
  <c r="G247" i="97"/>
  <c r="G241" i="97"/>
  <c r="G239" i="97"/>
  <c r="B279" i="98"/>
  <c r="M255" i="98"/>
  <c r="E265" i="97"/>
  <c r="J259" i="97"/>
  <c r="B256" i="97"/>
  <c r="E249" i="97"/>
  <c r="J243" i="97"/>
  <c r="B240" i="97"/>
  <c r="G263" i="98"/>
  <c r="E267" i="97"/>
  <c r="J263" i="97"/>
  <c r="B257" i="97"/>
  <c r="E251" i="97"/>
  <c r="J247" i="97"/>
  <c r="B241" i="97"/>
  <c r="J267" i="96"/>
  <c r="E264" i="96"/>
  <c r="E259" i="96"/>
  <c r="E256" i="96"/>
  <c r="E251" i="96"/>
  <c r="E248" i="96"/>
  <c r="E243" i="96"/>
  <c r="E240" i="96"/>
  <c r="B250" i="95"/>
  <c r="D247" i="95"/>
  <c r="B274" i="95"/>
  <c r="B271" i="95"/>
  <c r="B266" i="95"/>
  <c r="B263" i="95"/>
  <c r="B258" i="95"/>
  <c r="B255" i="95"/>
  <c r="B267" i="98"/>
  <c r="H263" i="97"/>
  <c r="D251" i="97"/>
  <c r="K240" i="97"/>
  <c r="D265" i="96"/>
  <c r="H259" i="96"/>
  <c r="M255" i="96"/>
  <c r="D249" i="96"/>
  <c r="H243" i="96"/>
  <c r="M239" i="96"/>
  <c r="J248" i="95"/>
  <c r="M274" i="95"/>
  <c r="E271" i="95"/>
  <c r="J264" i="95"/>
  <c r="M258" i="95"/>
  <c r="E255" i="95"/>
  <c r="G251" i="98"/>
  <c r="H257" i="97"/>
  <c r="H243" i="97"/>
  <c r="G264" i="96"/>
  <c r="M256" i="96"/>
  <c r="G249" i="96"/>
  <c r="J241" i="96"/>
  <c r="K250" i="95"/>
  <c r="M279" i="98"/>
  <c r="M276" i="98"/>
  <c r="J279" i="98"/>
  <c r="J276" i="98"/>
  <c r="J271" i="98"/>
  <c r="J268" i="98"/>
  <c r="J263" i="98"/>
  <c r="J260" i="98"/>
  <c r="K275" i="98"/>
  <c r="M268" i="98"/>
  <c r="E263" i="98"/>
  <c r="K259" i="98"/>
  <c r="K253" i="98"/>
  <c r="K251" i="98"/>
  <c r="E276" i="98"/>
  <c r="E269" i="98"/>
  <c r="H263" i="98"/>
  <c r="B260" i="98"/>
  <c r="B255" i="98"/>
  <c r="B252" i="98"/>
  <c r="H276" i="98"/>
  <c r="K263" i="98"/>
  <c r="D255" i="98"/>
  <c r="H277" i="98"/>
  <c r="G267" i="98"/>
  <c r="J255" i="98"/>
  <c r="M267" i="97"/>
  <c r="M264" i="97"/>
  <c r="M259" i="97"/>
  <c r="M256" i="97"/>
  <c r="M251" i="97"/>
  <c r="M248" i="97"/>
  <c r="M243" i="97"/>
  <c r="M240" i="97"/>
  <c r="H267" i="96"/>
  <c r="G271" i="98"/>
  <c r="M252" i="98"/>
  <c r="J264" i="97"/>
  <c r="B259" i="97"/>
  <c r="E255" i="97"/>
  <c r="J248" i="97"/>
  <c r="B243" i="97"/>
  <c r="E239" i="97"/>
  <c r="M259" i="98"/>
  <c r="J265" i="97"/>
  <c r="B263" i="97"/>
  <c r="E256" i="97"/>
  <c r="J249" i="97"/>
  <c r="B247" i="97"/>
  <c r="E240" i="97"/>
  <c r="M265" i="96"/>
  <c r="K263" i="96"/>
  <c r="K257" i="96"/>
  <c r="K255" i="96"/>
  <c r="K249" i="96"/>
  <c r="K247" i="96"/>
  <c r="K241" i="96"/>
  <c r="K239" i="96"/>
  <c r="H248" i="95"/>
  <c r="K246" i="95"/>
  <c r="H272" i="95"/>
  <c r="H270" i="95"/>
  <c r="H264" i="95"/>
  <c r="H262" i="95"/>
  <c r="H256" i="95"/>
  <c r="H254" i="95"/>
  <c r="G255" i="98"/>
  <c r="D259" i="97"/>
  <c r="K248" i="97"/>
  <c r="H239" i="97"/>
  <c r="H264" i="96"/>
  <c r="M257" i="96"/>
  <c r="D255" i="96"/>
  <c r="H248" i="96"/>
  <c r="M241" i="96"/>
  <c r="D239" i="96"/>
  <c r="G247" i="95"/>
  <c r="E274" i="95"/>
  <c r="J270" i="95"/>
  <c r="M263" i="95"/>
  <c r="E258" i="95"/>
  <c r="J254" i="95"/>
  <c r="K267" i="97"/>
  <c r="K255" i="97"/>
  <c r="H240" i="97"/>
  <c r="M275" i="98"/>
  <c r="J275" i="98"/>
  <c r="J267" i="98"/>
  <c r="K277" i="98"/>
  <c r="H267" i="98"/>
  <c r="K255" i="98"/>
  <c r="E279" i="98"/>
  <c r="M267" i="98"/>
  <c r="B259" i="98"/>
  <c r="B251" i="98"/>
  <c r="D260" i="98"/>
  <c r="B271" i="98"/>
  <c r="J252" i="98"/>
  <c r="M263" i="97"/>
  <c r="M255" i="97"/>
  <c r="M247" i="97"/>
  <c r="M239" i="97"/>
  <c r="B261" i="98"/>
  <c r="E263" i="97"/>
  <c r="B251" i="97"/>
  <c r="J240" i="97"/>
  <c r="M251" i="98"/>
  <c r="J257" i="97"/>
  <c r="E248" i="97"/>
  <c r="B239" i="97"/>
  <c r="K259" i="96"/>
  <c r="K251" i="96"/>
  <c r="K243" i="96"/>
  <c r="H250" i="95"/>
  <c r="H274" i="95"/>
  <c r="H266" i="95"/>
  <c r="H258" i="95"/>
  <c r="B277" i="98"/>
  <c r="H255" i="97"/>
  <c r="D267" i="96"/>
  <c r="H256" i="96"/>
  <c r="D247" i="96"/>
  <c r="E250" i="95"/>
  <c r="M271" i="95"/>
  <c r="J262" i="95"/>
  <c r="G260" i="98"/>
  <c r="D248" i="97"/>
  <c r="J259" i="96"/>
  <c r="D251" i="96"/>
  <c r="M240" i="96"/>
  <c r="D248" i="95"/>
  <c r="G272" i="95"/>
  <c r="M264" i="95"/>
  <c r="G258" i="95"/>
  <c r="G259" i="98"/>
  <c r="H251" i="97"/>
  <c r="J265" i="96"/>
  <c r="J256" i="96"/>
  <c r="B248" i="96"/>
  <c r="G239" i="96"/>
  <c r="K274" i="95"/>
  <c r="D266" i="95"/>
  <c r="E256" i="95"/>
  <c r="G253" i="98"/>
  <c r="H249" i="97"/>
  <c r="B265" i="96"/>
  <c r="G256" i="96"/>
  <c r="J247" i="96"/>
  <c r="K248" i="95"/>
  <c r="D271" i="95"/>
  <c r="G262" i="95"/>
  <c r="G268" i="98"/>
  <c r="K257" i="97"/>
  <c r="D240" i="97"/>
  <c r="G259" i="96"/>
  <c r="J249" i="96"/>
  <c r="B241" i="96"/>
  <c r="K247" i="95"/>
  <c r="M270" i="95"/>
  <c r="D262" i="95"/>
  <c r="D257" i="97"/>
  <c r="D248" i="96"/>
  <c r="M272" i="95"/>
  <c r="J264" i="96"/>
  <c r="M262" i="95"/>
  <c r="H248" i="97"/>
  <c r="E247" i="95"/>
  <c r="K241" i="97"/>
  <c r="G250" i="95"/>
  <c r="G279" i="98"/>
  <c r="D279" i="98"/>
  <c r="D271" i="98"/>
  <c r="D263" i="98"/>
  <c r="M271" i="98"/>
  <c r="H261" i="98"/>
  <c r="E253" i="98"/>
  <c r="E275" i="98"/>
  <c r="M261" i="98"/>
  <c r="H253" i="98"/>
  <c r="K271" i="98"/>
  <c r="D253" i="98"/>
  <c r="B263" i="98"/>
  <c r="G267" i="97"/>
  <c r="G259" i="97"/>
  <c r="G251" i="97"/>
  <c r="G243" i="97"/>
  <c r="B267" i="96"/>
  <c r="J267" i="97"/>
  <c r="E257" i="97"/>
  <c r="B248" i="97"/>
  <c r="B276" i="98"/>
  <c r="B265" i="97"/>
  <c r="J255" i="97"/>
  <c r="E243" i="97"/>
  <c r="E265" i="96"/>
  <c r="E257" i="96"/>
  <c r="E249" i="96"/>
  <c r="E241" i="96"/>
  <c r="B248" i="95"/>
  <c r="B272" i="95"/>
  <c r="B264" i="95"/>
  <c r="B256" i="95"/>
  <c r="D267" i="97"/>
  <c r="H247" i="97"/>
  <c r="M263" i="96"/>
  <c r="H251" i="96"/>
  <c r="D241" i="96"/>
  <c r="M246" i="95"/>
  <c r="M266" i="95"/>
  <c r="J256" i="95"/>
  <c r="D265" i="97"/>
  <c r="G267" i="96"/>
  <c r="J257" i="96"/>
  <c r="G248" i="96"/>
  <c r="B240" i="96"/>
  <c r="H247" i="95"/>
  <c r="J271" i="95"/>
  <c r="D264" i="95"/>
  <c r="G256" i="95"/>
  <c r="H265" i="97"/>
  <c r="K247" i="97"/>
  <c r="D264" i="96"/>
  <c r="H255" i="96"/>
  <c r="M243" i="96"/>
  <c r="D250" i="95"/>
  <c r="K272" i="95"/>
  <c r="K263" i="95"/>
  <c r="D255" i="95"/>
  <c r="H264" i="97"/>
  <c r="D247" i="97"/>
  <c r="B264" i="96"/>
  <c r="G255" i="96"/>
  <c r="G243" i="96"/>
  <c r="M247" i="95"/>
  <c r="D270" i="95"/>
  <c r="D258" i="95"/>
  <c r="G252" i="98"/>
  <c r="D255" i="97"/>
  <c r="E267" i="96"/>
  <c r="G257" i="96"/>
  <c r="J248" i="96"/>
  <c r="J239" i="96"/>
  <c r="H246" i="95"/>
  <c r="J266" i="95"/>
  <c r="M256" i="95"/>
  <c r="K239" i="97"/>
  <c r="H239" i="96"/>
  <c r="E264" i="95"/>
  <c r="J255" i="96"/>
  <c r="E254" i="95"/>
  <c r="G263" i="96"/>
  <c r="G270" i="95"/>
  <c r="D259" i="96"/>
  <c r="G266" i="95"/>
  <c r="M277" i="98"/>
  <c r="J277" i="98"/>
  <c r="J269" i="98"/>
  <c r="J261" i="98"/>
  <c r="E271" i="98"/>
  <c r="M260" i="98"/>
  <c r="K252" i="98"/>
  <c r="H271" i="98"/>
  <c r="E261" i="98"/>
  <c r="B253" i="98"/>
  <c r="G269" i="98"/>
  <c r="D252" i="98"/>
  <c r="K260" i="98"/>
  <c r="M265" i="97"/>
  <c r="M257" i="97"/>
  <c r="M249" i="97"/>
  <c r="M241" i="97"/>
  <c r="H265" i="96"/>
  <c r="B267" i="97"/>
  <c r="J256" i="97"/>
  <c r="E247" i="97"/>
  <c r="B269" i="98"/>
  <c r="E264" i="97"/>
  <c r="B255" i="97"/>
  <c r="J241" i="97"/>
  <c r="K264" i="96"/>
  <c r="K256" i="96"/>
  <c r="K248" i="96"/>
  <c r="K240" i="96"/>
  <c r="J247" i="95"/>
  <c r="H271" i="95"/>
  <c r="H263" i="95"/>
  <c r="H255" i="95"/>
  <c r="K264" i="97"/>
  <c r="D243" i="97"/>
  <c r="D263" i="96"/>
  <c r="M249" i="96"/>
  <c r="H240" i="96"/>
  <c r="D246" i="95"/>
  <c r="E266" i="95"/>
  <c r="M255" i="95"/>
  <c r="D263" i="97"/>
  <c r="G265" i="96"/>
  <c r="B256" i="96"/>
  <c r="H247" i="96"/>
  <c r="B239" i="96"/>
  <c r="J246" i="95"/>
  <c r="K270" i="95"/>
  <c r="D263" i="95"/>
  <c r="J255" i="95"/>
  <c r="K259" i="97"/>
  <c r="H241" i="97"/>
  <c r="B263" i="96"/>
  <c r="G251" i="96"/>
  <c r="H241" i="96"/>
  <c r="B247" i="95"/>
  <c r="G271" i="95"/>
  <c r="K262" i="95"/>
  <c r="D254" i="95"/>
  <c r="H259" i="97"/>
  <c r="D241" i="97"/>
  <c r="M259" i="96"/>
  <c r="B251" i="96"/>
  <c r="G241" i="96"/>
  <c r="J274" i="95"/>
  <c r="K264" i="95"/>
  <c r="D256" i="95"/>
  <c r="H267" i="97"/>
  <c r="D249" i="97"/>
  <c r="M264" i="96"/>
  <c r="D256" i="96"/>
  <c r="G247" i="96"/>
  <c r="J250" i="95"/>
  <c r="D274" i="95"/>
  <c r="G264" i="95"/>
  <c r="K255" i="95"/>
  <c r="K265" i="96"/>
  <c r="E248" i="95"/>
  <c r="G255" i="95"/>
  <c r="B247" i="96"/>
  <c r="K261" i="98"/>
  <c r="J251" i="96"/>
  <c r="K258" i="95"/>
  <c r="H249" i="96"/>
  <c r="K256" i="95"/>
  <c r="G276" i="98"/>
  <c r="D276" i="98"/>
  <c r="D268" i="98"/>
  <c r="K279" i="98"/>
  <c r="E268" i="98"/>
  <c r="E259" i="98"/>
  <c r="E251" i="98"/>
  <c r="H268" i="98"/>
  <c r="H259" i="98"/>
  <c r="H251" i="98"/>
  <c r="G261" i="98"/>
  <c r="P261" i="98" s="1"/>
  <c r="H275" i="98"/>
  <c r="J253" i="98"/>
  <c r="G264" i="97"/>
  <c r="G256" i="97"/>
  <c r="P256" i="97" s="1"/>
  <c r="G248" i="97"/>
  <c r="G240" i="97"/>
  <c r="K267" i="98"/>
  <c r="B264" i="97"/>
  <c r="J251" i="97"/>
  <c r="E241" i="97"/>
  <c r="M253" i="98"/>
  <c r="E259" i="97"/>
  <c r="B249" i="97"/>
  <c r="J239" i="97"/>
  <c r="E263" i="96"/>
  <c r="E255" i="96"/>
  <c r="E247" i="96"/>
  <c r="E239" i="96"/>
  <c r="E246" i="95"/>
  <c r="B270" i="95"/>
  <c r="B262" i="95"/>
  <c r="B254" i="95"/>
  <c r="K256" i="97"/>
  <c r="M267" i="96"/>
  <c r="D257" i="96"/>
  <c r="M247" i="96"/>
  <c r="M250" i="95"/>
  <c r="J272" i="95"/>
  <c r="E263" i="95"/>
  <c r="B275" i="98"/>
  <c r="K249" i="97"/>
  <c r="H263" i="96"/>
  <c r="B255" i="96"/>
  <c r="J243" i="96"/>
  <c r="M248" i="95"/>
  <c r="G274" i="95"/>
  <c r="K266" i="95"/>
  <c r="E262" i="95"/>
  <c r="K254" i="95"/>
  <c r="H256" i="97"/>
  <c r="D239" i="97"/>
  <c r="B259" i="96"/>
  <c r="B249" i="96"/>
  <c r="G240" i="96"/>
  <c r="B246" i="95"/>
  <c r="E270" i="95"/>
  <c r="J258" i="95"/>
  <c r="K269" i="98"/>
  <c r="D256" i="97"/>
  <c r="K267" i="96"/>
  <c r="H257" i="96"/>
  <c r="M248" i="96"/>
  <c r="D240" i="96"/>
  <c r="E272" i="95"/>
  <c r="J263" i="95"/>
  <c r="M254" i="95"/>
  <c r="D264" i="97"/>
  <c r="K243" i="97"/>
  <c r="J263" i="96"/>
  <c r="M251" i="96"/>
  <c r="D243" i="96"/>
  <c r="G248" i="95"/>
  <c r="D272" i="95"/>
  <c r="G263" i="95"/>
  <c r="G254" i="95"/>
  <c r="B257" i="96"/>
  <c r="G246" i="95"/>
  <c r="K251" i="97"/>
  <c r="K271" i="95"/>
  <c r="K265" i="97"/>
  <c r="B243" i="96"/>
  <c r="K263" i="97"/>
  <c r="J240" i="96"/>
  <c r="G311" i="98"/>
  <c r="G309" i="98"/>
  <c r="G303" i="98"/>
  <c r="G301" i="98"/>
  <c r="G295" i="98"/>
  <c r="G293" i="98"/>
  <c r="G287" i="98"/>
  <c r="G285" i="98"/>
  <c r="D311" i="98"/>
  <c r="D309" i="98"/>
  <c r="D303" i="98"/>
  <c r="D301" i="98"/>
  <c r="D295" i="98"/>
  <c r="D293" i="98"/>
  <c r="D287" i="98"/>
  <c r="D285" i="98"/>
  <c r="K309" i="98"/>
  <c r="K301" i="98"/>
  <c r="K293" i="98"/>
  <c r="K285" i="98"/>
  <c r="E309" i="98"/>
  <c r="E301" i="98"/>
  <c r="E293" i="98"/>
  <c r="E285" i="98"/>
  <c r="D299" i="97"/>
  <c r="D297" i="97"/>
  <c r="D291" i="97"/>
  <c r="D289" i="97"/>
  <c r="D283" i="97"/>
  <c r="D281" i="97"/>
  <c r="H302" i="98"/>
  <c r="H286" i="98"/>
  <c r="H298" i="97"/>
  <c r="M291" i="97"/>
  <c r="E289" i="97"/>
  <c r="H282" i="97"/>
  <c r="D277" i="97"/>
  <c r="H309" i="98"/>
  <c r="H293" i="98"/>
  <c r="E301" i="97"/>
  <c r="H297" i="97"/>
  <c r="M290" i="97"/>
  <c r="E285" i="97"/>
  <c r="H281" i="97"/>
  <c r="G275" i="97"/>
  <c r="G273" i="97"/>
  <c r="B299" i="96"/>
  <c r="B297" i="96"/>
  <c r="B291" i="96"/>
  <c r="B289" i="96"/>
  <c r="B283" i="96"/>
  <c r="B281" i="96"/>
  <c r="B275" i="96"/>
  <c r="B273" i="96"/>
  <c r="B289" i="98"/>
  <c r="G293" i="97"/>
  <c r="B283" i="97"/>
  <c r="J274" i="97"/>
  <c r="B302" i="98"/>
  <c r="G298" i="97"/>
  <c r="B289" i="97"/>
  <c r="B277" i="97"/>
  <c r="B273" i="97"/>
  <c r="J298" i="96"/>
  <c r="M291" i="96"/>
  <c r="E289" i="96"/>
  <c r="J282" i="96"/>
  <c r="M275" i="96"/>
  <c r="E273" i="96"/>
  <c r="D282" i="95"/>
  <c r="G280" i="95"/>
  <c r="B306" i="95"/>
  <c r="B304" i="95"/>
  <c r="B298" i="95"/>
  <c r="B296" i="95"/>
  <c r="B290" i="95"/>
  <c r="B288" i="95"/>
  <c r="K293" i="97"/>
  <c r="K274" i="97"/>
  <c r="D299" i="96"/>
  <c r="J291" i="96"/>
  <c r="D285" i="96"/>
  <c r="G277" i="96"/>
  <c r="G284" i="95"/>
  <c r="E280" i="95"/>
  <c r="M305" i="95"/>
  <c r="E300" i="95"/>
  <c r="J296" i="95"/>
  <c r="M289" i="95"/>
  <c r="B301" i="97"/>
  <c r="H274" i="97"/>
  <c r="E293" i="96"/>
  <c r="J283" i="96"/>
  <c r="M274" i="96"/>
  <c r="M281" i="95"/>
  <c r="M306" i="95"/>
  <c r="G300" i="95"/>
  <c r="K292" i="95"/>
  <c r="E288" i="95"/>
  <c r="G289" i="97"/>
  <c r="G299" i="96"/>
  <c r="D289" i="96"/>
  <c r="G274" i="96"/>
  <c r="J308" i="95"/>
  <c r="M298" i="95"/>
  <c r="E290" i="95"/>
  <c r="B285" i="97"/>
  <c r="M298" i="96"/>
  <c r="G285" i="96"/>
  <c r="E274" i="96"/>
  <c r="K280" i="95"/>
  <c r="K300" i="95"/>
  <c r="D292" i="95"/>
  <c r="K301" i="97"/>
  <c r="E301" i="96"/>
  <c r="J289" i="96"/>
  <c r="G275" i="96"/>
  <c r="G281" i="95"/>
  <c r="K304" i="95"/>
  <c r="D296" i="95"/>
  <c r="B282" i="97"/>
  <c r="G304" i="95"/>
  <c r="M290" i="96"/>
  <c r="D300" i="95"/>
  <c r="G289" i="96"/>
  <c r="G289" i="95"/>
  <c r="G273" i="96"/>
  <c r="D288" i="95"/>
  <c r="H164" i="98"/>
  <c r="H154" i="98"/>
  <c r="M172" i="98"/>
  <c r="M169" i="98"/>
  <c r="M164" i="98"/>
  <c r="M161" i="98"/>
  <c r="M156" i="98"/>
  <c r="M153" i="98"/>
  <c r="M148" i="98"/>
  <c r="M145" i="98"/>
  <c r="B172" i="98"/>
  <c r="B156" i="98"/>
  <c r="B146" i="98"/>
  <c r="E170" i="98"/>
  <c r="E162" i="98"/>
  <c r="E152" i="98"/>
  <c r="K152" i="98"/>
  <c r="D172" i="98"/>
  <c r="D169" i="98"/>
  <c r="D164" i="98"/>
  <c r="D161" i="98"/>
  <c r="D156" i="98"/>
  <c r="D153" i="98"/>
  <c r="D148" i="98"/>
  <c r="D145" i="98"/>
  <c r="B168" i="98"/>
  <c r="H152" i="98"/>
  <c r="H144" i="98"/>
  <c r="K168" i="98"/>
  <c r="K160" i="98"/>
  <c r="E145" i="98"/>
  <c r="K145" i="98"/>
  <c r="D136" i="98"/>
  <c r="D134" i="98"/>
  <c r="D128" i="98"/>
  <c r="D126" i="98"/>
  <c r="D120" i="98"/>
  <c r="D118" i="98"/>
  <c r="D112" i="98"/>
  <c r="D110" i="98"/>
  <c r="B134" i="98"/>
  <c r="B126" i="98"/>
  <c r="B118" i="98"/>
  <c r="B110" i="98"/>
  <c r="E126" i="98"/>
  <c r="E110" i="98"/>
  <c r="K126" i="98"/>
  <c r="K110" i="98"/>
  <c r="G136" i="98"/>
  <c r="G134" i="98"/>
  <c r="G128" i="98"/>
  <c r="G126" i="98"/>
  <c r="G120" i="98"/>
  <c r="G118" i="98"/>
  <c r="G112" i="98"/>
  <c r="G110" i="98"/>
  <c r="H134" i="98"/>
  <c r="H126" i="98"/>
  <c r="H118" i="98"/>
  <c r="H110" i="98"/>
  <c r="E127" i="98"/>
  <c r="E111" i="98"/>
  <c r="K127" i="98"/>
  <c r="K111" i="98"/>
  <c r="D104" i="98"/>
  <c r="D102" i="98"/>
  <c r="D100" i="98"/>
  <c r="D97" i="98"/>
  <c r="D95" i="98"/>
  <c r="D93" i="98"/>
  <c r="D91" i="98"/>
  <c r="D87" i="98"/>
  <c r="D85" i="98"/>
  <c r="B103" i="98"/>
  <c r="B99" i="98"/>
  <c r="B94" i="98"/>
  <c r="B89" i="98"/>
  <c r="B84" i="98"/>
  <c r="B82" i="98"/>
  <c r="B80" i="98"/>
  <c r="B77" i="98"/>
  <c r="B74" i="98"/>
  <c r="B72" i="98"/>
  <c r="B70" i="98"/>
  <c r="B68" i="98"/>
  <c r="E101" i="98"/>
  <c r="E92" i="98"/>
  <c r="D83" i="98"/>
  <c r="D79" i="98"/>
  <c r="D73" i="98"/>
  <c r="D69" i="98"/>
  <c r="K101" i="98"/>
  <c r="K92" i="98"/>
  <c r="G83" i="98"/>
  <c r="G79" i="98"/>
  <c r="G73" i="98"/>
  <c r="G69" i="98"/>
  <c r="B63" i="98"/>
  <c r="K65" i="98"/>
  <c r="G106" i="98"/>
  <c r="M103" i="98"/>
  <c r="M101" i="98"/>
  <c r="M99" i="98"/>
  <c r="M96" i="98"/>
  <c r="M94" i="98"/>
  <c r="M92" i="98"/>
  <c r="M89" i="98"/>
  <c r="M86" i="98"/>
  <c r="M84" i="98"/>
  <c r="H102" i="98"/>
  <c r="H97" i="98"/>
  <c r="H93" i="98"/>
  <c r="H87" i="98"/>
  <c r="K83" i="98"/>
  <c r="K81" i="98"/>
  <c r="K79" i="98"/>
  <c r="K75" i="98"/>
  <c r="K73" i="98"/>
  <c r="K71" i="98"/>
  <c r="K69" i="98"/>
  <c r="K67" i="98"/>
  <c r="E100" i="98"/>
  <c r="E91" i="98"/>
  <c r="J82" i="98"/>
  <c r="J77" i="98"/>
  <c r="J72" i="98"/>
  <c r="J68" i="98"/>
  <c r="K100" i="98"/>
  <c r="K91" i="98"/>
  <c r="M82" i="98"/>
  <c r="M77" i="98"/>
  <c r="M72" i="98"/>
  <c r="M68" i="98"/>
  <c r="H63" i="98"/>
  <c r="J65" i="98"/>
  <c r="B106" i="98"/>
  <c r="M313" i="98"/>
  <c r="M310" i="98"/>
  <c r="M305" i="98"/>
  <c r="M302" i="98"/>
  <c r="M297" i="98"/>
  <c r="M294" i="98"/>
  <c r="M289" i="98"/>
  <c r="M286" i="98"/>
  <c r="J313" i="98"/>
  <c r="J310" i="98"/>
  <c r="J305" i="98"/>
  <c r="J302" i="98"/>
  <c r="J297" i="98"/>
  <c r="J294" i="98"/>
  <c r="J289" i="98"/>
  <c r="J286" i="98"/>
  <c r="K313" i="98"/>
  <c r="K305" i="98"/>
  <c r="K297" i="98"/>
  <c r="K289" i="98"/>
  <c r="E313" i="98"/>
  <c r="E305" i="98"/>
  <c r="E297" i="98"/>
  <c r="E289" i="98"/>
  <c r="J301" i="97"/>
  <c r="J298" i="97"/>
  <c r="J293" i="97"/>
  <c r="J290" i="97"/>
  <c r="J285" i="97"/>
  <c r="J282" i="97"/>
  <c r="H313" i="98"/>
  <c r="H297" i="98"/>
  <c r="H301" i="97"/>
  <c r="M297" i="97"/>
  <c r="E291" i="97"/>
  <c r="H285" i="97"/>
  <c r="M281" i="97"/>
  <c r="J275" i="97"/>
  <c r="H303" i="98"/>
  <c r="H287" i="98"/>
  <c r="H299" i="97"/>
  <c r="M293" i="97"/>
  <c r="E290" i="97"/>
  <c r="H283" i="97"/>
  <c r="M277" i="97"/>
  <c r="M274" i="97"/>
  <c r="H301" i="96"/>
  <c r="H298" i="96"/>
  <c r="H293" i="96"/>
  <c r="H290" i="96"/>
  <c r="H285" i="96"/>
  <c r="H282" i="96"/>
  <c r="H277" i="96"/>
  <c r="H274" i="96"/>
  <c r="B313" i="98"/>
  <c r="G301" i="97"/>
  <c r="B291" i="97"/>
  <c r="K281" i="97"/>
  <c r="B274" i="97"/>
  <c r="B294" i="98"/>
  <c r="B297" i="97"/>
  <c r="K283" i="97"/>
  <c r="B275" i="97"/>
  <c r="J301" i="96"/>
  <c r="M297" i="96"/>
  <c r="E291" i="96"/>
  <c r="J285" i="96"/>
  <c r="M281" i="96"/>
  <c r="E275" i="96"/>
  <c r="J284" i="95"/>
  <c r="K281" i="95"/>
  <c r="H308" i="95"/>
  <c r="H305" i="95"/>
  <c r="H300" i="95"/>
  <c r="H297" i="95"/>
  <c r="H292" i="95"/>
  <c r="H289" i="95"/>
  <c r="B311" i="98"/>
  <c r="B290" i="97"/>
  <c r="H273" i="97"/>
  <c r="E298" i="96"/>
  <c r="K290" i="96"/>
  <c r="D283" i="96"/>
  <c r="J275" i="96"/>
  <c r="K282" i="95"/>
  <c r="M308" i="95"/>
  <c r="E305" i="95"/>
  <c r="J298" i="95"/>
  <c r="M292" i="95"/>
  <c r="E289" i="95"/>
  <c r="B293" i="97"/>
  <c r="K299" i="96"/>
  <c r="D291" i="96"/>
  <c r="G282" i="96"/>
  <c r="J273" i="96"/>
  <c r="B281" i="95"/>
  <c r="D306" i="95"/>
  <c r="G298" i="95"/>
  <c r="M290" i="95"/>
  <c r="B309" i="98"/>
  <c r="E277" i="97"/>
  <c r="K297" i="96"/>
  <c r="G283" i="96"/>
  <c r="D273" i="96"/>
  <c r="G306" i="95"/>
  <c r="K297" i="95"/>
  <c r="M288" i="95"/>
  <c r="K275" i="97"/>
  <c r="D297" i="96"/>
  <c r="M282" i="96"/>
  <c r="M284" i="95"/>
  <c r="G308" i="95"/>
  <c r="K298" i="95"/>
  <c r="K289" i="95"/>
  <c r="G291" i="97"/>
  <c r="G298" i="96"/>
  <c r="E285" i="96"/>
  <c r="D274" i="96"/>
  <c r="J280" i="95"/>
  <c r="J300" i="95"/>
  <c r="K290" i="95"/>
  <c r="K293" i="96"/>
  <c r="J292" i="95"/>
  <c r="K277" i="96"/>
  <c r="G290" i="95"/>
  <c r="D275" i="96"/>
  <c r="K290" i="97"/>
  <c r="D281" i="95"/>
  <c r="H172" i="98"/>
  <c r="H162" i="98"/>
  <c r="H153" i="98"/>
  <c r="G172" i="98"/>
  <c r="G169" i="98"/>
  <c r="G164" i="98"/>
  <c r="G161" i="98"/>
  <c r="G156" i="98"/>
  <c r="G153" i="98"/>
  <c r="G148" i="98"/>
  <c r="G145" i="98"/>
  <c r="B169" i="98"/>
  <c r="B153" i="98"/>
  <c r="B145" i="98"/>
  <c r="E169" i="98"/>
  <c r="E161" i="98"/>
  <c r="E146" i="98"/>
  <c r="K146" i="98"/>
  <c r="J170" i="98"/>
  <c r="J168" i="98"/>
  <c r="J162" i="98"/>
  <c r="J160" i="98"/>
  <c r="J154" i="98"/>
  <c r="J152" i="98"/>
  <c r="J146" i="98"/>
  <c r="J144" i="98"/>
  <c r="B162" i="98"/>
  <c r="H148" i="98"/>
  <c r="K172" i="98"/>
  <c r="K164" i="98"/>
  <c r="E156" i="98"/>
  <c r="K156" i="98"/>
  <c r="J138" i="98"/>
  <c r="J135" i="98"/>
  <c r="J130" i="98"/>
  <c r="G313" i="98"/>
  <c r="G310" i="98"/>
  <c r="G305" i="98"/>
  <c r="G302" i="98"/>
  <c r="G297" i="98"/>
  <c r="G294" i="98"/>
  <c r="G289" i="98"/>
  <c r="G286" i="98"/>
  <c r="D313" i="98"/>
  <c r="D310" i="98"/>
  <c r="D305" i="98"/>
  <c r="D302" i="98"/>
  <c r="D297" i="98"/>
  <c r="D294" i="98"/>
  <c r="D289" i="98"/>
  <c r="D286" i="98"/>
  <c r="K311" i="98"/>
  <c r="K303" i="98"/>
  <c r="K295" i="98"/>
  <c r="K287" i="98"/>
  <c r="E311" i="98"/>
  <c r="E303" i="98"/>
  <c r="E295" i="98"/>
  <c r="E287" i="98"/>
  <c r="D301" i="97"/>
  <c r="D298" i="97"/>
  <c r="D293" i="97"/>
  <c r="D290" i="97"/>
  <c r="D285" i="97"/>
  <c r="D282" i="97"/>
  <c r="H310" i="98"/>
  <c r="H294" i="98"/>
  <c r="M299" i="97"/>
  <c r="E297" i="97"/>
  <c r="H290" i="97"/>
  <c r="M283" i="97"/>
  <c r="E281" i="97"/>
  <c r="D275" i="97"/>
  <c r="H301" i="98"/>
  <c r="H285" i="98"/>
  <c r="M298" i="97"/>
  <c r="E293" i="97"/>
  <c r="H289" i="97"/>
  <c r="M282" i="97"/>
  <c r="G277" i="97"/>
  <c r="G274" i="97"/>
  <c r="B301" i="96"/>
  <c r="B298" i="96"/>
  <c r="B293" i="96"/>
  <c r="B290" i="96"/>
  <c r="B285" i="96"/>
  <c r="B282" i="96"/>
  <c r="B277" i="96"/>
  <c r="B274" i="96"/>
  <c r="B305" i="98"/>
  <c r="B299" i="97"/>
  <c r="K289" i="97"/>
  <c r="H277" i="97"/>
  <c r="E273" i="97"/>
  <c r="B286" i="98"/>
  <c r="K291" i="97"/>
  <c r="G282" i="97"/>
  <c r="E274" i="97"/>
  <c r="M299" i="96"/>
  <c r="E297" i="96"/>
  <c r="J290" i="96"/>
  <c r="M283" i="96"/>
  <c r="E281" i="96"/>
  <c r="J274" i="96"/>
  <c r="D284" i="95"/>
  <c r="E281" i="95"/>
  <c r="B308" i="95"/>
  <c r="B305" i="95"/>
  <c r="B300" i="95"/>
  <c r="B297" i="95"/>
  <c r="B292" i="95"/>
  <c r="B289" i="95"/>
  <c r="B295" i="98"/>
  <c r="G283" i="97"/>
  <c r="M301" i="96"/>
  <c r="G297" i="96"/>
  <c r="K289" i="96"/>
  <c r="E282" i="96"/>
  <c r="K274" i="96"/>
  <c r="B282" i="95"/>
  <c r="E308" i="95"/>
  <c r="J304" i="95"/>
  <c r="M297" i="95"/>
  <c r="E292" i="95"/>
  <c r="J288" i="95"/>
  <c r="K285" i="97"/>
  <c r="K298" i="96"/>
  <c r="D290" i="96"/>
  <c r="D281" i="96"/>
  <c r="H284" i="95"/>
  <c r="H280" i="95"/>
  <c r="D305" i="95"/>
  <c r="J297" i="95"/>
  <c r="D290" i="95"/>
  <c r="B285" i="98"/>
  <c r="K273" i="97"/>
  <c r="D293" i="96"/>
  <c r="K281" i="96"/>
  <c r="B284" i="95"/>
  <c r="G305" i="95"/>
  <c r="G296" i="95"/>
  <c r="B303" i="98"/>
  <c r="D273" i="97"/>
  <c r="K291" i="96"/>
  <c r="J281" i="96"/>
  <c r="M282" i="95"/>
  <c r="E306" i="95"/>
  <c r="G297" i="95"/>
  <c r="K288" i="95"/>
  <c r="K282" i="97"/>
  <c r="M293" i="96"/>
  <c r="K282" i="96"/>
  <c r="K284" i="95"/>
  <c r="D308" i="95"/>
  <c r="E298" i="95"/>
  <c r="J289" i="95"/>
  <c r="D282" i="96"/>
  <c r="B287" i="98"/>
  <c r="E282" i="95"/>
  <c r="K298" i="97"/>
  <c r="K306" i="95"/>
  <c r="D298" i="96"/>
  <c r="J305" i="95"/>
  <c r="H170" i="98"/>
  <c r="H160" i="98"/>
  <c r="H161" i="98"/>
  <c r="M170" i="98"/>
  <c r="M168" i="98"/>
  <c r="M162" i="98"/>
  <c r="M160" i="98"/>
  <c r="M154" i="98"/>
  <c r="M152" i="98"/>
  <c r="M146" i="98"/>
  <c r="M144" i="98"/>
  <c r="B164" i="98"/>
  <c r="B152" i="98"/>
  <c r="B144" i="98"/>
  <c r="E168" i="98"/>
  <c r="E160" i="98"/>
  <c r="E144" i="98"/>
  <c r="K144" i="98"/>
  <c r="D170" i="98"/>
  <c r="D168" i="98"/>
  <c r="D162" i="98"/>
  <c r="D160" i="98"/>
  <c r="D154" i="98"/>
  <c r="D152" i="98"/>
  <c r="D146" i="98"/>
  <c r="D144" i="98"/>
  <c r="B160" i="98"/>
  <c r="H146" i="98"/>
  <c r="K170" i="98"/>
  <c r="K162" i="98"/>
  <c r="E153" i="98"/>
  <c r="K153" i="98"/>
  <c r="D138" i="98"/>
  <c r="D135" i="98"/>
  <c r="D130" i="98"/>
  <c r="D127" i="98"/>
  <c r="D122" i="98"/>
  <c r="D119" i="98"/>
  <c r="D114" i="98"/>
  <c r="D111" i="98"/>
  <c r="B136" i="98"/>
  <c r="B128" i="98"/>
  <c r="B120" i="98"/>
  <c r="B112" i="98"/>
  <c r="E134" i="98"/>
  <c r="E118" i="98"/>
  <c r="K134" i="98"/>
  <c r="K118" i="98"/>
  <c r="G138" i="98"/>
  <c r="G135" i="98"/>
  <c r="G130" i="98"/>
  <c r="G127" i="98"/>
  <c r="G122" i="98"/>
  <c r="G119" i="98"/>
  <c r="G114" i="98"/>
  <c r="G111" i="98"/>
  <c r="H136" i="98"/>
  <c r="H128" i="98"/>
  <c r="H120" i="98"/>
  <c r="H112" i="98"/>
  <c r="E135" i="98"/>
  <c r="E119" i="98"/>
  <c r="K135" i="98"/>
  <c r="K119" i="98"/>
  <c r="E106" i="98"/>
  <c r="D103" i="98"/>
  <c r="D101" i="98"/>
  <c r="D99" i="98"/>
  <c r="D96" i="98"/>
  <c r="D94" i="98"/>
  <c r="D92" i="98"/>
  <c r="D89" i="98"/>
  <c r="D86" i="98"/>
  <c r="D84" i="98"/>
  <c r="B101" i="98"/>
  <c r="B96" i="98"/>
  <c r="B92" i="98"/>
  <c r="B86" i="98"/>
  <c r="B83" i="98"/>
  <c r="B81" i="98"/>
  <c r="B79" i="98"/>
  <c r="B75" i="98"/>
  <c r="B73" i="98"/>
  <c r="B71" i="98"/>
  <c r="B69" i="98"/>
  <c r="B67" i="98"/>
  <c r="E96" i="98"/>
  <c r="E86" i="98"/>
  <c r="D81" i="98"/>
  <c r="D75" i="98"/>
  <c r="D71" i="98"/>
  <c r="D67" i="98"/>
  <c r="K96" i="98"/>
  <c r="K86" i="98"/>
  <c r="G81" i="98"/>
  <c r="G75" i="98"/>
  <c r="G71" i="98"/>
  <c r="G67" i="98"/>
  <c r="M63" i="98"/>
  <c r="E65" i="98"/>
  <c r="M104" i="98"/>
  <c r="M102" i="98"/>
  <c r="M100" i="98"/>
  <c r="M97" i="98"/>
  <c r="M95" i="98"/>
  <c r="M93" i="98"/>
  <c r="M91" i="98"/>
  <c r="M87" i="98"/>
  <c r="M85" i="98"/>
  <c r="H104" i="98"/>
  <c r="H100" i="98"/>
  <c r="H95" i="98"/>
  <c r="H91" i="98"/>
  <c r="H85" i="98"/>
  <c r="K82" i="98"/>
  <c r="K80" i="98"/>
  <c r="K77" i="98"/>
  <c r="K74" i="98"/>
  <c r="K72" i="98"/>
  <c r="K70" i="98"/>
  <c r="K68" i="98"/>
  <c r="E104" i="98"/>
  <c r="E95" i="98"/>
  <c r="E85" i="98"/>
  <c r="J80" i="98"/>
  <c r="J74" i="98"/>
  <c r="J70" i="98"/>
  <c r="K104" i="98"/>
  <c r="K95" i="98"/>
  <c r="K85" i="98"/>
  <c r="M80" i="98"/>
  <c r="M74" i="98"/>
  <c r="M70" i="98"/>
  <c r="E63" i="98"/>
  <c r="M65" i="98"/>
  <c r="D106" i="98"/>
  <c r="M311" i="98"/>
  <c r="M309" i="98"/>
  <c r="M303" i="98"/>
  <c r="M301" i="98"/>
  <c r="M295" i="98"/>
  <c r="M293" i="98"/>
  <c r="M287" i="98"/>
  <c r="M285" i="98"/>
  <c r="J311" i="98"/>
  <c r="J309" i="98"/>
  <c r="J303" i="98"/>
  <c r="J301" i="98"/>
  <c r="J295" i="98"/>
  <c r="J293" i="98"/>
  <c r="J287" i="98"/>
  <c r="J285" i="98"/>
  <c r="K310" i="98"/>
  <c r="K302" i="98"/>
  <c r="K294" i="98"/>
  <c r="K286" i="98"/>
  <c r="E310" i="98"/>
  <c r="E302" i="98"/>
  <c r="E294" i="98"/>
  <c r="E286" i="98"/>
  <c r="J299" i="97"/>
  <c r="J297" i="97"/>
  <c r="J291" i="97"/>
  <c r="J289" i="97"/>
  <c r="J283" i="97"/>
  <c r="J281" i="97"/>
  <c r="H305" i="98"/>
  <c r="H289" i="98"/>
  <c r="E299" i="97"/>
  <c r="H293" i="97"/>
  <c r="M289" i="97"/>
  <c r="E283" i="97"/>
  <c r="J277" i="97"/>
  <c r="H311" i="98"/>
  <c r="H295" i="98"/>
  <c r="M301" i="97"/>
  <c r="E298" i="97"/>
  <c r="H291" i="97"/>
  <c r="M285" i="97"/>
  <c r="E282" i="97"/>
  <c r="M275" i="97"/>
  <c r="M273" i="97"/>
  <c r="H299" i="96"/>
  <c r="H297" i="96"/>
  <c r="H291" i="96"/>
  <c r="H289" i="96"/>
  <c r="H283" i="96"/>
  <c r="H281" i="96"/>
  <c r="H275" i="96"/>
  <c r="H273" i="96"/>
  <c r="B297" i="98"/>
  <c r="K297" i="97"/>
  <c r="G285" i="97"/>
  <c r="H275" i="97"/>
  <c r="B310" i="98"/>
  <c r="K299" i="97"/>
  <c r="G290" i="97"/>
  <c r="B281" i="97"/>
  <c r="J273" i="97"/>
  <c r="E299" i="96"/>
  <c r="J293" i="96"/>
  <c r="M289" i="96"/>
  <c r="E283" i="96"/>
  <c r="J277" i="96"/>
  <c r="M273" i="96"/>
  <c r="J282" i="95"/>
  <c r="M280" i="95"/>
  <c r="H306" i="95"/>
  <c r="H304" i="95"/>
  <c r="H298" i="95"/>
  <c r="H296" i="95"/>
  <c r="H290" i="95"/>
  <c r="H288" i="95"/>
  <c r="G299" i="97"/>
  <c r="K277" i="97"/>
  <c r="D301" i="96"/>
  <c r="G293" i="96"/>
  <c r="M285" i="96"/>
  <c r="G281" i="96"/>
  <c r="K273" i="96"/>
  <c r="H281" i="95"/>
  <c r="J306" i="95"/>
  <c r="M300" i="95"/>
  <c r="E297" i="95"/>
  <c r="J290" i="95"/>
  <c r="B301" i="98"/>
  <c r="G281" i="97"/>
  <c r="J297" i="96"/>
  <c r="K285" i="96"/>
  <c r="D277" i="96"/>
  <c r="H282" i="95"/>
  <c r="K308" i="95"/>
  <c r="E304" i="95"/>
  <c r="K296" i="95"/>
  <c r="D289" i="95"/>
  <c r="B298" i="97"/>
  <c r="K301" i="96"/>
  <c r="G290" i="96"/>
  <c r="E277" i="96"/>
  <c r="B280" i="95"/>
  <c r="D304" i="95"/>
  <c r="G292" i="95"/>
  <c r="G297" i="97"/>
  <c r="G301" i="96"/>
  <c r="E290" i="96"/>
  <c r="K275" i="96"/>
  <c r="J281" i="95"/>
  <c r="M304" i="95"/>
  <c r="E296" i="95"/>
  <c r="B293" i="98"/>
  <c r="E275" i="97"/>
  <c r="G291" i="96"/>
  <c r="M277" i="96"/>
  <c r="G282" i="95"/>
  <c r="K305" i="95"/>
  <c r="D297" i="95"/>
  <c r="G288" i="95"/>
  <c r="E284" i="95"/>
  <c r="D274" i="97"/>
  <c r="D280" i="95"/>
  <c r="J299" i="96"/>
  <c r="D298" i="95"/>
  <c r="K283" i="96"/>
  <c r="M296" i="95"/>
  <c r="H168" i="98"/>
  <c r="H156" i="98"/>
  <c r="H169" i="98"/>
  <c r="G170" i="98"/>
  <c r="P170" i="98" s="1"/>
  <c r="G168" i="98"/>
  <c r="P168" i="98" s="1"/>
  <c r="G162" i="98"/>
  <c r="G160" i="98"/>
  <c r="G154" i="98"/>
  <c r="P154" i="98" s="1"/>
  <c r="G152" i="98"/>
  <c r="P152" i="98" s="1"/>
  <c r="G146" i="98"/>
  <c r="G144" i="98"/>
  <c r="B161" i="98"/>
  <c r="B148" i="98"/>
  <c r="E172" i="98"/>
  <c r="E164" i="98"/>
  <c r="E154" i="98"/>
  <c r="K154" i="98"/>
  <c r="J172" i="98"/>
  <c r="J169" i="98"/>
  <c r="J164" i="98"/>
  <c r="J161" i="98"/>
  <c r="J156" i="98"/>
  <c r="J153" i="98"/>
  <c r="J148" i="98"/>
  <c r="J145" i="98"/>
  <c r="B170" i="98"/>
  <c r="B154" i="98"/>
  <c r="H145" i="98"/>
  <c r="K169" i="98"/>
  <c r="K161" i="98"/>
  <c r="E148" i="98"/>
  <c r="K148" i="98"/>
  <c r="J127" i="98"/>
  <c r="J119" i="98"/>
  <c r="J111" i="98"/>
  <c r="B130" i="98"/>
  <c r="B114" i="98"/>
  <c r="E120" i="98"/>
  <c r="K120" i="98"/>
  <c r="M135" i="98"/>
  <c r="M127" i="98"/>
  <c r="M119" i="98"/>
  <c r="M111" i="98"/>
  <c r="H130" i="98"/>
  <c r="H114" i="98"/>
  <c r="E122" i="98"/>
  <c r="K122" i="98"/>
  <c r="J103" i="98"/>
  <c r="J99" i="98"/>
  <c r="J94" i="98"/>
  <c r="J89" i="98"/>
  <c r="J84" i="98"/>
  <c r="B97" i="98"/>
  <c r="B87" i="98"/>
  <c r="H81" i="98"/>
  <c r="H75" i="98"/>
  <c r="H71" i="98"/>
  <c r="H67" i="98"/>
  <c r="E89" i="98"/>
  <c r="D77" i="98"/>
  <c r="D68" i="98"/>
  <c r="K89" i="98"/>
  <c r="G77" i="98"/>
  <c r="G68" i="98"/>
  <c r="H65" i="98"/>
  <c r="G103" i="98"/>
  <c r="G99" i="98"/>
  <c r="G94" i="98"/>
  <c r="G89" i="98"/>
  <c r="G84" i="98"/>
  <c r="H96" i="98"/>
  <c r="H86" i="98"/>
  <c r="E81" i="98"/>
  <c r="E75" i="98"/>
  <c r="E71" i="98"/>
  <c r="E67" i="98"/>
  <c r="E87" i="98"/>
  <c r="J75" i="98"/>
  <c r="J67" i="98"/>
  <c r="K87" i="98"/>
  <c r="M75" i="98"/>
  <c r="M67" i="98"/>
  <c r="G65" i="98"/>
  <c r="J136" i="98"/>
  <c r="J126" i="98"/>
  <c r="J118" i="98"/>
  <c r="J110" i="98"/>
  <c r="B127" i="98"/>
  <c r="B111" i="98"/>
  <c r="E112" i="98"/>
  <c r="K112" i="98"/>
  <c r="M134" i="98"/>
  <c r="M126" i="98"/>
  <c r="M118" i="98"/>
  <c r="M110" i="98"/>
  <c r="H127" i="98"/>
  <c r="H111" i="98"/>
  <c r="E114" i="98"/>
  <c r="K114" i="98"/>
  <c r="J102" i="98"/>
  <c r="J97" i="98"/>
  <c r="J93" i="98"/>
  <c r="J87" i="98"/>
  <c r="B104" i="98"/>
  <c r="B95" i="98"/>
  <c r="B85" i="98"/>
  <c r="H80" i="98"/>
  <c r="H74" i="98"/>
  <c r="H70" i="98"/>
  <c r="E103" i="98"/>
  <c r="E84" i="98"/>
  <c r="D74" i="98"/>
  <c r="K103" i="98"/>
  <c r="K84" i="98"/>
  <c r="G74" i="98"/>
  <c r="K63" i="98"/>
  <c r="J106" i="98"/>
  <c r="G102" i="98"/>
  <c r="G97" i="98"/>
  <c r="G93" i="98"/>
  <c r="G87" i="98"/>
  <c r="H103" i="98"/>
  <c r="H94" i="98"/>
  <c r="H84" i="98"/>
  <c r="E80" i="98"/>
  <c r="E74" i="98"/>
  <c r="E70" i="98"/>
  <c r="E102" i="98"/>
  <c r="J83" i="98"/>
  <c r="J73" i="98"/>
  <c r="K102" i="98"/>
  <c r="M83" i="98"/>
  <c r="M73" i="98"/>
  <c r="G63" i="98"/>
  <c r="M106" i="98"/>
  <c r="M69" i="98"/>
  <c r="J134" i="98"/>
  <c r="J122" i="98"/>
  <c r="J114" i="98"/>
  <c r="B138" i="98"/>
  <c r="B122" i="98"/>
  <c r="E136" i="98"/>
  <c r="K136" i="98"/>
  <c r="M138" i="98"/>
  <c r="M130" i="98"/>
  <c r="M122" i="98"/>
  <c r="M114" i="98"/>
  <c r="H138" i="98"/>
  <c r="H122" i="98"/>
  <c r="E138" i="98"/>
  <c r="K138" i="98"/>
  <c r="H106" i="98"/>
  <c r="J101" i="98"/>
  <c r="J96" i="98"/>
  <c r="J92" i="98"/>
  <c r="J86" i="98"/>
  <c r="B102" i="98"/>
  <c r="B93" i="98"/>
  <c r="H83" i="98"/>
  <c r="H79" i="98"/>
  <c r="H73" i="98"/>
  <c r="H69" i="98"/>
  <c r="E99" i="98"/>
  <c r="D82" i="98"/>
  <c r="D72" i="98"/>
  <c r="K99" i="98"/>
  <c r="G82" i="98"/>
  <c r="G72" i="98"/>
  <c r="D63" i="98"/>
  <c r="K106" i="98"/>
  <c r="G101" i="98"/>
  <c r="G96" i="98"/>
  <c r="G92" i="98"/>
  <c r="G86" i="98"/>
  <c r="H101" i="98"/>
  <c r="H92" i="98"/>
  <c r="E83" i="98"/>
  <c r="E79" i="98"/>
  <c r="E73" i="98"/>
  <c r="E69" i="98"/>
  <c r="E97" i="98"/>
  <c r="J81" i="98"/>
  <c r="J71" i="98"/>
  <c r="K97" i="98"/>
  <c r="M81" i="98"/>
  <c r="M71" i="98"/>
  <c r="J63" i="98"/>
  <c r="J128" i="98"/>
  <c r="J120" i="98"/>
  <c r="J112" i="98"/>
  <c r="B135" i="98"/>
  <c r="B119" i="98"/>
  <c r="E128" i="98"/>
  <c r="K128" i="98"/>
  <c r="M136" i="98"/>
  <c r="M128" i="98"/>
  <c r="M120" i="98"/>
  <c r="M112" i="98"/>
  <c r="H135" i="98"/>
  <c r="H119" i="98"/>
  <c r="E130" i="98"/>
  <c r="K130" i="98"/>
  <c r="J104" i="98"/>
  <c r="J100" i="98"/>
  <c r="J95" i="98"/>
  <c r="J91" i="98"/>
  <c r="J85" i="98"/>
  <c r="B100" i="98"/>
  <c r="B91" i="98"/>
  <c r="H82" i="98"/>
  <c r="H77" i="98"/>
  <c r="H72" i="98"/>
  <c r="H68" i="98"/>
  <c r="E94" i="98"/>
  <c r="D80" i="98"/>
  <c r="D70" i="98"/>
  <c r="K94" i="98"/>
  <c r="G80" i="98"/>
  <c r="G70" i="98"/>
  <c r="D65" i="98"/>
  <c r="G104" i="98"/>
  <c r="G100" i="98"/>
  <c r="G95" i="98"/>
  <c r="G91" i="98"/>
  <c r="G85" i="98"/>
  <c r="H99" i="98"/>
  <c r="H89" i="98"/>
  <c r="E82" i="98"/>
  <c r="E77" i="98"/>
  <c r="E72" i="98"/>
  <c r="E68" i="98"/>
  <c r="E93" i="98"/>
  <c r="J79" i="98"/>
  <c r="J69" i="98"/>
  <c r="K93" i="98"/>
  <c r="M79" i="98"/>
  <c r="B65" i="98"/>
  <c r="G350" i="95"/>
  <c r="N244" i="98"/>
  <c r="D21" i="47"/>
  <c r="F26" i="48"/>
  <c r="H36" i="48"/>
  <c r="H29" i="48" s="1"/>
  <c r="B34" i="47"/>
  <c r="D32" i="47" s="1"/>
  <c r="F46" i="34"/>
  <c r="B38" i="47"/>
  <c r="P221" i="96" l="1"/>
  <c r="N222" i="95"/>
  <c r="P222" i="95"/>
  <c r="N221" i="96"/>
  <c r="N223" i="98"/>
  <c r="P223" i="98"/>
  <c r="J221" i="97"/>
  <c r="D221" i="97"/>
  <c r="H221" i="97"/>
  <c r="B221" i="97"/>
  <c r="M221" i="97"/>
  <c r="G221" i="97"/>
  <c r="K221" i="97"/>
  <c r="E221" i="97"/>
  <c r="P192" i="96"/>
  <c r="P187" i="98"/>
  <c r="P188" i="98"/>
  <c r="P191" i="98"/>
  <c r="N193" i="98"/>
  <c r="N188" i="98"/>
  <c r="N190" i="98"/>
  <c r="P192" i="98"/>
  <c r="P193" i="98"/>
  <c r="N194" i="98"/>
  <c r="P186" i="98"/>
  <c r="N189" i="98"/>
  <c r="N195" i="98"/>
  <c r="P188" i="96"/>
  <c r="P193" i="96"/>
  <c r="P189" i="98"/>
  <c r="N192" i="98"/>
  <c r="P190" i="98"/>
  <c r="N187" i="98"/>
  <c r="N191" i="98"/>
  <c r="P195" i="98"/>
  <c r="N186" i="98"/>
  <c r="K194" i="95"/>
  <c r="M193" i="95"/>
  <c r="H193" i="95"/>
  <c r="G192" i="95"/>
  <c r="B192" i="95"/>
  <c r="D191" i="95"/>
  <c r="M190" i="95"/>
  <c r="H190" i="95"/>
  <c r="D190" i="95"/>
  <c r="J189" i="95"/>
  <c r="E189" i="95"/>
  <c r="J188" i="95"/>
  <c r="E188" i="95"/>
  <c r="K187" i="95"/>
  <c r="G187" i="95"/>
  <c r="B187" i="95"/>
  <c r="K186" i="95"/>
  <c r="M185" i="95"/>
  <c r="H185" i="95"/>
  <c r="J194" i="95"/>
  <c r="E194" i="95"/>
  <c r="K193" i="95"/>
  <c r="G193" i="95"/>
  <c r="B193" i="95"/>
  <c r="K192" i="95"/>
  <c r="M191" i="95"/>
  <c r="H191" i="95"/>
  <c r="G190" i="95"/>
  <c r="B190" i="95"/>
  <c r="D189" i="95"/>
  <c r="M188" i="95"/>
  <c r="H188" i="95"/>
  <c r="D188" i="95"/>
  <c r="J187" i="95"/>
  <c r="E187" i="95"/>
  <c r="J186" i="95"/>
  <c r="E186" i="95"/>
  <c r="K185" i="95"/>
  <c r="G185" i="95"/>
  <c r="B185" i="95"/>
  <c r="M194" i="95"/>
  <c r="H194" i="95"/>
  <c r="D194" i="95"/>
  <c r="J193" i="95"/>
  <c r="E193" i="95"/>
  <c r="J192" i="95"/>
  <c r="E192" i="95"/>
  <c r="K191" i="95"/>
  <c r="G191" i="95"/>
  <c r="B191" i="95"/>
  <c r="K190" i="95"/>
  <c r="D192" i="95"/>
  <c r="J190" i="95"/>
  <c r="H189" i="95"/>
  <c r="B188" i="95"/>
  <c r="D187" i="95"/>
  <c r="H186" i="95"/>
  <c r="J185" i="95"/>
  <c r="D193" i="95"/>
  <c r="J191" i="95"/>
  <c r="E190" i="95"/>
  <c r="G189" i="95"/>
  <c r="K188" i="95"/>
  <c r="M187" i="95"/>
  <c r="G186" i="95"/>
  <c r="G194" i="95"/>
  <c r="M192" i="95"/>
  <c r="E191" i="95"/>
  <c r="M189" i="95"/>
  <c r="G188" i="95"/>
  <c r="M186" i="95"/>
  <c r="D186" i="95"/>
  <c r="E185" i="95"/>
  <c r="B194" i="95"/>
  <c r="H192" i="95"/>
  <c r="K189" i="95"/>
  <c r="B189" i="95"/>
  <c r="H187" i="95"/>
  <c r="B186" i="95"/>
  <c r="D185" i="95"/>
  <c r="N184" i="96"/>
  <c r="N186" i="96"/>
  <c r="P191" i="96"/>
  <c r="N187" i="96"/>
  <c r="N190" i="96"/>
  <c r="N189" i="96"/>
  <c r="P184" i="96"/>
  <c r="P186" i="96"/>
  <c r="P190" i="96"/>
  <c r="N193" i="96"/>
  <c r="N185" i="96"/>
  <c r="P189" i="96"/>
  <c r="N188" i="96"/>
  <c r="N192" i="96"/>
  <c r="P187" i="96"/>
  <c r="P185" i="96"/>
  <c r="N191" i="96"/>
  <c r="P65" i="98"/>
  <c r="P332" i="97"/>
  <c r="P316" i="97"/>
  <c r="N234" i="95"/>
  <c r="P321" i="98"/>
  <c r="P337" i="98"/>
  <c r="P327" i="97"/>
  <c r="P335" i="97"/>
  <c r="AK94" i="14"/>
  <c r="P343" i="98"/>
  <c r="P119" i="98"/>
  <c r="C20" i="43"/>
  <c r="S139" i="14"/>
  <c r="P327" i="98"/>
  <c r="P319" i="98"/>
  <c r="P93" i="98"/>
  <c r="J303" i="96"/>
  <c r="K26" i="96" s="1"/>
  <c r="P345" i="98"/>
  <c r="P339" i="98"/>
  <c r="P343" i="96"/>
  <c r="P305" i="95"/>
  <c r="P335" i="98"/>
  <c r="P336" i="98"/>
  <c r="P320" i="98"/>
  <c r="P329" i="98"/>
  <c r="P315" i="97"/>
  <c r="P331" i="97"/>
  <c r="P317" i="97"/>
  <c r="P333" i="97"/>
  <c r="P293" i="96"/>
  <c r="P298" i="96"/>
  <c r="P270" i="95"/>
  <c r="P267" i="97"/>
  <c r="P274" i="97"/>
  <c r="M303" i="96"/>
  <c r="L26" i="96" s="1"/>
  <c r="P290" i="97"/>
  <c r="D140" i="98"/>
  <c r="I14" i="98" s="1"/>
  <c r="P297" i="95"/>
  <c r="M174" i="98"/>
  <c r="L15" i="98" s="1"/>
  <c r="P289" i="96"/>
  <c r="P291" i="96"/>
  <c r="P311" i="98"/>
  <c r="J269" i="96"/>
  <c r="K25" i="96" s="1"/>
  <c r="D303" i="96"/>
  <c r="I26" i="96" s="1"/>
  <c r="P248" i="97"/>
  <c r="P241" i="96"/>
  <c r="P127" i="98"/>
  <c r="P299" i="96"/>
  <c r="P344" i="98"/>
  <c r="P328" i="98"/>
  <c r="P289" i="97"/>
  <c r="P293" i="97"/>
  <c r="P240" i="96"/>
  <c r="P275" i="96"/>
  <c r="P295" i="98"/>
  <c r="P247" i="96"/>
  <c r="P277" i="98"/>
  <c r="P100" i="98"/>
  <c r="P80" i="98"/>
  <c r="P86" i="98"/>
  <c r="P96" i="98"/>
  <c r="P122" i="98"/>
  <c r="P102" i="98"/>
  <c r="P84" i="98"/>
  <c r="P94" i="98"/>
  <c r="P292" i="95"/>
  <c r="P74" i="98"/>
  <c r="P135" i="98"/>
  <c r="P296" i="95"/>
  <c r="D310" i="95"/>
  <c r="I27" i="95" s="1"/>
  <c r="P282" i="97"/>
  <c r="P138" i="98"/>
  <c r="P169" i="98"/>
  <c r="P306" i="95"/>
  <c r="P297" i="96"/>
  <c r="P285" i="97"/>
  <c r="P301" i="97"/>
  <c r="P72" i="98"/>
  <c r="P118" i="98"/>
  <c r="P289" i="95"/>
  <c r="P281" i="95"/>
  <c r="P309" i="98"/>
  <c r="P253" i="98"/>
  <c r="P264" i="97"/>
  <c r="D269" i="97"/>
  <c r="I25" i="97" s="1"/>
  <c r="P255" i="96"/>
  <c r="P256" i="95"/>
  <c r="P257" i="96"/>
  <c r="P251" i="97"/>
  <c r="P247" i="97"/>
  <c r="P279" i="98"/>
  <c r="P251" i="98"/>
  <c r="P259" i="97"/>
  <c r="P275" i="98"/>
  <c r="P347" i="98"/>
  <c r="P331" i="98"/>
  <c r="P293" i="98"/>
  <c r="P70" i="98"/>
  <c r="P104" i="98"/>
  <c r="P63" i="98"/>
  <c r="P101" i="98"/>
  <c r="P82" i="98"/>
  <c r="P92" i="98"/>
  <c r="J140" i="98"/>
  <c r="K14" i="98" s="1"/>
  <c r="P97" i="98"/>
  <c r="P67" i="98"/>
  <c r="P99" i="98"/>
  <c r="P77" i="98"/>
  <c r="P89" i="98"/>
  <c r="P111" i="98"/>
  <c r="P153" i="98"/>
  <c r="P297" i="97"/>
  <c r="P281" i="97"/>
  <c r="P300" i="95"/>
  <c r="P281" i="96"/>
  <c r="P273" i="97"/>
  <c r="M303" i="97"/>
  <c r="L26" i="97" s="1"/>
  <c r="P291" i="97"/>
  <c r="P91" i="98"/>
  <c r="P81" i="98"/>
  <c r="P130" i="98"/>
  <c r="P282" i="95"/>
  <c r="P304" i="95"/>
  <c r="P283" i="97"/>
  <c r="P283" i="96"/>
  <c r="D303" i="97"/>
  <c r="I26" i="97" s="1"/>
  <c r="P164" i="98"/>
  <c r="P298" i="95"/>
  <c r="P308" i="95"/>
  <c r="J310" i="95"/>
  <c r="K27" i="95" s="1"/>
  <c r="P298" i="97"/>
  <c r="P68" i="98"/>
  <c r="P79" i="98"/>
  <c r="P112" i="98"/>
  <c r="P128" i="98"/>
  <c r="P273" i="96"/>
  <c r="P290" i="96"/>
  <c r="P274" i="96"/>
  <c r="P272" i="95"/>
  <c r="P266" i="95"/>
  <c r="P239" i="96"/>
  <c r="M281" i="98"/>
  <c r="L26" i="98" s="1"/>
  <c r="P256" i="96"/>
  <c r="P260" i="98"/>
  <c r="P240" i="97"/>
  <c r="P252" i="98"/>
  <c r="P254" i="95"/>
  <c r="J281" i="98"/>
  <c r="K26" i="98" s="1"/>
  <c r="P268" i="98"/>
  <c r="P249" i="96"/>
  <c r="P263" i="98"/>
  <c r="P265" i="97"/>
  <c r="P269" i="98"/>
  <c r="P110" i="98"/>
  <c r="P85" i="98"/>
  <c r="P134" i="98"/>
  <c r="P73" i="98"/>
  <c r="P83" i="98"/>
  <c r="P87" i="98"/>
  <c r="P126" i="98"/>
  <c r="P75" i="98"/>
  <c r="P288" i="95"/>
  <c r="P290" i="95"/>
  <c r="J303" i="97"/>
  <c r="K26" i="97" s="1"/>
  <c r="P299" i="97"/>
  <c r="P71" i="98"/>
  <c r="P301" i="96"/>
  <c r="P103" i="98"/>
  <c r="P69" i="98"/>
  <c r="P120" i="98"/>
  <c r="P136" i="98"/>
  <c r="P285" i="96"/>
  <c r="P275" i="97"/>
  <c r="P239" i="97"/>
  <c r="P276" i="98"/>
  <c r="P251" i="96"/>
  <c r="P255" i="95"/>
  <c r="P267" i="96"/>
  <c r="D281" i="98"/>
  <c r="I26" i="98" s="1"/>
  <c r="P259" i="96"/>
  <c r="P271" i="95"/>
  <c r="D269" i="96"/>
  <c r="I25" i="96" s="1"/>
  <c r="P255" i="97"/>
  <c r="P267" i="98"/>
  <c r="P271" i="98"/>
  <c r="M276" i="95"/>
  <c r="L26" i="95" s="1"/>
  <c r="P263" i="97"/>
  <c r="J269" i="97"/>
  <c r="K25" i="97" s="1"/>
  <c r="P241" i="97"/>
  <c r="P257" i="97"/>
  <c r="P282" i="96"/>
  <c r="P280" i="95"/>
  <c r="P248" i="96"/>
  <c r="P249" i="97"/>
  <c r="M310" i="95"/>
  <c r="L27" i="95" s="1"/>
  <c r="G343" i="97"/>
  <c r="J343" i="97"/>
  <c r="M343" i="97"/>
  <c r="N246" i="98"/>
  <c r="F24" i="98" s="1"/>
  <c r="K349" i="98"/>
  <c r="N347" i="98"/>
  <c r="N336" i="98"/>
  <c r="N331" i="98"/>
  <c r="B349" i="98"/>
  <c r="N320" i="98"/>
  <c r="K315" i="98"/>
  <c r="N295" i="98"/>
  <c r="N309" i="98"/>
  <c r="N311" i="98"/>
  <c r="N285" i="98"/>
  <c r="N286" i="98"/>
  <c r="N287" i="98"/>
  <c r="B315" i="98"/>
  <c r="G281" i="98"/>
  <c r="J26" i="98" s="1"/>
  <c r="P255" i="98"/>
  <c r="H281" i="98"/>
  <c r="E281" i="98"/>
  <c r="N255" i="98"/>
  <c r="N259" i="98"/>
  <c r="L13" i="98"/>
  <c r="K13" i="98"/>
  <c r="E13" i="98"/>
  <c r="D13" i="98"/>
  <c r="H140" i="98"/>
  <c r="K140" i="98"/>
  <c r="N144" i="98"/>
  <c r="N145" i="98"/>
  <c r="N146" i="98"/>
  <c r="B174" i="98"/>
  <c r="K174" i="98"/>
  <c r="H349" i="98"/>
  <c r="D349" i="98"/>
  <c r="I28" i="98" s="1"/>
  <c r="P294" i="98"/>
  <c r="P305" i="98"/>
  <c r="P310" i="98"/>
  <c r="M315" i="98"/>
  <c r="L27" i="98" s="1"/>
  <c r="P285" i="98"/>
  <c r="P286" i="98"/>
  <c r="P287" i="98"/>
  <c r="D315" i="98"/>
  <c r="I27" i="98" s="1"/>
  <c r="P259" i="98"/>
  <c r="P95" i="98"/>
  <c r="M140" i="98"/>
  <c r="L14" i="98" s="1"/>
  <c r="J174" i="98"/>
  <c r="K15" i="98" s="1"/>
  <c r="P156" i="98"/>
  <c r="P160" i="98"/>
  <c r="P161" i="98"/>
  <c r="P162" i="98"/>
  <c r="P172" i="98"/>
  <c r="M349" i="98"/>
  <c r="L28" i="98" s="1"/>
  <c r="J349" i="98"/>
  <c r="K28" i="98" s="1"/>
  <c r="N345" i="98"/>
  <c r="N344" i="98"/>
  <c r="N343" i="98"/>
  <c r="N339" i="98"/>
  <c r="N329" i="98"/>
  <c r="N328" i="98"/>
  <c r="N327" i="98"/>
  <c r="E349" i="98"/>
  <c r="N323" i="98"/>
  <c r="N337" i="98"/>
  <c r="N335" i="98"/>
  <c r="N321" i="98"/>
  <c r="N319" i="98"/>
  <c r="E315" i="98"/>
  <c r="N289" i="98"/>
  <c r="N293" i="98"/>
  <c r="N294" i="98"/>
  <c r="N305" i="98"/>
  <c r="N310" i="98"/>
  <c r="H315" i="98"/>
  <c r="N297" i="98"/>
  <c r="N301" i="98"/>
  <c r="N302" i="98"/>
  <c r="N303" i="98"/>
  <c r="N313" i="98"/>
  <c r="P289" i="98"/>
  <c r="G315" i="98"/>
  <c r="J27" i="98" s="1"/>
  <c r="N251" i="98"/>
  <c r="N252" i="98"/>
  <c r="N253" i="98"/>
  <c r="B281" i="98"/>
  <c r="K281" i="98"/>
  <c r="N263" i="98"/>
  <c r="N267" i="98"/>
  <c r="N268" i="98"/>
  <c r="N269" i="98"/>
  <c r="N279" i="98"/>
  <c r="N260" i="98"/>
  <c r="N261" i="98"/>
  <c r="N271" i="98"/>
  <c r="N275" i="98"/>
  <c r="N276" i="98"/>
  <c r="N277" i="98"/>
  <c r="P106" i="98"/>
  <c r="J13" i="98"/>
  <c r="I13" i="98"/>
  <c r="N63" i="98"/>
  <c r="N65" i="98"/>
  <c r="N67" i="98"/>
  <c r="N68" i="98"/>
  <c r="N69" i="98"/>
  <c r="N70" i="98"/>
  <c r="N71" i="98"/>
  <c r="N72" i="98"/>
  <c r="N73" i="98"/>
  <c r="N74" i="98"/>
  <c r="N75" i="98"/>
  <c r="N77" i="98"/>
  <c r="N79" i="98"/>
  <c r="N80" i="98"/>
  <c r="N81" i="98"/>
  <c r="N82" i="98"/>
  <c r="N83" i="98"/>
  <c r="N84" i="98"/>
  <c r="N85" i="98"/>
  <c r="N86" i="98"/>
  <c r="N87" i="98"/>
  <c r="N89" i="98"/>
  <c r="N91" i="98"/>
  <c r="N92" i="98"/>
  <c r="N93" i="98"/>
  <c r="N94" i="98"/>
  <c r="N95" i="98"/>
  <c r="N106" i="98"/>
  <c r="C13" i="98"/>
  <c r="N96" i="98"/>
  <c r="N97" i="98"/>
  <c r="N99" i="98"/>
  <c r="N100" i="98"/>
  <c r="N101" i="98"/>
  <c r="N102" i="98"/>
  <c r="N103" i="98"/>
  <c r="N104" i="98"/>
  <c r="B13" i="98"/>
  <c r="G140" i="98"/>
  <c r="J14" i="98" s="1"/>
  <c r="P114" i="98"/>
  <c r="N110" i="98"/>
  <c r="N111" i="98"/>
  <c r="N112" i="98"/>
  <c r="B140" i="98"/>
  <c r="N122" i="98"/>
  <c r="N126" i="98"/>
  <c r="N127" i="98"/>
  <c r="N128" i="98"/>
  <c r="N138" i="98"/>
  <c r="E140" i="98"/>
  <c r="N114" i="98"/>
  <c r="N118" i="98"/>
  <c r="N119" i="98"/>
  <c r="N120" i="98"/>
  <c r="N130" i="98"/>
  <c r="N134" i="98"/>
  <c r="N135" i="98"/>
  <c r="N136" i="98"/>
  <c r="P148" i="98"/>
  <c r="G174" i="98"/>
  <c r="J15" i="98" s="1"/>
  <c r="H174" i="98"/>
  <c r="N156" i="98"/>
  <c r="N160" i="98"/>
  <c r="N161" i="98"/>
  <c r="N162" i="98"/>
  <c r="N172" i="98"/>
  <c r="N148" i="98"/>
  <c r="E174" i="98"/>
  <c r="N152" i="98"/>
  <c r="N153" i="98"/>
  <c r="N154" i="98"/>
  <c r="N164" i="98"/>
  <c r="N168" i="98"/>
  <c r="N169" i="98"/>
  <c r="N170" i="98"/>
  <c r="G349" i="98"/>
  <c r="J28" i="98" s="1"/>
  <c r="P323" i="98"/>
  <c r="J315" i="98"/>
  <c r="K27" i="98" s="1"/>
  <c r="P297" i="98"/>
  <c r="P301" i="98"/>
  <c r="P302" i="98"/>
  <c r="P303" i="98"/>
  <c r="P313" i="98"/>
  <c r="P355" i="98"/>
  <c r="P144" i="98"/>
  <c r="P145" i="98"/>
  <c r="P146" i="98"/>
  <c r="D174" i="98"/>
  <c r="I15" i="98" s="1"/>
  <c r="N333" i="97"/>
  <c r="N332" i="97"/>
  <c r="N331" i="97"/>
  <c r="N327" i="97"/>
  <c r="N317" i="97"/>
  <c r="N316" i="97"/>
  <c r="N315" i="97"/>
  <c r="E337" i="97"/>
  <c r="N311" i="97"/>
  <c r="N335" i="97"/>
  <c r="N325" i="97"/>
  <c r="N324" i="97"/>
  <c r="N323" i="97"/>
  <c r="N319" i="97"/>
  <c r="B337" i="97"/>
  <c r="N309" i="97"/>
  <c r="N308" i="97"/>
  <c r="N307" i="97"/>
  <c r="G303" i="97"/>
  <c r="J26" i="97" s="1"/>
  <c r="P277" i="97"/>
  <c r="E303" i="97"/>
  <c r="N277" i="97"/>
  <c r="N281" i="97"/>
  <c r="N273" i="97"/>
  <c r="N274" i="97"/>
  <c r="N275" i="97"/>
  <c r="B303" i="97"/>
  <c r="N282" i="97"/>
  <c r="N283" i="97"/>
  <c r="N293" i="97"/>
  <c r="N297" i="97"/>
  <c r="N298" i="97"/>
  <c r="N299" i="97"/>
  <c r="N285" i="97"/>
  <c r="N289" i="97"/>
  <c r="N290" i="97"/>
  <c r="N291" i="97"/>
  <c r="N301" i="97"/>
  <c r="G269" i="97"/>
  <c r="J25" i="97" s="1"/>
  <c r="P243" i="97"/>
  <c r="N239" i="97"/>
  <c r="N240" i="97"/>
  <c r="N241" i="97"/>
  <c r="B269" i="97"/>
  <c r="N251" i="97"/>
  <c r="N255" i="97"/>
  <c r="N256" i="97"/>
  <c r="N257" i="97"/>
  <c r="N267" i="97"/>
  <c r="E269" i="97"/>
  <c r="N243" i="97"/>
  <c r="N247" i="97"/>
  <c r="N248" i="97"/>
  <c r="N249" i="97"/>
  <c r="N259" i="97"/>
  <c r="N263" i="97"/>
  <c r="N264" i="97"/>
  <c r="N265" i="97"/>
  <c r="G337" i="97"/>
  <c r="J27" i="97" s="1"/>
  <c r="P311" i="97"/>
  <c r="P325" i="97"/>
  <c r="P324" i="97"/>
  <c r="P323" i="97"/>
  <c r="P319" i="97"/>
  <c r="D337" i="97"/>
  <c r="I27" i="97" s="1"/>
  <c r="P309" i="97"/>
  <c r="P308" i="97"/>
  <c r="P307" i="97"/>
  <c r="K337" i="97"/>
  <c r="H337" i="97"/>
  <c r="K303" i="97"/>
  <c r="H303" i="97"/>
  <c r="H269" i="97"/>
  <c r="K269" i="97"/>
  <c r="M269" i="97"/>
  <c r="L25" i="97" s="1"/>
  <c r="M337" i="97"/>
  <c r="L27" i="97" s="1"/>
  <c r="J337" i="97"/>
  <c r="K27" i="97" s="1"/>
  <c r="N333" i="96"/>
  <c r="N332" i="96"/>
  <c r="N331" i="96"/>
  <c r="N327" i="96"/>
  <c r="N317" i="96"/>
  <c r="N316" i="96"/>
  <c r="N315" i="96"/>
  <c r="E337" i="96"/>
  <c r="N311" i="96"/>
  <c r="N335" i="96"/>
  <c r="N325" i="96"/>
  <c r="N324" i="96"/>
  <c r="N323" i="96"/>
  <c r="N319" i="96"/>
  <c r="B337" i="96"/>
  <c r="N309" i="96"/>
  <c r="N308" i="96"/>
  <c r="N307" i="96"/>
  <c r="G337" i="96"/>
  <c r="J27" i="96" s="1"/>
  <c r="P311" i="96"/>
  <c r="K303" i="96"/>
  <c r="H303" i="96"/>
  <c r="H269" i="96"/>
  <c r="K269" i="96"/>
  <c r="P333" i="96"/>
  <c r="P332" i="96"/>
  <c r="P331" i="96"/>
  <c r="P327" i="96"/>
  <c r="P317" i="96"/>
  <c r="P316" i="96"/>
  <c r="P315" i="96"/>
  <c r="P335" i="96"/>
  <c r="P325" i="96"/>
  <c r="P324" i="96"/>
  <c r="P323" i="96"/>
  <c r="P319" i="96"/>
  <c r="D337" i="96"/>
  <c r="I27" i="96" s="1"/>
  <c r="P309" i="96"/>
  <c r="P308" i="96"/>
  <c r="P307" i="96"/>
  <c r="M269" i="96"/>
  <c r="L25" i="96" s="1"/>
  <c r="K337" i="96"/>
  <c r="H337" i="96"/>
  <c r="G303" i="96"/>
  <c r="J26" i="96" s="1"/>
  <c r="P277" i="96"/>
  <c r="E303" i="96"/>
  <c r="N277" i="96"/>
  <c r="N281" i="96"/>
  <c r="N273" i="96"/>
  <c r="N274" i="96"/>
  <c r="N275" i="96"/>
  <c r="B303" i="96"/>
  <c r="N282" i="96"/>
  <c r="N283" i="96"/>
  <c r="N293" i="96"/>
  <c r="N297" i="96"/>
  <c r="N298" i="96"/>
  <c r="N299" i="96"/>
  <c r="N285" i="96"/>
  <c r="N289" i="96"/>
  <c r="N290" i="96"/>
  <c r="N291" i="96"/>
  <c r="N301" i="96"/>
  <c r="G269" i="96"/>
  <c r="J25" i="96" s="1"/>
  <c r="P243" i="96"/>
  <c r="N239" i="96"/>
  <c r="N240" i="96"/>
  <c r="N241" i="96"/>
  <c r="B269" i="96"/>
  <c r="N251" i="96"/>
  <c r="N255" i="96"/>
  <c r="N256" i="96"/>
  <c r="N257" i="96"/>
  <c r="N267" i="96"/>
  <c r="E269" i="96"/>
  <c r="N243" i="96"/>
  <c r="N247" i="96"/>
  <c r="N248" i="96"/>
  <c r="N249" i="96"/>
  <c r="N259" i="96"/>
  <c r="N263" i="96"/>
  <c r="N264" i="96"/>
  <c r="N265" i="96"/>
  <c r="M337" i="96"/>
  <c r="L27" i="96" s="1"/>
  <c r="J337" i="96"/>
  <c r="K27" i="96" s="1"/>
  <c r="P263" i="96"/>
  <c r="P264" i="96"/>
  <c r="P265" i="96"/>
  <c r="G344" i="95"/>
  <c r="J28" i="95" s="1"/>
  <c r="P318" i="95"/>
  <c r="H310" i="95"/>
  <c r="K310" i="95"/>
  <c r="K276" i="95"/>
  <c r="H276" i="95"/>
  <c r="K344" i="95"/>
  <c r="H344" i="95"/>
  <c r="N236" i="95"/>
  <c r="C23" i="95"/>
  <c r="F23" i="95" s="1"/>
  <c r="P340" i="95"/>
  <c r="P339" i="95"/>
  <c r="P338" i="95"/>
  <c r="P334" i="95"/>
  <c r="P324" i="95"/>
  <c r="P323" i="95"/>
  <c r="P322" i="95"/>
  <c r="P342" i="95"/>
  <c r="P332" i="95"/>
  <c r="P331" i="95"/>
  <c r="P330" i="95"/>
  <c r="P326" i="95"/>
  <c r="D344" i="95"/>
  <c r="I28" i="95" s="1"/>
  <c r="P316" i="95"/>
  <c r="P315" i="95"/>
  <c r="P314" i="95"/>
  <c r="J276" i="95"/>
  <c r="K26" i="95" s="1"/>
  <c r="G310" i="95"/>
  <c r="J27" i="95" s="1"/>
  <c r="P284" i="95"/>
  <c r="N280" i="95"/>
  <c r="N281" i="95"/>
  <c r="N282" i="95"/>
  <c r="B310" i="95"/>
  <c r="E310" i="95"/>
  <c r="N284" i="95"/>
  <c r="N288" i="95"/>
  <c r="N289" i="95"/>
  <c r="N290" i="95"/>
  <c r="N300" i="95"/>
  <c r="N304" i="95"/>
  <c r="N305" i="95"/>
  <c r="N306" i="95"/>
  <c r="N292" i="95"/>
  <c r="N296" i="95"/>
  <c r="N297" i="95"/>
  <c r="N298" i="95"/>
  <c r="N308" i="95"/>
  <c r="P250" i="95"/>
  <c r="G276" i="95"/>
  <c r="J26" i="95" s="1"/>
  <c r="N250" i="95"/>
  <c r="E276" i="95"/>
  <c r="N254" i="95"/>
  <c r="N255" i="95"/>
  <c r="N256" i="95"/>
  <c r="N266" i="95"/>
  <c r="N270" i="95"/>
  <c r="N271" i="95"/>
  <c r="N272" i="95"/>
  <c r="N246" i="95"/>
  <c r="N247" i="95"/>
  <c r="N248" i="95"/>
  <c r="B276" i="95"/>
  <c r="N258" i="95"/>
  <c r="N262" i="95"/>
  <c r="N263" i="95"/>
  <c r="N264" i="95"/>
  <c r="N274" i="95"/>
  <c r="N340" i="95"/>
  <c r="N339" i="95"/>
  <c r="N338" i="95"/>
  <c r="N334" i="95"/>
  <c r="N324" i="95"/>
  <c r="N323" i="95"/>
  <c r="N322" i="95"/>
  <c r="E344" i="95"/>
  <c r="N318" i="95"/>
  <c r="N342" i="95"/>
  <c r="N332" i="95"/>
  <c r="N331" i="95"/>
  <c r="N330" i="95"/>
  <c r="N326" i="95"/>
  <c r="B344" i="95"/>
  <c r="N316" i="95"/>
  <c r="N315" i="95"/>
  <c r="N314" i="95"/>
  <c r="M344" i="95"/>
  <c r="L28" i="95" s="1"/>
  <c r="J344" i="95"/>
  <c r="K28" i="95" s="1"/>
  <c r="P246" i="95"/>
  <c r="P247" i="95"/>
  <c r="P248" i="95"/>
  <c r="D276" i="95"/>
  <c r="I26" i="95" s="1"/>
  <c r="P258" i="95"/>
  <c r="P262" i="95"/>
  <c r="P263" i="95"/>
  <c r="P264" i="95"/>
  <c r="P274" i="95"/>
  <c r="P350" i="95"/>
  <c r="D25" i="47"/>
  <c r="D26" i="47"/>
  <c r="D33" i="47"/>
  <c r="D37" i="47"/>
  <c r="F37" i="47" s="1"/>
  <c r="D28" i="47" l="1"/>
  <c r="P221" i="97"/>
  <c r="N221" i="97"/>
  <c r="P186" i="95"/>
  <c r="P191" i="95"/>
  <c r="P188" i="95"/>
  <c r="N185" i="95"/>
  <c r="N186" i="95"/>
  <c r="N193" i="95"/>
  <c r="N188" i="95"/>
  <c r="N191" i="95"/>
  <c r="P190" i="95"/>
  <c r="N190" i="95"/>
  <c r="N192" i="95"/>
  <c r="P185" i="95"/>
  <c r="N187" i="95"/>
  <c r="P193" i="95"/>
  <c r="P187" i="95"/>
  <c r="N189" i="95"/>
  <c r="P194" i="95"/>
  <c r="P189" i="95"/>
  <c r="P192" i="95"/>
  <c r="N194" i="95"/>
  <c r="H24" i="48"/>
  <c r="M98" i="95" s="1"/>
  <c r="H28" i="34"/>
  <c r="K90" i="96" s="1"/>
  <c r="AA103" i="14"/>
  <c r="AA71" i="14"/>
  <c r="AA69" i="14"/>
  <c r="M25" i="96"/>
  <c r="M26" i="96"/>
  <c r="P269" i="96"/>
  <c r="P303" i="96"/>
  <c r="M26" i="97"/>
  <c r="P140" i="98"/>
  <c r="P269" i="97"/>
  <c r="P303" i="97"/>
  <c r="P349" i="98"/>
  <c r="P310" i="95"/>
  <c r="M26" i="98"/>
  <c r="P281" i="98"/>
  <c r="M27" i="95"/>
  <c r="F13" i="98"/>
  <c r="M28" i="98"/>
  <c r="M13" i="98"/>
  <c r="P174" i="98"/>
  <c r="M15" i="98"/>
  <c r="M14" i="98"/>
  <c r="C15" i="98"/>
  <c r="N174" i="98"/>
  <c r="D15" i="98"/>
  <c r="N140" i="98"/>
  <c r="B14" i="98"/>
  <c r="C27" i="98"/>
  <c r="N349" i="98"/>
  <c r="D28" i="98"/>
  <c r="E15" i="98"/>
  <c r="D14" i="98"/>
  <c r="C26" i="98"/>
  <c r="D26" i="98"/>
  <c r="B27" i="98"/>
  <c r="E28" i="98"/>
  <c r="M27" i="98"/>
  <c r="C14" i="98"/>
  <c r="E26" i="98"/>
  <c r="B26" i="98"/>
  <c r="D27" i="98"/>
  <c r="N315" i="98"/>
  <c r="C28" i="98"/>
  <c r="B15" i="98"/>
  <c r="E14" i="98"/>
  <c r="N281" i="98"/>
  <c r="E27" i="98"/>
  <c r="B28" i="98"/>
  <c r="P315" i="98"/>
  <c r="D25" i="97"/>
  <c r="D27" i="97"/>
  <c r="N269" i="97"/>
  <c r="B25" i="97"/>
  <c r="C26" i="97"/>
  <c r="N337" i="97"/>
  <c r="H170" i="96"/>
  <c r="H168" i="96"/>
  <c r="H166" i="96"/>
  <c r="H162" i="96"/>
  <c r="H160" i="96"/>
  <c r="H158" i="96"/>
  <c r="H154" i="96"/>
  <c r="H152" i="96"/>
  <c r="H151" i="96"/>
  <c r="H159" i="96"/>
  <c r="H167" i="96"/>
  <c r="M170" i="96"/>
  <c r="G170" i="96"/>
  <c r="M168" i="96"/>
  <c r="G168" i="96"/>
  <c r="M167" i="96"/>
  <c r="G167" i="96"/>
  <c r="M166" i="96"/>
  <c r="G166" i="96"/>
  <c r="M162" i="96"/>
  <c r="G162" i="96"/>
  <c r="M160" i="96"/>
  <c r="G160" i="96"/>
  <c r="M159" i="96"/>
  <c r="G159" i="96"/>
  <c r="M158" i="96"/>
  <c r="G158" i="96"/>
  <c r="M154" i="96"/>
  <c r="G154" i="96"/>
  <c r="M152" i="96"/>
  <c r="G152" i="96"/>
  <c r="M151" i="96"/>
  <c r="G151" i="96"/>
  <c r="M150" i="96"/>
  <c r="G150" i="96"/>
  <c r="M146" i="96"/>
  <c r="G146" i="96"/>
  <c r="M144" i="96"/>
  <c r="G144" i="96"/>
  <c r="M143" i="96"/>
  <c r="G143" i="96"/>
  <c r="M142" i="96"/>
  <c r="G142" i="96"/>
  <c r="K170" i="96"/>
  <c r="B170" i="96"/>
  <c r="E168" i="96"/>
  <c r="K167" i="96"/>
  <c r="B167" i="96"/>
  <c r="E166" i="96"/>
  <c r="K162" i="96"/>
  <c r="B162" i="96"/>
  <c r="E160" i="96"/>
  <c r="K159" i="96"/>
  <c r="B159" i="96"/>
  <c r="E158" i="96"/>
  <c r="K154" i="96"/>
  <c r="B154" i="96"/>
  <c r="E152" i="96"/>
  <c r="K151" i="96"/>
  <c r="B151" i="96"/>
  <c r="H150" i="96"/>
  <c r="B150" i="96"/>
  <c r="H146" i="96"/>
  <c r="B146" i="96"/>
  <c r="H144" i="96"/>
  <c r="B144" i="96"/>
  <c r="H143" i="96"/>
  <c r="B143" i="96"/>
  <c r="H142" i="96"/>
  <c r="B142" i="96"/>
  <c r="J170" i="96"/>
  <c r="D170" i="96"/>
  <c r="J168" i="96"/>
  <c r="D168" i="96"/>
  <c r="J167" i="96"/>
  <c r="D167" i="96"/>
  <c r="J166" i="96"/>
  <c r="D166" i="96"/>
  <c r="J162" i="96"/>
  <c r="D162" i="96"/>
  <c r="J160" i="96"/>
  <c r="D160" i="96"/>
  <c r="J159" i="96"/>
  <c r="D159" i="96"/>
  <c r="J158" i="96"/>
  <c r="D158" i="96"/>
  <c r="J154" i="96"/>
  <c r="D154" i="96"/>
  <c r="J152" i="96"/>
  <c r="D152" i="96"/>
  <c r="J151" i="96"/>
  <c r="D151" i="96"/>
  <c r="J150" i="96"/>
  <c r="D150" i="96"/>
  <c r="J146" i="96"/>
  <c r="D146" i="96"/>
  <c r="J144" i="96"/>
  <c r="D144" i="96"/>
  <c r="J143" i="96"/>
  <c r="D143" i="96"/>
  <c r="J142" i="96"/>
  <c r="D142" i="96"/>
  <c r="E170" i="96"/>
  <c r="K168" i="96"/>
  <c r="B168" i="96"/>
  <c r="E167" i="96"/>
  <c r="K166" i="96"/>
  <c r="B166" i="96"/>
  <c r="E162" i="96"/>
  <c r="K160" i="96"/>
  <c r="B160" i="96"/>
  <c r="E159" i="96"/>
  <c r="K158" i="96"/>
  <c r="B158" i="96"/>
  <c r="E154" i="96"/>
  <c r="K152" i="96"/>
  <c r="B152" i="96"/>
  <c r="E151" i="96"/>
  <c r="K150" i="96"/>
  <c r="E150" i="96"/>
  <c r="K146" i="96"/>
  <c r="E146" i="96"/>
  <c r="K144" i="96"/>
  <c r="E144" i="96"/>
  <c r="K143" i="96"/>
  <c r="E143" i="96"/>
  <c r="K142" i="96"/>
  <c r="E142" i="96"/>
  <c r="J136" i="96"/>
  <c r="D136" i="96"/>
  <c r="J134" i="96"/>
  <c r="D134" i="96"/>
  <c r="J133" i="96"/>
  <c r="D133" i="96"/>
  <c r="J132" i="96"/>
  <c r="D132" i="96"/>
  <c r="J128" i="96"/>
  <c r="D128" i="96"/>
  <c r="J126" i="96"/>
  <c r="D126" i="96"/>
  <c r="J125" i="96"/>
  <c r="D125" i="96"/>
  <c r="J124" i="96"/>
  <c r="D124" i="96"/>
  <c r="J120" i="96"/>
  <c r="D120" i="96"/>
  <c r="J118" i="96"/>
  <c r="D118" i="96"/>
  <c r="J117" i="96"/>
  <c r="D117" i="96"/>
  <c r="J116" i="96"/>
  <c r="D116" i="96"/>
  <c r="J112" i="96"/>
  <c r="D112" i="96"/>
  <c r="D138" i="96" s="1"/>
  <c r="I14" i="96" s="1"/>
  <c r="J110" i="96"/>
  <c r="D110" i="96"/>
  <c r="J109" i="96"/>
  <c r="D109" i="96"/>
  <c r="J108" i="96"/>
  <c r="D108" i="96"/>
  <c r="H136" i="96"/>
  <c r="B136" i="96"/>
  <c r="H134" i="96"/>
  <c r="B134" i="96"/>
  <c r="H133" i="96"/>
  <c r="B133" i="96"/>
  <c r="H132" i="96"/>
  <c r="B132" i="96"/>
  <c r="H128" i="96"/>
  <c r="B128" i="96"/>
  <c r="H126" i="96"/>
  <c r="B126" i="96"/>
  <c r="H125" i="96"/>
  <c r="B125" i="96"/>
  <c r="H124" i="96"/>
  <c r="B124" i="96"/>
  <c r="H120" i="96"/>
  <c r="B120" i="96"/>
  <c r="H118" i="96"/>
  <c r="B118" i="96"/>
  <c r="H117" i="96"/>
  <c r="B117" i="96"/>
  <c r="H116" i="96"/>
  <c r="B116" i="96"/>
  <c r="H112" i="96"/>
  <c r="B112" i="96"/>
  <c r="H110" i="96"/>
  <c r="B110" i="96"/>
  <c r="H109" i="96"/>
  <c r="B109" i="96"/>
  <c r="H108" i="96"/>
  <c r="B108" i="96"/>
  <c r="M136" i="96"/>
  <c r="G136" i="96"/>
  <c r="M134" i="96"/>
  <c r="G134" i="96"/>
  <c r="M133" i="96"/>
  <c r="G133" i="96"/>
  <c r="M132" i="96"/>
  <c r="G132" i="96"/>
  <c r="M128" i="96"/>
  <c r="G128" i="96"/>
  <c r="M126" i="96"/>
  <c r="G126" i="96"/>
  <c r="M125" i="96"/>
  <c r="G125" i="96"/>
  <c r="M124" i="96"/>
  <c r="G124" i="96"/>
  <c r="M120" i="96"/>
  <c r="G120" i="96"/>
  <c r="M118" i="96"/>
  <c r="G118" i="96"/>
  <c r="M117" i="96"/>
  <c r="G117" i="96"/>
  <c r="M116" i="96"/>
  <c r="G116" i="96"/>
  <c r="M112" i="96"/>
  <c r="G112" i="96"/>
  <c r="M110" i="96"/>
  <c r="G110" i="96"/>
  <c r="M109" i="96"/>
  <c r="G109" i="96"/>
  <c r="M108" i="96"/>
  <c r="G108" i="96"/>
  <c r="K136" i="96"/>
  <c r="E136" i="96"/>
  <c r="K134" i="96"/>
  <c r="E134" i="96"/>
  <c r="K133" i="96"/>
  <c r="E133" i="96"/>
  <c r="K132" i="96"/>
  <c r="E132" i="96"/>
  <c r="K128" i="96"/>
  <c r="E128" i="96"/>
  <c r="K126" i="96"/>
  <c r="E126" i="96"/>
  <c r="K125" i="96"/>
  <c r="E125" i="96"/>
  <c r="K124" i="96"/>
  <c r="E124" i="96"/>
  <c r="K120" i="96"/>
  <c r="E120" i="96"/>
  <c r="K118" i="96"/>
  <c r="E118" i="96"/>
  <c r="K117" i="96"/>
  <c r="E117" i="96"/>
  <c r="K116" i="96"/>
  <c r="E116" i="96"/>
  <c r="K112" i="96"/>
  <c r="E112" i="96"/>
  <c r="K110" i="96"/>
  <c r="E110" i="96"/>
  <c r="K109" i="96"/>
  <c r="E109" i="96"/>
  <c r="K108" i="96"/>
  <c r="E108" i="96"/>
  <c r="P343" i="97"/>
  <c r="M27" i="97"/>
  <c r="E25" i="97"/>
  <c r="D26" i="97"/>
  <c r="E26" i="97"/>
  <c r="E27" i="97"/>
  <c r="C25" i="97"/>
  <c r="B26" i="97"/>
  <c r="N303" i="97"/>
  <c r="B27" i="97"/>
  <c r="C27" i="97"/>
  <c r="P337" i="97"/>
  <c r="M25" i="97"/>
  <c r="N269" i="96"/>
  <c r="B25" i="96"/>
  <c r="C26" i="96"/>
  <c r="E27" i="96"/>
  <c r="D25" i="96"/>
  <c r="B27" i="96"/>
  <c r="C27" i="96"/>
  <c r="P337" i="96"/>
  <c r="C25" i="96"/>
  <c r="B26" i="96"/>
  <c r="N303" i="96"/>
  <c r="D27" i="96"/>
  <c r="H171" i="95"/>
  <c r="H169" i="95"/>
  <c r="H167" i="95"/>
  <c r="H163" i="95"/>
  <c r="H161" i="95"/>
  <c r="H159" i="95"/>
  <c r="H155" i="95"/>
  <c r="H153" i="95"/>
  <c r="H152" i="95"/>
  <c r="H160" i="95"/>
  <c r="H168" i="95"/>
  <c r="K171" i="95"/>
  <c r="B171" i="95"/>
  <c r="E169" i="95"/>
  <c r="K168" i="95"/>
  <c r="B168" i="95"/>
  <c r="E167" i="95"/>
  <c r="K163" i="95"/>
  <c r="B163" i="95"/>
  <c r="E161" i="95"/>
  <c r="K160" i="95"/>
  <c r="B160" i="95"/>
  <c r="E159" i="95"/>
  <c r="K155" i="95"/>
  <c r="B155" i="95"/>
  <c r="E153" i="95"/>
  <c r="K152" i="95"/>
  <c r="B152" i="95"/>
  <c r="H151" i="95"/>
  <c r="B151" i="95"/>
  <c r="H147" i="95"/>
  <c r="B147" i="95"/>
  <c r="H145" i="95"/>
  <c r="B145" i="95"/>
  <c r="H144" i="95"/>
  <c r="B144" i="95"/>
  <c r="H143" i="95"/>
  <c r="B143" i="95"/>
  <c r="J171" i="95"/>
  <c r="D171" i="95"/>
  <c r="J169" i="95"/>
  <c r="D169" i="95"/>
  <c r="J168" i="95"/>
  <c r="D168" i="95"/>
  <c r="J167" i="95"/>
  <c r="D167" i="95"/>
  <c r="J163" i="95"/>
  <c r="D163" i="95"/>
  <c r="J161" i="95"/>
  <c r="D161" i="95"/>
  <c r="J160" i="95"/>
  <c r="D160" i="95"/>
  <c r="J159" i="95"/>
  <c r="D159" i="95"/>
  <c r="J155" i="95"/>
  <c r="D155" i="95"/>
  <c r="J153" i="95"/>
  <c r="D153" i="95"/>
  <c r="J152" i="95"/>
  <c r="D152" i="95"/>
  <c r="J151" i="95"/>
  <c r="D151" i="95"/>
  <c r="J147" i="95"/>
  <c r="J173" i="95" s="1"/>
  <c r="K15" i="95" s="1"/>
  <c r="D147" i="95"/>
  <c r="J145" i="95"/>
  <c r="D145" i="95"/>
  <c r="J144" i="95"/>
  <c r="D144" i="95"/>
  <c r="J143" i="95"/>
  <c r="D143" i="95"/>
  <c r="E171" i="95"/>
  <c r="K169" i="95"/>
  <c r="B169" i="95"/>
  <c r="E168" i="95"/>
  <c r="K167" i="95"/>
  <c r="B167" i="95"/>
  <c r="E163" i="95"/>
  <c r="K161" i="95"/>
  <c r="B161" i="95"/>
  <c r="E160" i="95"/>
  <c r="K159" i="95"/>
  <c r="B159" i="95"/>
  <c r="E155" i="95"/>
  <c r="K153" i="95"/>
  <c r="B153" i="95"/>
  <c r="E152" i="95"/>
  <c r="K151" i="95"/>
  <c r="E151" i="95"/>
  <c r="K147" i="95"/>
  <c r="E147" i="95"/>
  <c r="K145" i="95"/>
  <c r="E145" i="95"/>
  <c r="K144" i="95"/>
  <c r="E144" i="95"/>
  <c r="K143" i="95"/>
  <c r="E143" i="95"/>
  <c r="M171" i="95"/>
  <c r="G171" i="95"/>
  <c r="M169" i="95"/>
  <c r="G169" i="95"/>
  <c r="M168" i="95"/>
  <c r="G168" i="95"/>
  <c r="M167" i="95"/>
  <c r="G167" i="95"/>
  <c r="M163" i="95"/>
  <c r="G163" i="95"/>
  <c r="M161" i="95"/>
  <c r="G161" i="95"/>
  <c r="M160" i="95"/>
  <c r="G160" i="95"/>
  <c r="M159" i="95"/>
  <c r="G159" i="95"/>
  <c r="M155" i="95"/>
  <c r="G155" i="95"/>
  <c r="M153" i="95"/>
  <c r="G153" i="95"/>
  <c r="M152" i="95"/>
  <c r="G152" i="95"/>
  <c r="M151" i="95"/>
  <c r="G151" i="95"/>
  <c r="M147" i="95"/>
  <c r="G147" i="95"/>
  <c r="M145" i="95"/>
  <c r="G145" i="95"/>
  <c r="M144" i="95"/>
  <c r="G144" i="95"/>
  <c r="M143" i="95"/>
  <c r="G143" i="95"/>
  <c r="H137" i="95"/>
  <c r="B137" i="95"/>
  <c r="H135" i="95"/>
  <c r="B135" i="95"/>
  <c r="H134" i="95"/>
  <c r="B134" i="95"/>
  <c r="H133" i="95"/>
  <c r="B133" i="95"/>
  <c r="H129" i="95"/>
  <c r="B129" i="95"/>
  <c r="H127" i="95"/>
  <c r="B127" i="95"/>
  <c r="H126" i="95"/>
  <c r="B126" i="95"/>
  <c r="H125" i="95"/>
  <c r="B125" i="95"/>
  <c r="H121" i="95"/>
  <c r="B121" i="95"/>
  <c r="H119" i="95"/>
  <c r="B119" i="95"/>
  <c r="H118" i="95"/>
  <c r="B118" i="95"/>
  <c r="H117" i="95"/>
  <c r="B117" i="95"/>
  <c r="H113" i="95"/>
  <c r="H139" i="95" s="1"/>
  <c r="B113" i="95"/>
  <c r="B139" i="95" s="1"/>
  <c r="B14" i="95" s="1"/>
  <c r="H111" i="95"/>
  <c r="B111" i="95"/>
  <c r="H110" i="95"/>
  <c r="B110" i="95"/>
  <c r="H109" i="95"/>
  <c r="J137" i="95"/>
  <c r="D137" i="95"/>
  <c r="J135" i="95"/>
  <c r="D135" i="95"/>
  <c r="J134" i="95"/>
  <c r="D134" i="95"/>
  <c r="J133" i="95"/>
  <c r="D133" i="95"/>
  <c r="J129" i="95"/>
  <c r="D129" i="95"/>
  <c r="J127" i="95"/>
  <c r="D127" i="95"/>
  <c r="J126" i="95"/>
  <c r="D126" i="95"/>
  <c r="J125" i="95"/>
  <c r="D125" i="95"/>
  <c r="J121" i="95"/>
  <c r="D121" i="95"/>
  <c r="J119" i="95"/>
  <c r="D119" i="95"/>
  <c r="J118" i="95"/>
  <c r="D118" i="95"/>
  <c r="J117" i="95"/>
  <c r="D117" i="95"/>
  <c r="J113" i="95"/>
  <c r="D113" i="95"/>
  <c r="D139" i="95" s="1"/>
  <c r="I14" i="95" s="1"/>
  <c r="J111" i="95"/>
  <c r="D111" i="95"/>
  <c r="J110" i="95"/>
  <c r="D110" i="95"/>
  <c r="J109" i="95"/>
  <c r="D109" i="95"/>
  <c r="B109" i="95"/>
  <c r="K137" i="95"/>
  <c r="E137" i="95"/>
  <c r="K135" i="95"/>
  <c r="E135" i="95"/>
  <c r="K134" i="95"/>
  <c r="E134" i="95"/>
  <c r="K133" i="95"/>
  <c r="E133" i="95"/>
  <c r="K129" i="95"/>
  <c r="E129" i="95"/>
  <c r="K127" i="95"/>
  <c r="E127" i="95"/>
  <c r="K126" i="95"/>
  <c r="E126" i="95"/>
  <c r="K125" i="95"/>
  <c r="E125" i="95"/>
  <c r="K121" i="95"/>
  <c r="E121" i="95"/>
  <c r="K119" i="95"/>
  <c r="E119" i="95"/>
  <c r="K118" i="95"/>
  <c r="E118" i="95"/>
  <c r="K117" i="95"/>
  <c r="E117" i="95"/>
  <c r="K113" i="95"/>
  <c r="E113" i="95"/>
  <c r="K111" i="95"/>
  <c r="E111" i="95"/>
  <c r="K110" i="95"/>
  <c r="E110" i="95"/>
  <c r="K109" i="95"/>
  <c r="M137" i="95"/>
  <c r="G137" i="95"/>
  <c r="M135" i="95"/>
  <c r="G135" i="95"/>
  <c r="M134" i="95"/>
  <c r="G134" i="95"/>
  <c r="M133" i="95"/>
  <c r="G133" i="95"/>
  <c r="M129" i="95"/>
  <c r="G129" i="95"/>
  <c r="M127" i="95"/>
  <c r="G127" i="95"/>
  <c r="M126" i="95"/>
  <c r="G126" i="95"/>
  <c r="M125" i="95"/>
  <c r="G125" i="95"/>
  <c r="M121" i="95"/>
  <c r="G121" i="95"/>
  <c r="M119" i="95"/>
  <c r="G119" i="95"/>
  <c r="M118" i="95"/>
  <c r="G118" i="95"/>
  <c r="M117" i="95"/>
  <c r="G117" i="95"/>
  <c r="M113" i="95"/>
  <c r="M139" i="95" s="1"/>
  <c r="L14" i="95" s="1"/>
  <c r="G113" i="95"/>
  <c r="M111" i="95"/>
  <c r="G111" i="95"/>
  <c r="M110" i="95"/>
  <c r="G110" i="95"/>
  <c r="M109" i="95"/>
  <c r="G109" i="95"/>
  <c r="E109" i="95"/>
  <c r="E25" i="96"/>
  <c r="D26" i="96"/>
  <c r="E26" i="96"/>
  <c r="N337" i="96"/>
  <c r="M27" i="96"/>
  <c r="M26" i="95"/>
  <c r="N344" i="95"/>
  <c r="C26" i="95"/>
  <c r="N276" i="95"/>
  <c r="N310" i="95"/>
  <c r="D28" i="95"/>
  <c r="E26" i="95"/>
  <c r="D14" i="95"/>
  <c r="P276" i="95"/>
  <c r="M28" i="95"/>
  <c r="B28" i="95"/>
  <c r="C28" i="95"/>
  <c r="B26" i="95"/>
  <c r="C27" i="95"/>
  <c r="B27" i="95"/>
  <c r="E28" i="95"/>
  <c r="D26" i="95"/>
  <c r="E27" i="95"/>
  <c r="D27" i="95"/>
  <c r="P344" i="95"/>
  <c r="F32" i="47"/>
  <c r="F24" i="47" s="1"/>
  <c r="D34" i="47"/>
  <c r="D38" i="47"/>
  <c r="J23" i="23"/>
  <c r="J22" i="23"/>
  <c r="K139" i="95" l="1"/>
  <c r="E14" i="95" s="1"/>
  <c r="K79" i="95"/>
  <c r="D193" i="97"/>
  <c r="M192" i="97"/>
  <c r="H192" i="97"/>
  <c r="D192" i="97"/>
  <c r="J191" i="97"/>
  <c r="E191" i="97"/>
  <c r="J190" i="97"/>
  <c r="E190" i="97"/>
  <c r="K189" i="97"/>
  <c r="G189" i="97"/>
  <c r="B189" i="97"/>
  <c r="K188" i="97"/>
  <c r="M187" i="97"/>
  <c r="H187" i="97"/>
  <c r="G186" i="97"/>
  <c r="B186" i="97"/>
  <c r="D185" i="97"/>
  <c r="M184" i="97"/>
  <c r="H184" i="97"/>
  <c r="D184" i="97"/>
  <c r="M193" i="97"/>
  <c r="H193" i="97"/>
  <c r="G192" i="97"/>
  <c r="B192" i="97"/>
  <c r="D191" i="97"/>
  <c r="M190" i="97"/>
  <c r="H190" i="97"/>
  <c r="D190" i="97"/>
  <c r="J189" i="97"/>
  <c r="E189" i="97"/>
  <c r="J188" i="97"/>
  <c r="E188" i="97"/>
  <c r="K187" i="97"/>
  <c r="G187" i="97"/>
  <c r="B187" i="97"/>
  <c r="K186" i="97"/>
  <c r="M185" i="97"/>
  <c r="H185" i="97"/>
  <c r="G184" i="97"/>
  <c r="B184" i="97"/>
  <c r="G193" i="97"/>
  <c r="K192" i="97"/>
  <c r="M191" i="97"/>
  <c r="G190" i="97"/>
  <c r="M188" i="97"/>
  <c r="D188" i="97"/>
  <c r="E187" i="97"/>
  <c r="J186" i="97"/>
  <c r="K185" i="97"/>
  <c r="B185" i="97"/>
  <c r="E193" i="97"/>
  <c r="J192" i="97"/>
  <c r="K191" i="97"/>
  <c r="B191" i="97"/>
  <c r="H189" i="97"/>
  <c r="B188" i="97"/>
  <c r="D187" i="97"/>
  <c r="H186" i="97"/>
  <c r="J185" i="97"/>
  <c r="E184" i="97"/>
  <c r="K193" i="97"/>
  <c r="B193" i="97"/>
  <c r="H191" i="97"/>
  <c r="B190" i="97"/>
  <c r="D189" i="97"/>
  <c r="H188" i="97"/>
  <c r="J187" i="97"/>
  <c r="E186" i="97"/>
  <c r="G185" i="97"/>
  <c r="K184" i="97"/>
  <c r="M189" i="97"/>
  <c r="M186" i="97"/>
  <c r="E192" i="97"/>
  <c r="D186" i="97"/>
  <c r="G191" i="97"/>
  <c r="G188" i="97"/>
  <c r="E185" i="97"/>
  <c r="J193" i="97"/>
  <c r="K190" i="97"/>
  <c r="J184" i="97"/>
  <c r="E99" i="95"/>
  <c r="J69" i="95"/>
  <c r="K73" i="95"/>
  <c r="J93" i="95"/>
  <c r="M105" i="95"/>
  <c r="D100" i="95"/>
  <c r="G74" i="95"/>
  <c r="M103" i="95"/>
  <c r="J138" i="96"/>
  <c r="K14" i="96" s="1"/>
  <c r="G80" i="95"/>
  <c r="E96" i="95"/>
  <c r="K71" i="95"/>
  <c r="K100" i="95"/>
  <c r="B83" i="95"/>
  <c r="K84" i="95"/>
  <c r="M71" i="95"/>
  <c r="M90" i="95"/>
  <c r="D84" i="95"/>
  <c r="G95" i="95"/>
  <c r="G86" i="95"/>
  <c r="B69" i="95"/>
  <c r="B72" i="95"/>
  <c r="H91" i="95"/>
  <c r="G81" i="95"/>
  <c r="M81" i="95"/>
  <c r="H96" i="95"/>
  <c r="J72" i="95"/>
  <c r="D70" i="95"/>
  <c r="J64" i="95"/>
  <c r="D88" i="95"/>
  <c r="B67" i="95"/>
  <c r="D69" i="95"/>
  <c r="H70" i="95"/>
  <c r="J94" i="95"/>
  <c r="K67" i="95"/>
  <c r="H105" i="95"/>
  <c r="B62" i="95"/>
  <c r="B102" i="95"/>
  <c r="E98" i="95"/>
  <c r="H98" i="95"/>
  <c r="H80" i="95"/>
  <c r="D79" i="95"/>
  <c r="M84" i="95"/>
  <c r="E95" i="95"/>
  <c r="K85" i="95"/>
  <c r="D62" i="95"/>
  <c r="D103" i="95"/>
  <c r="E62" i="95"/>
  <c r="B94" i="95"/>
  <c r="J90" i="95"/>
  <c r="M100" i="95"/>
  <c r="E70" i="95"/>
  <c r="G67" i="95"/>
  <c r="H67" i="95"/>
  <c r="E101" i="95"/>
  <c r="G99" i="95"/>
  <c r="K90" i="95"/>
  <c r="G92" i="95"/>
  <c r="B91" i="95"/>
  <c r="J98" i="95"/>
  <c r="H69" i="95"/>
  <c r="K105" i="95"/>
  <c r="B93" i="95"/>
  <c r="D90" i="95"/>
  <c r="G100" i="95"/>
  <c r="K68" i="95"/>
  <c r="J73" i="95"/>
  <c r="M85" i="95"/>
  <c r="E84" i="95"/>
  <c r="E93" i="95"/>
  <c r="E69" i="95"/>
  <c r="H95" i="95"/>
  <c r="D95" i="95"/>
  <c r="E88" i="95"/>
  <c r="M62" i="95"/>
  <c r="B95" i="95"/>
  <c r="D91" i="95"/>
  <c r="E83" i="95"/>
  <c r="H94" i="95"/>
  <c r="B86" i="95"/>
  <c r="J85" i="95"/>
  <c r="G64" i="95"/>
  <c r="K93" i="95"/>
  <c r="D68" i="95"/>
  <c r="G94" i="95"/>
  <c r="M80" i="95"/>
  <c r="M99" i="95"/>
  <c r="E85" i="95"/>
  <c r="H81" i="95"/>
  <c r="E76" i="95"/>
  <c r="G73" i="95"/>
  <c r="B101" i="95"/>
  <c r="D80" i="95"/>
  <c r="D99" i="95"/>
  <c r="G91" i="95"/>
  <c r="H92" i="95"/>
  <c r="K86" i="95"/>
  <c r="B84" i="95"/>
  <c r="J62" i="95"/>
  <c r="J84" i="95"/>
  <c r="J103" i="95"/>
  <c r="M95" i="95"/>
  <c r="M68" i="95"/>
  <c r="E80" i="95"/>
  <c r="H90" i="95"/>
  <c r="B82" i="95"/>
  <c r="J83" i="95"/>
  <c r="E74" i="95"/>
  <c r="H83" i="95"/>
  <c r="K74" i="95"/>
  <c r="D81" i="95"/>
  <c r="H71" i="95"/>
  <c r="H79" i="95"/>
  <c r="B70" i="95"/>
  <c r="J74" i="95"/>
  <c r="M72" i="95"/>
  <c r="M73" i="95"/>
  <c r="B100" i="95"/>
  <c r="D102" i="95"/>
  <c r="J102" i="95"/>
  <c r="M94" i="95"/>
  <c r="M74" i="95"/>
  <c r="G72" i="95"/>
  <c r="M69" i="95"/>
  <c r="B68" i="95"/>
  <c r="B96" i="95"/>
  <c r="D73" i="95"/>
  <c r="D94" i="95"/>
  <c r="G85" i="95"/>
  <c r="G105" i="95"/>
  <c r="M76" i="95"/>
  <c r="B74" i="95"/>
  <c r="H101" i="95"/>
  <c r="J80" i="95"/>
  <c r="J99" i="95"/>
  <c r="M91" i="95"/>
  <c r="E79" i="95"/>
  <c r="E64" i="95"/>
  <c r="E86" i="95"/>
  <c r="B71" i="95"/>
  <c r="K102" i="95"/>
  <c r="K94" i="95"/>
  <c r="B92" i="95"/>
  <c r="J68" i="95"/>
  <c r="J88" i="95"/>
  <c r="G96" i="95"/>
  <c r="E82" i="95"/>
  <c r="G68" i="95"/>
  <c r="H93" i="95"/>
  <c r="K88" i="95"/>
  <c r="B85" i="95"/>
  <c r="D64" i="95"/>
  <c r="D85" i="95"/>
  <c r="G90" i="95"/>
  <c r="H76" i="95"/>
  <c r="K62" i="95"/>
  <c r="H84" i="95"/>
  <c r="K80" i="95"/>
  <c r="G76" i="95"/>
  <c r="H102" i="95"/>
  <c r="J81" i="95"/>
  <c r="G82" i="95"/>
  <c r="E92" i="95"/>
  <c r="H88" i="95"/>
  <c r="K83" i="95"/>
  <c r="B81" i="95"/>
  <c r="B105" i="95"/>
  <c r="D83" i="95"/>
  <c r="G84" i="95"/>
  <c r="J95" i="95"/>
  <c r="J105" i="95"/>
  <c r="M86" i="95"/>
  <c r="M96" i="95"/>
  <c r="M64" i="95"/>
  <c r="E81" i="95"/>
  <c r="E105" i="95"/>
  <c r="B76" i="95"/>
  <c r="K95" i="95"/>
  <c r="H72" i="95"/>
  <c r="K91" i="95"/>
  <c r="K70" i="95"/>
  <c r="B88" i="95"/>
  <c r="B99" i="95"/>
  <c r="D67" i="95"/>
  <c r="D76" i="95"/>
  <c r="D86" i="95"/>
  <c r="D96" i="95"/>
  <c r="G79" i="95"/>
  <c r="G88" i="95"/>
  <c r="G98" i="95"/>
  <c r="H86" i="95"/>
  <c r="M67" i="95"/>
  <c r="K82" i="95"/>
  <c r="B64" i="95"/>
  <c r="B80" i="95"/>
  <c r="K101" i="95"/>
  <c r="H103" i="95"/>
  <c r="J71" i="95"/>
  <c r="J82" i="95"/>
  <c r="J92" i="95"/>
  <c r="J101" i="95"/>
  <c r="M83" i="95"/>
  <c r="M93" i="95"/>
  <c r="M102" i="95"/>
  <c r="H62" i="95"/>
  <c r="E100" i="95"/>
  <c r="H73" i="95"/>
  <c r="E102" i="95"/>
  <c r="H82" i="95"/>
  <c r="H74" i="95"/>
  <c r="K72" i="95"/>
  <c r="H100" i="95"/>
  <c r="J79" i="95"/>
  <c r="D105" i="95"/>
  <c r="M70" i="95"/>
  <c r="E94" i="95"/>
  <c r="K76" i="95"/>
  <c r="E71" i="95"/>
  <c r="G69" i="95"/>
  <c r="B98" i="95"/>
  <c r="D74" i="95"/>
  <c r="D98" i="95"/>
  <c r="E68" i="95"/>
  <c r="E90" i="95"/>
  <c r="B73" i="95"/>
  <c r="H64" i="95"/>
  <c r="E103" i="95"/>
  <c r="K96" i="95"/>
  <c r="J70" i="95"/>
  <c r="J91" i="95"/>
  <c r="G101" i="95"/>
  <c r="G70" i="95"/>
  <c r="H68" i="95"/>
  <c r="K64" i="95"/>
  <c r="K103" i="95"/>
  <c r="D72" i="95"/>
  <c r="D93" i="95"/>
  <c r="G103" i="95"/>
  <c r="J100" i="95"/>
  <c r="M82" i="95"/>
  <c r="M92" i="95"/>
  <c r="M101" i="95"/>
  <c r="E72" i="95"/>
  <c r="N72" i="95" s="1"/>
  <c r="E91" i="95"/>
  <c r="K69" i="95"/>
  <c r="H85" i="95"/>
  <c r="E67" i="95"/>
  <c r="K81" i="95"/>
  <c r="G62" i="95"/>
  <c r="B79" i="95"/>
  <c r="K99" i="95"/>
  <c r="B103" i="95"/>
  <c r="D71" i="95"/>
  <c r="D82" i="95"/>
  <c r="D92" i="95"/>
  <c r="D101" i="95"/>
  <c r="G83" i="95"/>
  <c r="G93" i="95"/>
  <c r="G102" i="95"/>
  <c r="K98" i="95"/>
  <c r="E73" i="95"/>
  <c r="K92" i="95"/>
  <c r="G71" i="95"/>
  <c r="B90" i="95"/>
  <c r="H99" i="95"/>
  <c r="J67" i="95"/>
  <c r="J76" i="95"/>
  <c r="J86" i="95"/>
  <c r="P86" i="95" s="1"/>
  <c r="J96" i="95"/>
  <c r="M79" i="95"/>
  <c r="M88" i="95"/>
  <c r="B80" i="96"/>
  <c r="J66" i="96"/>
  <c r="M67" i="96"/>
  <c r="D101" i="96"/>
  <c r="J99" i="96"/>
  <c r="E69" i="96"/>
  <c r="G95" i="96"/>
  <c r="G68" i="96"/>
  <c r="D93" i="96"/>
  <c r="K95" i="96"/>
  <c r="B79" i="96"/>
  <c r="E70" i="96"/>
  <c r="G87" i="96"/>
  <c r="E63" i="96"/>
  <c r="M100" i="96"/>
  <c r="B95" i="96"/>
  <c r="E91" i="96"/>
  <c r="K66" i="96"/>
  <c r="K63" i="96"/>
  <c r="G90" i="96"/>
  <c r="E94" i="96"/>
  <c r="B70" i="96"/>
  <c r="G102" i="96"/>
  <c r="M73" i="96"/>
  <c r="H80" i="96"/>
  <c r="D66" i="96"/>
  <c r="G104" i="96"/>
  <c r="G71" i="96"/>
  <c r="G72" i="96"/>
  <c r="M92" i="96"/>
  <c r="M90" i="96"/>
  <c r="D94" i="96"/>
  <c r="D67" i="96"/>
  <c r="K97" i="96"/>
  <c r="G92" i="96"/>
  <c r="H85" i="96"/>
  <c r="J85" i="96"/>
  <c r="K78" i="96"/>
  <c r="H94" i="96"/>
  <c r="E89" i="96"/>
  <c r="G70" i="96"/>
  <c r="M68" i="96"/>
  <c r="J78" i="96"/>
  <c r="E99" i="96"/>
  <c r="E102" i="96"/>
  <c r="D79" i="96"/>
  <c r="J80" i="96"/>
  <c r="K89" i="96"/>
  <c r="M97" i="96"/>
  <c r="J100" i="96"/>
  <c r="J91" i="96"/>
  <c r="J81" i="96"/>
  <c r="J70" i="96"/>
  <c r="H102" i="96"/>
  <c r="K102" i="96"/>
  <c r="M104" i="96"/>
  <c r="M94" i="96"/>
  <c r="J98" i="96"/>
  <c r="J89" i="96"/>
  <c r="J79" i="96"/>
  <c r="J68" i="96"/>
  <c r="H100" i="96"/>
  <c r="B94" i="96"/>
  <c r="K80" i="96"/>
  <c r="B67" i="96"/>
  <c r="H87" i="96"/>
  <c r="M72" i="96"/>
  <c r="K99" i="96"/>
  <c r="G82" i="96"/>
  <c r="K68" i="96"/>
  <c r="E90" i="96"/>
  <c r="H75" i="96"/>
  <c r="M93" i="96"/>
  <c r="J73" i="96"/>
  <c r="H97" i="96"/>
  <c r="G97" i="96"/>
  <c r="D100" i="96"/>
  <c r="D91" i="96"/>
  <c r="D81" i="96"/>
  <c r="D70" i="96"/>
  <c r="B102" i="96"/>
  <c r="K100" i="96"/>
  <c r="K82" i="96"/>
  <c r="B69" i="96"/>
  <c r="H90" i="96"/>
  <c r="M75" i="96"/>
  <c r="E61" i="96"/>
  <c r="G84" i="96"/>
  <c r="K70" i="96"/>
  <c r="E92" i="96"/>
  <c r="H79" i="96"/>
  <c r="M63" i="96"/>
  <c r="M95" i="96"/>
  <c r="J97" i="96"/>
  <c r="J82" i="96"/>
  <c r="H104" i="96"/>
  <c r="D97" i="96"/>
  <c r="B99" i="96"/>
  <c r="K73" i="96"/>
  <c r="H82" i="96"/>
  <c r="B91" i="96"/>
  <c r="K61" i="96"/>
  <c r="H70" i="96"/>
  <c r="E97" i="96"/>
  <c r="D69" i="96"/>
  <c r="M91" i="96"/>
  <c r="B72" i="96"/>
  <c r="G100" i="96"/>
  <c r="D73" i="96"/>
  <c r="K87" i="96"/>
  <c r="E98" i="96"/>
  <c r="E68" i="96"/>
  <c r="K75" i="96"/>
  <c r="H83" i="96"/>
  <c r="G98" i="96"/>
  <c r="D71" i="96"/>
  <c r="K84" i="96"/>
  <c r="K92" i="96"/>
  <c r="K94" i="96"/>
  <c r="M87" i="96"/>
  <c r="D80" i="96"/>
  <c r="B63" i="96"/>
  <c r="G80" i="96"/>
  <c r="H93" i="96"/>
  <c r="E73" i="96"/>
  <c r="B71" i="96"/>
  <c r="H61" i="96"/>
  <c r="K101" i="96"/>
  <c r="B97" i="96"/>
  <c r="K85" i="96"/>
  <c r="H81" i="96"/>
  <c r="G78" i="96"/>
  <c r="B82" i="96"/>
  <c r="J87" i="96"/>
  <c r="M102" i="96"/>
  <c r="G63" i="96"/>
  <c r="M66" i="96"/>
  <c r="G66" i="96"/>
  <c r="B98" i="96"/>
  <c r="D83" i="96"/>
  <c r="G94" i="96"/>
  <c r="J84" i="96"/>
  <c r="E93" i="96"/>
  <c r="H92" i="96"/>
  <c r="H78" i="96"/>
  <c r="B78" i="96"/>
  <c r="J72" i="96"/>
  <c r="J93" i="96"/>
  <c r="M99" i="96"/>
  <c r="H72" i="96"/>
  <c r="M70" i="96"/>
  <c r="B101" i="96"/>
  <c r="G67" i="96"/>
  <c r="M79" i="96"/>
  <c r="G79" i="96"/>
  <c r="D82" i="96"/>
  <c r="M69" i="96"/>
  <c r="G69" i="96"/>
  <c r="H73" i="96"/>
  <c r="B73" i="96"/>
  <c r="D63" i="96"/>
  <c r="E67" i="96"/>
  <c r="H63" i="96"/>
  <c r="B61" i="96"/>
  <c r="K72" i="96"/>
  <c r="E84" i="96"/>
  <c r="K83" i="96"/>
  <c r="M89" i="96"/>
  <c r="G89" i="96"/>
  <c r="D87" i="96"/>
  <c r="J67" i="96"/>
  <c r="J92" i="96"/>
  <c r="J104" i="96"/>
  <c r="H68" i="96"/>
  <c r="M84" i="96"/>
  <c r="B68" i="96"/>
  <c r="B89" i="96"/>
  <c r="H69" i="96"/>
  <c r="M85" i="96"/>
  <c r="K71" i="96"/>
  <c r="B90" i="96"/>
  <c r="B100" i="96"/>
  <c r="D72" i="96"/>
  <c r="D85" i="96"/>
  <c r="D98" i="96"/>
  <c r="G99" i="96"/>
  <c r="J63" i="96"/>
  <c r="J90" i="96"/>
  <c r="E80" i="96"/>
  <c r="E101" i="96"/>
  <c r="K79" i="96"/>
  <c r="M61" i="96"/>
  <c r="E81" i="96"/>
  <c r="G61" i="96"/>
  <c r="G83" i="96"/>
  <c r="H98" i="96"/>
  <c r="J75" i="96"/>
  <c r="J95" i="96"/>
  <c r="M101" i="96"/>
  <c r="F19" i="47"/>
  <c r="M84" i="97" s="1"/>
  <c r="G91" i="96"/>
  <c r="H71" i="96"/>
  <c r="B104" i="96"/>
  <c r="E104" i="96"/>
  <c r="K67" i="96"/>
  <c r="D104" i="96"/>
  <c r="B84" i="96"/>
  <c r="M78" i="96"/>
  <c r="E75" i="96"/>
  <c r="D78" i="96"/>
  <c r="H99" i="96"/>
  <c r="J101" i="96"/>
  <c r="E82" i="96"/>
  <c r="K81" i="96"/>
  <c r="E83" i="96"/>
  <c r="G85" i="96"/>
  <c r="D68" i="96"/>
  <c r="D95" i="96"/>
  <c r="H101" i="96"/>
  <c r="M71" i="96"/>
  <c r="B75" i="96"/>
  <c r="E95" i="96"/>
  <c r="H95" i="96"/>
  <c r="E87" i="96"/>
  <c r="H84" i="96"/>
  <c r="D90" i="96"/>
  <c r="B81" i="96"/>
  <c r="E85" i="96"/>
  <c r="B92" i="96"/>
  <c r="D92" i="96"/>
  <c r="E78" i="96"/>
  <c r="B83" i="96"/>
  <c r="M81" i="96"/>
  <c r="G81" i="96"/>
  <c r="D84" i="96"/>
  <c r="M80" i="96"/>
  <c r="E79" i="96"/>
  <c r="D99" i="96"/>
  <c r="E66" i="96"/>
  <c r="H91" i="96"/>
  <c r="K104" i="96"/>
  <c r="E100" i="96"/>
  <c r="K98" i="96"/>
  <c r="G93" i="96"/>
  <c r="J71" i="96"/>
  <c r="J94" i="96"/>
  <c r="M98" i="96"/>
  <c r="E71" i="96"/>
  <c r="H89" i="96"/>
  <c r="G73" i="96"/>
  <c r="K91" i="96"/>
  <c r="E72" i="96"/>
  <c r="K93" i="96"/>
  <c r="G75" i="96"/>
  <c r="B93" i="96"/>
  <c r="D61" i="96"/>
  <c r="D75" i="96"/>
  <c r="D89" i="96"/>
  <c r="D102" i="96"/>
  <c r="G101" i="96"/>
  <c r="J69" i="96"/>
  <c r="H66" i="96"/>
  <c r="M82" i="96"/>
  <c r="B66" i="96"/>
  <c r="B85" i="96"/>
  <c r="H67" i="96"/>
  <c r="M83" i="96"/>
  <c r="K69" i="96"/>
  <c r="B87" i="96"/>
  <c r="J61" i="96"/>
  <c r="J83" i="96"/>
  <c r="J102" i="96"/>
  <c r="D173" i="95"/>
  <c r="I15" i="95" s="1"/>
  <c r="J139" i="95"/>
  <c r="K14" i="95" s="1"/>
  <c r="M173" i="95"/>
  <c r="L15" i="95" s="1"/>
  <c r="M104" i="97"/>
  <c r="P158" i="96"/>
  <c r="P109" i="96"/>
  <c r="N110" i="95"/>
  <c r="N118" i="95"/>
  <c r="N121" i="95"/>
  <c r="N126" i="95"/>
  <c r="N129" i="95"/>
  <c r="N134" i="95"/>
  <c r="N137" i="95"/>
  <c r="P110" i="96"/>
  <c r="N170" i="96"/>
  <c r="P151" i="96"/>
  <c r="P162" i="96"/>
  <c r="P160" i="96"/>
  <c r="P166" i="96"/>
  <c r="F25" i="97"/>
  <c r="P108" i="96"/>
  <c r="N166" i="96"/>
  <c r="P152" i="95"/>
  <c r="P160" i="95"/>
  <c r="P163" i="95"/>
  <c r="P171" i="95"/>
  <c r="N152" i="95"/>
  <c r="N168" i="95"/>
  <c r="P144" i="95"/>
  <c r="P155" i="95"/>
  <c r="P168" i="95"/>
  <c r="N144" i="95"/>
  <c r="N109" i="95"/>
  <c r="N111" i="95"/>
  <c r="N117" i="95"/>
  <c r="N119" i="95"/>
  <c r="N125" i="95"/>
  <c r="N127" i="95"/>
  <c r="N133" i="95"/>
  <c r="N135" i="95"/>
  <c r="P143" i="95"/>
  <c r="P145" i="95"/>
  <c r="P151" i="95"/>
  <c r="P153" i="95"/>
  <c r="P159" i="95"/>
  <c r="P161" i="95"/>
  <c r="P167" i="95"/>
  <c r="P169" i="95"/>
  <c r="N143" i="95"/>
  <c r="N145" i="95"/>
  <c r="N151" i="95"/>
  <c r="N160" i="95"/>
  <c r="B173" i="95"/>
  <c r="B15" i="95" s="1"/>
  <c r="F28" i="98"/>
  <c r="F14" i="98"/>
  <c r="F26" i="98"/>
  <c r="F27" i="98"/>
  <c r="F15" i="98"/>
  <c r="F27" i="97"/>
  <c r="K173" i="95"/>
  <c r="E15" i="95" s="1"/>
  <c r="N155" i="95"/>
  <c r="N163" i="95"/>
  <c r="N171" i="95"/>
  <c r="H173" i="95"/>
  <c r="D15" i="95" s="1"/>
  <c r="F26" i="97"/>
  <c r="E139" i="95"/>
  <c r="C14" i="95" s="1"/>
  <c r="F14" i="95" s="1"/>
  <c r="N113" i="95"/>
  <c r="G173" i="95"/>
  <c r="J15" i="95" s="1"/>
  <c r="P147" i="95"/>
  <c r="E173" i="95"/>
  <c r="C15" i="95" s="1"/>
  <c r="N147" i="95"/>
  <c r="H138" i="96"/>
  <c r="K138" i="96"/>
  <c r="K172" i="96"/>
  <c r="P146" i="96"/>
  <c r="G172" i="96"/>
  <c r="J15" i="96" s="1"/>
  <c r="H172" i="96"/>
  <c r="N154" i="96"/>
  <c r="N158" i="96"/>
  <c r="N159" i="96"/>
  <c r="N160" i="96"/>
  <c r="N153" i="95"/>
  <c r="N161" i="95"/>
  <c r="N169" i="95"/>
  <c r="F25" i="96"/>
  <c r="M138" i="96"/>
  <c r="L14" i="96" s="1"/>
  <c r="J172" i="96"/>
  <c r="K15" i="96" s="1"/>
  <c r="P154" i="96"/>
  <c r="P159" i="96"/>
  <c r="P170" i="96"/>
  <c r="P150" i="96"/>
  <c r="P152" i="96"/>
  <c r="N167" i="96"/>
  <c r="P168" i="96"/>
  <c r="G139" i="95"/>
  <c r="J14" i="95" s="1"/>
  <c r="P113" i="95"/>
  <c r="G138" i="96"/>
  <c r="J14" i="96" s="1"/>
  <c r="P112" i="96"/>
  <c r="N108" i="96"/>
  <c r="N109" i="96"/>
  <c r="N110" i="96"/>
  <c r="B138" i="96"/>
  <c r="N120" i="96"/>
  <c r="N124" i="96"/>
  <c r="N125" i="96"/>
  <c r="N126" i="96"/>
  <c r="N136" i="96"/>
  <c r="E138" i="96"/>
  <c r="N112" i="96"/>
  <c r="N116" i="96"/>
  <c r="N117" i="96"/>
  <c r="N118" i="96"/>
  <c r="N128" i="96"/>
  <c r="N132" i="96"/>
  <c r="N133" i="96"/>
  <c r="N134" i="96"/>
  <c r="N146" i="96"/>
  <c r="E172" i="96"/>
  <c r="N150" i="96"/>
  <c r="N151" i="96"/>
  <c r="N152" i="96"/>
  <c r="N162" i="96"/>
  <c r="N142" i="96"/>
  <c r="N143" i="96"/>
  <c r="N144" i="96"/>
  <c r="B172" i="96"/>
  <c r="P109" i="95"/>
  <c r="P110" i="95"/>
  <c r="P111" i="95"/>
  <c r="P117" i="95"/>
  <c r="P118" i="95"/>
  <c r="P119" i="95"/>
  <c r="P121" i="95"/>
  <c r="P125" i="95"/>
  <c r="P126" i="95"/>
  <c r="P127" i="95"/>
  <c r="P129" i="95"/>
  <c r="P133" i="95"/>
  <c r="P134" i="95"/>
  <c r="P135" i="95"/>
  <c r="P137" i="95"/>
  <c r="N159" i="95"/>
  <c r="N167" i="95"/>
  <c r="F27" i="96"/>
  <c r="F26" i="96"/>
  <c r="P120" i="96"/>
  <c r="P124" i="96"/>
  <c r="P125" i="96"/>
  <c r="P126" i="96"/>
  <c r="P136" i="96"/>
  <c r="P116" i="96"/>
  <c r="P117" i="96"/>
  <c r="P118" i="96"/>
  <c r="P128" i="96"/>
  <c r="P132" i="96"/>
  <c r="P133" i="96"/>
  <c r="P134" i="96"/>
  <c r="P167" i="96"/>
  <c r="P142" i="96"/>
  <c r="P143" i="96"/>
  <c r="P144" i="96"/>
  <c r="D172" i="96"/>
  <c r="I15" i="96" s="1"/>
  <c r="M172" i="96"/>
  <c r="L15" i="96" s="1"/>
  <c r="N168" i="96"/>
  <c r="F27" i="95"/>
  <c r="F28" i="95"/>
  <c r="F26" i="95"/>
  <c r="D13" i="96" l="1"/>
  <c r="L13" i="96"/>
  <c r="B13" i="96"/>
  <c r="J13" i="96"/>
  <c r="I13" i="96"/>
  <c r="E13" i="96"/>
  <c r="K13" i="96"/>
  <c r="B13" i="95"/>
  <c r="E13" i="95"/>
  <c r="L13" i="95"/>
  <c r="K13" i="95"/>
  <c r="I13" i="95"/>
  <c r="J13" i="95"/>
  <c r="C13" i="95"/>
  <c r="D13" i="95"/>
  <c r="N79" i="95"/>
  <c r="P191" i="97"/>
  <c r="P184" i="97"/>
  <c r="P192" i="97"/>
  <c r="P187" i="97"/>
  <c r="P189" i="97"/>
  <c r="P190" i="97"/>
  <c r="N186" i="97"/>
  <c r="N184" i="97"/>
  <c r="N188" i="97"/>
  <c r="N190" i="97"/>
  <c r="N193" i="97"/>
  <c r="N187" i="97"/>
  <c r="P188" i="97"/>
  <c r="P186" i="97"/>
  <c r="N189" i="97"/>
  <c r="N191" i="97"/>
  <c r="N185" i="97"/>
  <c r="N192" i="97"/>
  <c r="P185" i="97"/>
  <c r="P193" i="97"/>
  <c r="P81" i="95"/>
  <c r="P62" i="95"/>
  <c r="P73" i="95"/>
  <c r="N89" i="96"/>
  <c r="N91" i="95"/>
  <c r="N96" i="95"/>
  <c r="P98" i="95"/>
  <c r="N95" i="95"/>
  <c r="P103" i="95"/>
  <c r="P64" i="95"/>
  <c r="P85" i="95"/>
  <c r="N85" i="95"/>
  <c r="P71" i="95"/>
  <c r="P100" i="95"/>
  <c r="P93" i="95"/>
  <c r="N92" i="95"/>
  <c r="P74" i="95"/>
  <c r="G75" i="97"/>
  <c r="E78" i="97"/>
  <c r="N64" i="95"/>
  <c r="N98" i="95"/>
  <c r="N81" i="95"/>
  <c r="P70" i="95"/>
  <c r="N100" i="95"/>
  <c r="P102" i="95"/>
  <c r="P67" i="95"/>
  <c r="N88" i="95"/>
  <c r="P68" i="95"/>
  <c r="P69" i="95"/>
  <c r="N71" i="95"/>
  <c r="N74" i="95"/>
  <c r="N80" i="95"/>
  <c r="P95" i="95"/>
  <c r="N76" i="95"/>
  <c r="P80" i="95"/>
  <c r="N83" i="95"/>
  <c r="P90" i="95"/>
  <c r="P96" i="95"/>
  <c r="N70" i="95"/>
  <c r="P84" i="95"/>
  <c r="P72" i="95"/>
  <c r="P105" i="95"/>
  <c r="N86" i="95"/>
  <c r="N67" i="95"/>
  <c r="P83" i="95"/>
  <c r="N82" i="95"/>
  <c r="N62" i="95"/>
  <c r="P88" i="95"/>
  <c r="N84" i="95"/>
  <c r="N93" i="95"/>
  <c r="N101" i="95"/>
  <c r="P94" i="95"/>
  <c r="P91" i="95"/>
  <c r="P99" i="95"/>
  <c r="N69" i="95"/>
  <c r="N90" i="95"/>
  <c r="N94" i="95"/>
  <c r="N102" i="95"/>
  <c r="P92" i="95"/>
  <c r="P79" i="95"/>
  <c r="N99" i="95"/>
  <c r="P101" i="95"/>
  <c r="N103" i="95"/>
  <c r="N68" i="95"/>
  <c r="N73" i="95"/>
  <c r="P82" i="95"/>
  <c r="P76" i="95"/>
  <c r="N94" i="96"/>
  <c r="N105" i="95"/>
  <c r="H81" i="97"/>
  <c r="P73" i="96"/>
  <c r="K85" i="97"/>
  <c r="E80" i="97"/>
  <c r="B100" i="97"/>
  <c r="J70" i="97"/>
  <c r="G85" i="97"/>
  <c r="D98" i="97"/>
  <c r="K98" i="97"/>
  <c r="N100" i="96"/>
  <c r="P92" i="96"/>
  <c r="J72" i="97"/>
  <c r="B70" i="97"/>
  <c r="E101" i="97"/>
  <c r="E94" i="97"/>
  <c r="J95" i="97"/>
  <c r="D87" i="97"/>
  <c r="P100" i="96"/>
  <c r="P87" i="96"/>
  <c r="N66" i="96"/>
  <c r="P68" i="96"/>
  <c r="N81" i="96"/>
  <c r="N78" i="96"/>
  <c r="P94" i="96"/>
  <c r="N73" i="96"/>
  <c r="N102" i="96"/>
  <c r="P70" i="96"/>
  <c r="P102" i="96"/>
  <c r="N72" i="96"/>
  <c r="N87" i="96"/>
  <c r="P101" i="96"/>
  <c r="N71" i="96"/>
  <c r="N91" i="96"/>
  <c r="N85" i="96"/>
  <c r="P85" i="96"/>
  <c r="N104" i="96"/>
  <c r="P95" i="96"/>
  <c r="P61" i="96"/>
  <c r="N101" i="96"/>
  <c r="P99" i="96"/>
  <c r="N69" i="96"/>
  <c r="N67" i="96"/>
  <c r="P72" i="96"/>
  <c r="N93" i="96"/>
  <c r="P98" i="96"/>
  <c r="N98" i="96"/>
  <c r="N70" i="96"/>
  <c r="P82" i="96"/>
  <c r="N90" i="96"/>
  <c r="P89" i="96"/>
  <c r="P78" i="96"/>
  <c r="P90" i="96"/>
  <c r="N75" i="96"/>
  <c r="P83" i="96"/>
  <c r="N95" i="96"/>
  <c r="N99" i="96"/>
  <c r="P75" i="96"/>
  <c r="P66" i="96"/>
  <c r="P80" i="96"/>
  <c r="K90" i="97"/>
  <c r="E85" i="97"/>
  <c r="K70" i="97"/>
  <c r="G93" i="97"/>
  <c r="M61" i="97"/>
  <c r="M83" i="97"/>
  <c r="E87" i="97"/>
  <c r="B97" i="97"/>
  <c r="E68" i="97"/>
  <c r="J63" i="97"/>
  <c r="M70" i="97"/>
  <c r="E100" i="97"/>
  <c r="J69" i="97"/>
  <c r="E72" i="97"/>
  <c r="J87" i="97"/>
  <c r="B63" i="97"/>
  <c r="H92" i="97"/>
  <c r="E81" i="97"/>
  <c r="D79" i="97"/>
  <c r="M95" i="97"/>
  <c r="G94" i="97"/>
  <c r="E71" i="97"/>
  <c r="E66" i="97"/>
  <c r="D67" i="97"/>
  <c r="M99" i="97"/>
  <c r="M101" i="97"/>
  <c r="D104" i="97"/>
  <c r="D84" i="97"/>
  <c r="D63" i="97"/>
  <c r="B92" i="97"/>
  <c r="E102" i="97"/>
  <c r="G67" i="97"/>
  <c r="H68" i="97"/>
  <c r="K71" i="97"/>
  <c r="G92" i="97"/>
  <c r="J93" i="97"/>
  <c r="M93" i="97"/>
  <c r="D95" i="97"/>
  <c r="D75" i="97"/>
  <c r="B98" i="97"/>
  <c r="H78" i="97"/>
  <c r="G82" i="97"/>
  <c r="H87" i="97"/>
  <c r="E90" i="97"/>
  <c r="G102" i="97"/>
  <c r="J104" i="97"/>
  <c r="J84" i="97"/>
  <c r="J67" i="97"/>
  <c r="M66" i="97"/>
  <c r="H72" i="97"/>
  <c r="H97" i="97"/>
  <c r="K80" i="97"/>
  <c r="G80" i="97"/>
  <c r="J66" i="97"/>
  <c r="H63" i="97"/>
  <c r="H70" i="97"/>
  <c r="H101" i="97"/>
  <c r="E69" i="97"/>
  <c r="K87" i="97"/>
  <c r="M94" i="97"/>
  <c r="D97" i="97"/>
  <c r="D78" i="97"/>
  <c r="B99" i="97"/>
  <c r="M79" i="97"/>
  <c r="K83" i="97"/>
  <c r="H90" i="97"/>
  <c r="E92" i="97"/>
  <c r="G104" i="97"/>
  <c r="G84" i="97"/>
  <c r="J85" i="97"/>
  <c r="M85" i="97"/>
  <c r="D89" i="97"/>
  <c r="D68" i="97"/>
  <c r="K102" i="97"/>
  <c r="H67" i="97"/>
  <c r="G71" i="97"/>
  <c r="E73" i="97"/>
  <c r="K78" i="97"/>
  <c r="G95" i="97"/>
  <c r="J97" i="97"/>
  <c r="J78" i="97"/>
  <c r="H94" i="97"/>
  <c r="B79" i="97"/>
  <c r="G83" i="97"/>
  <c r="E61" i="97"/>
  <c r="J61" i="97"/>
  <c r="M73" i="97"/>
  <c r="H93" i="97"/>
  <c r="K75" i="97"/>
  <c r="B82" i="97"/>
  <c r="H69" i="97"/>
  <c r="J68" i="97"/>
  <c r="M67" i="97"/>
  <c r="N61" i="96"/>
  <c r="E97" i="97"/>
  <c r="G69" i="97"/>
  <c r="K81" i="97"/>
  <c r="J73" i="97"/>
  <c r="M69" i="97"/>
  <c r="D66" i="97"/>
  <c r="J102" i="97"/>
  <c r="B81" i="97"/>
  <c r="D94" i="97"/>
  <c r="H100" i="97"/>
  <c r="K73" i="97"/>
  <c r="K95" i="97"/>
  <c r="H95" i="97"/>
  <c r="B78" i="97"/>
  <c r="K100" i="97"/>
  <c r="J94" i="97"/>
  <c r="B73" i="97"/>
  <c r="K68" i="97"/>
  <c r="B94" i="97"/>
  <c r="D85" i="97"/>
  <c r="M102" i="97"/>
  <c r="G101" i="97"/>
  <c r="H83" i="97"/>
  <c r="E75" i="97"/>
  <c r="D73" i="97"/>
  <c r="M92" i="97"/>
  <c r="P69" i="96"/>
  <c r="P71" i="96"/>
  <c r="N79" i="96"/>
  <c r="N84" i="96"/>
  <c r="N82" i="96"/>
  <c r="P91" i="96"/>
  <c r="P67" i="96"/>
  <c r="N83" i="96"/>
  <c r="N63" i="96"/>
  <c r="P79" i="96"/>
  <c r="P93" i="96"/>
  <c r="N92" i="96"/>
  <c r="P63" i="96"/>
  <c r="N68" i="96"/>
  <c r="N97" i="96"/>
  <c r="P84" i="96"/>
  <c r="P97" i="96"/>
  <c r="N80" i="96"/>
  <c r="P81" i="96"/>
  <c r="C13" i="96"/>
  <c r="P104" i="96"/>
  <c r="K63" i="97"/>
  <c r="M82" i="97"/>
  <c r="M81" i="97"/>
  <c r="G72" i="97"/>
  <c r="K99" i="97"/>
  <c r="E83" i="97"/>
  <c r="J79" i="97"/>
  <c r="E91" i="97"/>
  <c r="H89" i="97"/>
  <c r="B83" i="97"/>
  <c r="E79" i="97"/>
  <c r="H98" i="97"/>
  <c r="J81" i="97"/>
  <c r="K94" i="97"/>
  <c r="H73" i="97"/>
  <c r="J75" i="97"/>
  <c r="H85" i="97"/>
  <c r="M75" i="97"/>
  <c r="G61" i="97"/>
  <c r="E93" i="97"/>
  <c r="H91" i="97"/>
  <c r="K84" i="97"/>
  <c r="H80" i="97"/>
  <c r="H99" i="97"/>
  <c r="J83" i="97"/>
  <c r="J80" i="97"/>
  <c r="J90" i="97"/>
  <c r="J99" i="97"/>
  <c r="G89" i="97"/>
  <c r="G98" i="97"/>
  <c r="K67" i="97"/>
  <c r="G81" i="97"/>
  <c r="E104" i="97"/>
  <c r="M78" i="97"/>
  <c r="K101" i="97"/>
  <c r="B75" i="97"/>
  <c r="K91" i="97"/>
  <c r="E70" i="97"/>
  <c r="B84" i="97"/>
  <c r="H84" i="97"/>
  <c r="B102" i="97"/>
  <c r="D70" i="97"/>
  <c r="D81" i="97"/>
  <c r="D91" i="97"/>
  <c r="D100" i="97"/>
  <c r="M89" i="97"/>
  <c r="M98" i="97"/>
  <c r="J89" i="97"/>
  <c r="J98" i="97"/>
  <c r="G87" i="97"/>
  <c r="G97" i="97"/>
  <c r="G66" i="97"/>
  <c r="B80" i="97"/>
  <c r="E99" i="97"/>
  <c r="H75" i="97"/>
  <c r="K97" i="97"/>
  <c r="K72" i="97"/>
  <c r="K89" i="97"/>
  <c r="M68" i="97"/>
  <c r="H82" i="97"/>
  <c r="M71" i="97"/>
  <c r="B101" i="97"/>
  <c r="D69" i="97"/>
  <c r="D80" i="97"/>
  <c r="D90" i="97"/>
  <c r="D99" i="97"/>
  <c r="M87" i="97"/>
  <c r="M97" i="97"/>
  <c r="G79" i="97"/>
  <c r="K66" i="97"/>
  <c r="E67" i="97"/>
  <c r="E89" i="97"/>
  <c r="G73" i="97"/>
  <c r="H79" i="97"/>
  <c r="G68" i="97"/>
  <c r="H61" i="97"/>
  <c r="B61" i="97"/>
  <c r="K92" i="97"/>
  <c r="B85" i="97"/>
  <c r="H102" i="97"/>
  <c r="B71" i="97"/>
  <c r="B72" i="97"/>
  <c r="B91" i="97"/>
  <c r="B67" i="97"/>
  <c r="B68" i="97"/>
  <c r="B93" i="97"/>
  <c r="K69" i="97"/>
  <c r="M63" i="97"/>
  <c r="G63" i="97"/>
  <c r="E95" i="97"/>
  <c r="B89" i="97"/>
  <c r="H104" i="97"/>
  <c r="J71" i="97"/>
  <c r="J82" i="97"/>
  <c r="J92" i="97"/>
  <c r="J101" i="97"/>
  <c r="G91" i="97"/>
  <c r="G100" i="97"/>
  <c r="G70" i="97"/>
  <c r="E84" i="97"/>
  <c r="H66" i="97"/>
  <c r="E82" i="97"/>
  <c r="B66" i="97"/>
  <c r="K79" i="97"/>
  <c r="E98" i="97"/>
  <c r="M72" i="97"/>
  <c r="B90" i="97"/>
  <c r="B95" i="97"/>
  <c r="D61" i="97"/>
  <c r="D72" i="97"/>
  <c r="D83" i="97"/>
  <c r="D93" i="97"/>
  <c r="D102" i="97"/>
  <c r="M91" i="97"/>
  <c r="M100" i="97"/>
  <c r="J91" i="97"/>
  <c r="J100" i="97"/>
  <c r="G90" i="97"/>
  <c r="G99" i="97"/>
  <c r="B69" i="97"/>
  <c r="K82" i="97"/>
  <c r="E63" i="97"/>
  <c r="M80" i="97"/>
  <c r="K61" i="97"/>
  <c r="G78" i="97"/>
  <c r="K93" i="97"/>
  <c r="H71" i="97"/>
  <c r="B87" i="97"/>
  <c r="K104" i="97"/>
  <c r="B104" i="97"/>
  <c r="D71" i="97"/>
  <c r="D82" i="97"/>
  <c r="D92" i="97"/>
  <c r="D101" i="97"/>
  <c r="M90" i="97"/>
  <c r="M14" i="95"/>
  <c r="M15" i="95"/>
  <c r="N173" i="95"/>
  <c r="N139" i="95"/>
  <c r="F15" i="95"/>
  <c r="P173" i="95"/>
  <c r="H170" i="97"/>
  <c r="H168" i="97"/>
  <c r="H166" i="97"/>
  <c r="H162" i="97"/>
  <c r="H160" i="97"/>
  <c r="H158" i="97"/>
  <c r="H154" i="97"/>
  <c r="H152" i="97"/>
  <c r="H151" i="97"/>
  <c r="H159" i="97"/>
  <c r="H167" i="97"/>
  <c r="J170" i="97"/>
  <c r="D170" i="97"/>
  <c r="J168" i="97"/>
  <c r="D168" i="97"/>
  <c r="J167" i="97"/>
  <c r="D167" i="97"/>
  <c r="J166" i="97"/>
  <c r="D166" i="97"/>
  <c r="J162" i="97"/>
  <c r="D162" i="97"/>
  <c r="J160" i="97"/>
  <c r="D160" i="97"/>
  <c r="J159" i="97"/>
  <c r="D159" i="97"/>
  <c r="J158" i="97"/>
  <c r="D158" i="97"/>
  <c r="J154" i="97"/>
  <c r="D154" i="97"/>
  <c r="J152" i="97"/>
  <c r="D152" i="97"/>
  <c r="J151" i="97"/>
  <c r="D151" i="97"/>
  <c r="J150" i="97"/>
  <c r="D150" i="97"/>
  <c r="J146" i="97"/>
  <c r="D146" i="97"/>
  <c r="J144" i="97"/>
  <c r="D144" i="97"/>
  <c r="J143" i="97"/>
  <c r="D143" i="97"/>
  <c r="J142" i="97"/>
  <c r="D142" i="97"/>
  <c r="E170" i="97"/>
  <c r="K168" i="97"/>
  <c r="B168" i="97"/>
  <c r="E167" i="97"/>
  <c r="K166" i="97"/>
  <c r="B166" i="97"/>
  <c r="E162" i="97"/>
  <c r="K160" i="97"/>
  <c r="B160" i="97"/>
  <c r="E159" i="97"/>
  <c r="K158" i="97"/>
  <c r="B158" i="97"/>
  <c r="E154" i="97"/>
  <c r="K152" i="97"/>
  <c r="B152" i="97"/>
  <c r="E151" i="97"/>
  <c r="K150" i="97"/>
  <c r="E150" i="97"/>
  <c r="K146" i="97"/>
  <c r="E146" i="97"/>
  <c r="K144" i="97"/>
  <c r="E144" i="97"/>
  <c r="K143" i="97"/>
  <c r="E143" i="97"/>
  <c r="K142" i="97"/>
  <c r="E142" i="97"/>
  <c r="M170" i="97"/>
  <c r="G170" i="97"/>
  <c r="M168" i="97"/>
  <c r="G168" i="97"/>
  <c r="M167" i="97"/>
  <c r="G167" i="97"/>
  <c r="M166" i="97"/>
  <c r="G166" i="97"/>
  <c r="M162" i="97"/>
  <c r="G162" i="97"/>
  <c r="M160" i="97"/>
  <c r="G160" i="97"/>
  <c r="M159" i="97"/>
  <c r="G159" i="97"/>
  <c r="M158" i="97"/>
  <c r="G158" i="97"/>
  <c r="M154" i="97"/>
  <c r="G154" i="97"/>
  <c r="M152" i="97"/>
  <c r="G152" i="97"/>
  <c r="M151" i="97"/>
  <c r="G151" i="97"/>
  <c r="M150" i="97"/>
  <c r="G150" i="97"/>
  <c r="M146" i="97"/>
  <c r="G146" i="97"/>
  <c r="M144" i="97"/>
  <c r="G144" i="97"/>
  <c r="M143" i="97"/>
  <c r="G143" i="97"/>
  <c r="M142" i="97"/>
  <c r="G142" i="97"/>
  <c r="K170" i="97"/>
  <c r="B170" i="97"/>
  <c r="E168" i="97"/>
  <c r="K167" i="97"/>
  <c r="B167" i="97"/>
  <c r="E166" i="97"/>
  <c r="K162" i="97"/>
  <c r="B162" i="97"/>
  <c r="E160" i="97"/>
  <c r="K159" i="97"/>
  <c r="B159" i="97"/>
  <c r="E158" i="97"/>
  <c r="K154" i="97"/>
  <c r="B154" i="97"/>
  <c r="E152" i="97"/>
  <c r="K151" i="97"/>
  <c r="B151" i="97"/>
  <c r="H150" i="97"/>
  <c r="B150" i="97"/>
  <c r="H146" i="97"/>
  <c r="B146" i="97"/>
  <c r="H144" i="97"/>
  <c r="B144" i="97"/>
  <c r="H143" i="97"/>
  <c r="B143" i="97"/>
  <c r="H142" i="97"/>
  <c r="B142" i="97"/>
  <c r="J136" i="97"/>
  <c r="D136" i="97"/>
  <c r="J134" i="97"/>
  <c r="D134" i="97"/>
  <c r="J133" i="97"/>
  <c r="D133" i="97"/>
  <c r="J132" i="97"/>
  <c r="D132" i="97"/>
  <c r="J128" i="97"/>
  <c r="D128" i="97"/>
  <c r="J126" i="97"/>
  <c r="D126" i="97"/>
  <c r="J125" i="97"/>
  <c r="D125" i="97"/>
  <c r="J124" i="97"/>
  <c r="D124" i="97"/>
  <c r="J120" i="97"/>
  <c r="D120" i="97"/>
  <c r="J118" i="97"/>
  <c r="D118" i="97"/>
  <c r="J117" i="97"/>
  <c r="D117" i="97"/>
  <c r="J116" i="97"/>
  <c r="D116" i="97"/>
  <c r="J112" i="97"/>
  <c r="D112" i="97"/>
  <c r="J110" i="97"/>
  <c r="D110" i="97"/>
  <c r="J109" i="97"/>
  <c r="D109" i="97"/>
  <c r="J108" i="97"/>
  <c r="D108" i="97"/>
  <c r="H136" i="97"/>
  <c r="B136" i="97"/>
  <c r="H134" i="97"/>
  <c r="B134" i="97"/>
  <c r="H133" i="97"/>
  <c r="B133" i="97"/>
  <c r="H132" i="97"/>
  <c r="B132" i="97"/>
  <c r="H128" i="97"/>
  <c r="B128" i="97"/>
  <c r="H126" i="97"/>
  <c r="B126" i="97"/>
  <c r="H125" i="97"/>
  <c r="B125" i="97"/>
  <c r="H124" i="97"/>
  <c r="B124" i="97"/>
  <c r="H120" i="97"/>
  <c r="B120" i="97"/>
  <c r="H118" i="97"/>
  <c r="B118" i="97"/>
  <c r="H117" i="97"/>
  <c r="B117" i="97"/>
  <c r="H116" i="97"/>
  <c r="B116" i="97"/>
  <c r="H112" i="97"/>
  <c r="B112" i="97"/>
  <c r="H110" i="97"/>
  <c r="B110" i="97"/>
  <c r="H109" i="97"/>
  <c r="B109" i="97"/>
  <c r="H108" i="97"/>
  <c r="B108" i="97"/>
  <c r="M136" i="97"/>
  <c r="G136" i="97"/>
  <c r="M134" i="97"/>
  <c r="G134" i="97"/>
  <c r="M133" i="97"/>
  <c r="G133" i="97"/>
  <c r="M132" i="97"/>
  <c r="G132" i="97"/>
  <c r="M128" i="97"/>
  <c r="G128" i="97"/>
  <c r="M126" i="97"/>
  <c r="G126" i="97"/>
  <c r="M125" i="97"/>
  <c r="G125" i="97"/>
  <c r="M124" i="97"/>
  <c r="G124" i="97"/>
  <c r="M120" i="97"/>
  <c r="G120" i="97"/>
  <c r="M118" i="97"/>
  <c r="G118" i="97"/>
  <c r="M117" i="97"/>
  <c r="G117" i="97"/>
  <c r="M116" i="97"/>
  <c r="G116" i="97"/>
  <c r="M112" i="97"/>
  <c r="G112" i="97"/>
  <c r="M110" i="97"/>
  <c r="G110" i="97"/>
  <c r="M109" i="97"/>
  <c r="G109" i="97"/>
  <c r="M108" i="97"/>
  <c r="G108" i="97"/>
  <c r="K136" i="97"/>
  <c r="E136" i="97"/>
  <c r="K134" i="97"/>
  <c r="E134" i="97"/>
  <c r="K133" i="97"/>
  <c r="E133" i="97"/>
  <c r="K132" i="97"/>
  <c r="E132" i="97"/>
  <c r="K128" i="97"/>
  <c r="E128" i="97"/>
  <c r="K126" i="97"/>
  <c r="E126" i="97"/>
  <c r="K125" i="97"/>
  <c r="E125" i="97"/>
  <c r="K124" i="97"/>
  <c r="E124" i="97"/>
  <c r="K120" i="97"/>
  <c r="E120" i="97"/>
  <c r="K118" i="97"/>
  <c r="E118" i="97"/>
  <c r="K117" i="97"/>
  <c r="E117" i="97"/>
  <c r="K116" i="97"/>
  <c r="E116" i="97"/>
  <c r="K112" i="97"/>
  <c r="E112" i="97"/>
  <c r="K110" i="97"/>
  <c r="E110" i="97"/>
  <c r="K109" i="97"/>
  <c r="E109" i="97"/>
  <c r="K108" i="97"/>
  <c r="E108" i="97"/>
  <c r="M14" i="96"/>
  <c r="B15" i="96"/>
  <c r="C14" i="96"/>
  <c r="D15" i="96"/>
  <c r="E14" i="96"/>
  <c r="P172" i="96"/>
  <c r="C15" i="96"/>
  <c r="N172" i="96"/>
  <c r="N138" i="96"/>
  <c r="B14" i="96"/>
  <c r="E15" i="96"/>
  <c r="D14" i="96"/>
  <c r="P138" i="96"/>
  <c r="P139" i="95"/>
  <c r="M15" i="96"/>
  <c r="AA77" i="14"/>
  <c r="M13" i="95" l="1"/>
  <c r="M13" i="96"/>
  <c r="F13" i="95"/>
  <c r="F13" i="96"/>
  <c r="M138" i="97"/>
  <c r="P69" i="97"/>
  <c r="P118" i="97"/>
  <c r="P98" i="97"/>
  <c r="P166" i="97"/>
  <c r="P63" i="97"/>
  <c r="P73" i="97"/>
  <c r="P102" i="97"/>
  <c r="P134" i="97"/>
  <c r="P61" i="97"/>
  <c r="P66" i="97"/>
  <c r="P68" i="97"/>
  <c r="P70" i="97"/>
  <c r="P72" i="97"/>
  <c r="P75" i="97"/>
  <c r="P97" i="97"/>
  <c r="P99" i="97"/>
  <c r="P101" i="97"/>
  <c r="P117" i="97"/>
  <c r="P128" i="97"/>
  <c r="P133" i="97"/>
  <c r="N167" i="97"/>
  <c r="P158" i="97"/>
  <c r="P160" i="97"/>
  <c r="P67" i="97"/>
  <c r="P71" i="97"/>
  <c r="P100" i="97"/>
  <c r="P116" i="97"/>
  <c r="P132" i="97"/>
  <c r="K13" i="97"/>
  <c r="L13" i="97"/>
  <c r="D13" i="97"/>
  <c r="E13" i="97"/>
  <c r="K138" i="97"/>
  <c r="H138" i="97"/>
  <c r="H172" i="97"/>
  <c r="N154" i="97"/>
  <c r="N158" i="97"/>
  <c r="N159" i="97"/>
  <c r="N160" i="97"/>
  <c r="E172" i="97"/>
  <c r="N146" i="97"/>
  <c r="N150" i="97"/>
  <c r="N151" i="97"/>
  <c r="N152" i="97"/>
  <c r="N162" i="97"/>
  <c r="J138" i="97"/>
  <c r="K14" i="97" s="1"/>
  <c r="P168" i="97"/>
  <c r="N166" i="97"/>
  <c r="P167" i="97"/>
  <c r="P142" i="97"/>
  <c r="P143" i="97"/>
  <c r="P144" i="97"/>
  <c r="D172" i="97"/>
  <c r="I15" i="97" s="1"/>
  <c r="M172" i="97"/>
  <c r="L15" i="97" s="1"/>
  <c r="N168" i="97"/>
  <c r="I13" i="97"/>
  <c r="P104" i="97"/>
  <c r="J13" i="97"/>
  <c r="N61" i="97"/>
  <c r="N63" i="97"/>
  <c r="N66" i="97"/>
  <c r="N67" i="97"/>
  <c r="N68" i="97"/>
  <c r="N69" i="97"/>
  <c r="N70" i="97"/>
  <c r="N71" i="97"/>
  <c r="N72" i="97"/>
  <c r="N73" i="97"/>
  <c r="N75" i="97"/>
  <c r="N97" i="97"/>
  <c r="N98" i="97"/>
  <c r="N99" i="97"/>
  <c r="N100" i="97"/>
  <c r="N101" i="97"/>
  <c r="N102" i="97"/>
  <c r="B13" i="97"/>
  <c r="N78" i="97"/>
  <c r="N79" i="97"/>
  <c r="N80" i="97"/>
  <c r="N81" i="97"/>
  <c r="N82" i="97"/>
  <c r="N83" i="97"/>
  <c r="N84" i="97"/>
  <c r="N85" i="97"/>
  <c r="N87" i="97"/>
  <c r="N89" i="97"/>
  <c r="N90" i="97"/>
  <c r="N91" i="97"/>
  <c r="N92" i="97"/>
  <c r="N93" i="97"/>
  <c r="N94" i="97"/>
  <c r="N95" i="97"/>
  <c r="N104" i="97"/>
  <c r="C13" i="97"/>
  <c r="P112" i="97"/>
  <c r="G138" i="97"/>
  <c r="J14" i="97" s="1"/>
  <c r="N112" i="97"/>
  <c r="E138" i="97"/>
  <c r="N116" i="97"/>
  <c r="N117" i="97"/>
  <c r="N118" i="97"/>
  <c r="N128" i="97"/>
  <c r="N132" i="97"/>
  <c r="N133" i="97"/>
  <c r="N134" i="97"/>
  <c r="N108" i="97"/>
  <c r="N109" i="97"/>
  <c r="N110" i="97"/>
  <c r="B138" i="97"/>
  <c r="N120" i="97"/>
  <c r="N124" i="97"/>
  <c r="N125" i="97"/>
  <c r="N126" i="97"/>
  <c r="N136" i="97"/>
  <c r="N142" i="97"/>
  <c r="N143" i="97"/>
  <c r="N144" i="97"/>
  <c r="B172" i="97"/>
  <c r="K172" i="97"/>
  <c r="G172" i="97"/>
  <c r="J15" i="97" s="1"/>
  <c r="P146" i="97"/>
  <c r="P78" i="97"/>
  <c r="P79" i="97"/>
  <c r="P80" i="97"/>
  <c r="P81" i="97"/>
  <c r="P82" i="97"/>
  <c r="P83" i="97"/>
  <c r="P84" i="97"/>
  <c r="P85" i="97"/>
  <c r="P87" i="97"/>
  <c r="P89" i="97"/>
  <c r="P90" i="97"/>
  <c r="P91" i="97"/>
  <c r="P92" i="97"/>
  <c r="P93" i="97"/>
  <c r="P94" i="97"/>
  <c r="P95" i="97"/>
  <c r="P108" i="97"/>
  <c r="P109" i="97"/>
  <c r="P110" i="97"/>
  <c r="D138" i="97"/>
  <c r="I14" i="97" s="1"/>
  <c r="P120" i="97"/>
  <c r="P124" i="97"/>
  <c r="P125" i="97"/>
  <c r="P126" i="97"/>
  <c r="P136" i="97"/>
  <c r="J172" i="97"/>
  <c r="K15" i="97" s="1"/>
  <c r="P154" i="97"/>
  <c r="P159" i="97"/>
  <c r="P170" i="97"/>
  <c r="P150" i="97"/>
  <c r="P151" i="97"/>
  <c r="P152" i="97"/>
  <c r="P162" i="97"/>
  <c r="N170" i="97"/>
  <c r="F15" i="96"/>
  <c r="F14" i="96"/>
  <c r="B11" i="23"/>
  <c r="L14" i="97" l="1"/>
  <c r="M14" i="97" s="1"/>
  <c r="E15" i="97"/>
  <c r="B14" i="97"/>
  <c r="F13" i="97"/>
  <c r="C15" i="97"/>
  <c r="D14" i="97"/>
  <c r="M15" i="97"/>
  <c r="B15" i="97"/>
  <c r="C14" i="97"/>
  <c r="N138" i="97"/>
  <c r="M13" i="97"/>
  <c r="N172" i="97"/>
  <c r="D15" i="97"/>
  <c r="E14" i="97"/>
  <c r="P172" i="97"/>
  <c r="P138" i="97"/>
  <c r="AA91" i="14"/>
  <c r="B10" i="23" s="1"/>
  <c r="C20" i="23" s="1"/>
  <c r="V20" i="23" s="1"/>
  <c r="B8" i="23"/>
  <c r="C18" i="23" s="1"/>
  <c r="C18" i="84"/>
  <c r="AA117" i="14"/>
  <c r="AA109" i="14" l="1"/>
  <c r="AA130" i="14"/>
  <c r="C15" i="21" s="1"/>
  <c r="AA132" i="14"/>
  <c r="F14" i="97"/>
  <c r="F15" i="97"/>
  <c r="J20" i="23"/>
  <c r="K20" i="23"/>
  <c r="AC20" i="23"/>
  <c r="P20" i="23"/>
  <c r="AB20" i="23"/>
  <c r="Q20" i="23"/>
  <c r="W20" i="23"/>
  <c r="B13" i="23"/>
  <c r="C21" i="23" s="1"/>
  <c r="AA101" i="14"/>
  <c r="B8" i="22" s="1"/>
  <c r="C17" i="22" s="1"/>
  <c r="B9" i="23"/>
  <c r="C19" i="23" s="1"/>
  <c r="J19" i="23" s="1"/>
  <c r="Q18" i="23"/>
  <c r="P18" i="23"/>
  <c r="W18" i="23"/>
  <c r="AB18" i="23"/>
  <c r="AC18" i="23"/>
  <c r="V18" i="23"/>
  <c r="K18" i="23"/>
  <c r="J18" i="23"/>
  <c r="B10" i="22"/>
  <c r="C10" i="13" l="1"/>
  <c r="B12" i="22"/>
  <c r="C19" i="22" s="1"/>
  <c r="J19" i="22" s="1"/>
  <c r="J20" i="22" s="1"/>
  <c r="C12" i="21"/>
  <c r="J12" i="21" s="1"/>
  <c r="P19" i="23"/>
  <c r="Q19" i="23"/>
  <c r="B9" i="22"/>
  <c r="C18" i="22" s="1"/>
  <c r="W18" i="22" s="1"/>
  <c r="AB19" i="23"/>
  <c r="W19" i="23"/>
  <c r="K19" i="23"/>
  <c r="V19" i="23"/>
  <c r="AC19" i="23"/>
  <c r="C11" i="21"/>
  <c r="J11" i="21" s="1"/>
  <c r="AB21" i="23"/>
  <c r="P21" i="23"/>
  <c r="V21" i="23"/>
  <c r="D21" i="23"/>
  <c r="J25" i="23"/>
  <c r="B26" i="21" s="1"/>
  <c r="J17" i="22"/>
  <c r="AB17" i="22"/>
  <c r="W17" i="22"/>
  <c r="K17" i="22"/>
  <c r="AC17" i="22"/>
  <c r="Q17" i="22"/>
  <c r="V17" i="22"/>
  <c r="P17" i="22"/>
  <c r="B9" i="24"/>
  <c r="C15" i="24" s="1"/>
  <c r="C14" i="21"/>
  <c r="B8" i="44" l="1"/>
  <c r="B8" i="99"/>
  <c r="AC12" i="21"/>
  <c r="P18" i="22"/>
  <c r="K12" i="21"/>
  <c r="Q11" i="21"/>
  <c r="AB18" i="22"/>
  <c r="W12" i="21"/>
  <c r="Q12" i="21"/>
  <c r="AC11" i="21"/>
  <c r="V12" i="21"/>
  <c r="P12" i="21"/>
  <c r="AB12" i="21"/>
  <c r="AB19" i="22"/>
  <c r="AB20" i="22" s="1"/>
  <c r="P11" i="21"/>
  <c r="W11" i="21"/>
  <c r="W13" i="21" s="1"/>
  <c r="G35" i="21" s="1"/>
  <c r="G8" i="24" s="1"/>
  <c r="T15" i="24" s="1"/>
  <c r="J18" i="22"/>
  <c r="Q18" i="22"/>
  <c r="B8" i="43"/>
  <c r="V19" i="22"/>
  <c r="V20" i="22" s="1"/>
  <c r="V18" i="22"/>
  <c r="AC18" i="22"/>
  <c r="K18" i="22"/>
  <c r="P19" i="22"/>
  <c r="P20" i="22" s="1"/>
  <c r="D19" i="22"/>
  <c r="AC19" i="22" s="1"/>
  <c r="K11" i="21"/>
  <c r="V11" i="21"/>
  <c r="AB11" i="21"/>
  <c r="B8" i="84"/>
  <c r="Q21" i="23"/>
  <c r="W21" i="23"/>
  <c r="AC21" i="23"/>
  <c r="K21" i="23"/>
  <c r="P23" i="23"/>
  <c r="P22" i="23"/>
  <c r="V22" i="23"/>
  <c r="V23" i="23"/>
  <c r="AB22" i="23"/>
  <c r="AB23" i="23"/>
  <c r="B8" i="45"/>
  <c r="B8" i="46"/>
  <c r="B8" i="42"/>
  <c r="J13" i="21"/>
  <c r="B35" i="21" s="1"/>
  <c r="B8" i="24" s="1"/>
  <c r="G15" i="24" s="1"/>
  <c r="C16" i="21"/>
  <c r="C18" i="21" s="1"/>
  <c r="J21" i="22"/>
  <c r="K13" i="21" l="1"/>
  <c r="C35" i="21" s="1"/>
  <c r="C8" i="24" s="1"/>
  <c r="H15" i="24" s="1"/>
  <c r="K15" i="24" s="1"/>
  <c r="D235" i="98" s="1"/>
  <c r="B342" i="96"/>
  <c r="B349" i="95"/>
  <c r="B354" i="98"/>
  <c r="B342" i="97"/>
  <c r="V21" i="22"/>
  <c r="V23" i="22" s="1"/>
  <c r="F32" i="21" s="1"/>
  <c r="AC13" i="21"/>
  <c r="I35" i="21" s="1"/>
  <c r="I8" i="24" s="1"/>
  <c r="Z15" i="24" s="1"/>
  <c r="P13" i="21"/>
  <c r="D35" i="21" s="1"/>
  <c r="D8" i="24" s="1"/>
  <c r="M15" i="24" s="1"/>
  <c r="P15" i="24" s="1"/>
  <c r="E235" i="98" s="1"/>
  <c r="Q13" i="21"/>
  <c r="E35" i="21" s="1"/>
  <c r="E8" i="24" s="1"/>
  <c r="N15" i="24" s="1"/>
  <c r="P21" i="22"/>
  <c r="P23" i="22" s="1"/>
  <c r="D32" i="21" s="1"/>
  <c r="AB21" i="22"/>
  <c r="AB23" i="22" s="1"/>
  <c r="H31" i="21" s="1"/>
  <c r="H10" i="99" s="1"/>
  <c r="V13" i="21"/>
  <c r="F35" i="21" s="1"/>
  <c r="F8" i="24" s="1"/>
  <c r="S15" i="24" s="1"/>
  <c r="W15" i="24" s="1"/>
  <c r="J235" i="98" s="1"/>
  <c r="AC20" i="22"/>
  <c r="AB13" i="21"/>
  <c r="H35" i="21" s="1"/>
  <c r="H8" i="24" s="1"/>
  <c r="Y15" i="24" s="1"/>
  <c r="AB15" i="24" s="1"/>
  <c r="K235" i="98" s="1"/>
  <c r="Q19" i="22"/>
  <c r="Q20" i="22" s="1"/>
  <c r="W19" i="22"/>
  <c r="W20" i="22" s="1"/>
  <c r="K19" i="22"/>
  <c r="K20" i="22" s="1"/>
  <c r="AB25" i="23"/>
  <c r="H26" i="21" s="1"/>
  <c r="H8" i="99" s="1"/>
  <c r="V25" i="23"/>
  <c r="F26" i="21" s="1"/>
  <c r="F8" i="99" s="1"/>
  <c r="AC23" i="23"/>
  <c r="AC22" i="23"/>
  <c r="Q23" i="23"/>
  <c r="Q22" i="23"/>
  <c r="P25" i="23"/>
  <c r="D26" i="21" s="1"/>
  <c r="D8" i="99" s="1"/>
  <c r="K23" i="23"/>
  <c r="K22" i="23"/>
  <c r="W23" i="23"/>
  <c r="W22" i="23"/>
  <c r="J15" i="24"/>
  <c r="B235" i="98" s="1"/>
  <c r="J23" i="22"/>
  <c r="B31" i="21" s="1"/>
  <c r="B10" i="99" s="1"/>
  <c r="AC21" i="22"/>
  <c r="C17" i="21"/>
  <c r="D343" i="96" l="1"/>
  <c r="D350" i="95"/>
  <c r="D355" i="98"/>
  <c r="D343" i="97"/>
  <c r="D348" i="95"/>
  <c r="D341" i="96"/>
  <c r="D353" i="98"/>
  <c r="D341" i="97"/>
  <c r="B343" i="96"/>
  <c r="B350" i="95"/>
  <c r="B355" i="98"/>
  <c r="B343" i="97"/>
  <c r="E342" i="96"/>
  <c r="E349" i="95"/>
  <c r="E354" i="98"/>
  <c r="E342" i="97"/>
  <c r="H342" i="96"/>
  <c r="H354" i="98"/>
  <c r="H349" i="95"/>
  <c r="H342" i="97"/>
  <c r="K342" i="96"/>
  <c r="K354" i="98"/>
  <c r="K349" i="95"/>
  <c r="K342" i="97"/>
  <c r="D342" i="96"/>
  <c r="D349" i="95"/>
  <c r="D354" i="98"/>
  <c r="D342" i="97"/>
  <c r="B348" i="95"/>
  <c r="B341" i="96"/>
  <c r="B353" i="98"/>
  <c r="B341" i="97"/>
  <c r="AB17" i="24"/>
  <c r="K237" i="98" s="1"/>
  <c r="E233" i="96"/>
  <c r="Q15" i="24"/>
  <c r="G235" i="98" s="1"/>
  <c r="D233" i="97"/>
  <c r="P17" i="24"/>
  <c r="E237" i="98" s="1"/>
  <c r="E240" i="95"/>
  <c r="E233" i="97"/>
  <c r="K20" i="13"/>
  <c r="Q21" i="22"/>
  <c r="Q23" i="22" s="1"/>
  <c r="E31" i="21" s="1"/>
  <c r="E10" i="99" s="1"/>
  <c r="J20" i="13"/>
  <c r="V15" i="24"/>
  <c r="H235" i="98" s="1"/>
  <c r="N235" i="98" s="1"/>
  <c r="D240" i="95"/>
  <c r="K17" i="24"/>
  <c r="D237" i="98" s="1"/>
  <c r="I23" i="98" s="1"/>
  <c r="D233" i="96"/>
  <c r="B233" i="97"/>
  <c r="J233" i="97"/>
  <c r="K233" i="97"/>
  <c r="K233" i="96"/>
  <c r="B233" i="96"/>
  <c r="J233" i="96"/>
  <c r="K240" i="95"/>
  <c r="B240" i="95"/>
  <c r="J240" i="95"/>
  <c r="AC15" i="24"/>
  <c r="M235" i="98" s="1"/>
  <c r="W21" i="22"/>
  <c r="W23" i="22" s="1"/>
  <c r="G31" i="21" s="1"/>
  <c r="G10" i="99" s="1"/>
  <c r="W17" i="24"/>
  <c r="J237" i="98" s="1"/>
  <c r="K21" i="22"/>
  <c r="K23" i="22" s="1"/>
  <c r="J17" i="24"/>
  <c r="B237" i="98" s="1"/>
  <c r="B32" i="21"/>
  <c r="B34" i="21" s="1"/>
  <c r="B11" i="99" s="1"/>
  <c r="G18" i="99" s="1"/>
  <c r="W25" i="23"/>
  <c r="G26" i="21" s="1"/>
  <c r="K25" i="23"/>
  <c r="C26" i="21" s="1"/>
  <c r="C8" i="99" s="1"/>
  <c r="F31" i="21"/>
  <c r="H32" i="21"/>
  <c r="H34" i="21" s="1"/>
  <c r="H11" i="99" s="1"/>
  <c r="Y18" i="99" s="1"/>
  <c r="D31" i="21"/>
  <c r="Q25" i="23"/>
  <c r="E26" i="21" s="1"/>
  <c r="E8" i="99" s="1"/>
  <c r="AC25" i="23"/>
  <c r="I26" i="21" s="1"/>
  <c r="F8" i="44"/>
  <c r="F8" i="43"/>
  <c r="F8" i="46"/>
  <c r="F8" i="42"/>
  <c r="F8" i="84"/>
  <c r="F8" i="45"/>
  <c r="D8" i="42"/>
  <c r="D8" i="44"/>
  <c r="D8" i="46"/>
  <c r="D8" i="84"/>
  <c r="D8" i="43"/>
  <c r="D8" i="45"/>
  <c r="H8" i="44"/>
  <c r="H8" i="46"/>
  <c r="H8" i="84"/>
  <c r="H8" i="43"/>
  <c r="H8" i="45"/>
  <c r="H8" i="42"/>
  <c r="D34" i="21"/>
  <c r="AC23" i="22"/>
  <c r="I32" i="21" s="1"/>
  <c r="B10" i="44"/>
  <c r="B10" i="42"/>
  <c r="G19" i="42" s="1"/>
  <c r="B10" i="45"/>
  <c r="G29" i="45" s="1"/>
  <c r="B10" i="43"/>
  <c r="G19" i="43" s="1"/>
  <c r="B10" i="84"/>
  <c r="B10" i="46"/>
  <c r="G19" i="46" s="1"/>
  <c r="H10" i="45"/>
  <c r="H10" i="42"/>
  <c r="H10" i="44"/>
  <c r="H10" i="84"/>
  <c r="H10" i="46"/>
  <c r="H10" i="43"/>
  <c r="F34" i="21"/>
  <c r="F11" i="99" s="1"/>
  <c r="S18" i="99" s="1"/>
  <c r="F10" i="45" l="1"/>
  <c r="S29" i="45" s="1"/>
  <c r="V29" i="45" s="1"/>
  <c r="F10" i="99"/>
  <c r="D11" i="43"/>
  <c r="M20" i="43" s="1"/>
  <c r="P20" i="43" s="1"/>
  <c r="E209" i="98" s="1"/>
  <c r="D11" i="99"/>
  <c r="M18" i="99" s="1"/>
  <c r="D10" i="42"/>
  <c r="M19" i="42" s="1"/>
  <c r="P19" i="42" s="1"/>
  <c r="D10" i="99"/>
  <c r="G8" i="44"/>
  <c r="G8" i="99"/>
  <c r="I8" i="45"/>
  <c r="I8" i="99"/>
  <c r="V18" i="99"/>
  <c r="AB18" i="99"/>
  <c r="J18" i="99"/>
  <c r="K350" i="95"/>
  <c r="K355" i="98"/>
  <c r="K343" i="96"/>
  <c r="K343" i="97"/>
  <c r="H348" i="95"/>
  <c r="H341" i="96"/>
  <c r="H353" i="98"/>
  <c r="H341" i="97"/>
  <c r="B352" i="95"/>
  <c r="B25" i="95" s="1"/>
  <c r="B357" i="98"/>
  <c r="B25" i="98" s="1"/>
  <c r="B345" i="96"/>
  <c r="B24" i="96" s="1"/>
  <c r="B345" i="97"/>
  <c r="B24" i="97" s="1"/>
  <c r="M348" i="95"/>
  <c r="M341" i="96"/>
  <c r="M353" i="98"/>
  <c r="M341" i="97"/>
  <c r="M342" i="96"/>
  <c r="M354" i="98"/>
  <c r="M349" i="95"/>
  <c r="M342" i="97"/>
  <c r="E350" i="95"/>
  <c r="E343" i="96"/>
  <c r="E355" i="98"/>
  <c r="E343" i="97"/>
  <c r="E348" i="95"/>
  <c r="E341" i="96"/>
  <c r="E353" i="98"/>
  <c r="E341" i="97"/>
  <c r="G348" i="95"/>
  <c r="G341" i="96"/>
  <c r="G353" i="98"/>
  <c r="G341" i="97"/>
  <c r="J348" i="95"/>
  <c r="J341" i="96"/>
  <c r="J353" i="98"/>
  <c r="J341" i="97"/>
  <c r="D345" i="96"/>
  <c r="I24" i="96" s="1"/>
  <c r="D357" i="98"/>
  <c r="I25" i="98" s="1"/>
  <c r="D352" i="95"/>
  <c r="I25" i="95" s="1"/>
  <c r="D345" i="97"/>
  <c r="I24" i="97" s="1"/>
  <c r="J342" i="96"/>
  <c r="J349" i="95"/>
  <c r="J354" i="98"/>
  <c r="J342" i="97"/>
  <c r="K348" i="95"/>
  <c r="K353" i="98"/>
  <c r="K341" i="96"/>
  <c r="K341" i="97"/>
  <c r="H343" i="96"/>
  <c r="H350" i="95"/>
  <c r="H355" i="98"/>
  <c r="H343" i="97"/>
  <c r="G354" i="98"/>
  <c r="G349" i="95"/>
  <c r="G342" i="96"/>
  <c r="G342" i="97"/>
  <c r="K235" i="96"/>
  <c r="E23" i="96" s="1"/>
  <c r="K242" i="95"/>
  <c r="E24" i="95" s="1"/>
  <c r="K235" i="97"/>
  <c r="E23" i="97" s="1"/>
  <c r="P20" i="13"/>
  <c r="D242" i="95"/>
  <c r="I24" i="95" s="1"/>
  <c r="V20" i="13"/>
  <c r="Q20" i="13"/>
  <c r="Q17" i="24"/>
  <c r="G237" i="98" s="1"/>
  <c r="G233" i="97"/>
  <c r="G240" i="95"/>
  <c r="E235" i="96"/>
  <c r="C23" i="96" s="1"/>
  <c r="G233" i="96"/>
  <c r="H240" i="95"/>
  <c r="N240" i="95" s="1"/>
  <c r="W20" i="13"/>
  <c r="AC17" i="24"/>
  <c r="M237" i="98" s="1"/>
  <c r="L23" i="98" s="1"/>
  <c r="E242" i="95"/>
  <c r="C24" i="95" s="1"/>
  <c r="H233" i="96"/>
  <c r="N233" i="96" s="1"/>
  <c r="E235" i="97"/>
  <c r="C23" i="97" s="1"/>
  <c r="AC20" i="13"/>
  <c r="AB20" i="13"/>
  <c r="V17" i="24"/>
  <c r="H237" i="98" s="1"/>
  <c r="N237" i="98" s="1"/>
  <c r="D235" i="96"/>
  <c r="I23" i="96" s="1"/>
  <c r="H233" i="97"/>
  <c r="N233" i="97" s="1"/>
  <c r="D235" i="97"/>
  <c r="I23" i="97" s="1"/>
  <c r="G8" i="46"/>
  <c r="K23" i="98"/>
  <c r="J235" i="97"/>
  <c r="K23" i="97" s="1"/>
  <c r="M233" i="97"/>
  <c r="N354" i="98"/>
  <c r="E23" i="98"/>
  <c r="P235" i="98"/>
  <c r="B235" i="97"/>
  <c r="C23" i="98"/>
  <c r="B235" i="96"/>
  <c r="M233" i="96"/>
  <c r="N342" i="97"/>
  <c r="J235" i="96"/>
  <c r="K23" i="96" s="1"/>
  <c r="B242" i="95"/>
  <c r="J242" i="95"/>
  <c r="K24" i="95" s="1"/>
  <c r="M240" i="95"/>
  <c r="N342" i="96"/>
  <c r="N349" i="95"/>
  <c r="C8" i="45"/>
  <c r="F10" i="43"/>
  <c r="S19" i="43" s="1"/>
  <c r="V19" i="43" s="1"/>
  <c r="H208" i="98" s="1"/>
  <c r="C8" i="46"/>
  <c r="C8" i="43"/>
  <c r="C8" i="42"/>
  <c r="C8" i="84"/>
  <c r="C8" i="44"/>
  <c r="I8" i="42"/>
  <c r="D10" i="84"/>
  <c r="F10" i="84"/>
  <c r="D10" i="46"/>
  <c r="M19" i="46" s="1"/>
  <c r="P19" i="46" s="1"/>
  <c r="E215" i="98" s="1"/>
  <c r="D10" i="43"/>
  <c r="M19" i="43" s="1"/>
  <c r="P19" i="43" s="1"/>
  <c r="E208" i="98" s="1"/>
  <c r="D10" i="45"/>
  <c r="M29" i="45" s="1"/>
  <c r="P29" i="45" s="1"/>
  <c r="F10" i="46"/>
  <c r="S19" i="46" s="1"/>
  <c r="V19" i="46" s="1"/>
  <c r="H215" i="98" s="1"/>
  <c r="F10" i="42"/>
  <c r="S19" i="42" s="1"/>
  <c r="V19" i="42" s="1"/>
  <c r="D10" i="44"/>
  <c r="F10" i="44"/>
  <c r="D11" i="45"/>
  <c r="M30" i="45" s="1"/>
  <c r="I34" i="21"/>
  <c r="Y19" i="43"/>
  <c r="AB19" i="43" s="1"/>
  <c r="K208" i="98" s="1"/>
  <c r="Y19" i="46"/>
  <c r="AB19" i="46" s="1"/>
  <c r="K215" i="98" s="1"/>
  <c r="G8" i="42"/>
  <c r="Y19" i="42"/>
  <c r="AB19" i="42" s="1"/>
  <c r="G8" i="45"/>
  <c r="G8" i="43"/>
  <c r="G8" i="84"/>
  <c r="Y29" i="45"/>
  <c r="AB29" i="45" s="1"/>
  <c r="I31" i="21"/>
  <c r="D11" i="46"/>
  <c r="M20" i="46" s="1"/>
  <c r="P20" i="46" s="1"/>
  <c r="E216" i="98" s="1"/>
  <c r="E8" i="45"/>
  <c r="E8" i="43"/>
  <c r="E8" i="44"/>
  <c r="E8" i="46"/>
  <c r="E8" i="84"/>
  <c r="E8" i="42"/>
  <c r="I8" i="46"/>
  <c r="I8" i="44"/>
  <c r="I8" i="84"/>
  <c r="I8" i="43"/>
  <c r="D11" i="44"/>
  <c r="M19" i="44" s="1"/>
  <c r="P19" i="44" s="1"/>
  <c r="D11" i="84"/>
  <c r="M18" i="84" s="1"/>
  <c r="P18" i="84" s="1"/>
  <c r="D11" i="42"/>
  <c r="M20" i="42" s="1"/>
  <c r="P20" i="42" s="1"/>
  <c r="E32" i="21"/>
  <c r="E34" i="21" s="1"/>
  <c r="G32" i="21"/>
  <c r="G34" i="21" s="1"/>
  <c r="F11" i="45"/>
  <c r="S30" i="45" s="1"/>
  <c r="F11" i="43"/>
  <c r="S20" i="43" s="1"/>
  <c r="F11" i="44"/>
  <c r="S19" i="44" s="1"/>
  <c r="F11" i="46"/>
  <c r="S20" i="46" s="1"/>
  <c r="F11" i="84"/>
  <c r="S18" i="84" s="1"/>
  <c r="F11" i="42"/>
  <c r="S20" i="42" s="1"/>
  <c r="J29" i="45"/>
  <c r="G10" i="43"/>
  <c r="G10" i="42"/>
  <c r="G10" i="45"/>
  <c r="G10" i="44"/>
  <c r="G10" i="84"/>
  <c r="G10" i="46"/>
  <c r="B11" i="84"/>
  <c r="G18" i="84" s="1"/>
  <c r="B11" i="43"/>
  <c r="G20" i="43" s="1"/>
  <c r="B11" i="45"/>
  <c r="G30" i="45" s="1"/>
  <c r="B11" i="42"/>
  <c r="G20" i="42" s="1"/>
  <c r="B11" i="46"/>
  <c r="G20" i="46" s="1"/>
  <c r="B11" i="44"/>
  <c r="G19" i="44" s="1"/>
  <c r="C32" i="21"/>
  <c r="C34" i="21" s="1"/>
  <c r="C11" i="99" s="1"/>
  <c r="H18" i="99" s="1"/>
  <c r="K18" i="99" s="1"/>
  <c r="C31" i="21"/>
  <c r="C10" i="99" s="1"/>
  <c r="E10" i="84"/>
  <c r="E10" i="46"/>
  <c r="E10" i="45"/>
  <c r="E10" i="43"/>
  <c r="E10" i="44"/>
  <c r="E10" i="42"/>
  <c r="J19" i="46"/>
  <c r="B215" i="98" s="1"/>
  <c r="J19" i="43"/>
  <c r="B208" i="98" s="1"/>
  <c r="J19" i="42"/>
  <c r="H11" i="45"/>
  <c r="Y30" i="45" s="1"/>
  <c r="H11" i="43"/>
  <c r="Y20" i="43" s="1"/>
  <c r="H11" i="46"/>
  <c r="Y20" i="46" s="1"/>
  <c r="H11" i="84"/>
  <c r="Y18" i="84" s="1"/>
  <c r="H11" i="42"/>
  <c r="Y20" i="42" s="1"/>
  <c r="H11" i="44"/>
  <c r="Y19" i="44" s="1"/>
  <c r="K20" i="99" l="1"/>
  <c r="D229" i="98"/>
  <c r="D228" i="95"/>
  <c r="D227" i="96"/>
  <c r="D227" i="97"/>
  <c r="AB20" i="99"/>
  <c r="K229" i="98"/>
  <c r="K227" i="96"/>
  <c r="K228" i="95"/>
  <c r="K227" i="97"/>
  <c r="V20" i="99"/>
  <c r="H229" i="98"/>
  <c r="H228" i="95"/>
  <c r="H227" i="96"/>
  <c r="H227" i="97"/>
  <c r="J20" i="99"/>
  <c r="B229" i="98"/>
  <c r="B227" i="96"/>
  <c r="B228" i="95"/>
  <c r="B227" i="97"/>
  <c r="G11" i="84"/>
  <c r="T18" i="84" s="1"/>
  <c r="W18" i="84" s="1"/>
  <c r="G11" i="99"/>
  <c r="T18" i="99" s="1"/>
  <c r="W18" i="99" s="1"/>
  <c r="E11" i="46"/>
  <c r="N20" i="46" s="1"/>
  <c r="Q20" i="46" s="1"/>
  <c r="G216" i="98" s="1"/>
  <c r="E11" i="99"/>
  <c r="N18" i="99" s="1"/>
  <c r="Q18" i="99" s="1"/>
  <c r="I11" i="42"/>
  <c r="Z20" i="42" s="1"/>
  <c r="AC20" i="42" s="1"/>
  <c r="I11" i="99"/>
  <c r="Z18" i="99" s="1"/>
  <c r="AC18" i="99" s="1"/>
  <c r="I10" i="43"/>
  <c r="Z19" i="43" s="1"/>
  <c r="AC19" i="43" s="1"/>
  <c r="M208" i="98" s="1"/>
  <c r="I10" i="99"/>
  <c r="P18" i="99"/>
  <c r="E222" i="98"/>
  <c r="P22" i="44"/>
  <c r="E225" i="98" s="1"/>
  <c r="H201" i="98"/>
  <c r="H200" i="95"/>
  <c r="B201" i="98"/>
  <c r="B200" i="95"/>
  <c r="E202" i="98"/>
  <c r="E201" i="95"/>
  <c r="E201" i="98"/>
  <c r="E200" i="95"/>
  <c r="K201" i="98"/>
  <c r="K200" i="95"/>
  <c r="AB30" i="45"/>
  <c r="AB42" i="45" s="1"/>
  <c r="V30" i="45"/>
  <c r="V42" i="45" s="1"/>
  <c r="J30" i="45"/>
  <c r="J42" i="45" s="1"/>
  <c r="P30" i="45"/>
  <c r="P42" i="45" s="1"/>
  <c r="N353" i="98"/>
  <c r="P354" i="98"/>
  <c r="P353" i="98"/>
  <c r="N355" i="98"/>
  <c r="H345" i="96"/>
  <c r="H352" i="95"/>
  <c r="D25" i="95" s="1"/>
  <c r="H357" i="98"/>
  <c r="D25" i="98" s="1"/>
  <c r="H345" i="97"/>
  <c r="D24" i="97" s="1"/>
  <c r="K345" i="96"/>
  <c r="E24" i="96" s="1"/>
  <c r="K357" i="98"/>
  <c r="E25" i="98" s="1"/>
  <c r="K352" i="95"/>
  <c r="K345" i="97"/>
  <c r="E24" i="97" s="1"/>
  <c r="G345" i="96"/>
  <c r="J24" i="96" s="1"/>
  <c r="G352" i="95"/>
  <c r="J25" i="95" s="1"/>
  <c r="G357" i="98"/>
  <c r="J25" i="98" s="1"/>
  <c r="G345" i="97"/>
  <c r="E345" i="96"/>
  <c r="C24" i="96" s="1"/>
  <c r="E357" i="98"/>
  <c r="C25" i="98" s="1"/>
  <c r="E352" i="95"/>
  <c r="C25" i="95" s="1"/>
  <c r="E345" i="97"/>
  <c r="C24" i="97" s="1"/>
  <c r="M345" i="96"/>
  <c r="L24" i="96" s="1"/>
  <c r="M352" i="95"/>
  <c r="L25" i="95" s="1"/>
  <c r="M357" i="98"/>
  <c r="L25" i="98" s="1"/>
  <c r="M345" i="97"/>
  <c r="L24" i="97" s="1"/>
  <c r="J345" i="96"/>
  <c r="K24" i="96" s="1"/>
  <c r="J357" i="98"/>
  <c r="J352" i="95"/>
  <c r="K25" i="95" s="1"/>
  <c r="J345" i="97"/>
  <c r="K24" i="97" s="1"/>
  <c r="E184" i="98"/>
  <c r="B184" i="98"/>
  <c r="K184" i="98"/>
  <c r="H184" i="98"/>
  <c r="N341" i="96"/>
  <c r="N348" i="95"/>
  <c r="N341" i="97"/>
  <c r="N350" i="95"/>
  <c r="G235" i="96"/>
  <c r="J23" i="96" s="1"/>
  <c r="N343" i="97"/>
  <c r="P348" i="95"/>
  <c r="P341" i="97"/>
  <c r="P233" i="96"/>
  <c r="N343" i="96"/>
  <c r="P342" i="96"/>
  <c r="P349" i="95"/>
  <c r="P341" i="96"/>
  <c r="P342" i="97"/>
  <c r="P233" i="97"/>
  <c r="G235" i="97"/>
  <c r="P240" i="95"/>
  <c r="G242" i="95"/>
  <c r="M242" i="95"/>
  <c r="L24" i="95" s="1"/>
  <c r="M235" i="97"/>
  <c r="L23" i="97" s="1"/>
  <c r="M235" i="96"/>
  <c r="L23" i="96" s="1"/>
  <c r="H242" i="95"/>
  <c r="N242" i="95" s="1"/>
  <c r="H235" i="97"/>
  <c r="D23" i="97" s="1"/>
  <c r="F23" i="97" s="1"/>
  <c r="H235" i="96"/>
  <c r="N235" i="96" s="1"/>
  <c r="T19" i="46"/>
  <c r="W19" i="46" s="1"/>
  <c r="J215" i="98" s="1"/>
  <c r="E207" i="97"/>
  <c r="B199" i="97"/>
  <c r="B213" i="97"/>
  <c r="B182" i="97"/>
  <c r="E200" i="97"/>
  <c r="E220" i="97"/>
  <c r="E214" i="97"/>
  <c r="E182" i="97"/>
  <c r="H206" i="97"/>
  <c r="K199" i="97"/>
  <c r="K206" i="97"/>
  <c r="E213" i="97"/>
  <c r="H199" i="97"/>
  <c r="H182" i="97"/>
  <c r="B206" i="97"/>
  <c r="E178" i="98"/>
  <c r="E176" i="97"/>
  <c r="K182" i="97"/>
  <c r="E199" i="97"/>
  <c r="K213" i="97"/>
  <c r="H213" i="97"/>
  <c r="E206" i="97"/>
  <c r="P237" i="98"/>
  <c r="J23" i="98"/>
  <c r="M23" i="98" s="1"/>
  <c r="B23" i="98"/>
  <c r="D23" i="98"/>
  <c r="F23" i="98" s="1"/>
  <c r="E207" i="96"/>
  <c r="B213" i="96"/>
  <c r="H213" i="96"/>
  <c r="E206" i="96"/>
  <c r="B199" i="96"/>
  <c r="E176" i="96"/>
  <c r="E182" i="96"/>
  <c r="H206" i="96"/>
  <c r="K199" i="96"/>
  <c r="K206" i="96"/>
  <c r="E213" i="96"/>
  <c r="B206" i="96"/>
  <c r="B182" i="96"/>
  <c r="E200" i="96"/>
  <c r="E220" i="96"/>
  <c r="E214" i="96"/>
  <c r="K182" i="96"/>
  <c r="E199" i="96"/>
  <c r="K213" i="96"/>
  <c r="H199" i="96"/>
  <c r="H182" i="96"/>
  <c r="B23" i="97"/>
  <c r="B214" i="95"/>
  <c r="B183" i="95"/>
  <c r="E221" i="95"/>
  <c r="E215" i="95"/>
  <c r="K183" i="95"/>
  <c r="H207" i="95"/>
  <c r="K207" i="95"/>
  <c r="H214" i="95"/>
  <c r="E207" i="95"/>
  <c r="E208" i="95"/>
  <c r="B207" i="95"/>
  <c r="E177" i="95"/>
  <c r="E183" i="95"/>
  <c r="K214" i="95"/>
  <c r="E214" i="95"/>
  <c r="H183" i="95"/>
  <c r="B23" i="96"/>
  <c r="B24" i="95"/>
  <c r="T19" i="42"/>
  <c r="W19" i="42" s="1"/>
  <c r="I11" i="46"/>
  <c r="Z20" i="46" s="1"/>
  <c r="AC20" i="46" s="1"/>
  <c r="M216" i="98" s="1"/>
  <c r="I11" i="43"/>
  <c r="Z20" i="43" s="1"/>
  <c r="AC20" i="43" s="1"/>
  <c r="M209" i="98" s="1"/>
  <c r="I11" i="45"/>
  <c r="Z30" i="45" s="1"/>
  <c r="AC30" i="45" s="1"/>
  <c r="E11" i="45"/>
  <c r="N30" i="45" s="1"/>
  <c r="Q30" i="45" s="1"/>
  <c r="I10" i="42"/>
  <c r="Z19" i="42" s="1"/>
  <c r="AC19" i="42" s="1"/>
  <c r="N29" i="45"/>
  <c r="Q29" i="45" s="1"/>
  <c r="T29" i="45"/>
  <c r="W29" i="45" s="1"/>
  <c r="I11" i="84"/>
  <c r="Z18" i="84" s="1"/>
  <c r="AC18" i="84" s="1"/>
  <c r="I11" i="44"/>
  <c r="Z19" i="44" s="1"/>
  <c r="AC19" i="44" s="1"/>
  <c r="E11" i="42"/>
  <c r="N20" i="42" s="1"/>
  <c r="Q20" i="42" s="1"/>
  <c r="E11" i="84"/>
  <c r="N18" i="84" s="1"/>
  <c r="Q18" i="84" s="1"/>
  <c r="N19" i="42"/>
  <c r="Q19" i="42" s="1"/>
  <c r="N19" i="43"/>
  <c r="Q19" i="43" s="1"/>
  <c r="G208" i="98" s="1"/>
  <c r="T19" i="43"/>
  <c r="W19" i="43" s="1"/>
  <c r="J208" i="98" s="1"/>
  <c r="I10" i="45"/>
  <c r="Z29" i="45" s="1"/>
  <c r="AC29" i="45" s="1"/>
  <c r="AC42" i="45" s="1"/>
  <c r="N19" i="46"/>
  <c r="Q19" i="46" s="1"/>
  <c r="G215" i="98" s="1"/>
  <c r="I10" i="44"/>
  <c r="I10" i="46"/>
  <c r="Z19" i="46" s="1"/>
  <c r="AC19" i="46" s="1"/>
  <c r="M215" i="98" s="1"/>
  <c r="I10" i="84"/>
  <c r="E11" i="44"/>
  <c r="N19" i="44" s="1"/>
  <c r="Q19" i="44" s="1"/>
  <c r="E11" i="43"/>
  <c r="N20" i="43" s="1"/>
  <c r="Q20" i="43" s="1"/>
  <c r="G209" i="98" s="1"/>
  <c r="G11" i="42"/>
  <c r="T20" i="42" s="1"/>
  <c r="W20" i="42" s="1"/>
  <c r="P20" i="84"/>
  <c r="G11" i="44"/>
  <c r="T19" i="44" s="1"/>
  <c r="W19" i="44" s="1"/>
  <c r="G11" i="46"/>
  <c r="T20" i="46" s="1"/>
  <c r="W20" i="46" s="1"/>
  <c r="J216" i="98" s="1"/>
  <c r="G11" i="45"/>
  <c r="T30" i="45" s="1"/>
  <c r="W30" i="45" s="1"/>
  <c r="G11" i="43"/>
  <c r="T20" i="43" s="1"/>
  <c r="W20" i="43" s="1"/>
  <c r="J209" i="98" s="1"/>
  <c r="AB18" i="84"/>
  <c r="J18" i="84"/>
  <c r="V18" i="84"/>
  <c r="AB19" i="44"/>
  <c r="AB20" i="43"/>
  <c r="K209" i="98" s="1"/>
  <c r="C11" i="45"/>
  <c r="H30" i="45" s="1"/>
  <c r="K30" i="45" s="1"/>
  <c r="C11" i="84"/>
  <c r="H18" i="84" s="1"/>
  <c r="K18" i="84" s="1"/>
  <c r="C11" i="43"/>
  <c r="H20" i="43" s="1"/>
  <c r="K20" i="43" s="1"/>
  <c r="D209" i="98" s="1"/>
  <c r="C11" i="44"/>
  <c r="H19" i="44" s="1"/>
  <c r="K19" i="44" s="1"/>
  <c r="C11" i="46"/>
  <c r="H20" i="46" s="1"/>
  <c r="K20" i="46" s="1"/>
  <c r="D216" i="98" s="1"/>
  <c r="C11" i="42"/>
  <c r="H20" i="42" s="1"/>
  <c r="K20" i="42" s="1"/>
  <c r="J20" i="42"/>
  <c r="J20" i="43"/>
  <c r="B209" i="98" s="1"/>
  <c r="P22" i="43"/>
  <c r="E211" i="98" s="1"/>
  <c r="V20" i="42"/>
  <c r="V20" i="46"/>
  <c r="H216" i="98" s="1"/>
  <c r="V20" i="43"/>
  <c r="H209" i="98" s="1"/>
  <c r="AB20" i="42"/>
  <c r="AB20" i="46"/>
  <c r="K216" i="98" s="1"/>
  <c r="P22" i="46"/>
  <c r="E218" i="98" s="1"/>
  <c r="C10" i="46"/>
  <c r="H19" i="46" s="1"/>
  <c r="K19" i="46" s="1"/>
  <c r="D215" i="98" s="1"/>
  <c r="C10" i="84"/>
  <c r="C10" i="44"/>
  <c r="C10" i="42"/>
  <c r="H19" i="42" s="1"/>
  <c r="K19" i="42" s="1"/>
  <c r="C10" i="43"/>
  <c r="H19" i="43" s="1"/>
  <c r="K19" i="43" s="1"/>
  <c r="D208" i="98" s="1"/>
  <c r="C10" i="45"/>
  <c r="H29" i="45" s="1"/>
  <c r="K29" i="45" s="1"/>
  <c r="J19" i="44"/>
  <c r="J20" i="46"/>
  <c r="B216" i="98" s="1"/>
  <c r="P22" i="42"/>
  <c r="V19" i="44"/>
  <c r="AC20" i="99" l="1"/>
  <c r="M229" i="98"/>
  <c r="M228" i="95"/>
  <c r="M227" i="96"/>
  <c r="M227" i="97"/>
  <c r="K231" i="98"/>
  <c r="E22" i="98" s="1"/>
  <c r="K230" i="95"/>
  <c r="E22" i="95" s="1"/>
  <c r="K229" i="96"/>
  <c r="E22" i="96" s="1"/>
  <c r="K229" i="97"/>
  <c r="E22" i="97" s="1"/>
  <c r="Q20" i="99"/>
  <c r="G229" i="98"/>
  <c r="G228" i="95"/>
  <c r="G227" i="96"/>
  <c r="G227" i="97"/>
  <c r="B231" i="98"/>
  <c r="B22" i="98" s="1"/>
  <c r="B230" i="95"/>
  <c r="B22" i="95" s="1"/>
  <c r="B229" i="96"/>
  <c r="B22" i="96" s="1"/>
  <c r="B229" i="97"/>
  <c r="B22" i="97" s="1"/>
  <c r="H231" i="98"/>
  <c r="D22" i="98" s="1"/>
  <c r="H230" i="95"/>
  <c r="D22" i="95" s="1"/>
  <c r="H229" i="96"/>
  <c r="D22" i="96" s="1"/>
  <c r="H229" i="97"/>
  <c r="D22" i="97" s="1"/>
  <c r="W20" i="99"/>
  <c r="J229" i="98"/>
  <c r="J227" i="96"/>
  <c r="J228" i="95"/>
  <c r="J227" i="97"/>
  <c r="P20" i="99"/>
  <c r="E229" i="98"/>
  <c r="N229" i="98" s="1"/>
  <c r="E227" i="96"/>
  <c r="N227" i="96" s="1"/>
  <c r="E228" i="95"/>
  <c r="N228" i="95" s="1"/>
  <c r="E227" i="97"/>
  <c r="N227" i="97" s="1"/>
  <c r="D231" i="98"/>
  <c r="I22" i="98" s="1"/>
  <c r="D230" i="95"/>
  <c r="I22" i="95" s="1"/>
  <c r="D229" i="96"/>
  <c r="I22" i="96" s="1"/>
  <c r="D229" i="97"/>
  <c r="I22" i="97" s="1"/>
  <c r="B222" i="98"/>
  <c r="J22" i="44"/>
  <c r="B225" i="98" s="1"/>
  <c r="K222" i="98"/>
  <c r="AB22" i="44"/>
  <c r="K225" i="98" s="1"/>
  <c r="J222" i="98"/>
  <c r="W22" i="44"/>
  <c r="J225" i="98" s="1"/>
  <c r="M222" i="98"/>
  <c r="AC22" i="44"/>
  <c r="M225" i="98" s="1"/>
  <c r="D222" i="98"/>
  <c r="K22" i="44"/>
  <c r="D225" i="98" s="1"/>
  <c r="H222" i="98"/>
  <c r="V22" i="44"/>
  <c r="H225" i="98" s="1"/>
  <c r="G222" i="98"/>
  <c r="Q22" i="44"/>
  <c r="G225" i="98" s="1"/>
  <c r="Q42" i="45"/>
  <c r="W42" i="45"/>
  <c r="K42" i="45"/>
  <c r="D201" i="98"/>
  <c r="D200" i="95"/>
  <c r="K202" i="98"/>
  <c r="K201" i="95"/>
  <c r="B202" i="98"/>
  <c r="B201" i="95"/>
  <c r="G202" i="98"/>
  <c r="G201" i="95"/>
  <c r="H202" i="98"/>
  <c r="H201" i="95"/>
  <c r="D202" i="98"/>
  <c r="D201" i="95"/>
  <c r="M201" i="98"/>
  <c r="M200" i="95"/>
  <c r="M202" i="98"/>
  <c r="M201" i="95"/>
  <c r="E204" i="98"/>
  <c r="E203" i="95"/>
  <c r="J202" i="98"/>
  <c r="J201" i="95"/>
  <c r="G201" i="98"/>
  <c r="G200" i="95"/>
  <c r="J201" i="98"/>
  <c r="J200" i="95"/>
  <c r="J185" i="98"/>
  <c r="J183" i="96"/>
  <c r="J184" i="95"/>
  <c r="J183" i="97"/>
  <c r="G185" i="98"/>
  <c r="G184" i="95"/>
  <c r="G183" i="96"/>
  <c r="G183" i="97"/>
  <c r="M185" i="98"/>
  <c r="M184" i="95"/>
  <c r="M183" i="96"/>
  <c r="M183" i="97"/>
  <c r="D185" i="98"/>
  <c r="D183" i="96"/>
  <c r="D184" i="95"/>
  <c r="D183" i="97"/>
  <c r="E185" i="98"/>
  <c r="E184" i="95"/>
  <c r="E183" i="96"/>
  <c r="E183" i="97"/>
  <c r="H185" i="98"/>
  <c r="H183" i="96"/>
  <c r="H184" i="95"/>
  <c r="H183" i="97"/>
  <c r="B185" i="98"/>
  <c r="B183" i="96"/>
  <c r="B184" i="95"/>
  <c r="B183" i="97"/>
  <c r="K185" i="98"/>
  <c r="K184" i="95"/>
  <c r="K183" i="96"/>
  <c r="K183" i="97"/>
  <c r="H197" i="98"/>
  <c r="P357" i="98"/>
  <c r="N357" i="98"/>
  <c r="K25" i="98"/>
  <c r="M25" i="98" s="1"/>
  <c r="N352" i="95"/>
  <c r="D184" i="98"/>
  <c r="M184" i="98"/>
  <c r="J184" i="98"/>
  <c r="B197" i="98"/>
  <c r="K197" i="98"/>
  <c r="E197" i="98"/>
  <c r="G184" i="98"/>
  <c r="D24" i="95"/>
  <c r="F24" i="95" s="1"/>
  <c r="E25" i="95"/>
  <c r="F25" i="95" s="1"/>
  <c r="N345" i="96"/>
  <c r="P235" i="97"/>
  <c r="D24" i="96"/>
  <c r="F24" i="96" s="1"/>
  <c r="P345" i="97"/>
  <c r="M23" i="96"/>
  <c r="J24" i="97"/>
  <c r="M24" i="97" s="1"/>
  <c r="P242" i="95"/>
  <c r="M25" i="95"/>
  <c r="P352" i="95"/>
  <c r="P235" i="96"/>
  <c r="J24" i="95"/>
  <c r="M24" i="95" s="1"/>
  <c r="J23" i="97"/>
  <c r="M23" i="97" s="1"/>
  <c r="M24" i="96"/>
  <c r="N345" i="97"/>
  <c r="P345" i="96"/>
  <c r="D23" i="96"/>
  <c r="F23" i="96" s="1"/>
  <c r="N235" i="97"/>
  <c r="K195" i="97"/>
  <c r="H220" i="97"/>
  <c r="B220" i="97"/>
  <c r="D206" i="97"/>
  <c r="M200" i="97"/>
  <c r="H214" i="97"/>
  <c r="E209" i="97"/>
  <c r="C19" i="97" s="1"/>
  <c r="B207" i="97"/>
  <c r="D214" i="97"/>
  <c r="D207" i="97"/>
  <c r="E223" i="97"/>
  <c r="K220" i="97"/>
  <c r="H178" i="98"/>
  <c r="H176" i="97"/>
  <c r="B178" i="98"/>
  <c r="B176" i="97"/>
  <c r="J207" i="97"/>
  <c r="J214" i="97"/>
  <c r="J220" i="97"/>
  <c r="J200" i="97"/>
  <c r="G220" i="97"/>
  <c r="G182" i="97"/>
  <c r="M206" i="97"/>
  <c r="J206" i="97"/>
  <c r="G199" i="97"/>
  <c r="G200" i="97"/>
  <c r="M178" i="98"/>
  <c r="M176" i="97"/>
  <c r="J182" i="97"/>
  <c r="M199" i="97"/>
  <c r="M207" i="97"/>
  <c r="M214" i="97"/>
  <c r="J199" i="97"/>
  <c r="N208" i="98"/>
  <c r="N201" i="98"/>
  <c r="N215" i="98"/>
  <c r="N184" i="98"/>
  <c r="F25" i="98"/>
  <c r="B195" i="97"/>
  <c r="E202" i="97"/>
  <c r="B214" i="97"/>
  <c r="D182" i="97"/>
  <c r="D199" i="97"/>
  <c r="D213" i="97"/>
  <c r="E216" i="97"/>
  <c r="K214" i="97"/>
  <c r="K200" i="97"/>
  <c r="H207" i="97"/>
  <c r="H200" i="97"/>
  <c r="E195" i="97"/>
  <c r="B200" i="97"/>
  <c r="D200" i="97"/>
  <c r="D220" i="97"/>
  <c r="D178" i="98"/>
  <c r="D176" i="97"/>
  <c r="K207" i="97"/>
  <c r="H195" i="97"/>
  <c r="J178" i="98"/>
  <c r="J176" i="97"/>
  <c r="K178" i="98"/>
  <c r="K176" i="97"/>
  <c r="E180" i="98"/>
  <c r="E178" i="97"/>
  <c r="P209" i="98"/>
  <c r="G207" i="97"/>
  <c r="P216" i="98"/>
  <c r="G214" i="97"/>
  <c r="M213" i="97"/>
  <c r="G213" i="97"/>
  <c r="M182" i="97"/>
  <c r="P208" i="98"/>
  <c r="G206" i="97"/>
  <c r="G178" i="98"/>
  <c r="G176" i="97"/>
  <c r="M220" i="97"/>
  <c r="J213" i="97"/>
  <c r="H220" i="96"/>
  <c r="B195" i="96"/>
  <c r="E202" i="96"/>
  <c r="B214" i="96"/>
  <c r="D182" i="96"/>
  <c r="D199" i="96"/>
  <c r="D213" i="96"/>
  <c r="K214" i="96"/>
  <c r="K200" i="96"/>
  <c r="H214" i="96"/>
  <c r="E209" i="96"/>
  <c r="C19" i="96" s="1"/>
  <c r="B207" i="96"/>
  <c r="D214" i="96"/>
  <c r="D207" i="96"/>
  <c r="E223" i="96"/>
  <c r="K207" i="96"/>
  <c r="H195" i="96"/>
  <c r="H176" i="96"/>
  <c r="B176" i="96"/>
  <c r="E178" i="96"/>
  <c r="G207" i="96"/>
  <c r="G214" i="96"/>
  <c r="M213" i="96"/>
  <c r="G213" i="96"/>
  <c r="M182" i="96"/>
  <c r="G206" i="96"/>
  <c r="G176" i="96"/>
  <c r="M220" i="96"/>
  <c r="J182" i="96"/>
  <c r="M199" i="96"/>
  <c r="J213" i="96"/>
  <c r="M214" i="96"/>
  <c r="J199" i="96"/>
  <c r="N199" i="97"/>
  <c r="N213" i="97"/>
  <c r="N182" i="97"/>
  <c r="K195" i="96"/>
  <c r="B220" i="96"/>
  <c r="D206" i="96"/>
  <c r="E216" i="96"/>
  <c r="M200" i="96"/>
  <c r="H207" i="96"/>
  <c r="H200" i="96"/>
  <c r="E195" i="96"/>
  <c r="B200" i="96"/>
  <c r="D200" i="96"/>
  <c r="D220" i="96"/>
  <c r="D176" i="96"/>
  <c r="K220" i="96"/>
  <c r="N220" i="96" s="1"/>
  <c r="J176" i="96"/>
  <c r="K176" i="96"/>
  <c r="J207" i="96"/>
  <c r="J214" i="96"/>
  <c r="J220" i="96"/>
  <c r="J200" i="96"/>
  <c r="G220" i="96"/>
  <c r="G182" i="96"/>
  <c r="M206" i="96"/>
  <c r="J206" i="96"/>
  <c r="G199" i="96"/>
  <c r="G200" i="96"/>
  <c r="M176" i="96"/>
  <c r="M207" i="96"/>
  <c r="N206" i="97"/>
  <c r="F24" i="97"/>
  <c r="K196" i="95"/>
  <c r="H221" i="95"/>
  <c r="B221" i="95"/>
  <c r="D207" i="95"/>
  <c r="H215" i="95"/>
  <c r="E210" i="95"/>
  <c r="C19" i="95" s="1"/>
  <c r="E196" i="95"/>
  <c r="B208" i="95"/>
  <c r="D215" i="95"/>
  <c r="D208" i="95"/>
  <c r="E224" i="95"/>
  <c r="K221" i="95"/>
  <c r="H177" i="95"/>
  <c r="B177" i="95"/>
  <c r="E179" i="95"/>
  <c r="G208" i="95"/>
  <c r="G215" i="95"/>
  <c r="M214" i="95"/>
  <c r="G214" i="95"/>
  <c r="M183" i="95"/>
  <c r="G207" i="95"/>
  <c r="G177" i="95"/>
  <c r="M221" i="95"/>
  <c r="J183" i="95"/>
  <c r="M208" i="95"/>
  <c r="N213" i="96"/>
  <c r="N199" i="96"/>
  <c r="N182" i="96"/>
  <c r="N206" i="96"/>
  <c r="B196" i="95"/>
  <c r="B215" i="95"/>
  <c r="D183" i="95"/>
  <c r="D214" i="95"/>
  <c r="E217" i="95"/>
  <c r="K215" i="95"/>
  <c r="H208" i="95"/>
  <c r="D221" i="95"/>
  <c r="D177" i="95"/>
  <c r="K208" i="95"/>
  <c r="H196" i="95"/>
  <c r="J177" i="95"/>
  <c r="K177" i="95"/>
  <c r="J208" i="95"/>
  <c r="J215" i="95"/>
  <c r="J221" i="95"/>
  <c r="G221" i="95"/>
  <c r="G183" i="95"/>
  <c r="M207" i="95"/>
  <c r="J207" i="95"/>
  <c r="M177" i="95"/>
  <c r="J214" i="95"/>
  <c r="M215" i="95"/>
  <c r="N183" i="95"/>
  <c r="N207" i="95"/>
  <c r="N214" i="95"/>
  <c r="N200" i="95"/>
  <c r="V22" i="43"/>
  <c r="H211" i="98" s="1"/>
  <c r="V22" i="42"/>
  <c r="AB22" i="43"/>
  <c r="K211" i="98" s="1"/>
  <c r="J22" i="46"/>
  <c r="B218" i="98" s="1"/>
  <c r="AB22" i="46"/>
  <c r="K218" i="98" s="1"/>
  <c r="AB22" i="42"/>
  <c r="V22" i="46"/>
  <c r="H218" i="98" s="1"/>
  <c r="W22" i="46"/>
  <c r="J218" i="98" s="1"/>
  <c r="AC22" i="42"/>
  <c r="Q20" i="84"/>
  <c r="Q22" i="43"/>
  <c r="G211" i="98" s="1"/>
  <c r="Q22" i="46"/>
  <c r="G218" i="98" s="1"/>
  <c r="Q22" i="42"/>
  <c r="W20" i="84"/>
  <c r="AC20" i="84"/>
  <c r="K20" i="84"/>
  <c r="V20" i="84"/>
  <c r="J20" i="84"/>
  <c r="AB20" i="84"/>
  <c r="K22" i="42"/>
  <c r="K22" i="46"/>
  <c r="D218" i="98" s="1"/>
  <c r="W22" i="43"/>
  <c r="J211" i="98" s="1"/>
  <c r="W22" i="42"/>
  <c r="AC22" i="46"/>
  <c r="M218" i="98" s="1"/>
  <c r="K22" i="43"/>
  <c r="D211" i="98" s="1"/>
  <c r="J22" i="43"/>
  <c r="B211" i="98" s="1"/>
  <c r="J22" i="42"/>
  <c r="AC22" i="43"/>
  <c r="M211" i="98" s="1"/>
  <c r="P229" i="98" l="1"/>
  <c r="G231" i="98"/>
  <c r="G229" i="96"/>
  <c r="G230" i="95"/>
  <c r="G229" i="97"/>
  <c r="P227" i="96"/>
  <c r="M231" i="98"/>
  <c r="L22" i="98" s="1"/>
  <c r="M230" i="95"/>
  <c r="L22" i="95" s="1"/>
  <c r="M229" i="96"/>
  <c r="L22" i="96" s="1"/>
  <c r="M229" i="97"/>
  <c r="L22" i="97" s="1"/>
  <c r="J231" i="98"/>
  <c r="K22" i="98" s="1"/>
  <c r="J230" i="95"/>
  <c r="K22" i="95" s="1"/>
  <c r="J229" i="96"/>
  <c r="K22" i="96" s="1"/>
  <c r="J229" i="97"/>
  <c r="K22" i="97" s="1"/>
  <c r="P227" i="97"/>
  <c r="E231" i="98"/>
  <c r="E229" i="96"/>
  <c r="E347" i="96" s="1"/>
  <c r="F221" i="96" s="1"/>
  <c r="E230" i="95"/>
  <c r="E354" i="95" s="1"/>
  <c r="F354" i="95" s="1"/>
  <c r="E229" i="97"/>
  <c r="P228" i="95"/>
  <c r="C16" i="95"/>
  <c r="N222" i="98"/>
  <c r="P202" i="98"/>
  <c r="J204" i="98"/>
  <c r="K18" i="98" s="1"/>
  <c r="J203" i="95"/>
  <c r="K18" i="95" s="1"/>
  <c r="G204" i="98"/>
  <c r="G203" i="95"/>
  <c r="B204" i="98"/>
  <c r="B203" i="95"/>
  <c r="M204" i="98"/>
  <c r="L18" i="98" s="1"/>
  <c r="M203" i="95"/>
  <c r="L18" i="95" s="1"/>
  <c r="H204" i="98"/>
  <c r="H203" i="95"/>
  <c r="K204" i="98"/>
  <c r="K203" i="95"/>
  <c r="D204" i="98"/>
  <c r="D203" i="95"/>
  <c r="I18" i="95" s="1"/>
  <c r="P183" i="96"/>
  <c r="P185" i="98"/>
  <c r="N183" i="96"/>
  <c r="P183" i="97"/>
  <c r="N183" i="97"/>
  <c r="N184" i="95"/>
  <c r="P184" i="95"/>
  <c r="N185" i="98"/>
  <c r="M197" i="98"/>
  <c r="L17" i="98" s="1"/>
  <c r="J197" i="98"/>
  <c r="K17" i="98" s="1"/>
  <c r="D197" i="98"/>
  <c r="I17" i="98" s="1"/>
  <c r="G197" i="98"/>
  <c r="P183" i="95"/>
  <c r="P201" i="95"/>
  <c r="N176" i="97"/>
  <c r="P199" i="97"/>
  <c r="N176" i="96"/>
  <c r="N207" i="97"/>
  <c r="P200" i="95"/>
  <c r="P221" i="95"/>
  <c r="N208" i="95"/>
  <c r="N177" i="95"/>
  <c r="N201" i="95"/>
  <c r="P200" i="96"/>
  <c r="N207" i="96"/>
  <c r="P182" i="97"/>
  <c r="N214" i="97"/>
  <c r="P200" i="97"/>
  <c r="N220" i="97"/>
  <c r="P177" i="95"/>
  <c r="P199" i="96"/>
  <c r="P182" i="96"/>
  <c r="N200" i="97"/>
  <c r="P220" i="97"/>
  <c r="P178" i="98"/>
  <c r="J202" i="97"/>
  <c r="K18" i="97" s="1"/>
  <c r="K19" i="98"/>
  <c r="J209" i="97"/>
  <c r="K19" i="97" s="1"/>
  <c r="L21" i="98"/>
  <c r="M223" i="97"/>
  <c r="L21" i="97" s="1"/>
  <c r="K180" i="98"/>
  <c r="K178" i="97"/>
  <c r="B180" i="98"/>
  <c r="B178" i="97"/>
  <c r="H180" i="98"/>
  <c r="N180" i="98" s="1"/>
  <c r="H178" i="97"/>
  <c r="D180" i="98"/>
  <c r="D178" i="97"/>
  <c r="G195" i="97"/>
  <c r="G202" i="97"/>
  <c r="M195" i="97"/>
  <c r="L17" i="97" s="1"/>
  <c r="G209" i="97"/>
  <c r="J19" i="97" s="1"/>
  <c r="G180" i="98"/>
  <c r="G178" i="97"/>
  <c r="J195" i="97"/>
  <c r="K17" i="97" s="1"/>
  <c r="K20" i="98"/>
  <c r="J216" i="97"/>
  <c r="K20" i="97" s="1"/>
  <c r="K202" i="97"/>
  <c r="B216" i="97"/>
  <c r="K209" i="97"/>
  <c r="E19" i="97" s="1"/>
  <c r="H209" i="97"/>
  <c r="D19" i="97" s="1"/>
  <c r="C16" i="98"/>
  <c r="E359" i="98"/>
  <c r="D17" i="98"/>
  <c r="N197" i="98"/>
  <c r="C17" i="98"/>
  <c r="C20" i="98"/>
  <c r="C18" i="98"/>
  <c r="B17" i="98"/>
  <c r="C21" i="98"/>
  <c r="N211" i="98"/>
  <c r="C19" i="98"/>
  <c r="E17" i="98"/>
  <c r="P215" i="98"/>
  <c r="N209" i="98"/>
  <c r="N202" i="98"/>
  <c r="N216" i="98"/>
  <c r="N178" i="98"/>
  <c r="P201" i="98"/>
  <c r="P184" i="98"/>
  <c r="P222" i="98"/>
  <c r="B202" i="97"/>
  <c r="L19" i="98"/>
  <c r="M209" i="97"/>
  <c r="L19" i="97" s="1"/>
  <c r="B209" i="97"/>
  <c r="B19" i="97" s="1"/>
  <c r="K223" i="97"/>
  <c r="I19" i="98"/>
  <c r="D209" i="97"/>
  <c r="I19" i="97" s="1"/>
  <c r="B223" i="97"/>
  <c r="H223" i="97"/>
  <c r="N223" i="97" s="1"/>
  <c r="L20" i="98"/>
  <c r="M216" i="97"/>
  <c r="L20" i="97" s="1"/>
  <c r="I20" i="98"/>
  <c r="D216" i="97"/>
  <c r="I20" i="97" s="1"/>
  <c r="I18" i="98"/>
  <c r="D202" i="97"/>
  <c r="I18" i="97" s="1"/>
  <c r="D195" i="97"/>
  <c r="I17" i="97" s="1"/>
  <c r="I21" i="98"/>
  <c r="D223" i="97"/>
  <c r="I21" i="97" s="1"/>
  <c r="K21" i="98"/>
  <c r="J223" i="97"/>
  <c r="K21" i="97" s="1"/>
  <c r="M180" i="98"/>
  <c r="M178" i="97"/>
  <c r="J180" i="98"/>
  <c r="J178" i="97"/>
  <c r="G223" i="97"/>
  <c r="G216" i="97"/>
  <c r="M202" i="97"/>
  <c r="L18" i="97" s="1"/>
  <c r="H216" i="97"/>
  <c r="K216" i="97"/>
  <c r="H202" i="97"/>
  <c r="M209" i="96"/>
  <c r="L19" i="96" s="1"/>
  <c r="B209" i="96"/>
  <c r="B19" i="96" s="1"/>
  <c r="B223" i="96"/>
  <c r="M216" i="96"/>
  <c r="L20" i="96" s="1"/>
  <c r="D216" i="96"/>
  <c r="I20" i="96" s="1"/>
  <c r="D195" i="96"/>
  <c r="I17" i="96" s="1"/>
  <c r="D223" i="96"/>
  <c r="I21" i="96" s="1"/>
  <c r="K178" i="96"/>
  <c r="B178" i="96"/>
  <c r="H178" i="96"/>
  <c r="D178" i="96"/>
  <c r="G195" i="96"/>
  <c r="G202" i="96"/>
  <c r="M195" i="96"/>
  <c r="L17" i="96" s="1"/>
  <c r="G209" i="96"/>
  <c r="J19" i="96" s="1"/>
  <c r="G178" i="96"/>
  <c r="J195" i="96"/>
  <c r="K17" i="96" s="1"/>
  <c r="K202" i="96"/>
  <c r="B216" i="96"/>
  <c r="H202" i="96"/>
  <c r="B202" i="96"/>
  <c r="K223" i="96"/>
  <c r="D209" i="96"/>
  <c r="I19" i="96" s="1"/>
  <c r="H223" i="96"/>
  <c r="J202" i="96"/>
  <c r="K18" i="96" s="1"/>
  <c r="J209" i="96"/>
  <c r="K19" i="96" s="1"/>
  <c r="M223" i="96"/>
  <c r="L21" i="96" s="1"/>
  <c r="D202" i="96"/>
  <c r="I18" i="96" s="1"/>
  <c r="J223" i="96"/>
  <c r="K21" i="96" s="1"/>
  <c r="M178" i="96"/>
  <c r="J178" i="96"/>
  <c r="G223" i="96"/>
  <c r="G216" i="96"/>
  <c r="M202" i="96"/>
  <c r="L18" i="96" s="1"/>
  <c r="J216" i="96"/>
  <c r="K20" i="96" s="1"/>
  <c r="H216" i="96"/>
  <c r="K216" i="96"/>
  <c r="K209" i="96"/>
  <c r="E19" i="96" s="1"/>
  <c r="H209" i="96"/>
  <c r="D19" i="96" s="1"/>
  <c r="N195" i="97"/>
  <c r="C17" i="97"/>
  <c r="C20" i="97"/>
  <c r="E17" i="97"/>
  <c r="C16" i="97"/>
  <c r="D17" i="97"/>
  <c r="C21" i="97"/>
  <c r="C18" i="97"/>
  <c r="B17" i="97"/>
  <c r="P176" i="97"/>
  <c r="P206" i="97"/>
  <c r="P213" i="97"/>
  <c r="P214" i="97"/>
  <c r="P207" i="97"/>
  <c r="B210" i="95"/>
  <c r="B19" i="95" s="1"/>
  <c r="D210" i="95"/>
  <c r="I19" i="95" s="1"/>
  <c r="B224" i="95"/>
  <c r="H224" i="95"/>
  <c r="M217" i="95"/>
  <c r="L20" i="95" s="1"/>
  <c r="D196" i="95"/>
  <c r="I17" i="95" s="1"/>
  <c r="D224" i="95"/>
  <c r="J224" i="95"/>
  <c r="K21" i="95" s="1"/>
  <c r="M179" i="95"/>
  <c r="J179" i="95"/>
  <c r="G224" i="95"/>
  <c r="G210" i="95"/>
  <c r="J19" i="95" s="1"/>
  <c r="G179" i="95"/>
  <c r="J196" i="95"/>
  <c r="K17" i="95" s="1"/>
  <c r="B217" i="95"/>
  <c r="D17" i="96"/>
  <c r="C20" i="96"/>
  <c r="C18" i="96"/>
  <c r="B17" i="96"/>
  <c r="C16" i="96"/>
  <c r="C21" i="96"/>
  <c r="N200" i="96"/>
  <c r="N214" i="96"/>
  <c r="P176" i="96"/>
  <c r="M210" i="95"/>
  <c r="L19" i="95" s="1"/>
  <c r="K224" i="95"/>
  <c r="J210" i="95"/>
  <c r="K19" i="95" s="1"/>
  <c r="M224" i="95"/>
  <c r="L21" i="95" s="1"/>
  <c r="D217" i="95"/>
  <c r="I20" i="95" s="1"/>
  <c r="K179" i="95"/>
  <c r="B179" i="95"/>
  <c r="H179" i="95"/>
  <c r="D179" i="95"/>
  <c r="G196" i="95"/>
  <c r="M196" i="95"/>
  <c r="L17" i="95" s="1"/>
  <c r="G217" i="95"/>
  <c r="J217" i="95"/>
  <c r="K20" i="95" s="1"/>
  <c r="H217" i="95"/>
  <c r="K217" i="95"/>
  <c r="K210" i="95"/>
  <c r="E19" i="95" s="1"/>
  <c r="H210" i="95"/>
  <c r="D19" i="95" s="1"/>
  <c r="N195" i="96"/>
  <c r="C17" i="96"/>
  <c r="E17" i="96"/>
  <c r="P220" i="96"/>
  <c r="P206" i="96"/>
  <c r="P213" i="96"/>
  <c r="P214" i="96"/>
  <c r="P207" i="96"/>
  <c r="D17" i="95"/>
  <c r="C21" i="95"/>
  <c r="N196" i="95"/>
  <c r="C17" i="95"/>
  <c r="C18" i="95"/>
  <c r="B17" i="95"/>
  <c r="N221" i="95"/>
  <c r="N215" i="95"/>
  <c r="C20" i="95"/>
  <c r="E17" i="95"/>
  <c r="P207" i="95"/>
  <c r="P214" i="95"/>
  <c r="P215" i="95"/>
  <c r="P208" i="95"/>
  <c r="B354" i="95" l="1"/>
  <c r="C222" i="95" s="1"/>
  <c r="J347" i="97"/>
  <c r="F222" i="95"/>
  <c r="C22" i="98"/>
  <c r="F22" i="98" s="1"/>
  <c r="N231" i="98"/>
  <c r="P229" i="97"/>
  <c r="J22" i="97"/>
  <c r="C22" i="97"/>
  <c r="F22" i="97" s="1"/>
  <c r="N229" i="97"/>
  <c r="P230" i="95"/>
  <c r="J22" i="95"/>
  <c r="M22" i="95" s="1"/>
  <c r="J354" i="95"/>
  <c r="C22" i="95"/>
  <c r="F22" i="95" s="1"/>
  <c r="N230" i="95"/>
  <c r="P229" i="96"/>
  <c r="J22" i="96"/>
  <c r="M22" i="96" s="1"/>
  <c r="K354" i="95"/>
  <c r="L354" i="95" s="1"/>
  <c r="H354" i="95"/>
  <c r="I354" i="95" s="1"/>
  <c r="G354" i="95"/>
  <c r="M354" i="95"/>
  <c r="E347" i="97"/>
  <c r="F221" i="97" s="1"/>
  <c r="C22" i="96"/>
  <c r="F22" i="96" s="1"/>
  <c r="N229" i="96"/>
  <c r="P231" i="98"/>
  <c r="J22" i="98"/>
  <c r="M22" i="98" s="1"/>
  <c r="F223" i="98"/>
  <c r="F231" i="98"/>
  <c r="F229" i="98"/>
  <c r="D347" i="97"/>
  <c r="B347" i="97"/>
  <c r="C221" i="97" s="1"/>
  <c r="M347" i="97"/>
  <c r="G347" i="97"/>
  <c r="H347" i="97"/>
  <c r="I221" i="97" s="1"/>
  <c r="K347" i="97"/>
  <c r="L221" i="97" s="1"/>
  <c r="J347" i="96"/>
  <c r="D347" i="96"/>
  <c r="M347" i="96"/>
  <c r="H347" i="96"/>
  <c r="B347" i="96"/>
  <c r="C221" i="96" s="1"/>
  <c r="G347" i="96"/>
  <c r="K347" i="96"/>
  <c r="L221" i="96" s="1"/>
  <c r="F347" i="96"/>
  <c r="F227" i="96"/>
  <c r="F229" i="96"/>
  <c r="D16" i="95"/>
  <c r="B16" i="95"/>
  <c r="E16" i="95"/>
  <c r="F228" i="95"/>
  <c r="F230" i="95"/>
  <c r="L16" i="95"/>
  <c r="L29" i="95" s="1"/>
  <c r="I16" i="95"/>
  <c r="D354" i="95"/>
  <c r="K16" i="95"/>
  <c r="K29" i="95" s="1"/>
  <c r="F185" i="98"/>
  <c r="F194" i="98"/>
  <c r="F195" i="98"/>
  <c r="F190" i="98"/>
  <c r="F189" i="98"/>
  <c r="F187" i="98"/>
  <c r="F186" i="98"/>
  <c r="F188" i="98"/>
  <c r="F192" i="98"/>
  <c r="F193" i="98"/>
  <c r="F191" i="98"/>
  <c r="F184" i="95"/>
  <c r="F186" i="95"/>
  <c r="F188" i="95"/>
  <c r="F192" i="95"/>
  <c r="F187" i="95"/>
  <c r="F194" i="95"/>
  <c r="F191" i="95"/>
  <c r="F190" i="95"/>
  <c r="F185" i="95"/>
  <c r="F193" i="95"/>
  <c r="F189" i="95"/>
  <c r="F183" i="96"/>
  <c r="F184" i="96"/>
  <c r="F190" i="96"/>
  <c r="F189" i="96"/>
  <c r="F191" i="96"/>
  <c r="F188" i="96"/>
  <c r="F193" i="96"/>
  <c r="F186" i="96"/>
  <c r="F185" i="96"/>
  <c r="F187" i="96"/>
  <c r="F192" i="96"/>
  <c r="N204" i="98"/>
  <c r="F19" i="95"/>
  <c r="F19" i="96"/>
  <c r="F19" i="97"/>
  <c r="M19" i="96"/>
  <c r="M19" i="97"/>
  <c r="M19" i="95"/>
  <c r="N202" i="97"/>
  <c r="F354" i="98"/>
  <c r="F355" i="98"/>
  <c r="F345" i="96"/>
  <c r="F343" i="96"/>
  <c r="F342" i="96"/>
  <c r="F349" i="95"/>
  <c r="F350" i="95"/>
  <c r="F197" i="98"/>
  <c r="F357" i="98"/>
  <c r="F196" i="95"/>
  <c r="F352" i="95"/>
  <c r="J359" i="98"/>
  <c r="N178" i="97"/>
  <c r="N217" i="95"/>
  <c r="N202" i="96"/>
  <c r="N209" i="97"/>
  <c r="N210" i="95"/>
  <c r="P179" i="95"/>
  <c r="I21" i="95"/>
  <c r="N216" i="97"/>
  <c r="P210" i="95"/>
  <c r="N203" i="95"/>
  <c r="N179" i="95"/>
  <c r="J16" i="95"/>
  <c r="F225" i="98"/>
  <c r="F211" i="98"/>
  <c r="F204" i="98"/>
  <c r="F218" i="98"/>
  <c r="D19" i="98"/>
  <c r="E19" i="98"/>
  <c r="B20" i="98"/>
  <c r="E18" i="98"/>
  <c r="P180" i="98"/>
  <c r="G359" i="98"/>
  <c r="P211" i="98"/>
  <c r="J19" i="98"/>
  <c r="M19" i="98" s="1"/>
  <c r="P204" i="98"/>
  <c r="J18" i="98"/>
  <c r="M18" i="98" s="1"/>
  <c r="P197" i="98"/>
  <c r="J17" i="98"/>
  <c r="M17" i="98" s="1"/>
  <c r="D16" i="98"/>
  <c r="H359" i="98"/>
  <c r="B16" i="98"/>
  <c r="B359" i="98"/>
  <c r="E16" i="98"/>
  <c r="K359" i="98"/>
  <c r="F17" i="98"/>
  <c r="D359" i="98"/>
  <c r="D18" i="98"/>
  <c r="E20" i="98"/>
  <c r="D20" i="98"/>
  <c r="P218" i="98"/>
  <c r="J20" i="98"/>
  <c r="M20" i="98" s="1"/>
  <c r="P225" i="98"/>
  <c r="J21" i="98"/>
  <c r="M21" i="98" s="1"/>
  <c r="D21" i="98"/>
  <c r="B21" i="98"/>
  <c r="E21" i="98"/>
  <c r="B19" i="98"/>
  <c r="B18" i="98"/>
  <c r="F359" i="98"/>
  <c r="F347" i="98"/>
  <c r="F336" i="98"/>
  <c r="F331" i="98"/>
  <c r="F320" i="98"/>
  <c r="F295" i="98"/>
  <c r="F309" i="98"/>
  <c r="F311" i="98"/>
  <c r="F285" i="98"/>
  <c r="F286" i="98"/>
  <c r="F287" i="98"/>
  <c r="F323" i="98"/>
  <c r="F337" i="98"/>
  <c r="F335" i="98"/>
  <c r="F321" i="98"/>
  <c r="F319" i="98"/>
  <c r="F63" i="98"/>
  <c r="F65" i="98"/>
  <c r="F67" i="98"/>
  <c r="F68" i="98"/>
  <c r="F69" i="98"/>
  <c r="F70" i="98"/>
  <c r="F71" i="98"/>
  <c r="F72" i="98"/>
  <c r="F73" i="98"/>
  <c r="F74" i="98"/>
  <c r="F75" i="98"/>
  <c r="F77" i="98"/>
  <c r="F79" i="98"/>
  <c r="F80" i="98"/>
  <c r="F81" i="98"/>
  <c r="F82" i="98"/>
  <c r="F83" i="98"/>
  <c r="F84" i="98"/>
  <c r="F85" i="98"/>
  <c r="F86" i="98"/>
  <c r="F87" i="98"/>
  <c r="F89" i="98"/>
  <c r="F91" i="98"/>
  <c r="F92" i="98"/>
  <c r="F93" i="98"/>
  <c r="F94" i="98"/>
  <c r="F95" i="98"/>
  <c r="F96" i="98"/>
  <c r="F97" i="98"/>
  <c r="F99" i="98"/>
  <c r="F100" i="98"/>
  <c r="F101" i="98"/>
  <c r="F102" i="98"/>
  <c r="F103" i="98"/>
  <c r="F104" i="98"/>
  <c r="F114" i="98"/>
  <c r="F118" i="98"/>
  <c r="F119" i="98"/>
  <c r="F120" i="98"/>
  <c r="F130" i="98"/>
  <c r="F134" i="98"/>
  <c r="F135" i="98"/>
  <c r="F136" i="98"/>
  <c r="F156" i="98"/>
  <c r="F160" i="98"/>
  <c r="F161" i="98"/>
  <c r="F162" i="98"/>
  <c r="F172" i="98"/>
  <c r="F148" i="98"/>
  <c r="F255" i="98"/>
  <c r="F259" i="98"/>
  <c r="F144" i="98"/>
  <c r="F145" i="98"/>
  <c r="F146" i="98"/>
  <c r="F345" i="98"/>
  <c r="F344" i="98"/>
  <c r="F343" i="98"/>
  <c r="F339" i="98"/>
  <c r="F329" i="98"/>
  <c r="F328" i="98"/>
  <c r="F327" i="98"/>
  <c r="F289" i="98"/>
  <c r="F293" i="98"/>
  <c r="F294" i="98"/>
  <c r="F305" i="98"/>
  <c r="F310" i="98"/>
  <c r="F297" i="98"/>
  <c r="F301" i="98"/>
  <c r="F302" i="98"/>
  <c r="F303" i="98"/>
  <c r="F313" i="98"/>
  <c r="F251" i="98"/>
  <c r="F252" i="98"/>
  <c r="F253" i="98"/>
  <c r="F263" i="98"/>
  <c r="F267" i="98"/>
  <c r="F268" i="98"/>
  <c r="F269" i="98"/>
  <c r="F279" i="98"/>
  <c r="F260" i="98"/>
  <c r="F261" i="98"/>
  <c r="F271" i="98"/>
  <c r="F275" i="98"/>
  <c r="F276" i="98"/>
  <c r="F277" i="98"/>
  <c r="F106" i="98"/>
  <c r="F110" i="98"/>
  <c r="F111" i="98"/>
  <c r="F112" i="98"/>
  <c r="F122" i="98"/>
  <c r="F126" i="98"/>
  <c r="F127" i="98"/>
  <c r="F128" i="98"/>
  <c r="F138" i="98"/>
  <c r="F152" i="98"/>
  <c r="F153" i="98"/>
  <c r="F154" i="98"/>
  <c r="F164" i="98"/>
  <c r="F168" i="98"/>
  <c r="F169" i="98"/>
  <c r="F170" i="98"/>
  <c r="F174" i="98"/>
  <c r="F315" i="98"/>
  <c r="F281" i="98"/>
  <c r="F140" i="98"/>
  <c r="F349" i="98"/>
  <c r="F235" i="98"/>
  <c r="F353" i="98"/>
  <c r="F237" i="98"/>
  <c r="F208" i="98"/>
  <c r="F201" i="98"/>
  <c r="F178" i="98"/>
  <c r="F215" i="98"/>
  <c r="F184" i="98"/>
  <c r="F216" i="98"/>
  <c r="F222" i="98"/>
  <c r="F202" i="98"/>
  <c r="F209" i="98"/>
  <c r="M359" i="98"/>
  <c r="N225" i="98"/>
  <c r="N218" i="98"/>
  <c r="F180" i="98"/>
  <c r="D18" i="97"/>
  <c r="B20" i="97"/>
  <c r="E18" i="97"/>
  <c r="P178" i="97"/>
  <c r="J16" i="97"/>
  <c r="P202" i="97"/>
  <c r="J18" i="97"/>
  <c r="M18" i="97" s="1"/>
  <c r="P195" i="97"/>
  <c r="J17" i="97"/>
  <c r="M17" i="97" s="1"/>
  <c r="I16" i="97"/>
  <c r="I28" i="97" s="1"/>
  <c r="D16" i="97"/>
  <c r="B16" i="97"/>
  <c r="E16" i="97"/>
  <c r="B21" i="97"/>
  <c r="F17" i="97"/>
  <c r="P209" i="97"/>
  <c r="F223" i="96"/>
  <c r="F89" i="96"/>
  <c r="E20" i="97"/>
  <c r="D20" i="97"/>
  <c r="P216" i="97"/>
  <c r="J20" i="97"/>
  <c r="M20" i="97" s="1"/>
  <c r="P223" i="97"/>
  <c r="J21" i="97"/>
  <c r="M21" i="97" s="1"/>
  <c r="K16" i="97"/>
  <c r="K28" i="97" s="1"/>
  <c r="L16" i="97"/>
  <c r="L28" i="97" s="1"/>
  <c r="D21" i="97"/>
  <c r="E21" i="97"/>
  <c r="B18" i="97"/>
  <c r="F195" i="96"/>
  <c r="F209" i="96"/>
  <c r="P216" i="96"/>
  <c r="J20" i="96"/>
  <c r="M20" i="96" s="1"/>
  <c r="B18" i="96"/>
  <c r="F333" i="96"/>
  <c r="F332" i="96"/>
  <c r="F331" i="96"/>
  <c r="F327" i="96"/>
  <c r="F317" i="96"/>
  <c r="F316" i="96"/>
  <c r="F315" i="96"/>
  <c r="F243" i="96"/>
  <c r="F247" i="96"/>
  <c r="F248" i="96"/>
  <c r="F249" i="96"/>
  <c r="F259" i="96"/>
  <c r="F263" i="96"/>
  <c r="F264" i="96"/>
  <c r="F265" i="96"/>
  <c r="F311" i="96"/>
  <c r="F335" i="96"/>
  <c r="F325" i="96"/>
  <c r="F324" i="96"/>
  <c r="F323" i="96"/>
  <c r="F319" i="96"/>
  <c r="F309" i="96"/>
  <c r="F308" i="96"/>
  <c r="F307" i="96"/>
  <c r="F277" i="96"/>
  <c r="F281" i="96"/>
  <c r="F273" i="96"/>
  <c r="F274" i="96"/>
  <c r="F275" i="96"/>
  <c r="F282" i="96"/>
  <c r="F283" i="96"/>
  <c r="F293" i="96"/>
  <c r="F297" i="96"/>
  <c r="F298" i="96"/>
  <c r="F299" i="96"/>
  <c r="F285" i="96"/>
  <c r="F289" i="96"/>
  <c r="F290" i="96"/>
  <c r="F291" i="96"/>
  <c r="F301" i="96"/>
  <c r="F239" i="96"/>
  <c r="F240" i="96"/>
  <c r="F241" i="96"/>
  <c r="F251" i="96"/>
  <c r="F255" i="96"/>
  <c r="F256" i="96"/>
  <c r="F257" i="96"/>
  <c r="F267" i="96"/>
  <c r="F269" i="96"/>
  <c r="F303" i="96"/>
  <c r="F337" i="96"/>
  <c r="F104" i="96"/>
  <c r="F154" i="96"/>
  <c r="F158" i="96"/>
  <c r="F159" i="96"/>
  <c r="F160" i="96"/>
  <c r="F66" i="96"/>
  <c r="F67" i="96"/>
  <c r="F68" i="96"/>
  <c r="F61" i="96"/>
  <c r="F63" i="96"/>
  <c r="F69" i="96"/>
  <c r="F108" i="96"/>
  <c r="F109" i="96"/>
  <c r="F110" i="96"/>
  <c r="F120" i="96"/>
  <c r="F124" i="96"/>
  <c r="F125" i="96"/>
  <c r="F126" i="96"/>
  <c r="F136" i="96"/>
  <c r="F150" i="96"/>
  <c r="F151" i="96"/>
  <c r="F152" i="96"/>
  <c r="F162" i="96"/>
  <c r="F142" i="96"/>
  <c r="F143" i="96"/>
  <c r="F144" i="96"/>
  <c r="F78" i="96"/>
  <c r="F79" i="96"/>
  <c r="F80" i="96"/>
  <c r="F81" i="96"/>
  <c r="F82" i="96"/>
  <c r="F83" i="96"/>
  <c r="F84" i="96"/>
  <c r="F85" i="96"/>
  <c r="F87" i="96"/>
  <c r="F90" i="96"/>
  <c r="F91" i="96"/>
  <c r="F92" i="96"/>
  <c r="F93" i="96"/>
  <c r="F94" i="96"/>
  <c r="F95" i="96"/>
  <c r="F70" i="96"/>
  <c r="F71" i="96"/>
  <c r="F72" i="96"/>
  <c r="F73" i="96"/>
  <c r="F75" i="96"/>
  <c r="F97" i="96"/>
  <c r="F98" i="96"/>
  <c r="F99" i="96"/>
  <c r="F100" i="96"/>
  <c r="F101" i="96"/>
  <c r="F102" i="96"/>
  <c r="F112" i="96"/>
  <c r="F116" i="96"/>
  <c r="F117" i="96"/>
  <c r="F118" i="96"/>
  <c r="F128" i="96"/>
  <c r="F132" i="96"/>
  <c r="F133" i="96"/>
  <c r="F134" i="96"/>
  <c r="F146" i="96"/>
  <c r="F138" i="96"/>
  <c r="F172" i="96"/>
  <c r="F233" i="96"/>
  <c r="F341" i="96"/>
  <c r="F235" i="96"/>
  <c r="F213" i="96"/>
  <c r="F199" i="96"/>
  <c r="F182" i="96"/>
  <c r="F207" i="96"/>
  <c r="F206" i="96"/>
  <c r="F214" i="96"/>
  <c r="F220" i="96"/>
  <c r="F200" i="96"/>
  <c r="F176" i="96"/>
  <c r="D18" i="96"/>
  <c r="P223" i="96"/>
  <c r="J21" i="96"/>
  <c r="M21" i="96" s="1"/>
  <c r="N209" i="96"/>
  <c r="F178" i="96"/>
  <c r="F216" i="96"/>
  <c r="P209" i="96"/>
  <c r="E20" i="96"/>
  <c r="D20" i="96"/>
  <c r="P195" i="96"/>
  <c r="J17" i="96"/>
  <c r="M17" i="96" s="1"/>
  <c r="I16" i="96"/>
  <c r="I28" i="96" s="1"/>
  <c r="D16" i="96"/>
  <c r="B16" i="96"/>
  <c r="E16" i="96"/>
  <c r="E21" i="96"/>
  <c r="B20" i="96"/>
  <c r="E18" i="96"/>
  <c r="P178" i="96"/>
  <c r="J16" i="96"/>
  <c r="P202" i="96"/>
  <c r="J18" i="96"/>
  <c r="M18" i="96" s="1"/>
  <c r="K16" i="96"/>
  <c r="K28" i="96" s="1"/>
  <c r="L16" i="96"/>
  <c r="L28" i="96" s="1"/>
  <c r="D21" i="96"/>
  <c r="B21" i="96"/>
  <c r="F17" i="96"/>
  <c r="N223" i="96"/>
  <c r="N178" i="96"/>
  <c r="F202" i="96"/>
  <c r="N216" i="96"/>
  <c r="E21" i="95"/>
  <c r="B18" i="95"/>
  <c r="P217" i="95"/>
  <c r="J20" i="95"/>
  <c r="M20" i="95" s="1"/>
  <c r="P203" i="95"/>
  <c r="J18" i="95"/>
  <c r="M18" i="95" s="1"/>
  <c r="P196" i="95"/>
  <c r="J17" i="95"/>
  <c r="M17" i="95" s="1"/>
  <c r="P224" i="95"/>
  <c r="J21" i="95"/>
  <c r="M21" i="95" s="1"/>
  <c r="D21" i="95"/>
  <c r="B21" i="95"/>
  <c r="N224" i="95"/>
  <c r="F234" i="95"/>
  <c r="F62" i="95"/>
  <c r="F64" i="95"/>
  <c r="F155" i="95"/>
  <c r="F159" i="95"/>
  <c r="F160" i="95"/>
  <c r="F161" i="95"/>
  <c r="F79" i="95"/>
  <c r="F80" i="95"/>
  <c r="F81" i="95"/>
  <c r="F82" i="95"/>
  <c r="F83" i="95"/>
  <c r="F84" i="95"/>
  <c r="F85" i="95"/>
  <c r="F86" i="95"/>
  <c r="F88" i="95"/>
  <c r="F90" i="95"/>
  <c r="F91" i="95"/>
  <c r="F92" i="95"/>
  <c r="F93" i="95"/>
  <c r="F94" i="95"/>
  <c r="F95" i="95"/>
  <c r="F96" i="95"/>
  <c r="F113" i="95"/>
  <c r="F284" i="95"/>
  <c r="F288" i="95"/>
  <c r="F289" i="95"/>
  <c r="F290" i="95"/>
  <c r="F300" i="95"/>
  <c r="F304" i="95"/>
  <c r="F305" i="95"/>
  <c r="F306" i="95"/>
  <c r="F292" i="95"/>
  <c r="F296" i="95"/>
  <c r="F297" i="95"/>
  <c r="F298" i="95"/>
  <c r="F308" i="95"/>
  <c r="F250" i="95"/>
  <c r="F318" i="95"/>
  <c r="F342" i="95"/>
  <c r="F332" i="95"/>
  <c r="F331" i="95"/>
  <c r="F330" i="95"/>
  <c r="F326" i="95"/>
  <c r="F316" i="95"/>
  <c r="F315" i="95"/>
  <c r="F314" i="95"/>
  <c r="F147" i="95"/>
  <c r="F151" i="95"/>
  <c r="F152" i="95"/>
  <c r="F153" i="95"/>
  <c r="F163" i="95"/>
  <c r="F236" i="95"/>
  <c r="F67" i="95"/>
  <c r="F68" i="95"/>
  <c r="F69" i="95"/>
  <c r="F70" i="95"/>
  <c r="F71" i="95"/>
  <c r="F72" i="95"/>
  <c r="F73" i="95"/>
  <c r="F74" i="95"/>
  <c r="F76" i="95"/>
  <c r="F98" i="95"/>
  <c r="F99" i="95"/>
  <c r="F100" i="95"/>
  <c r="F101" i="95"/>
  <c r="F102" i="95"/>
  <c r="F103" i="95"/>
  <c r="F105" i="95"/>
  <c r="F117" i="95"/>
  <c r="F118" i="95"/>
  <c r="F119" i="95"/>
  <c r="F129" i="95"/>
  <c r="F133" i="95"/>
  <c r="F134" i="95"/>
  <c r="F135" i="95"/>
  <c r="F109" i="95"/>
  <c r="F110" i="95"/>
  <c r="F111" i="95"/>
  <c r="F121" i="95"/>
  <c r="F125" i="95"/>
  <c r="F126" i="95"/>
  <c r="F127" i="95"/>
  <c r="F137" i="95"/>
  <c r="F143" i="95"/>
  <c r="F144" i="95"/>
  <c r="F145" i="95"/>
  <c r="F280" i="95"/>
  <c r="F281" i="95"/>
  <c r="F282" i="95"/>
  <c r="F254" i="95"/>
  <c r="F255" i="95"/>
  <c r="F256" i="95"/>
  <c r="F266" i="95"/>
  <c r="F270" i="95"/>
  <c r="F271" i="95"/>
  <c r="F272" i="95"/>
  <c r="F246" i="95"/>
  <c r="F247" i="95"/>
  <c r="F248" i="95"/>
  <c r="F258" i="95"/>
  <c r="F262" i="95"/>
  <c r="F263" i="95"/>
  <c r="F264" i="95"/>
  <c r="F274" i="95"/>
  <c r="F340" i="95"/>
  <c r="F339" i="95"/>
  <c r="F338" i="95"/>
  <c r="F334" i="95"/>
  <c r="F324" i="95"/>
  <c r="F323" i="95"/>
  <c r="F322" i="95"/>
  <c r="F344" i="95"/>
  <c r="F310" i="95"/>
  <c r="F276" i="95"/>
  <c r="F139" i="95"/>
  <c r="F173" i="95"/>
  <c r="F240" i="95"/>
  <c r="F348" i="95"/>
  <c r="F242" i="95"/>
  <c r="F177" i="95"/>
  <c r="F179" i="95"/>
  <c r="F183" i="95"/>
  <c r="F215" i="95"/>
  <c r="F221" i="95"/>
  <c r="F201" i="95"/>
  <c r="F207" i="95"/>
  <c r="F214" i="95"/>
  <c r="F200" i="95"/>
  <c r="F208" i="95"/>
  <c r="B20" i="95"/>
  <c r="E18" i="95"/>
  <c r="D18" i="95"/>
  <c r="E20" i="95"/>
  <c r="D20" i="95"/>
  <c r="F217" i="95"/>
  <c r="F203" i="95"/>
  <c r="F210" i="95"/>
  <c r="F17" i="95"/>
  <c r="F224" i="95"/>
  <c r="F248" i="97" l="1"/>
  <c r="F16" i="95"/>
  <c r="C29" i="95"/>
  <c r="P347" i="96"/>
  <c r="N354" i="95"/>
  <c r="O354" i="95" s="1"/>
  <c r="F251" i="97"/>
  <c r="F91" i="97"/>
  <c r="F118" i="97"/>
  <c r="F182" i="97"/>
  <c r="F68" i="97"/>
  <c r="F216" i="97"/>
  <c r="F343" i="97"/>
  <c r="F146" i="97"/>
  <c r="F274" i="97"/>
  <c r="F233" i="97"/>
  <c r="F120" i="97"/>
  <c r="F154" i="97"/>
  <c r="F331" i="97"/>
  <c r="F190" i="97"/>
  <c r="F81" i="97"/>
  <c r="F98" i="97"/>
  <c r="F285" i="97"/>
  <c r="F324" i="97"/>
  <c r="L222" i="95"/>
  <c r="F214" i="97"/>
  <c r="F95" i="97"/>
  <c r="F85" i="97"/>
  <c r="F162" i="97"/>
  <c r="F136" i="97"/>
  <c r="F134" i="97"/>
  <c r="F102" i="97"/>
  <c r="F72" i="97"/>
  <c r="F61" i="97"/>
  <c r="F267" i="97"/>
  <c r="F301" i="97"/>
  <c r="F293" i="97"/>
  <c r="F315" i="97"/>
  <c r="F264" i="97"/>
  <c r="F308" i="97"/>
  <c r="F191" i="97"/>
  <c r="F183" i="97"/>
  <c r="F229" i="97"/>
  <c r="F195" i="97"/>
  <c r="F176" i="97"/>
  <c r="F341" i="97"/>
  <c r="F92" i="97"/>
  <c r="F82" i="97"/>
  <c r="F150" i="97"/>
  <c r="F124" i="97"/>
  <c r="F128" i="97"/>
  <c r="F99" i="97"/>
  <c r="F69" i="97"/>
  <c r="F158" i="97"/>
  <c r="F255" i="97"/>
  <c r="F289" i="97"/>
  <c r="F275" i="97"/>
  <c r="F327" i="97"/>
  <c r="F249" i="97"/>
  <c r="F323" i="97"/>
  <c r="F345" i="97"/>
  <c r="F187" i="97"/>
  <c r="F220" i="97"/>
  <c r="F112" i="97"/>
  <c r="F87" i="97"/>
  <c r="F78" i="97"/>
  <c r="F142" i="97"/>
  <c r="F108" i="97"/>
  <c r="F104" i="97"/>
  <c r="F73" i="97"/>
  <c r="F63" i="97"/>
  <c r="F269" i="97"/>
  <c r="F239" i="97"/>
  <c r="F297" i="97"/>
  <c r="F277" i="97"/>
  <c r="F265" i="97"/>
  <c r="F307" i="97"/>
  <c r="F311" i="97"/>
  <c r="F202" i="97"/>
  <c r="F184" i="97"/>
  <c r="F186" i="97"/>
  <c r="B28" i="97"/>
  <c r="F178" i="97"/>
  <c r="F207" i="97"/>
  <c r="F213" i="97"/>
  <c r="F199" i="97"/>
  <c r="F138" i="97"/>
  <c r="F94" i="97"/>
  <c r="F90" i="97"/>
  <c r="F84" i="97"/>
  <c r="F80" i="97"/>
  <c r="F152" i="97"/>
  <c r="F144" i="97"/>
  <c r="F126" i="97"/>
  <c r="F110" i="97"/>
  <c r="F133" i="97"/>
  <c r="F117" i="97"/>
  <c r="F101" i="97"/>
  <c r="F97" i="97"/>
  <c r="F71" i="97"/>
  <c r="F67" i="97"/>
  <c r="F160" i="97"/>
  <c r="F303" i="97"/>
  <c r="F257" i="97"/>
  <c r="F241" i="97"/>
  <c r="F291" i="97"/>
  <c r="F299" i="97"/>
  <c r="F283" i="97"/>
  <c r="F273" i="97"/>
  <c r="F316" i="97"/>
  <c r="F332" i="97"/>
  <c r="F263" i="97"/>
  <c r="F247" i="97"/>
  <c r="F309" i="97"/>
  <c r="F325" i="97"/>
  <c r="F223" i="97"/>
  <c r="P354" i="95"/>
  <c r="F342" i="97"/>
  <c r="F189" i="97"/>
  <c r="F185" i="97"/>
  <c r="F227" i="97"/>
  <c r="C28" i="97"/>
  <c r="J28" i="97"/>
  <c r="M22" i="97"/>
  <c r="C28" i="96"/>
  <c r="F206" i="97"/>
  <c r="F200" i="97"/>
  <c r="F235" i="97"/>
  <c r="F172" i="97"/>
  <c r="F93" i="97"/>
  <c r="F89" i="97"/>
  <c r="F83" i="97"/>
  <c r="F79" i="97"/>
  <c r="F151" i="97"/>
  <c r="F143" i="97"/>
  <c r="F125" i="97"/>
  <c r="F109" i="97"/>
  <c r="F132" i="97"/>
  <c r="F116" i="97"/>
  <c r="F100" i="97"/>
  <c r="F75" i="97"/>
  <c r="F70" i="97"/>
  <c r="F66" i="97"/>
  <c r="F159" i="97"/>
  <c r="F337" i="97"/>
  <c r="F256" i="97"/>
  <c r="F240" i="97"/>
  <c r="F290" i="97"/>
  <c r="F298" i="97"/>
  <c r="F282" i="97"/>
  <c r="F281" i="97"/>
  <c r="F317" i="97"/>
  <c r="F333" i="97"/>
  <c r="F259" i="97"/>
  <c r="F243" i="97"/>
  <c r="F319" i="97"/>
  <c r="F335" i="97"/>
  <c r="E28" i="97"/>
  <c r="D28" i="97"/>
  <c r="F209" i="97"/>
  <c r="M29" i="98"/>
  <c r="I222" i="95"/>
  <c r="F193" i="97"/>
  <c r="F192" i="97"/>
  <c r="F188" i="97"/>
  <c r="F347" i="97"/>
  <c r="I223" i="98"/>
  <c r="I231" i="98"/>
  <c r="I229" i="98"/>
  <c r="C223" i="98"/>
  <c r="C231" i="98"/>
  <c r="C229" i="98"/>
  <c r="L223" i="98"/>
  <c r="L229" i="98"/>
  <c r="L231" i="98"/>
  <c r="N347" i="97"/>
  <c r="O221" i="97" s="1"/>
  <c r="L347" i="97"/>
  <c r="L227" i="97"/>
  <c r="L229" i="97"/>
  <c r="C227" i="97"/>
  <c r="C229" i="97"/>
  <c r="P347" i="97"/>
  <c r="I347" i="97"/>
  <c r="I227" i="97"/>
  <c r="I229" i="97"/>
  <c r="L229" i="96"/>
  <c r="L347" i="96"/>
  <c r="L227" i="96"/>
  <c r="N347" i="96"/>
  <c r="O221" i="96" s="1"/>
  <c r="I229" i="96"/>
  <c r="I347" i="96"/>
  <c r="I227" i="96"/>
  <c r="I221" i="96"/>
  <c r="C227" i="96"/>
  <c r="C229" i="96"/>
  <c r="B29" i="95"/>
  <c r="M16" i="95"/>
  <c r="M29" i="95" s="1"/>
  <c r="J29" i="95"/>
  <c r="L230" i="95"/>
  <c r="L228" i="95"/>
  <c r="E29" i="95"/>
  <c r="I230" i="95"/>
  <c r="I228" i="95"/>
  <c r="I29" i="95"/>
  <c r="C228" i="95"/>
  <c r="C230" i="95"/>
  <c r="D29" i="95"/>
  <c r="C185" i="98"/>
  <c r="C190" i="98"/>
  <c r="C191" i="98"/>
  <c r="C192" i="98"/>
  <c r="C186" i="98"/>
  <c r="C189" i="98"/>
  <c r="C193" i="98"/>
  <c r="C195" i="98"/>
  <c r="C187" i="98"/>
  <c r="C188" i="98"/>
  <c r="C194" i="98"/>
  <c r="L185" i="98"/>
  <c r="L190" i="98"/>
  <c r="L189" i="98"/>
  <c r="L191" i="98"/>
  <c r="L194" i="98"/>
  <c r="L192" i="98"/>
  <c r="L187" i="98"/>
  <c r="L193" i="98"/>
  <c r="L188" i="98"/>
  <c r="L186" i="98"/>
  <c r="L195" i="98"/>
  <c r="I185" i="98"/>
  <c r="I187" i="98"/>
  <c r="I193" i="98"/>
  <c r="I186" i="98"/>
  <c r="I188" i="98"/>
  <c r="I194" i="98"/>
  <c r="I189" i="98"/>
  <c r="I190" i="98"/>
  <c r="I195" i="98"/>
  <c r="I191" i="98"/>
  <c r="I192" i="98"/>
  <c r="L183" i="97"/>
  <c r="L188" i="97"/>
  <c r="L193" i="97"/>
  <c r="L187" i="97"/>
  <c r="L186" i="97"/>
  <c r="L190" i="97"/>
  <c r="L184" i="97"/>
  <c r="L191" i="97"/>
  <c r="L189" i="97"/>
  <c r="L185" i="97"/>
  <c r="L192" i="97"/>
  <c r="I183" i="97"/>
  <c r="I191" i="97"/>
  <c r="I190" i="97"/>
  <c r="I192" i="97"/>
  <c r="I186" i="97"/>
  <c r="I185" i="97"/>
  <c r="I187" i="97"/>
  <c r="I189" i="97"/>
  <c r="I184" i="97"/>
  <c r="I188" i="97"/>
  <c r="I193" i="97"/>
  <c r="L183" i="96"/>
  <c r="L189" i="96"/>
  <c r="L192" i="96"/>
  <c r="L191" i="96"/>
  <c r="L188" i="96"/>
  <c r="L186" i="96"/>
  <c r="L184" i="96"/>
  <c r="L190" i="96"/>
  <c r="L193" i="96"/>
  <c r="L187" i="96"/>
  <c r="L185" i="96"/>
  <c r="I183" i="96"/>
  <c r="I190" i="96"/>
  <c r="I187" i="96"/>
  <c r="I186" i="96"/>
  <c r="I188" i="96"/>
  <c r="I185" i="96"/>
  <c r="I192" i="96"/>
  <c r="I191" i="96"/>
  <c r="I193" i="96"/>
  <c r="I184" i="96"/>
  <c r="I189" i="96"/>
  <c r="I184" i="95"/>
  <c r="I185" i="95"/>
  <c r="I193" i="95"/>
  <c r="I186" i="95"/>
  <c r="I190" i="95"/>
  <c r="I192" i="95"/>
  <c r="I191" i="95"/>
  <c r="I188" i="95"/>
  <c r="I187" i="95"/>
  <c r="I189" i="95"/>
  <c r="I194" i="95"/>
  <c r="C184" i="95"/>
  <c r="C186" i="95"/>
  <c r="C193" i="95"/>
  <c r="C194" i="95"/>
  <c r="C191" i="95"/>
  <c r="C189" i="95"/>
  <c r="C192" i="95"/>
  <c r="C187" i="95"/>
  <c r="C185" i="95"/>
  <c r="C188" i="95"/>
  <c r="C190" i="95"/>
  <c r="C183" i="97"/>
  <c r="C190" i="97"/>
  <c r="C186" i="97"/>
  <c r="C188" i="97"/>
  <c r="C191" i="97"/>
  <c r="C184" i="97"/>
  <c r="C192" i="97"/>
  <c r="C187" i="97"/>
  <c r="C185" i="97"/>
  <c r="C189" i="97"/>
  <c r="C193" i="97"/>
  <c r="L184" i="95"/>
  <c r="L189" i="95"/>
  <c r="L190" i="95"/>
  <c r="L186" i="95"/>
  <c r="L185" i="95"/>
  <c r="L192" i="95"/>
  <c r="L194" i="95"/>
  <c r="L191" i="95"/>
  <c r="L193" i="95"/>
  <c r="L188" i="95"/>
  <c r="L187" i="95"/>
  <c r="C183" i="96"/>
  <c r="C191" i="96"/>
  <c r="C185" i="96"/>
  <c r="C192" i="96"/>
  <c r="C188" i="96"/>
  <c r="C187" i="96"/>
  <c r="C186" i="96"/>
  <c r="C189" i="96"/>
  <c r="C190" i="96"/>
  <c r="C193" i="96"/>
  <c r="C184" i="96"/>
  <c r="L354" i="98"/>
  <c r="L355" i="98"/>
  <c r="C357" i="98"/>
  <c r="C355" i="98"/>
  <c r="C354" i="98"/>
  <c r="I354" i="98"/>
  <c r="I355" i="98"/>
  <c r="L345" i="97"/>
  <c r="L342" i="97"/>
  <c r="L343" i="97"/>
  <c r="C345" i="97"/>
  <c r="C343" i="97"/>
  <c r="C342" i="97"/>
  <c r="I343" i="97"/>
  <c r="I342" i="97"/>
  <c r="L343" i="96"/>
  <c r="L342" i="96"/>
  <c r="C343" i="96"/>
  <c r="C342" i="96"/>
  <c r="I342" i="96"/>
  <c r="I343" i="96"/>
  <c r="C349" i="95"/>
  <c r="C350" i="95"/>
  <c r="L349" i="95"/>
  <c r="L350" i="95"/>
  <c r="I350" i="95"/>
  <c r="I349" i="95"/>
  <c r="L225" i="98"/>
  <c r="L357" i="98"/>
  <c r="I204" i="98"/>
  <c r="I357" i="98"/>
  <c r="I216" i="97"/>
  <c r="I345" i="97"/>
  <c r="L223" i="96"/>
  <c r="L345" i="96"/>
  <c r="C202" i="96"/>
  <c r="C345" i="96"/>
  <c r="I223" i="96"/>
  <c r="I345" i="96"/>
  <c r="L224" i="95"/>
  <c r="L352" i="95"/>
  <c r="C203" i="95"/>
  <c r="C352" i="95"/>
  <c r="I72" i="95"/>
  <c r="I352" i="95"/>
  <c r="I281" i="95"/>
  <c r="I126" i="95"/>
  <c r="I306" i="95"/>
  <c r="I331" i="95"/>
  <c r="I208" i="95"/>
  <c r="I73" i="95"/>
  <c r="I113" i="95"/>
  <c r="F16" i="98"/>
  <c r="I173" i="95"/>
  <c r="I145" i="95"/>
  <c r="I310" i="95"/>
  <c r="I288" i="95"/>
  <c r="I143" i="95"/>
  <c r="I121" i="95"/>
  <c r="I242" i="95"/>
  <c r="I67" i="95"/>
  <c r="I258" i="95"/>
  <c r="I118" i="95"/>
  <c r="I79" i="95"/>
  <c r="I330" i="95"/>
  <c r="I167" i="95"/>
  <c r="I74" i="95"/>
  <c r="F21" i="98"/>
  <c r="I221" i="95"/>
  <c r="I342" i="95"/>
  <c r="I95" i="95"/>
  <c r="I304" i="95"/>
  <c r="I322" i="95"/>
  <c r="I248" i="95"/>
  <c r="I127" i="95"/>
  <c r="I64" i="95"/>
  <c r="I332" i="95"/>
  <c r="I163" i="95"/>
  <c r="F20" i="97"/>
  <c r="F21" i="95"/>
  <c r="F16" i="96"/>
  <c r="I236" i="95"/>
  <c r="I318" i="95"/>
  <c r="I84" i="95"/>
  <c r="I94" i="95"/>
  <c r="I109" i="95"/>
  <c r="I137" i="95"/>
  <c r="I135" i="95"/>
  <c r="I280" i="95"/>
  <c r="I308" i="95"/>
  <c r="I247" i="95"/>
  <c r="I266" i="95"/>
  <c r="I315" i="95"/>
  <c r="I68" i="95"/>
  <c r="I160" i="95"/>
  <c r="I284" i="95"/>
  <c r="I81" i="95"/>
  <c r="I91" i="95"/>
  <c r="I76" i="95"/>
  <c r="I110" i="95"/>
  <c r="I129" i="95"/>
  <c r="I159" i="95"/>
  <c r="I296" i="95"/>
  <c r="I305" i="95"/>
  <c r="I263" i="95"/>
  <c r="I270" i="95"/>
  <c r="I326" i="95"/>
  <c r="I338" i="95"/>
  <c r="I69" i="95"/>
  <c r="I161" i="95"/>
  <c r="I344" i="95"/>
  <c r="I183" i="95"/>
  <c r="I214" i="95"/>
  <c r="I179" i="95"/>
  <c r="I80" i="95"/>
  <c r="I234" i="95"/>
  <c r="I62" i="95"/>
  <c r="I86" i="95"/>
  <c r="I96" i="95"/>
  <c r="I99" i="95"/>
  <c r="I111" i="95"/>
  <c r="I117" i="95"/>
  <c r="I168" i="95"/>
  <c r="I282" i="95"/>
  <c r="I290" i="95"/>
  <c r="I262" i="95"/>
  <c r="I271" i="95"/>
  <c r="I339" i="95"/>
  <c r="I70" i="95"/>
  <c r="I155" i="95"/>
  <c r="I250" i="95"/>
  <c r="I83" i="95"/>
  <c r="I93" i="95"/>
  <c r="I98" i="95"/>
  <c r="I125" i="95"/>
  <c r="I134" i="95"/>
  <c r="I171" i="95"/>
  <c r="I298" i="95"/>
  <c r="I246" i="95"/>
  <c r="I274" i="95"/>
  <c r="I272" i="95"/>
  <c r="I316" i="95"/>
  <c r="I324" i="95"/>
  <c r="I71" i="95"/>
  <c r="I276" i="95"/>
  <c r="I139" i="95"/>
  <c r="I348" i="95"/>
  <c r="I207" i="95"/>
  <c r="I215" i="95"/>
  <c r="I196" i="95"/>
  <c r="I105" i="95"/>
  <c r="I90" i="95"/>
  <c r="I203" i="95"/>
  <c r="I200" i="95"/>
  <c r="I240" i="95"/>
  <c r="I153" i="95"/>
  <c r="I340" i="95"/>
  <c r="I256" i="95"/>
  <c r="I300" i="95"/>
  <c r="I152" i="95"/>
  <c r="I102" i="95"/>
  <c r="I88" i="95"/>
  <c r="I147" i="95"/>
  <c r="I323" i="95"/>
  <c r="I255" i="95"/>
  <c r="I297" i="95"/>
  <c r="I133" i="95"/>
  <c r="I103" i="95"/>
  <c r="I92" i="95"/>
  <c r="F19" i="98"/>
  <c r="I210" i="95"/>
  <c r="I217" i="95"/>
  <c r="I224" i="95"/>
  <c r="I201" i="95"/>
  <c r="I177" i="95"/>
  <c r="I144" i="95"/>
  <c r="I314" i="95"/>
  <c r="I254" i="95"/>
  <c r="I289" i="95"/>
  <c r="I151" i="95"/>
  <c r="I100" i="95"/>
  <c r="I85" i="95"/>
  <c r="I169" i="95"/>
  <c r="I334" i="95"/>
  <c r="I264" i="95"/>
  <c r="I292" i="95"/>
  <c r="I119" i="95"/>
  <c r="I101" i="95"/>
  <c r="I82" i="95"/>
  <c r="L216" i="97"/>
  <c r="L223" i="97"/>
  <c r="F18" i="95"/>
  <c r="F20" i="98"/>
  <c r="C223" i="97"/>
  <c r="C202" i="97"/>
  <c r="F20" i="95"/>
  <c r="L218" i="98"/>
  <c r="F20" i="96"/>
  <c r="C225" i="98"/>
  <c r="C93" i="98"/>
  <c r="F18" i="98"/>
  <c r="I225" i="98"/>
  <c r="I218" i="98"/>
  <c r="C204" i="98"/>
  <c r="C211" i="98"/>
  <c r="C359" i="98"/>
  <c r="C289" i="98"/>
  <c r="C344" i="98"/>
  <c r="C328" i="98"/>
  <c r="C293" i="98"/>
  <c r="C252" i="98"/>
  <c r="C152" i="98"/>
  <c r="C169" i="98"/>
  <c r="C161" i="98"/>
  <c r="C154" i="98"/>
  <c r="C106" i="98"/>
  <c r="C114" i="98"/>
  <c r="C347" i="98"/>
  <c r="C336" i="98"/>
  <c r="C331" i="98"/>
  <c r="C320" i="98"/>
  <c r="C345" i="98"/>
  <c r="C329" i="98"/>
  <c r="C285" i="98"/>
  <c r="C287" i="98"/>
  <c r="C302" i="98"/>
  <c r="C301" i="98"/>
  <c r="C294" i="98"/>
  <c r="C305" i="98"/>
  <c r="C310" i="98"/>
  <c r="C259" i="98"/>
  <c r="C261" i="98"/>
  <c r="C275" i="98"/>
  <c r="C277" i="98"/>
  <c r="C267" i="98"/>
  <c r="C269" i="98"/>
  <c r="C63" i="98"/>
  <c r="C67" i="98"/>
  <c r="C69" i="98"/>
  <c r="C71" i="98"/>
  <c r="C73" i="98"/>
  <c r="C75" i="98"/>
  <c r="C79" i="98"/>
  <c r="C81" i="98"/>
  <c r="C83" i="98"/>
  <c r="C85" i="98"/>
  <c r="C87" i="98"/>
  <c r="C91" i="98"/>
  <c r="C96" i="98"/>
  <c r="C99" i="98"/>
  <c r="C101" i="98"/>
  <c r="C103" i="98"/>
  <c r="C118" i="98"/>
  <c r="C120" i="98"/>
  <c r="C134" i="98"/>
  <c r="C136" i="98"/>
  <c r="C111" i="98"/>
  <c r="C122" i="98"/>
  <c r="C127" i="98"/>
  <c r="C138" i="98"/>
  <c r="C164" i="98"/>
  <c r="C145" i="98"/>
  <c r="C156" i="98"/>
  <c r="C168" i="98"/>
  <c r="C323" i="98"/>
  <c r="C148" i="98"/>
  <c r="C339" i="98"/>
  <c r="C251" i="98"/>
  <c r="C253" i="98"/>
  <c r="C160" i="98"/>
  <c r="C153" i="98"/>
  <c r="C170" i="98"/>
  <c r="C255" i="98"/>
  <c r="C337" i="98"/>
  <c r="C335" i="98"/>
  <c r="C321" i="98"/>
  <c r="C319" i="98"/>
  <c r="C343" i="98"/>
  <c r="C327" i="98"/>
  <c r="C286" i="98"/>
  <c r="C297" i="98"/>
  <c r="C313" i="98"/>
  <c r="C303" i="98"/>
  <c r="C295" i="98"/>
  <c r="C309" i="98"/>
  <c r="C311" i="98"/>
  <c r="C260" i="98"/>
  <c r="C271" i="98"/>
  <c r="C276" i="98"/>
  <c r="C263" i="98"/>
  <c r="C268" i="98"/>
  <c r="C279" i="98"/>
  <c r="C65" i="98"/>
  <c r="C68" i="98"/>
  <c r="C70" i="98"/>
  <c r="C72" i="98"/>
  <c r="C74" i="98"/>
  <c r="C77" i="98"/>
  <c r="C80" i="98"/>
  <c r="C82" i="98"/>
  <c r="C84" i="98"/>
  <c r="C86" i="98"/>
  <c r="C89" i="98"/>
  <c r="C92" i="98"/>
  <c r="C94" i="98"/>
  <c r="C95" i="98"/>
  <c r="C97" i="98"/>
  <c r="C100" i="98"/>
  <c r="C102" i="98"/>
  <c r="C104" i="98"/>
  <c r="C119" i="98"/>
  <c r="C130" i="98"/>
  <c r="C135" i="98"/>
  <c r="C110" i="98"/>
  <c r="C112" i="98"/>
  <c r="C126" i="98"/>
  <c r="C128" i="98"/>
  <c r="C162" i="98"/>
  <c r="C144" i="98"/>
  <c r="C146" i="98"/>
  <c r="C172" i="98"/>
  <c r="C140" i="98"/>
  <c r="C315" i="98"/>
  <c r="C281" i="98"/>
  <c r="C174" i="98"/>
  <c r="C349" i="98"/>
  <c r="C353" i="98"/>
  <c r="C235" i="98"/>
  <c r="C237" i="98"/>
  <c r="C208" i="98"/>
  <c r="C184" i="98"/>
  <c r="C201" i="98"/>
  <c r="C215" i="98"/>
  <c r="C197" i="98"/>
  <c r="C216" i="98"/>
  <c r="C209" i="98"/>
  <c r="C222" i="98"/>
  <c r="C202" i="98"/>
  <c r="C178" i="98"/>
  <c r="C180" i="98"/>
  <c r="N359" i="98"/>
  <c r="L359" i="98"/>
  <c r="L323" i="98"/>
  <c r="L148" i="98"/>
  <c r="L345" i="98"/>
  <c r="L343" i="98"/>
  <c r="L329" i="98"/>
  <c r="L327" i="98"/>
  <c r="L297" i="98"/>
  <c r="L302" i="98"/>
  <c r="L313" i="98"/>
  <c r="L294" i="98"/>
  <c r="L310" i="98"/>
  <c r="L252" i="98"/>
  <c r="L263" i="98"/>
  <c r="L268" i="98"/>
  <c r="L279" i="98"/>
  <c r="L261" i="98"/>
  <c r="L275" i="98"/>
  <c r="L277" i="98"/>
  <c r="L63" i="98"/>
  <c r="L67" i="98"/>
  <c r="L69" i="98"/>
  <c r="L71" i="98"/>
  <c r="L73" i="98"/>
  <c r="L75" i="98"/>
  <c r="L79" i="98"/>
  <c r="L81" i="98"/>
  <c r="L83" i="98"/>
  <c r="L85" i="98"/>
  <c r="L87" i="98"/>
  <c r="L91" i="98"/>
  <c r="L93" i="98"/>
  <c r="L96" i="98"/>
  <c r="L99" i="98"/>
  <c r="L101" i="98"/>
  <c r="L103" i="98"/>
  <c r="L111" i="98"/>
  <c r="L126" i="98"/>
  <c r="L128" i="98"/>
  <c r="L119" i="98"/>
  <c r="L130" i="98"/>
  <c r="L135" i="98"/>
  <c r="L156" i="98"/>
  <c r="L161" i="98"/>
  <c r="L153" i="98"/>
  <c r="L168" i="98"/>
  <c r="L170" i="98"/>
  <c r="L336" i="98"/>
  <c r="L285" i="98"/>
  <c r="L287" i="98"/>
  <c r="L309" i="98"/>
  <c r="L95" i="98"/>
  <c r="L144" i="98"/>
  <c r="L146" i="98"/>
  <c r="L337" i="98"/>
  <c r="L321" i="98"/>
  <c r="L289" i="98"/>
  <c r="L106" i="98"/>
  <c r="L114" i="98"/>
  <c r="L344" i="98"/>
  <c r="L339" i="98"/>
  <c r="L328" i="98"/>
  <c r="L293" i="98"/>
  <c r="L301" i="98"/>
  <c r="L303" i="98"/>
  <c r="L305" i="98"/>
  <c r="L251" i="98"/>
  <c r="L253" i="98"/>
  <c r="L267" i="98"/>
  <c r="L269" i="98"/>
  <c r="L260" i="98"/>
  <c r="L271" i="98"/>
  <c r="L276" i="98"/>
  <c r="L65" i="98"/>
  <c r="L68" i="98"/>
  <c r="L70" i="98"/>
  <c r="L72" i="98"/>
  <c r="L74" i="98"/>
  <c r="L77" i="98"/>
  <c r="L80" i="98"/>
  <c r="L82" i="98"/>
  <c r="L84" i="98"/>
  <c r="L86" i="98"/>
  <c r="L89" i="98"/>
  <c r="L92" i="98"/>
  <c r="L94" i="98"/>
  <c r="L97" i="98"/>
  <c r="L100" i="98"/>
  <c r="L102" i="98"/>
  <c r="L104" i="98"/>
  <c r="L110" i="98"/>
  <c r="L112" i="98"/>
  <c r="L122" i="98"/>
  <c r="L127" i="98"/>
  <c r="L138" i="98"/>
  <c r="L118" i="98"/>
  <c r="L120" i="98"/>
  <c r="L134" i="98"/>
  <c r="L136" i="98"/>
  <c r="L160" i="98"/>
  <c r="L162" i="98"/>
  <c r="L172" i="98"/>
  <c r="L152" i="98"/>
  <c r="L154" i="98"/>
  <c r="L164" i="98"/>
  <c r="L169" i="98"/>
  <c r="L347" i="98"/>
  <c r="L331" i="98"/>
  <c r="L320" i="98"/>
  <c r="L255" i="98"/>
  <c r="L286" i="98"/>
  <c r="L295" i="98"/>
  <c r="L311" i="98"/>
  <c r="L259" i="98"/>
  <c r="L145" i="98"/>
  <c r="L335" i="98"/>
  <c r="L319" i="98"/>
  <c r="L174" i="98"/>
  <c r="L349" i="98"/>
  <c r="L281" i="98"/>
  <c r="L140" i="98"/>
  <c r="L315" i="98"/>
  <c r="L237" i="98"/>
  <c r="L353" i="98"/>
  <c r="L235" i="98"/>
  <c r="L215" i="98"/>
  <c r="L201" i="98"/>
  <c r="L184" i="98"/>
  <c r="L208" i="98"/>
  <c r="L197" i="98"/>
  <c r="L209" i="98"/>
  <c r="L202" i="98"/>
  <c r="L178" i="98"/>
  <c r="L216" i="98"/>
  <c r="L222" i="98"/>
  <c r="I359" i="98"/>
  <c r="I255" i="98"/>
  <c r="I106" i="98"/>
  <c r="I114" i="98"/>
  <c r="I323" i="98"/>
  <c r="I337" i="98"/>
  <c r="I335" i="98"/>
  <c r="I320" i="98"/>
  <c r="I285" i="98"/>
  <c r="I287" i="98"/>
  <c r="I294" i="98"/>
  <c r="I305" i="98"/>
  <c r="I310" i="98"/>
  <c r="I301" i="98"/>
  <c r="I302" i="98"/>
  <c r="I259" i="98"/>
  <c r="I260" i="98"/>
  <c r="I271" i="98"/>
  <c r="I276" i="98"/>
  <c r="I267" i="98"/>
  <c r="I269" i="98"/>
  <c r="I65" i="98"/>
  <c r="I68" i="98"/>
  <c r="I70" i="98"/>
  <c r="I72" i="98"/>
  <c r="I74" i="98"/>
  <c r="I77" i="98"/>
  <c r="I80" i="98"/>
  <c r="I82" i="98"/>
  <c r="I84" i="98"/>
  <c r="I86" i="98"/>
  <c r="I89" i="98"/>
  <c r="I92" i="98"/>
  <c r="I94" i="98"/>
  <c r="I96" i="98"/>
  <c r="I99" i="98"/>
  <c r="I101" i="98"/>
  <c r="I103" i="98"/>
  <c r="I118" i="98"/>
  <c r="I120" i="98"/>
  <c r="I134" i="98"/>
  <c r="I136" i="98"/>
  <c r="I110" i="98"/>
  <c r="I112" i="98"/>
  <c r="I122" i="98"/>
  <c r="I127" i="98"/>
  <c r="I138" i="98"/>
  <c r="I144" i="98"/>
  <c r="I146" i="98"/>
  <c r="I156" i="98"/>
  <c r="I153" i="98"/>
  <c r="I170" i="98"/>
  <c r="I344" i="98"/>
  <c r="I328" i="98"/>
  <c r="I148" i="98"/>
  <c r="I251" i="98"/>
  <c r="I253" i="98"/>
  <c r="I160" i="98"/>
  <c r="I154" i="98"/>
  <c r="I345" i="98"/>
  <c r="I329" i="98"/>
  <c r="I347" i="98"/>
  <c r="I336" i="98"/>
  <c r="I331" i="98"/>
  <c r="I321" i="98"/>
  <c r="I319" i="98"/>
  <c r="I286" i="98"/>
  <c r="I295" i="98"/>
  <c r="I309" i="98"/>
  <c r="I311" i="98"/>
  <c r="I303" i="98"/>
  <c r="I297" i="98"/>
  <c r="I313" i="98"/>
  <c r="I261" i="98"/>
  <c r="I275" i="98"/>
  <c r="I277" i="98"/>
  <c r="I263" i="98"/>
  <c r="I268" i="98"/>
  <c r="I279" i="98"/>
  <c r="I63" i="98"/>
  <c r="I67" i="98"/>
  <c r="I69" i="98"/>
  <c r="I71" i="98"/>
  <c r="I73" i="98"/>
  <c r="I75" i="98"/>
  <c r="I79" i="98"/>
  <c r="I81" i="98"/>
  <c r="I83" i="98"/>
  <c r="I85" i="98"/>
  <c r="I87" i="98"/>
  <c r="I91" i="98"/>
  <c r="I93" i="98"/>
  <c r="I95" i="98"/>
  <c r="I97" i="98"/>
  <c r="I100" i="98"/>
  <c r="I102" i="98"/>
  <c r="I104" i="98"/>
  <c r="I119" i="98"/>
  <c r="I130" i="98"/>
  <c r="I135" i="98"/>
  <c r="I111" i="98"/>
  <c r="I126" i="98"/>
  <c r="I128" i="98"/>
  <c r="I145" i="98"/>
  <c r="I169" i="98"/>
  <c r="I162" i="98"/>
  <c r="I164" i="98"/>
  <c r="I339" i="98"/>
  <c r="I289" i="98"/>
  <c r="I293" i="98"/>
  <c r="I252" i="98"/>
  <c r="I152" i="98"/>
  <c r="I161" i="98"/>
  <c r="I172" i="98"/>
  <c r="I168" i="98"/>
  <c r="I343" i="98"/>
  <c r="I327" i="98"/>
  <c r="I174" i="98"/>
  <c r="I349" i="98"/>
  <c r="I140" i="98"/>
  <c r="I281" i="98"/>
  <c r="I315" i="98"/>
  <c r="I235" i="98"/>
  <c r="I353" i="98"/>
  <c r="I237" i="98"/>
  <c r="I201" i="98"/>
  <c r="I215" i="98"/>
  <c r="I184" i="98"/>
  <c r="I208" i="98"/>
  <c r="I202" i="98"/>
  <c r="I178" i="98"/>
  <c r="I197" i="98"/>
  <c r="I209" i="98"/>
  <c r="I216" i="98"/>
  <c r="I222" i="98"/>
  <c r="L180" i="98"/>
  <c r="I180" i="98"/>
  <c r="P359" i="98"/>
  <c r="L204" i="98"/>
  <c r="C218" i="98"/>
  <c r="L211" i="98"/>
  <c r="I211" i="98"/>
  <c r="I209" i="97"/>
  <c r="I223" i="97"/>
  <c r="C209" i="97"/>
  <c r="F21" i="97"/>
  <c r="F18" i="97"/>
  <c r="L332" i="97"/>
  <c r="L327" i="97"/>
  <c r="L316" i="97"/>
  <c r="L325" i="97"/>
  <c r="L323" i="97"/>
  <c r="L308" i="97"/>
  <c r="L273" i="97"/>
  <c r="L275" i="97"/>
  <c r="L282" i="97"/>
  <c r="L293" i="97"/>
  <c r="L298" i="97"/>
  <c r="L289" i="97"/>
  <c r="L291" i="97"/>
  <c r="L240" i="97"/>
  <c r="L255" i="97"/>
  <c r="L257" i="97"/>
  <c r="L248" i="97"/>
  <c r="L259" i="97"/>
  <c r="L264" i="97"/>
  <c r="L311" i="97"/>
  <c r="L277" i="97"/>
  <c r="L243" i="97"/>
  <c r="L333" i="97"/>
  <c r="L331" i="97"/>
  <c r="L317" i="97"/>
  <c r="L315" i="97"/>
  <c r="L335" i="97"/>
  <c r="L324" i="97"/>
  <c r="L319" i="97"/>
  <c r="L309" i="97"/>
  <c r="L307" i="97"/>
  <c r="L281" i="97"/>
  <c r="L274" i="97"/>
  <c r="L283" i="97"/>
  <c r="L297" i="97"/>
  <c r="L299" i="97"/>
  <c r="L285" i="97"/>
  <c r="L290" i="97"/>
  <c r="L301" i="97"/>
  <c r="L239" i="97"/>
  <c r="L241" i="97"/>
  <c r="L251" i="97"/>
  <c r="L256" i="97"/>
  <c r="L267" i="97"/>
  <c r="L247" i="97"/>
  <c r="L249" i="97"/>
  <c r="L263" i="97"/>
  <c r="L265" i="97"/>
  <c r="L269" i="97"/>
  <c r="L303" i="97"/>
  <c r="L337" i="97"/>
  <c r="L63" i="97"/>
  <c r="L66" i="97"/>
  <c r="L68" i="97"/>
  <c r="L70" i="97"/>
  <c r="L72" i="97"/>
  <c r="L75" i="97"/>
  <c r="L97" i="97"/>
  <c r="L99" i="97"/>
  <c r="L101" i="97"/>
  <c r="L78" i="97"/>
  <c r="L80" i="97"/>
  <c r="L82" i="97"/>
  <c r="L84" i="97"/>
  <c r="L87" i="97"/>
  <c r="L90" i="97"/>
  <c r="L92" i="97"/>
  <c r="L94" i="97"/>
  <c r="L117" i="97"/>
  <c r="L128" i="97"/>
  <c r="L133" i="97"/>
  <c r="L109" i="97"/>
  <c r="L124" i="97"/>
  <c r="L126" i="97"/>
  <c r="L142" i="97"/>
  <c r="L144" i="97"/>
  <c r="L146" i="97"/>
  <c r="L158" i="97"/>
  <c r="L160" i="97"/>
  <c r="L151" i="97"/>
  <c r="L167" i="97"/>
  <c r="L104" i="97"/>
  <c r="L112" i="97"/>
  <c r="L61" i="97"/>
  <c r="L67" i="97"/>
  <c r="L69" i="97"/>
  <c r="L71" i="97"/>
  <c r="L73" i="97"/>
  <c r="L98" i="97"/>
  <c r="L100" i="97"/>
  <c r="L102" i="97"/>
  <c r="L79" i="97"/>
  <c r="L81" i="97"/>
  <c r="L83" i="97"/>
  <c r="L85" i="97"/>
  <c r="L89" i="97"/>
  <c r="L91" i="97"/>
  <c r="L93" i="97"/>
  <c r="L95" i="97"/>
  <c r="L116" i="97"/>
  <c r="L118" i="97"/>
  <c r="L132" i="97"/>
  <c r="L134" i="97"/>
  <c r="L108" i="97"/>
  <c r="L110" i="97"/>
  <c r="L120" i="97"/>
  <c r="L125" i="97"/>
  <c r="L136" i="97"/>
  <c r="L143" i="97"/>
  <c r="L154" i="97"/>
  <c r="L159" i="97"/>
  <c r="L166" i="97"/>
  <c r="L170" i="97"/>
  <c r="L150" i="97"/>
  <c r="L152" i="97"/>
  <c r="L162" i="97"/>
  <c r="L168" i="97"/>
  <c r="L172" i="97"/>
  <c r="L138" i="97"/>
  <c r="L233" i="97"/>
  <c r="L235" i="97"/>
  <c r="L341" i="97"/>
  <c r="L182" i="97"/>
  <c r="L199" i="97"/>
  <c r="L213" i="97"/>
  <c r="L206" i="97"/>
  <c r="L220" i="97"/>
  <c r="L207" i="97"/>
  <c r="L214" i="97"/>
  <c r="L195" i="97"/>
  <c r="L176" i="97"/>
  <c r="L200" i="97"/>
  <c r="I311" i="97"/>
  <c r="I243" i="97"/>
  <c r="I335" i="97"/>
  <c r="I324" i="97"/>
  <c r="I319" i="97"/>
  <c r="I309" i="97"/>
  <c r="I307" i="97"/>
  <c r="I333" i="97"/>
  <c r="I331" i="97"/>
  <c r="I317" i="97"/>
  <c r="I315" i="97"/>
  <c r="I273" i="97"/>
  <c r="I275" i="97"/>
  <c r="I285" i="97"/>
  <c r="I290" i="97"/>
  <c r="I301" i="97"/>
  <c r="I283" i="97"/>
  <c r="I297" i="97"/>
  <c r="I299" i="97"/>
  <c r="I247" i="97"/>
  <c r="I249" i="97"/>
  <c r="I263" i="97"/>
  <c r="I265" i="97"/>
  <c r="I239" i="97"/>
  <c r="I241" i="97"/>
  <c r="I251" i="97"/>
  <c r="I256" i="97"/>
  <c r="I267" i="97"/>
  <c r="I277" i="97"/>
  <c r="I325" i="97"/>
  <c r="I323" i="97"/>
  <c r="I308" i="97"/>
  <c r="I332" i="97"/>
  <c r="I327" i="97"/>
  <c r="I316" i="97"/>
  <c r="I274" i="97"/>
  <c r="I281" i="97"/>
  <c r="I289" i="97"/>
  <c r="I291" i="97"/>
  <c r="I282" i="97"/>
  <c r="I293" i="97"/>
  <c r="I298" i="97"/>
  <c r="I248" i="97"/>
  <c r="I259" i="97"/>
  <c r="I264" i="97"/>
  <c r="I240" i="97"/>
  <c r="I255" i="97"/>
  <c r="I257" i="97"/>
  <c r="I303" i="97"/>
  <c r="I269" i="97"/>
  <c r="I337" i="97"/>
  <c r="I104" i="97"/>
  <c r="I112" i="97"/>
  <c r="I67" i="97"/>
  <c r="I61" i="97"/>
  <c r="I79" i="97"/>
  <c r="I81" i="97"/>
  <c r="I83" i="97"/>
  <c r="I85" i="97"/>
  <c r="I89" i="97"/>
  <c r="I91" i="97"/>
  <c r="I93" i="97"/>
  <c r="I95" i="97"/>
  <c r="I69" i="97"/>
  <c r="I71" i="97"/>
  <c r="I73" i="97"/>
  <c r="I98" i="97"/>
  <c r="I100" i="97"/>
  <c r="I102" i="97"/>
  <c r="I108" i="97"/>
  <c r="I110" i="97"/>
  <c r="I120" i="97"/>
  <c r="I125" i="97"/>
  <c r="I136" i="97"/>
  <c r="I116" i="97"/>
  <c r="I118" i="97"/>
  <c r="I132" i="97"/>
  <c r="I134" i="97"/>
  <c r="I167" i="97"/>
  <c r="I162" i="97"/>
  <c r="I166" i="97"/>
  <c r="I142" i="97"/>
  <c r="I144" i="97"/>
  <c r="I159" i="97"/>
  <c r="I154" i="97"/>
  <c r="I168" i="97"/>
  <c r="I146" i="97"/>
  <c r="I66" i="97"/>
  <c r="I68" i="97"/>
  <c r="I63" i="97"/>
  <c r="I78" i="97"/>
  <c r="I80" i="97"/>
  <c r="I82" i="97"/>
  <c r="I84" i="97"/>
  <c r="I87" i="97"/>
  <c r="I90" i="97"/>
  <c r="I92" i="97"/>
  <c r="I94" i="97"/>
  <c r="I70" i="97"/>
  <c r="I72" i="97"/>
  <c r="I75" i="97"/>
  <c r="I97" i="97"/>
  <c r="I99" i="97"/>
  <c r="I101" i="97"/>
  <c r="I109" i="97"/>
  <c r="I124" i="97"/>
  <c r="I126" i="97"/>
  <c r="I117" i="97"/>
  <c r="I128" i="97"/>
  <c r="I133" i="97"/>
  <c r="I150" i="97"/>
  <c r="I151" i="97"/>
  <c r="I158" i="97"/>
  <c r="I170" i="97"/>
  <c r="I143" i="97"/>
  <c r="I152" i="97"/>
  <c r="I160" i="97"/>
  <c r="I138" i="97"/>
  <c r="I172" i="97"/>
  <c r="I233" i="97"/>
  <c r="I341" i="97"/>
  <c r="I235" i="97"/>
  <c r="I199" i="97"/>
  <c r="I213" i="97"/>
  <c r="I182" i="97"/>
  <c r="I206" i="97"/>
  <c r="I200" i="97"/>
  <c r="I214" i="97"/>
  <c r="I220" i="97"/>
  <c r="I195" i="97"/>
  <c r="I207" i="97"/>
  <c r="I176" i="97"/>
  <c r="M16" i="97"/>
  <c r="C347" i="97"/>
  <c r="C243" i="97"/>
  <c r="C325" i="97"/>
  <c r="C323" i="97"/>
  <c r="C309" i="97"/>
  <c r="C307" i="97"/>
  <c r="C332" i="97"/>
  <c r="C327" i="97"/>
  <c r="C316" i="97"/>
  <c r="C273" i="97"/>
  <c r="C275" i="97"/>
  <c r="C285" i="97"/>
  <c r="C290" i="97"/>
  <c r="C301" i="97"/>
  <c r="C283" i="97"/>
  <c r="C297" i="97"/>
  <c r="C299" i="97"/>
  <c r="C248" i="97"/>
  <c r="C259" i="97"/>
  <c r="C264" i="97"/>
  <c r="C239" i="97"/>
  <c r="C241" i="97"/>
  <c r="C255" i="97"/>
  <c r="C257" i="97"/>
  <c r="C311" i="97"/>
  <c r="C277" i="97"/>
  <c r="C335" i="97"/>
  <c r="C324" i="97"/>
  <c r="C319" i="97"/>
  <c r="C308" i="97"/>
  <c r="C333" i="97"/>
  <c r="C331" i="97"/>
  <c r="C317" i="97"/>
  <c r="C315" i="97"/>
  <c r="C274" i="97"/>
  <c r="C281" i="97"/>
  <c r="C289" i="97"/>
  <c r="C291" i="97"/>
  <c r="C282" i="97"/>
  <c r="C293" i="97"/>
  <c r="C298" i="97"/>
  <c r="C247" i="97"/>
  <c r="C249" i="97"/>
  <c r="C263" i="97"/>
  <c r="C265" i="97"/>
  <c r="C240" i="97"/>
  <c r="C251" i="97"/>
  <c r="C256" i="97"/>
  <c r="C267" i="97"/>
  <c r="C303" i="97"/>
  <c r="C337" i="97"/>
  <c r="C269" i="97"/>
  <c r="C162" i="97"/>
  <c r="C143" i="97"/>
  <c r="C154" i="97"/>
  <c r="C170" i="97"/>
  <c r="C158" i="97"/>
  <c r="C104" i="97"/>
  <c r="C112" i="97"/>
  <c r="C67" i="97"/>
  <c r="C61" i="97"/>
  <c r="C78" i="97"/>
  <c r="C80" i="97"/>
  <c r="C82" i="97"/>
  <c r="C84" i="97"/>
  <c r="C87" i="97"/>
  <c r="C90" i="97"/>
  <c r="C92" i="97"/>
  <c r="C94" i="97"/>
  <c r="C69" i="97"/>
  <c r="C71" i="97"/>
  <c r="C73" i="97"/>
  <c r="C98" i="97"/>
  <c r="C100" i="97"/>
  <c r="C102" i="97"/>
  <c r="C108" i="97"/>
  <c r="C110" i="97"/>
  <c r="C124" i="97"/>
  <c r="C126" i="97"/>
  <c r="C116" i="97"/>
  <c r="C118" i="97"/>
  <c r="C132" i="97"/>
  <c r="C134" i="97"/>
  <c r="C151" i="97"/>
  <c r="C168" i="97"/>
  <c r="C159" i="97"/>
  <c r="C167" i="97"/>
  <c r="C152" i="97"/>
  <c r="C160" i="97"/>
  <c r="C142" i="97"/>
  <c r="C144" i="97"/>
  <c r="C166" i="97"/>
  <c r="C146" i="97"/>
  <c r="C66" i="97"/>
  <c r="C68" i="97"/>
  <c r="C63" i="97"/>
  <c r="C79" i="97"/>
  <c r="C81" i="97"/>
  <c r="C83" i="97"/>
  <c r="C85" i="97"/>
  <c r="C89" i="97"/>
  <c r="C91" i="97"/>
  <c r="C93" i="97"/>
  <c r="C95" i="97"/>
  <c r="C70" i="97"/>
  <c r="C72" i="97"/>
  <c r="C75" i="97"/>
  <c r="C97" i="97"/>
  <c r="C99" i="97"/>
  <c r="C101" i="97"/>
  <c r="C109" i="97"/>
  <c r="C120" i="97"/>
  <c r="C125" i="97"/>
  <c r="C136" i="97"/>
  <c r="C117" i="97"/>
  <c r="C128" i="97"/>
  <c r="C133" i="97"/>
  <c r="C150" i="97"/>
  <c r="C138" i="97"/>
  <c r="C172" i="97"/>
  <c r="C341" i="97"/>
  <c r="C233" i="97"/>
  <c r="C235" i="97"/>
  <c r="C206" i="97"/>
  <c r="C199" i="97"/>
  <c r="C182" i="97"/>
  <c r="C213" i="97"/>
  <c r="C220" i="97"/>
  <c r="C176" i="97"/>
  <c r="C195" i="97"/>
  <c r="C200" i="97"/>
  <c r="C207" i="97"/>
  <c r="C214" i="97"/>
  <c r="L178" i="97"/>
  <c r="I178" i="97"/>
  <c r="F18" i="96"/>
  <c r="L209" i="97"/>
  <c r="C178" i="97"/>
  <c r="L202" i="97"/>
  <c r="C216" i="97"/>
  <c r="I202" i="97"/>
  <c r="F16" i="97"/>
  <c r="F21" i="96"/>
  <c r="L202" i="96"/>
  <c r="C223" i="96"/>
  <c r="L209" i="96"/>
  <c r="C216" i="96"/>
  <c r="M16" i="96"/>
  <c r="M28" i="96" s="1"/>
  <c r="J28" i="96"/>
  <c r="L281" i="96"/>
  <c r="L274" i="96"/>
  <c r="L283" i="96"/>
  <c r="L297" i="96"/>
  <c r="L299" i="96"/>
  <c r="L285" i="96"/>
  <c r="L290" i="96"/>
  <c r="L301" i="96"/>
  <c r="L239" i="96"/>
  <c r="L241" i="96"/>
  <c r="L251" i="96"/>
  <c r="L256" i="96"/>
  <c r="L267" i="96"/>
  <c r="L247" i="96"/>
  <c r="L249" i="96"/>
  <c r="L263" i="96"/>
  <c r="L265" i="96"/>
  <c r="L311" i="96"/>
  <c r="L332" i="96"/>
  <c r="L327" i="96"/>
  <c r="L316" i="96"/>
  <c r="L325" i="96"/>
  <c r="L323" i="96"/>
  <c r="L308" i="96"/>
  <c r="L277" i="96"/>
  <c r="L243" i="96"/>
  <c r="L273" i="96"/>
  <c r="L275" i="96"/>
  <c r="L282" i="96"/>
  <c r="L293" i="96"/>
  <c r="L298" i="96"/>
  <c r="L289" i="96"/>
  <c r="L291" i="96"/>
  <c r="L240" i="96"/>
  <c r="L255" i="96"/>
  <c r="L257" i="96"/>
  <c r="L248" i="96"/>
  <c r="L259" i="96"/>
  <c r="L264" i="96"/>
  <c r="L333" i="96"/>
  <c r="L331" i="96"/>
  <c r="L317" i="96"/>
  <c r="L315" i="96"/>
  <c r="L335" i="96"/>
  <c r="L324" i="96"/>
  <c r="L319" i="96"/>
  <c r="L309" i="96"/>
  <c r="L307" i="96"/>
  <c r="L269" i="96"/>
  <c r="L303" i="96"/>
  <c r="L337" i="96"/>
  <c r="L112" i="96"/>
  <c r="L66" i="96"/>
  <c r="L68" i="96"/>
  <c r="L63" i="96"/>
  <c r="L69" i="96"/>
  <c r="L71" i="96"/>
  <c r="L73" i="96"/>
  <c r="L98" i="96"/>
  <c r="L100" i="96"/>
  <c r="L102" i="96"/>
  <c r="L108" i="96"/>
  <c r="L110" i="96"/>
  <c r="L120" i="96"/>
  <c r="L125" i="96"/>
  <c r="L136" i="96"/>
  <c r="L116" i="96"/>
  <c r="L118" i="96"/>
  <c r="L132" i="96"/>
  <c r="L134" i="96"/>
  <c r="L151" i="96"/>
  <c r="L167" i="96"/>
  <c r="L142" i="96"/>
  <c r="L144" i="96"/>
  <c r="L104" i="96"/>
  <c r="L78" i="96"/>
  <c r="L80" i="96"/>
  <c r="L82" i="96"/>
  <c r="L84" i="96"/>
  <c r="L87" i="96"/>
  <c r="L90" i="96"/>
  <c r="L92" i="96"/>
  <c r="L94" i="96"/>
  <c r="L158" i="96"/>
  <c r="L160" i="96"/>
  <c r="L146" i="96"/>
  <c r="L67" i="96"/>
  <c r="L61" i="96"/>
  <c r="L70" i="96"/>
  <c r="L72" i="96"/>
  <c r="L75" i="96"/>
  <c r="L97" i="96"/>
  <c r="L99" i="96"/>
  <c r="L101" i="96"/>
  <c r="L109" i="96"/>
  <c r="L124" i="96"/>
  <c r="L126" i="96"/>
  <c r="L117" i="96"/>
  <c r="L128" i="96"/>
  <c r="L133" i="96"/>
  <c r="L150" i="96"/>
  <c r="L152" i="96"/>
  <c r="L162" i="96"/>
  <c r="L168" i="96"/>
  <c r="L143" i="96"/>
  <c r="L79" i="96"/>
  <c r="L81" i="96"/>
  <c r="L83" i="96"/>
  <c r="L85" i="96"/>
  <c r="L89" i="96"/>
  <c r="L91" i="96"/>
  <c r="L93" i="96"/>
  <c r="L95" i="96"/>
  <c r="L154" i="96"/>
  <c r="L159" i="96"/>
  <c r="L166" i="96"/>
  <c r="L170" i="96"/>
  <c r="L138" i="96"/>
  <c r="L172" i="96"/>
  <c r="L235" i="96"/>
  <c r="L233" i="96"/>
  <c r="L341" i="96"/>
  <c r="L199" i="96"/>
  <c r="L213" i="96"/>
  <c r="L206" i="96"/>
  <c r="L182" i="96"/>
  <c r="L207" i="96"/>
  <c r="L214" i="96"/>
  <c r="L220" i="96"/>
  <c r="L200" i="96"/>
  <c r="L195" i="96"/>
  <c r="L176" i="96"/>
  <c r="I243" i="96"/>
  <c r="I274" i="96"/>
  <c r="I281" i="96"/>
  <c r="I289" i="96"/>
  <c r="I291" i="96"/>
  <c r="I282" i="96"/>
  <c r="I293" i="96"/>
  <c r="I298" i="96"/>
  <c r="I248" i="96"/>
  <c r="I259" i="96"/>
  <c r="I264" i="96"/>
  <c r="I240" i="96"/>
  <c r="I255" i="96"/>
  <c r="I257" i="96"/>
  <c r="I335" i="96"/>
  <c r="I324" i="96"/>
  <c r="I319" i="96"/>
  <c r="I309" i="96"/>
  <c r="I307" i="96"/>
  <c r="I333" i="96"/>
  <c r="I331" i="96"/>
  <c r="I317" i="96"/>
  <c r="I315" i="96"/>
  <c r="I277" i="96"/>
  <c r="I273" i="96"/>
  <c r="I275" i="96"/>
  <c r="I285" i="96"/>
  <c r="I290" i="96"/>
  <c r="I301" i="96"/>
  <c r="I283" i="96"/>
  <c r="I297" i="96"/>
  <c r="I299" i="96"/>
  <c r="I247" i="96"/>
  <c r="I249" i="96"/>
  <c r="I263" i="96"/>
  <c r="I265" i="96"/>
  <c r="I239" i="96"/>
  <c r="I241" i="96"/>
  <c r="I251" i="96"/>
  <c r="I256" i="96"/>
  <c r="I267" i="96"/>
  <c r="I311" i="96"/>
  <c r="I325" i="96"/>
  <c r="I323" i="96"/>
  <c r="I308" i="96"/>
  <c r="I332" i="96"/>
  <c r="I327" i="96"/>
  <c r="I316" i="96"/>
  <c r="I337" i="96"/>
  <c r="I303" i="96"/>
  <c r="I269" i="96"/>
  <c r="I146" i="96"/>
  <c r="I61" i="96"/>
  <c r="I67" i="96"/>
  <c r="I78" i="96"/>
  <c r="I80" i="96"/>
  <c r="I82" i="96"/>
  <c r="I84" i="96"/>
  <c r="I87" i="96"/>
  <c r="I90" i="96"/>
  <c r="I92" i="96"/>
  <c r="I94" i="96"/>
  <c r="I117" i="96"/>
  <c r="I128" i="96"/>
  <c r="I133" i="96"/>
  <c r="I109" i="96"/>
  <c r="I124" i="96"/>
  <c r="I126" i="96"/>
  <c r="I142" i="96"/>
  <c r="I144" i="96"/>
  <c r="I154" i="96"/>
  <c r="I168" i="96"/>
  <c r="I162" i="96"/>
  <c r="I69" i="96"/>
  <c r="I71" i="96"/>
  <c r="I73" i="96"/>
  <c r="I98" i="96"/>
  <c r="I100" i="96"/>
  <c r="I102" i="96"/>
  <c r="I159" i="96"/>
  <c r="I166" i="96"/>
  <c r="I152" i="96"/>
  <c r="I104" i="96"/>
  <c r="I112" i="96"/>
  <c r="I63" i="96"/>
  <c r="I66" i="96"/>
  <c r="I68" i="96"/>
  <c r="I79" i="96"/>
  <c r="I81" i="96"/>
  <c r="I83" i="96"/>
  <c r="I85" i="96"/>
  <c r="I89" i="96"/>
  <c r="I91" i="96"/>
  <c r="I93" i="96"/>
  <c r="I95" i="96"/>
  <c r="I116" i="96"/>
  <c r="I118" i="96"/>
  <c r="I132" i="96"/>
  <c r="I134" i="96"/>
  <c r="I108" i="96"/>
  <c r="I110" i="96"/>
  <c r="I120" i="96"/>
  <c r="I125" i="96"/>
  <c r="I136" i="96"/>
  <c r="I143" i="96"/>
  <c r="I150" i="96"/>
  <c r="I167" i="96"/>
  <c r="I160" i="96"/>
  <c r="I151" i="96"/>
  <c r="I70" i="96"/>
  <c r="I72" i="96"/>
  <c r="I75" i="96"/>
  <c r="I97" i="96"/>
  <c r="I99" i="96"/>
  <c r="I101" i="96"/>
  <c r="I158" i="96"/>
  <c r="I170" i="96"/>
  <c r="I172" i="96"/>
  <c r="I138" i="96"/>
  <c r="I341" i="96"/>
  <c r="I233" i="96"/>
  <c r="I235" i="96"/>
  <c r="I199" i="96"/>
  <c r="I213" i="96"/>
  <c r="I182" i="96"/>
  <c r="I206" i="96"/>
  <c r="I195" i="96"/>
  <c r="I200" i="96"/>
  <c r="I207" i="96"/>
  <c r="I176" i="96"/>
  <c r="I214" i="96"/>
  <c r="I220" i="96"/>
  <c r="L178" i="96"/>
  <c r="B28" i="96"/>
  <c r="I178" i="96"/>
  <c r="I216" i="96"/>
  <c r="L216" i="96"/>
  <c r="I209" i="96"/>
  <c r="I202" i="96"/>
  <c r="C347" i="96"/>
  <c r="C311" i="96"/>
  <c r="C335" i="96"/>
  <c r="C324" i="96"/>
  <c r="C319" i="96"/>
  <c r="C308" i="96"/>
  <c r="C333" i="96"/>
  <c r="C331" i="96"/>
  <c r="C317" i="96"/>
  <c r="C315" i="96"/>
  <c r="C243" i="96"/>
  <c r="C273" i="96"/>
  <c r="C275" i="96"/>
  <c r="C285" i="96"/>
  <c r="C290" i="96"/>
  <c r="C301" i="96"/>
  <c r="C283" i="96"/>
  <c r="C297" i="96"/>
  <c r="C299" i="96"/>
  <c r="C247" i="96"/>
  <c r="C249" i="96"/>
  <c r="C263" i="96"/>
  <c r="C265" i="96"/>
  <c r="C240" i="96"/>
  <c r="C251" i="96"/>
  <c r="C256" i="96"/>
  <c r="C267" i="96"/>
  <c r="C325" i="96"/>
  <c r="C323" i="96"/>
  <c r="C309" i="96"/>
  <c r="C307" i="96"/>
  <c r="C332" i="96"/>
  <c r="C327" i="96"/>
  <c r="C316" i="96"/>
  <c r="C277" i="96"/>
  <c r="C274" i="96"/>
  <c r="C281" i="96"/>
  <c r="C289" i="96"/>
  <c r="C291" i="96"/>
  <c r="C282" i="96"/>
  <c r="C293" i="96"/>
  <c r="C298" i="96"/>
  <c r="C248" i="96"/>
  <c r="C259" i="96"/>
  <c r="C264" i="96"/>
  <c r="C239" i="96"/>
  <c r="C241" i="96"/>
  <c r="C255" i="96"/>
  <c r="C257" i="96"/>
  <c r="C303" i="96"/>
  <c r="C269" i="96"/>
  <c r="C337" i="96"/>
  <c r="C70" i="96"/>
  <c r="C72" i="96"/>
  <c r="C75" i="96"/>
  <c r="C97" i="96"/>
  <c r="C99" i="96"/>
  <c r="C101" i="96"/>
  <c r="C159" i="96"/>
  <c r="C167" i="96"/>
  <c r="C152" i="96"/>
  <c r="C162" i="96"/>
  <c r="C146" i="96"/>
  <c r="C63" i="96"/>
  <c r="C67" i="96"/>
  <c r="C79" i="96"/>
  <c r="C81" i="96"/>
  <c r="C83" i="96"/>
  <c r="C85" i="96"/>
  <c r="C89" i="96"/>
  <c r="C91" i="96"/>
  <c r="C93" i="96"/>
  <c r="C95" i="96"/>
  <c r="C117" i="96"/>
  <c r="C128" i="96"/>
  <c r="C133" i="96"/>
  <c r="C108" i="96"/>
  <c r="C110" i="96"/>
  <c r="C124" i="96"/>
  <c r="C126" i="96"/>
  <c r="C142" i="96"/>
  <c r="C144" i="96"/>
  <c r="C166" i="96"/>
  <c r="C151" i="96"/>
  <c r="C168" i="96"/>
  <c r="C69" i="96"/>
  <c r="C71" i="96"/>
  <c r="C73" i="96"/>
  <c r="C98" i="96"/>
  <c r="C100" i="96"/>
  <c r="C102" i="96"/>
  <c r="C160" i="96"/>
  <c r="C104" i="96"/>
  <c r="C112" i="96"/>
  <c r="C61" i="96"/>
  <c r="C66" i="96"/>
  <c r="C68" i="96"/>
  <c r="C78" i="96"/>
  <c r="C80" i="96"/>
  <c r="C82" i="96"/>
  <c r="C84" i="96"/>
  <c r="C87" i="96"/>
  <c r="C90" i="96"/>
  <c r="C92" i="96"/>
  <c r="C94" i="96"/>
  <c r="C116" i="96"/>
  <c r="C118" i="96"/>
  <c r="C132" i="96"/>
  <c r="C134" i="96"/>
  <c r="C109" i="96"/>
  <c r="C120" i="96"/>
  <c r="C125" i="96"/>
  <c r="C136" i="96"/>
  <c r="C143" i="96"/>
  <c r="C154" i="96"/>
  <c r="C170" i="96"/>
  <c r="C158" i="96"/>
  <c r="C150" i="96"/>
  <c r="C172" i="96"/>
  <c r="C138" i="96"/>
  <c r="C341" i="96"/>
  <c r="C233" i="96"/>
  <c r="C235" i="96"/>
  <c r="C182" i="96"/>
  <c r="C199" i="96"/>
  <c r="C206" i="96"/>
  <c r="C213" i="96"/>
  <c r="C195" i="96"/>
  <c r="C176" i="96"/>
  <c r="C220" i="96"/>
  <c r="C200" i="96"/>
  <c r="C214" i="96"/>
  <c r="C207" i="96"/>
  <c r="E28" i="96"/>
  <c r="C178" i="96"/>
  <c r="D28" i="96"/>
  <c r="C209" i="96"/>
  <c r="L217" i="95"/>
  <c r="L203" i="95"/>
  <c r="C217" i="95"/>
  <c r="C210" i="95"/>
  <c r="C224" i="95"/>
  <c r="L236" i="95"/>
  <c r="L234" i="95"/>
  <c r="L250" i="95"/>
  <c r="L67" i="95"/>
  <c r="L69" i="95"/>
  <c r="L71" i="95"/>
  <c r="L73" i="95"/>
  <c r="L76" i="95"/>
  <c r="L98" i="95"/>
  <c r="L100" i="95"/>
  <c r="L102" i="95"/>
  <c r="L79" i="95"/>
  <c r="L81" i="95"/>
  <c r="L83" i="95"/>
  <c r="L85" i="95"/>
  <c r="L88" i="95"/>
  <c r="L91" i="95"/>
  <c r="L93" i="95"/>
  <c r="L95" i="95"/>
  <c r="L118" i="95"/>
  <c r="L129" i="95"/>
  <c r="L134" i="95"/>
  <c r="L110" i="95"/>
  <c r="L125" i="95"/>
  <c r="L127" i="95"/>
  <c r="L143" i="95"/>
  <c r="L145" i="95"/>
  <c r="L280" i="95"/>
  <c r="L282" i="95"/>
  <c r="L289" i="95"/>
  <c r="L300" i="95"/>
  <c r="L305" i="95"/>
  <c r="L296" i="95"/>
  <c r="L298" i="95"/>
  <c r="L254" i="95"/>
  <c r="L256" i="95"/>
  <c r="L270" i="95"/>
  <c r="L272" i="95"/>
  <c r="L246" i="95"/>
  <c r="L248" i="95"/>
  <c r="L258" i="95"/>
  <c r="L263" i="95"/>
  <c r="L274" i="95"/>
  <c r="L340" i="95"/>
  <c r="L338" i="95"/>
  <c r="L324" i="95"/>
  <c r="L322" i="95"/>
  <c r="L342" i="95"/>
  <c r="L331" i="95"/>
  <c r="L326" i="95"/>
  <c r="L316" i="95"/>
  <c r="L314" i="95"/>
  <c r="L64" i="95"/>
  <c r="L159" i="95"/>
  <c r="L161" i="95"/>
  <c r="L152" i="95"/>
  <c r="L169" i="95"/>
  <c r="L168" i="95"/>
  <c r="L105" i="95"/>
  <c r="L113" i="95"/>
  <c r="L284" i="95"/>
  <c r="L318" i="95"/>
  <c r="L68" i="95"/>
  <c r="L70" i="95"/>
  <c r="L72" i="95"/>
  <c r="L74" i="95"/>
  <c r="L99" i="95"/>
  <c r="L101" i="95"/>
  <c r="L103" i="95"/>
  <c r="L80" i="95"/>
  <c r="L82" i="95"/>
  <c r="L84" i="95"/>
  <c r="L86" i="95"/>
  <c r="L90" i="95"/>
  <c r="L92" i="95"/>
  <c r="L94" i="95"/>
  <c r="L96" i="95"/>
  <c r="L117" i="95"/>
  <c r="L119" i="95"/>
  <c r="L133" i="95"/>
  <c r="L135" i="95"/>
  <c r="L109" i="95"/>
  <c r="L111" i="95"/>
  <c r="L121" i="95"/>
  <c r="L126" i="95"/>
  <c r="L137" i="95"/>
  <c r="L144" i="95"/>
  <c r="L281" i="95"/>
  <c r="L288" i="95"/>
  <c r="L290" i="95"/>
  <c r="L304" i="95"/>
  <c r="L306" i="95"/>
  <c r="L292" i="95"/>
  <c r="L297" i="95"/>
  <c r="L308" i="95"/>
  <c r="L255" i="95"/>
  <c r="L266" i="95"/>
  <c r="L271" i="95"/>
  <c r="L247" i="95"/>
  <c r="L262" i="95"/>
  <c r="L264" i="95"/>
  <c r="L339" i="95"/>
  <c r="L334" i="95"/>
  <c r="L323" i="95"/>
  <c r="L332" i="95"/>
  <c r="L330" i="95"/>
  <c r="L315" i="95"/>
  <c r="L147" i="95"/>
  <c r="L62" i="95"/>
  <c r="L155" i="95"/>
  <c r="L160" i="95"/>
  <c r="L167" i="95"/>
  <c r="L171" i="95"/>
  <c r="L151" i="95"/>
  <c r="L153" i="95"/>
  <c r="L163" i="95"/>
  <c r="L173" i="95"/>
  <c r="L344" i="95"/>
  <c r="L310" i="95"/>
  <c r="L139" i="95"/>
  <c r="L276" i="95"/>
  <c r="L242" i="95"/>
  <c r="L348" i="95"/>
  <c r="L240" i="95"/>
  <c r="L207" i="95"/>
  <c r="L177" i="95"/>
  <c r="L214" i="95"/>
  <c r="L200" i="95"/>
  <c r="L183" i="95"/>
  <c r="L179" i="95"/>
  <c r="L208" i="95"/>
  <c r="L215" i="95"/>
  <c r="L196" i="95"/>
  <c r="L201" i="95"/>
  <c r="L221" i="95"/>
  <c r="C354" i="95"/>
  <c r="C236" i="95"/>
  <c r="C234" i="95"/>
  <c r="C68" i="95"/>
  <c r="C70" i="95"/>
  <c r="C163" i="95"/>
  <c r="C144" i="95"/>
  <c r="C155" i="95"/>
  <c r="C171" i="95"/>
  <c r="C159" i="95"/>
  <c r="C147" i="95"/>
  <c r="C62" i="95"/>
  <c r="C79" i="95"/>
  <c r="C81" i="95"/>
  <c r="C83" i="95"/>
  <c r="C85" i="95"/>
  <c r="C88" i="95"/>
  <c r="C91" i="95"/>
  <c r="C93" i="95"/>
  <c r="C95" i="95"/>
  <c r="C72" i="95"/>
  <c r="C74" i="95"/>
  <c r="C99" i="95"/>
  <c r="C101" i="95"/>
  <c r="C103" i="95"/>
  <c r="C109" i="95"/>
  <c r="C111" i="95"/>
  <c r="C125" i="95"/>
  <c r="C127" i="95"/>
  <c r="C117" i="95"/>
  <c r="C119" i="95"/>
  <c r="C133" i="95"/>
  <c r="C135" i="95"/>
  <c r="C152" i="95"/>
  <c r="C169" i="95"/>
  <c r="C160" i="95"/>
  <c r="C168" i="95"/>
  <c r="C153" i="95"/>
  <c r="C161" i="95"/>
  <c r="C280" i="95"/>
  <c r="C282" i="95"/>
  <c r="C296" i="95"/>
  <c r="C298" i="95"/>
  <c r="C289" i="95"/>
  <c r="C300" i="95"/>
  <c r="C305" i="95"/>
  <c r="C247" i="95"/>
  <c r="C258" i="95"/>
  <c r="C263" i="95"/>
  <c r="C274" i="95"/>
  <c r="C255" i="95"/>
  <c r="C266" i="95"/>
  <c r="C271" i="95"/>
  <c r="C332" i="95"/>
  <c r="C330" i="95"/>
  <c r="C316" i="95"/>
  <c r="C314" i="95"/>
  <c r="C339" i="95"/>
  <c r="C334" i="95"/>
  <c r="C323" i="95"/>
  <c r="C67" i="95"/>
  <c r="C69" i="95"/>
  <c r="C71" i="95"/>
  <c r="C143" i="95"/>
  <c r="C145" i="95"/>
  <c r="C167" i="95"/>
  <c r="C105" i="95"/>
  <c r="C113" i="95"/>
  <c r="C284" i="95"/>
  <c r="C250" i="95"/>
  <c r="C318" i="95"/>
  <c r="C64" i="95"/>
  <c r="C80" i="95"/>
  <c r="C82" i="95"/>
  <c r="C84" i="95"/>
  <c r="C86" i="95"/>
  <c r="C90" i="95"/>
  <c r="C92" i="95"/>
  <c r="C94" i="95"/>
  <c r="C96" i="95"/>
  <c r="C73" i="95"/>
  <c r="C76" i="95"/>
  <c r="C98" i="95"/>
  <c r="C100" i="95"/>
  <c r="C102" i="95"/>
  <c r="C110" i="95"/>
  <c r="C121" i="95"/>
  <c r="C126" i="95"/>
  <c r="C137" i="95"/>
  <c r="C118" i="95"/>
  <c r="C129" i="95"/>
  <c r="C134" i="95"/>
  <c r="C151" i="95"/>
  <c r="C288" i="95"/>
  <c r="C281" i="95"/>
  <c r="C292" i="95"/>
  <c r="C297" i="95"/>
  <c r="C308" i="95"/>
  <c r="C290" i="95"/>
  <c r="C304" i="95"/>
  <c r="C306" i="95"/>
  <c r="C246" i="95"/>
  <c r="C248" i="95"/>
  <c r="C262" i="95"/>
  <c r="C264" i="95"/>
  <c r="C254" i="95"/>
  <c r="C256" i="95"/>
  <c r="C270" i="95"/>
  <c r="C272" i="95"/>
  <c r="C342" i="95"/>
  <c r="C331" i="95"/>
  <c r="C326" i="95"/>
  <c r="C315" i="95"/>
  <c r="C340" i="95"/>
  <c r="C338" i="95"/>
  <c r="C324" i="95"/>
  <c r="C322" i="95"/>
  <c r="C344" i="95"/>
  <c r="C276" i="95"/>
  <c r="C310" i="95"/>
  <c r="C139" i="95"/>
  <c r="C173" i="95"/>
  <c r="C348" i="95"/>
  <c r="C240" i="95"/>
  <c r="C242" i="95"/>
  <c r="C177" i="95"/>
  <c r="C214" i="95"/>
  <c r="C207" i="95"/>
  <c r="C183" i="95"/>
  <c r="C200" i="95"/>
  <c r="C196" i="95"/>
  <c r="C179" i="95"/>
  <c r="C201" i="95"/>
  <c r="C208" i="95"/>
  <c r="C215" i="95"/>
  <c r="C221" i="95"/>
  <c r="L210" i="95"/>
  <c r="O222" i="95"/>
  <c r="F28" i="97" l="1"/>
  <c r="F29" i="98"/>
  <c r="M28" i="97"/>
  <c r="F29" i="95"/>
  <c r="O223" i="98"/>
  <c r="O229" i="98"/>
  <c r="O231" i="98"/>
  <c r="O347" i="97"/>
  <c r="O227" i="97"/>
  <c r="O229" i="97"/>
  <c r="O347" i="96"/>
  <c r="O229" i="96"/>
  <c r="O227" i="96"/>
  <c r="O228" i="95"/>
  <c r="O230" i="95"/>
  <c r="O189" i="96"/>
  <c r="O187" i="96"/>
  <c r="O184" i="96"/>
  <c r="O191" i="96"/>
  <c r="O188" i="96"/>
  <c r="O192" i="96"/>
  <c r="O185" i="96"/>
  <c r="O186" i="96"/>
  <c r="O190" i="96"/>
  <c r="O193" i="96"/>
  <c r="O184" i="95"/>
  <c r="O188" i="95"/>
  <c r="O193" i="95"/>
  <c r="O190" i="95"/>
  <c r="O194" i="95"/>
  <c r="O185" i="95"/>
  <c r="O186" i="95"/>
  <c r="O189" i="95"/>
  <c r="O191" i="95"/>
  <c r="O192" i="95"/>
  <c r="O187" i="95"/>
  <c r="O185" i="98"/>
  <c r="O193" i="98"/>
  <c r="O194" i="98"/>
  <c r="O195" i="98"/>
  <c r="O186" i="98"/>
  <c r="O187" i="98"/>
  <c r="O189" i="98"/>
  <c r="O188" i="98"/>
  <c r="O190" i="98"/>
  <c r="O192" i="98"/>
  <c r="O191" i="98"/>
  <c r="O193" i="97"/>
  <c r="O188" i="97"/>
  <c r="O187" i="97"/>
  <c r="O190" i="97"/>
  <c r="O186" i="97"/>
  <c r="O184" i="97"/>
  <c r="O191" i="97"/>
  <c r="O185" i="97"/>
  <c r="O189" i="97"/>
  <c r="O192" i="97"/>
  <c r="O259" i="97"/>
  <c r="O183" i="97"/>
  <c r="O223" i="96"/>
  <c r="O183" i="96"/>
  <c r="O225" i="98"/>
  <c r="O241" i="98"/>
  <c r="O72" i="97"/>
  <c r="O251" i="97"/>
  <c r="O152" i="97"/>
  <c r="O200" i="97"/>
  <c r="O71" i="97"/>
  <c r="O307" i="97"/>
  <c r="O316" i="97"/>
  <c r="O202" i="97"/>
  <c r="O79" i="97"/>
  <c r="O167" i="97"/>
  <c r="O213" i="97"/>
  <c r="O99" i="97"/>
  <c r="O98" i="97"/>
  <c r="O277" i="97"/>
  <c r="O282" i="97"/>
  <c r="O209" i="97"/>
  <c r="O342" i="97"/>
  <c r="O112" i="97"/>
  <c r="O134" i="97"/>
  <c r="O94" i="97"/>
  <c r="O133" i="97"/>
  <c r="O273" i="97"/>
  <c r="O247" i="97"/>
  <c r="O301" i="97"/>
  <c r="O85" i="97"/>
  <c r="O82" i="97"/>
  <c r="O303" i="97"/>
  <c r="O264" i="97"/>
  <c r="O233" i="97"/>
  <c r="O166" i="97"/>
  <c r="O125" i="97"/>
  <c r="O160" i="97"/>
  <c r="O124" i="97"/>
  <c r="O297" i="97"/>
  <c r="O265" i="97"/>
  <c r="O255" i="97"/>
  <c r="O206" i="97"/>
  <c r="O138" i="97"/>
  <c r="O89" i="97"/>
  <c r="O61" i="97"/>
  <c r="O101" i="97"/>
  <c r="O136" i="97"/>
  <c r="O84" i="97"/>
  <c r="O168" i="97"/>
  <c r="O100" i="97"/>
  <c r="O126" i="97"/>
  <c r="O333" i="97"/>
  <c r="O299" i="97"/>
  <c r="O335" i="97"/>
  <c r="O311" i="97"/>
  <c r="O293" i="97"/>
  <c r="O257" i="97"/>
  <c r="O207" i="97"/>
  <c r="O235" i="97"/>
  <c r="O162" i="97"/>
  <c r="O95" i="97"/>
  <c r="O70" i="97"/>
  <c r="O132" i="97"/>
  <c r="O150" i="97"/>
  <c r="O92" i="97"/>
  <c r="O69" i="97"/>
  <c r="O128" i="97"/>
  <c r="O170" i="97"/>
  <c r="O315" i="97"/>
  <c r="O240" i="97"/>
  <c r="O308" i="97"/>
  <c r="O327" i="97"/>
  <c r="O290" i="97"/>
  <c r="O309" i="97"/>
  <c r="O178" i="97"/>
  <c r="O223" i="97"/>
  <c r="O214" i="97"/>
  <c r="O176" i="97"/>
  <c r="O220" i="97"/>
  <c r="O343" i="97"/>
  <c r="O172" i="97"/>
  <c r="O81" i="97"/>
  <c r="O91" i="97"/>
  <c r="O154" i="97"/>
  <c r="O66" i="97"/>
  <c r="O75" i="97"/>
  <c r="O116" i="97"/>
  <c r="O109" i="97"/>
  <c r="O143" i="97"/>
  <c r="O78" i="97"/>
  <c r="O87" i="97"/>
  <c r="O146" i="97"/>
  <c r="O63" i="97"/>
  <c r="O73" i="97"/>
  <c r="O102" i="97"/>
  <c r="O108" i="97"/>
  <c r="O142" i="97"/>
  <c r="O269" i="97"/>
  <c r="O331" i="97"/>
  <c r="O275" i="97"/>
  <c r="O289" i="97"/>
  <c r="O256" i="97"/>
  <c r="O324" i="97"/>
  <c r="O249" i="97"/>
  <c r="O243" i="97"/>
  <c r="O281" i="97"/>
  <c r="O298" i="97"/>
  <c r="O239" i="97"/>
  <c r="O325" i="97"/>
  <c r="O248" i="97"/>
  <c r="O216" i="97"/>
  <c r="O195" i="97"/>
  <c r="O182" i="97"/>
  <c r="O199" i="97"/>
  <c r="O345" i="97"/>
  <c r="O341" i="97"/>
  <c r="O151" i="97"/>
  <c r="O83" i="97"/>
  <c r="O93" i="97"/>
  <c r="O159" i="97"/>
  <c r="O68" i="97"/>
  <c r="O97" i="97"/>
  <c r="O118" i="97"/>
  <c r="O120" i="97"/>
  <c r="O104" i="97"/>
  <c r="O80" i="97"/>
  <c r="O90" i="97"/>
  <c r="O158" i="97"/>
  <c r="O67" i="97"/>
  <c r="O117" i="97"/>
  <c r="O110" i="97"/>
  <c r="O144" i="97"/>
  <c r="O337" i="97"/>
  <c r="O317" i="97"/>
  <c r="O283" i="97"/>
  <c r="O291" i="97"/>
  <c r="O267" i="97"/>
  <c r="O319" i="97"/>
  <c r="O263" i="97"/>
  <c r="O332" i="97"/>
  <c r="O274" i="97"/>
  <c r="O285" i="97"/>
  <c r="O241" i="97"/>
  <c r="O323" i="97"/>
  <c r="F28" i="96"/>
  <c r="O359" i="98"/>
  <c r="O243" i="98"/>
  <c r="O242" i="98"/>
  <c r="O244" i="98"/>
  <c r="O246" i="98"/>
  <c r="O114" i="98"/>
  <c r="O323" i="98"/>
  <c r="O172" i="98"/>
  <c r="O161" i="98"/>
  <c r="O156" i="98"/>
  <c r="O135" i="98"/>
  <c r="O130" i="98"/>
  <c r="O119" i="98"/>
  <c r="O103" i="98"/>
  <c r="O101" i="98"/>
  <c r="O99" i="98"/>
  <c r="O96" i="98"/>
  <c r="O94" i="98"/>
  <c r="O92" i="98"/>
  <c r="O89" i="98"/>
  <c r="O86" i="98"/>
  <c r="O84" i="98"/>
  <c r="O82" i="98"/>
  <c r="O80" i="98"/>
  <c r="O77" i="98"/>
  <c r="O74" i="98"/>
  <c r="O72" i="98"/>
  <c r="O70" i="98"/>
  <c r="O68" i="98"/>
  <c r="O65" i="98"/>
  <c r="O321" i="98"/>
  <c r="O337" i="98"/>
  <c r="O287" i="98"/>
  <c r="O285" i="98"/>
  <c r="O309" i="98"/>
  <c r="O320" i="98"/>
  <c r="O336" i="98"/>
  <c r="O170" i="98"/>
  <c r="O168" i="98"/>
  <c r="O154" i="98"/>
  <c r="O152" i="98"/>
  <c r="O128" i="98"/>
  <c r="O126" i="98"/>
  <c r="O112" i="98"/>
  <c r="O110" i="98"/>
  <c r="O277" i="98"/>
  <c r="O275" i="98"/>
  <c r="O261" i="98"/>
  <c r="O279" i="98"/>
  <c r="O268" i="98"/>
  <c r="O263" i="98"/>
  <c r="O252" i="98"/>
  <c r="O303" i="98"/>
  <c r="O301" i="98"/>
  <c r="O310" i="98"/>
  <c r="O294" i="98"/>
  <c r="O327" i="98"/>
  <c r="O329" i="98"/>
  <c r="O343" i="98"/>
  <c r="O345" i="98"/>
  <c r="O145" i="98"/>
  <c r="O148" i="98"/>
  <c r="O162" i="98"/>
  <c r="O160" i="98"/>
  <c r="O136" i="98"/>
  <c r="O134" i="98"/>
  <c r="O120" i="98"/>
  <c r="O118" i="98"/>
  <c r="O104" i="98"/>
  <c r="O102" i="98"/>
  <c r="O100" i="98"/>
  <c r="O97" i="98"/>
  <c r="O95" i="98"/>
  <c r="O93" i="98"/>
  <c r="O91" i="98"/>
  <c r="O87" i="98"/>
  <c r="O85" i="98"/>
  <c r="O83" i="98"/>
  <c r="O81" i="98"/>
  <c r="O79" i="98"/>
  <c r="O75" i="98"/>
  <c r="O73" i="98"/>
  <c r="O71" i="98"/>
  <c r="O69" i="98"/>
  <c r="O67" i="98"/>
  <c r="O63" i="98"/>
  <c r="O319" i="98"/>
  <c r="O335" i="98"/>
  <c r="O286" i="98"/>
  <c r="O311" i="98"/>
  <c r="O295" i="98"/>
  <c r="O331" i="98"/>
  <c r="O347" i="98"/>
  <c r="O106" i="98"/>
  <c r="O289" i="98"/>
  <c r="O255" i="98"/>
  <c r="O169" i="98"/>
  <c r="O164" i="98"/>
  <c r="O153" i="98"/>
  <c r="O138" i="98"/>
  <c r="O127" i="98"/>
  <c r="O122" i="98"/>
  <c r="O111" i="98"/>
  <c r="O276" i="98"/>
  <c r="O271" i="98"/>
  <c r="O260" i="98"/>
  <c r="O269" i="98"/>
  <c r="O267" i="98"/>
  <c r="O253" i="98"/>
  <c r="O251" i="98"/>
  <c r="O313" i="98"/>
  <c r="O302" i="98"/>
  <c r="O297" i="98"/>
  <c r="O305" i="98"/>
  <c r="O293" i="98"/>
  <c r="O328" i="98"/>
  <c r="O339" i="98"/>
  <c r="O344" i="98"/>
  <c r="O146" i="98"/>
  <c r="O144" i="98"/>
  <c r="O259" i="98"/>
  <c r="O315" i="98"/>
  <c r="O349" i="98"/>
  <c r="O140" i="98"/>
  <c r="O281" i="98"/>
  <c r="O174" i="98"/>
  <c r="O235" i="98"/>
  <c r="O354" i="98"/>
  <c r="O355" i="98"/>
  <c r="O237" i="98"/>
  <c r="O353" i="98"/>
  <c r="O357" i="98"/>
  <c r="O215" i="98"/>
  <c r="O201" i="98"/>
  <c r="O222" i="98"/>
  <c r="O184" i="98"/>
  <c r="O208" i="98"/>
  <c r="O180" i="98"/>
  <c r="O209" i="98"/>
  <c r="O211" i="98"/>
  <c r="O216" i="98"/>
  <c r="O204" i="98"/>
  <c r="O178" i="98"/>
  <c r="O197" i="98"/>
  <c r="O202" i="98"/>
  <c r="O218" i="98"/>
  <c r="O209" i="96"/>
  <c r="O178" i="96"/>
  <c r="O264" i="96"/>
  <c r="O259" i="96"/>
  <c r="O248" i="96"/>
  <c r="O316" i="96"/>
  <c r="O327" i="96"/>
  <c r="O332" i="96"/>
  <c r="O311" i="96"/>
  <c r="O267" i="96"/>
  <c r="O256" i="96"/>
  <c r="O251" i="96"/>
  <c r="O240" i="96"/>
  <c r="O301" i="96"/>
  <c r="O290" i="96"/>
  <c r="O285" i="96"/>
  <c r="O298" i="96"/>
  <c r="O293" i="96"/>
  <c r="O282" i="96"/>
  <c r="O274" i="96"/>
  <c r="O281" i="96"/>
  <c r="O307" i="96"/>
  <c r="O309" i="96"/>
  <c r="O323" i="96"/>
  <c r="O325" i="96"/>
  <c r="O243" i="96"/>
  <c r="O265" i="96"/>
  <c r="O263" i="96"/>
  <c r="O249" i="96"/>
  <c r="O247" i="96"/>
  <c r="O315" i="96"/>
  <c r="O317" i="96"/>
  <c r="O331" i="96"/>
  <c r="O333" i="96"/>
  <c r="O277" i="96"/>
  <c r="O257" i="96"/>
  <c r="O255" i="96"/>
  <c r="O241" i="96"/>
  <c r="O239" i="96"/>
  <c r="O291" i="96"/>
  <c r="O289" i="96"/>
  <c r="O299" i="96"/>
  <c r="O297" i="96"/>
  <c r="O283" i="96"/>
  <c r="O275" i="96"/>
  <c r="O273" i="96"/>
  <c r="O308" i="96"/>
  <c r="O319" i="96"/>
  <c r="O324" i="96"/>
  <c r="O335" i="96"/>
  <c r="O269" i="96"/>
  <c r="O166" i="96"/>
  <c r="O337" i="96"/>
  <c r="O170" i="96"/>
  <c r="O303" i="96"/>
  <c r="O104" i="96"/>
  <c r="O143" i="96"/>
  <c r="O162" i="96"/>
  <c r="O151" i="96"/>
  <c r="O136" i="96"/>
  <c r="O125" i="96"/>
  <c r="O120" i="96"/>
  <c r="O109" i="96"/>
  <c r="O63" i="96"/>
  <c r="O68" i="96"/>
  <c r="O66" i="96"/>
  <c r="O160" i="96"/>
  <c r="O158" i="96"/>
  <c r="O146" i="96"/>
  <c r="O134" i="96"/>
  <c r="O132" i="96"/>
  <c r="O118" i="96"/>
  <c r="O116" i="96"/>
  <c r="O102" i="96"/>
  <c r="O100" i="96"/>
  <c r="O98" i="96"/>
  <c r="O73" i="96"/>
  <c r="O71" i="96"/>
  <c r="O94" i="96"/>
  <c r="O92" i="96"/>
  <c r="O90" i="96"/>
  <c r="O87" i="96"/>
  <c r="O84" i="96"/>
  <c r="O82" i="96"/>
  <c r="O80" i="96"/>
  <c r="O78" i="96"/>
  <c r="O144" i="96"/>
  <c r="O142" i="96"/>
  <c r="O152" i="96"/>
  <c r="O150" i="96"/>
  <c r="O126" i="96"/>
  <c r="O124" i="96"/>
  <c r="O110" i="96"/>
  <c r="O108" i="96"/>
  <c r="O69" i="96"/>
  <c r="O61" i="96"/>
  <c r="O67" i="96"/>
  <c r="O167" i="96"/>
  <c r="O159" i="96"/>
  <c r="O154" i="96"/>
  <c r="O112" i="96"/>
  <c r="O168" i="96"/>
  <c r="O133" i="96"/>
  <c r="O128" i="96"/>
  <c r="O117" i="96"/>
  <c r="O101" i="96"/>
  <c r="O99" i="96"/>
  <c r="O97" i="96"/>
  <c r="O75" i="96"/>
  <c r="O72" i="96"/>
  <c r="O70" i="96"/>
  <c r="O95" i="96"/>
  <c r="O93" i="96"/>
  <c r="O91" i="96"/>
  <c r="O89" i="96"/>
  <c r="O85" i="96"/>
  <c r="O83" i="96"/>
  <c r="O81" i="96"/>
  <c r="O79" i="96"/>
  <c r="O172" i="96"/>
  <c r="O138" i="96"/>
  <c r="O233" i="96"/>
  <c r="O342" i="96"/>
  <c r="O343" i="96"/>
  <c r="O235" i="96"/>
  <c r="O341" i="96"/>
  <c r="O345" i="96"/>
  <c r="O182" i="96"/>
  <c r="O213" i="96"/>
  <c r="O207" i="96"/>
  <c r="O176" i="96"/>
  <c r="O220" i="96"/>
  <c r="O206" i="96"/>
  <c r="O199" i="96"/>
  <c r="O195" i="96"/>
  <c r="O214" i="96"/>
  <c r="O202" i="96"/>
  <c r="O200" i="96"/>
  <c r="O216" i="96"/>
  <c r="O234" i="95"/>
  <c r="O168" i="95"/>
  <c r="O250" i="95"/>
  <c r="O284" i="95"/>
  <c r="O113" i="95"/>
  <c r="O314" i="95"/>
  <c r="O316" i="95"/>
  <c r="O330" i="95"/>
  <c r="O332" i="95"/>
  <c r="O298" i="95"/>
  <c r="O296" i="95"/>
  <c r="O306" i="95"/>
  <c r="O304" i="95"/>
  <c r="O290" i="95"/>
  <c r="O288" i="95"/>
  <c r="O95" i="95"/>
  <c r="O93" i="95"/>
  <c r="O91" i="95"/>
  <c r="O88" i="95"/>
  <c r="O85" i="95"/>
  <c r="O83" i="95"/>
  <c r="O81" i="95"/>
  <c r="O79" i="95"/>
  <c r="O167" i="95"/>
  <c r="O160" i="95"/>
  <c r="O155" i="95"/>
  <c r="O62" i="95"/>
  <c r="O147" i="95"/>
  <c r="O322" i="95"/>
  <c r="O324" i="95"/>
  <c r="O338" i="95"/>
  <c r="O340" i="95"/>
  <c r="O264" i="95"/>
  <c r="O262" i="95"/>
  <c r="O248" i="95"/>
  <c r="O246" i="95"/>
  <c r="O271" i="95"/>
  <c r="O266" i="95"/>
  <c r="O255" i="95"/>
  <c r="O282" i="95"/>
  <c r="O280" i="95"/>
  <c r="O145" i="95"/>
  <c r="O143" i="95"/>
  <c r="O127" i="95"/>
  <c r="O125" i="95"/>
  <c r="O111" i="95"/>
  <c r="O109" i="95"/>
  <c r="O134" i="95"/>
  <c r="O129" i="95"/>
  <c r="O118" i="95"/>
  <c r="O103" i="95"/>
  <c r="O101" i="95"/>
  <c r="O99" i="95"/>
  <c r="O74" i="95"/>
  <c r="O72" i="95"/>
  <c r="O70" i="95"/>
  <c r="O68" i="95"/>
  <c r="O236" i="95"/>
  <c r="O153" i="95"/>
  <c r="O151" i="95"/>
  <c r="O318" i="95"/>
  <c r="O171" i="95"/>
  <c r="O315" i="95"/>
  <c r="O326" i="95"/>
  <c r="O331" i="95"/>
  <c r="O342" i="95"/>
  <c r="O308" i="95"/>
  <c r="O297" i="95"/>
  <c r="O292" i="95"/>
  <c r="O305" i="95"/>
  <c r="O300" i="95"/>
  <c r="O289" i="95"/>
  <c r="O96" i="95"/>
  <c r="O94" i="95"/>
  <c r="O92" i="95"/>
  <c r="O90" i="95"/>
  <c r="O86" i="95"/>
  <c r="O84" i="95"/>
  <c r="O82" i="95"/>
  <c r="O80" i="95"/>
  <c r="O169" i="95"/>
  <c r="O161" i="95"/>
  <c r="O159" i="95"/>
  <c r="O64" i="95"/>
  <c r="O105" i="95"/>
  <c r="O323" i="95"/>
  <c r="O334" i="95"/>
  <c r="O339" i="95"/>
  <c r="O274" i="95"/>
  <c r="O263" i="95"/>
  <c r="O258" i="95"/>
  <c r="O247" i="95"/>
  <c r="O272" i="95"/>
  <c r="O270" i="95"/>
  <c r="O256" i="95"/>
  <c r="O254" i="95"/>
  <c r="O281" i="95"/>
  <c r="O144" i="95"/>
  <c r="O137" i="95"/>
  <c r="O126" i="95"/>
  <c r="O121" i="95"/>
  <c r="O110" i="95"/>
  <c r="O135" i="95"/>
  <c r="O133" i="95"/>
  <c r="O119" i="95"/>
  <c r="O117" i="95"/>
  <c r="O102" i="95"/>
  <c r="O100" i="95"/>
  <c r="O98" i="95"/>
  <c r="O76" i="95"/>
  <c r="O73" i="95"/>
  <c r="O71" i="95"/>
  <c r="O69" i="95"/>
  <c r="O67" i="95"/>
  <c r="O163" i="95"/>
  <c r="O152" i="95"/>
  <c r="O173" i="95"/>
  <c r="O310" i="95"/>
  <c r="O139" i="95"/>
  <c r="O276" i="95"/>
  <c r="O344" i="95"/>
  <c r="O240" i="95"/>
  <c r="O348" i="95"/>
  <c r="O349" i="95"/>
  <c r="O242" i="95"/>
  <c r="O350" i="95"/>
  <c r="O352" i="95"/>
  <c r="O183" i="95"/>
  <c r="O208" i="95"/>
  <c r="O214" i="95"/>
  <c r="O201" i="95"/>
  <c r="O177" i="95"/>
  <c r="O200" i="95"/>
  <c r="O207" i="95"/>
  <c r="O203" i="95"/>
  <c r="O215" i="95"/>
  <c r="O196" i="95"/>
  <c r="O210" i="95"/>
  <c r="O179" i="95"/>
  <c r="O217" i="95"/>
  <c r="O221" i="95"/>
  <c r="O224" i="95"/>
</calcChain>
</file>

<file path=xl/sharedStrings.xml><?xml version="1.0" encoding="utf-8"?>
<sst xmlns="http://schemas.openxmlformats.org/spreadsheetml/2006/main" count="5752" uniqueCount="2129">
  <si>
    <t>Machinery:</t>
  </si>
  <si>
    <t>MAIN LAND USE</t>
  </si>
  <si>
    <t>Sub-Totals for Machinery</t>
  </si>
  <si>
    <t>Maintenance:</t>
  </si>
  <si>
    <t>Sub-Totals for Maintenance</t>
  </si>
  <si>
    <t>MJ/ha.a</t>
  </si>
  <si>
    <t>MJ/MJ</t>
  </si>
  <si>
    <t>kg CO2/MJ</t>
  </si>
  <si>
    <t>kg CH4/MJ</t>
  </si>
  <si>
    <t>kg N2O/MJ</t>
  </si>
  <si>
    <t>MJ/hr</t>
  </si>
  <si>
    <t>% of machinery</t>
  </si>
  <si>
    <t>NET TOTALS</t>
  </si>
  <si>
    <t>kg N/ha.a</t>
  </si>
  <si>
    <t>kg/ha.a</t>
  </si>
  <si>
    <t>MJ/kg</t>
  </si>
  <si>
    <t>kg CO2/kg</t>
  </si>
  <si>
    <t>MJ/t-km</t>
  </si>
  <si>
    <t>TOTALS</t>
  </si>
  <si>
    <t>CULTIVATION</t>
  </si>
  <si>
    <t>Value (%)</t>
  </si>
  <si>
    <t>Primary Energy Input</t>
  </si>
  <si>
    <t>Carbon Dioxide Emissions</t>
  </si>
  <si>
    <t>Methane Emissions</t>
  </si>
  <si>
    <t>Nitrous Oxide Emissions</t>
  </si>
  <si>
    <t>Total Greenhouse Gas Emissions</t>
  </si>
  <si>
    <t>SUB-TOTALS FOR CULTIVATION</t>
  </si>
  <si>
    <t>Notes</t>
  </si>
  <si>
    <t>References</t>
  </si>
  <si>
    <t>"Alternative Road Transport Fuels - A Preliminary life-Cycle Study for the UK" by M. P. Gover, S. A. Collings, G. S. Hitchcock, D. P. Moon and G. T. Williams, Report ETSU-R-92, Volume 2, Energy Technology Support unit, Harwell, United Kingdom, March 1996.</t>
  </si>
  <si>
    <t>"Carbon and Energy Modelling of Biomass Systems: Conversion Plant and Data Updates" by N. D. Mortimer and M. A. Elsayed, ETSU Report B/U1/00644/00/00REP, Energy Technology Support Unit, Harwell, United Kingdom, August 2001.</t>
  </si>
  <si>
    <t>"Nachwachsende Energietrager - Grundlagen, Verfaben, Okologische Bilanzierung" (Renewable Energy Sources, Basis, Processes and Ecological Balances) by M. Kaltschmitt and G. Reinhardt (editors), Vieweg, Braunschweig/Weissbaden, Germany, 1997.</t>
  </si>
  <si>
    <t>"Methodology for Environmental Profiles of Construction Materials, Components and Buildings" Centre for Sustainable Construction at the Building Research Establishment Ltd., CRC Ltd., London, United Kingdom, 2000.</t>
  </si>
  <si>
    <t>ROAD TRANSPORT TO PLANT (Stage 1)</t>
  </si>
  <si>
    <t>"Digest of United Kingdom Energy Statistics, 1999" Department of Trade and Industry, HMSO, London, United Kingdom, 2000.</t>
  </si>
  <si>
    <t>"Evaluation of the Comparative Energy, Global Warming and Social Costs and Benefits of Biodiesel" by N. D. Mortimer, P. Cormack, M. A. Elsayed and R. E. Horne, Resources Research Unit, Sheffield Hallam University, United Kingdom, January 2003.</t>
  </si>
  <si>
    <t>"Well-to-Wheels Analysis of Future Automotive Fuels and Powertrains in the European Context: Tank-to-Wheels Report (Version 1)" by R. Edwards, J.-C. Griesemann, J.-F. Larive and V. Mahieu, Institute for Environment and Sustainability, Joint Research centre, Ispra, Italy, December 2003.</t>
  </si>
  <si>
    <t>%</t>
  </si>
  <si>
    <t>Process Stage</t>
  </si>
  <si>
    <t>Carbon Dioxide</t>
  </si>
  <si>
    <t>Cultivation</t>
  </si>
  <si>
    <t>TRANSPORT TO PLANT (Stage 2)</t>
  </si>
  <si>
    <t>ROAD TRANSPORT TO PLANT (Stage 2)</t>
  </si>
  <si>
    <t>For a more detailed summary of primary energy inputs and greenhouse gas emissions see below; for detailed information on each process stage, see appropriate sheet of workbook.</t>
  </si>
  <si>
    <t>Plant Construction</t>
  </si>
  <si>
    <t>Plant Maintenance</t>
  </si>
  <si>
    <t>Plant Decommissioning</t>
  </si>
  <si>
    <t xml:space="preserve"> - Plant Construction</t>
  </si>
  <si>
    <t xml:space="preserve"> - Plant Maintenance</t>
  </si>
  <si>
    <t xml:space="preserve"> - Plant Decommissioning</t>
  </si>
  <si>
    <t>Plant</t>
  </si>
  <si>
    <t>"Comparison of Transport Fuels: Life-Cycle Emissions Analysis of Alternative Fuels for Heavy Vehicles" by T. Beer, T. Grant, G. Morgan, J. Lapszewicz, P. Anyon, J. Edwards, P. Nelson, H. Watson and D. Williams, CSIRO, Aspendale, Australia, 2002.</t>
  </si>
  <si>
    <t>"Dungemittel- Energie- und Stoffstrombilanzen" (Fertilisers - Energy and Materials Balance) by A. Patyk and G. A. Reinhardt, Vieweg Umweltwissenschaften, Braunschweig/Wiesbaden, Germany, 1997.</t>
  </si>
  <si>
    <t>"Energy Analysis of Burner Reactor Power Systems" by N. D. Mortimer, PhD Thesis, Open University, Milton Keynes, United Kingdom, 1977.</t>
  </si>
  <si>
    <t>"Energy and Carbon Analysis of Using Straw as a Fuel" by J. F. Grant, R. Hetherington, R. E. Horne and N. D. Mortimer, ETSU Report B/M4/00487/01/REP, Energy Technology Support Unit, Harwell, United Kingdom, 1995.</t>
  </si>
  <si>
    <t>"Primary Energy and Greenhouse Gas Emission Multiplier for Products and Services, United Kingdom, 2004" NF0614stat0401.xls by Nigel Mortimer, North Energy Associates for National Non-Food Cereal Crops.</t>
  </si>
  <si>
    <t>"Digest of United Kingdom Energy Statistics, 2004" Department of Trade and Industry, HMSO, London, United Kingdom.</t>
  </si>
  <si>
    <t>National Statistics Producer Price Indices Data for April 2005</t>
  </si>
  <si>
    <t>Central Science Laboratory's Pesticide Usage Statistics, http://pusstats.csl.gov.uk, accessed April 2006</t>
  </si>
  <si>
    <t>Transport References</t>
  </si>
  <si>
    <t>T1</t>
  </si>
  <si>
    <t>"Methodology for Environmental Profiles of Construction Materials, Components and Buildings" Centre for Sustainable Construction at the Building Research Establishment Ltd., United Kingdom, 2000.</t>
  </si>
  <si>
    <t>T2</t>
  </si>
  <si>
    <t>"The Energy Costs of Road and Rail Freight Transport, UK 1968" by N. D. Mortimer, Report ERG004, The Open University, Milton Keynes, United Kingdom, February 1974.</t>
  </si>
  <si>
    <t>T3</t>
  </si>
  <si>
    <t>T4</t>
  </si>
  <si>
    <t>T5</t>
  </si>
  <si>
    <t>"Guidelines for Company Reporting on Greenhouse Gas Emissions", www.defra.gov.uk/environment/envrp/gas/05.htm, accessed 20 August 2004.</t>
  </si>
  <si>
    <t>T6</t>
  </si>
  <si>
    <t>"Gross Energy Requirements of Marine Transport" by N. D. Mortimer, ERG Report 007, Energy Research Group, Open University, Milton Keynes, United Kingdom, November 1974.</t>
  </si>
  <si>
    <t>T7</t>
  </si>
  <si>
    <t>"An Input-Output Analysis of Carbon Dioxide Emissions for the United Kingdom" by R. Hetherington, Energy Conversion and Management, Vol. 37, Nos. 6 - 8, pp. 979 -984, 1996.</t>
  </si>
  <si>
    <t>T8</t>
  </si>
  <si>
    <t>"Comparison of Greenhouse Gas Emissions from Forest Operations in Finland and Sweden" by S. Berg and T. Karjalainen, Forestry, Vol. 76, No. 3, 2003.</t>
  </si>
  <si>
    <t>T9</t>
  </si>
  <si>
    <t>Power References</t>
  </si>
  <si>
    <t>P1</t>
  </si>
  <si>
    <t>"Energy and Greenhouse Gas Emissions for Bioethanol Production from Wheat Grain and Sugar Beet" by N. D. Mortimer, M. A. Elsayed and R. E. Horne, Final Report for British Sugar by the Resources Research Unit, Sheffield Hallam University, United Kingdom, January 2004.</t>
  </si>
  <si>
    <t>P2</t>
  </si>
  <si>
    <t>P3</t>
  </si>
  <si>
    <t>P4</t>
  </si>
  <si>
    <t>P5</t>
  </si>
  <si>
    <t>kg CO2/kg N</t>
  </si>
  <si>
    <t>kg CO2/kg P2O5</t>
  </si>
  <si>
    <t>Ammonium Nitrate spreadsheet; NF0614NFert01.xls from the "Environmental Assessment Tool for Biomaterials" by North Energy Associates Ltd., Contract No. NF0614 for the Department for Environment, Food and Rural Affairs, London, United Kingdom, 2006.</t>
  </si>
  <si>
    <t>Phosphate spreadsheet; NF0614PFert01.xls from the "Environmental Assessment Tool for Biomaterials" by North Energy Associates Ltd., Contract No. NF0614 for the Department for Environment, Food and Rural Affairs, London, United Kingdom, 2006.</t>
  </si>
  <si>
    <t>Potash spreadsheet; NF0614KFert01.xls from the "Environmental Assessment Tool for Biomaterials" by North Energy Associates Ltd., Contract No. NF0614 for the Department for Environment, Food and Rural Affairs, London, United Kingdom, 2006.</t>
  </si>
  <si>
    <t>Boiler</t>
  </si>
  <si>
    <t>"Energy and Greenhouse Gas Emissions for Bioethanol Production from Wheat Grain and Sugar Beet" by N. D. Mortimer, M. A. Elsayed and R. E. Horne, Report No. 23/1 for British Sugar plc, Peterborough, United Kingdom, January 2004.</t>
  </si>
  <si>
    <t>"Carbon and Energy Balances for a Range of Biofuels Options" by M. A. Elsayed, R. Matthews and N. D. Mortimer, Report B/B6/00784/REP, Energy Technology Support Unit, Harwell, United Kingdom, March 2003.</t>
  </si>
  <si>
    <t>"Handbook of Industrial Energy Analysis" by I. Boustead and G. Hancock, Ellis Horwood, Chichester, United Kingdom, 1979.</t>
  </si>
  <si>
    <t>Primary Energy Input (MJ/t-km)</t>
  </si>
  <si>
    <t>Road Transport</t>
  </si>
  <si>
    <t>Diesel fuel consumption of bulk freight road transport (Ref. T3)</t>
  </si>
  <si>
    <t>Total energy requirement of vehicle manufacture for bulk freight road transport (Ref. T3)</t>
  </si>
  <si>
    <t>Carbon requirement of vehicle manufacture for bulk freight road transport (Ref. T3 and T7)</t>
  </si>
  <si>
    <t>Methane requirement of vehicle manufacture for bulk freight road transport (Ref. T3 and T7)</t>
  </si>
  <si>
    <t>Nitrous oxide requirement of vehicle manufacture for bulk freight road transport (Ref. T3 and T7)</t>
  </si>
  <si>
    <t>Based on 2% of the carbon requirement of vehicle manufacture for bulk freight road transport (Ref. T3 and T7)</t>
  </si>
  <si>
    <t>Reference System References</t>
  </si>
  <si>
    <t>R1</t>
  </si>
  <si>
    <t>"Comparative Life-Cycle Assessment of Diesel and Biodiesel" by C. Spirinckx and D. Ceuterick, VITO (Flemish Institute for Technological Research, Mol, Belgium, 1996.</t>
  </si>
  <si>
    <t>R2</t>
  </si>
  <si>
    <t>"Farm Management Pocketbook" by J. Nix with P. Hill, 36th Edition, Wye College, University of London, London, United Kingdom, September 2005.</t>
  </si>
  <si>
    <t>R3</t>
  </si>
  <si>
    <t>R4</t>
  </si>
  <si>
    <t>R5</t>
  </si>
  <si>
    <t>R6</t>
  </si>
  <si>
    <t>R7</t>
  </si>
  <si>
    <t>"UK Case Study: The Greenhouse Gas and Energy Benefits of a Miscanthus and a Wood-fuelled Heating System" ADAS Bio-Renewables Ltd., Aberystwyth, United Kingdom, June 2004.</t>
  </si>
  <si>
    <t>R8</t>
  </si>
  <si>
    <t>R9</t>
  </si>
  <si>
    <t>Version</t>
  </si>
  <si>
    <t>Description</t>
  </si>
  <si>
    <t>Person</t>
  </si>
  <si>
    <t>Date</t>
  </si>
  <si>
    <t>Sent To</t>
  </si>
  <si>
    <t>Based on 2% of the methane requirement of vehicle manufacture for bulk freight road transport (Ref. T3 and T7)</t>
  </si>
  <si>
    <t>Based on 2% of the nitrous oxide requirement of vehicle manufacture for bulk freight road transport (Ref. T3 and T7)</t>
  </si>
  <si>
    <t>Gas Boiler Heat Supply</t>
  </si>
  <si>
    <t>Grid Electricity Supply</t>
  </si>
  <si>
    <t>CHP Heat Supply</t>
  </si>
  <si>
    <t>Electricity Input</t>
  </si>
  <si>
    <t>Heat Input</t>
  </si>
  <si>
    <t xml:space="preserve">                         Boiler Thermal Input Rating =</t>
  </si>
  <si>
    <t xml:space="preserve">     Boiler Thermal Efficiency =</t>
  </si>
  <si>
    <t xml:space="preserve">      Boiler Load Factor =</t>
  </si>
  <si>
    <t xml:space="preserve">   Boiler Life =</t>
  </si>
  <si>
    <t>(one selection only)</t>
  </si>
  <si>
    <t>Stage</t>
  </si>
  <si>
    <t>Parameter</t>
  </si>
  <si>
    <t>Data entry</t>
  </si>
  <si>
    <t>Choice/units</t>
  </si>
  <si>
    <t>Parameter name</t>
  </si>
  <si>
    <t>yes/no</t>
  </si>
  <si>
    <t>Pick list</t>
  </si>
  <si>
    <t>road/rail/barge/ship</t>
  </si>
  <si>
    <t>tr_f_pl_1_mode</t>
  </si>
  <si>
    <t>road</t>
  </si>
  <si>
    <t>Average round trip distance</t>
  </si>
  <si>
    <t>tr_f_pl_1_km</t>
  </si>
  <si>
    <t>Losses</t>
  </si>
  <si>
    <t>tr_f_pl_1_loss</t>
  </si>
  <si>
    <t>tr_f_pl_2_mode</t>
  </si>
  <si>
    <t>tr_f_pl_2_km</t>
  </si>
  <si>
    <t>tr_f_pl_2_loss</t>
  </si>
  <si>
    <t>tr_pl_dtb_1_mode</t>
  </si>
  <si>
    <t>tr_pl_dtb_1_km</t>
  </si>
  <si>
    <t>tr_pl_dtb_1_loss</t>
  </si>
  <si>
    <t>tr_pl_dtb_2_mode</t>
  </si>
  <si>
    <t>tr_pl_dtb_2_km</t>
  </si>
  <si>
    <t>tr_pl_dtb_2_loss</t>
  </si>
  <si>
    <t>Losses in processing</t>
  </si>
  <si>
    <t>Production plant</t>
  </si>
  <si>
    <t>func_unit</t>
  </si>
  <si>
    <t>value</t>
  </si>
  <si>
    <t>CHP unit</t>
  </si>
  <si>
    <t xml:space="preserve">   Boiler Heat Output Rating =</t>
  </si>
  <si>
    <t>Summary of Primary Energy Inputs and Greenhouse Gas Emissions Ranges</t>
  </si>
  <si>
    <t xml:space="preserve">  </t>
  </si>
  <si>
    <t xml:space="preserve">  %</t>
  </si>
  <si>
    <t>TRANSPORT TO PLANT (Stage 1)</t>
  </si>
  <si>
    <t>(one mode only)</t>
  </si>
  <si>
    <t xml:space="preserve">         Losses =</t>
  </si>
  <si>
    <t xml:space="preserve"> Road Transport Round Trip Distance =</t>
  </si>
  <si>
    <t xml:space="preserve"> Rail Transport Round Trip Distance =</t>
  </si>
  <si>
    <t xml:space="preserve"> Barge Transport Round Trip Distance =</t>
  </si>
  <si>
    <t xml:space="preserve"> Ship Transport Round Trip Distance =</t>
  </si>
  <si>
    <t>TRANSPORT TO DISTRIBUTION POINT (Stage 1)</t>
  </si>
  <si>
    <t>TRANSPORT TO DISTRIBUTION POINT (Stage 2)</t>
  </si>
  <si>
    <t>1 tonne-kilometre (round trip; full outward and empty return)</t>
  </si>
  <si>
    <t>UK</t>
  </si>
  <si>
    <t>Bulk freight rail transport</t>
  </si>
  <si>
    <t>Primary Energy Input (MJ/t-km round trip)</t>
  </si>
  <si>
    <t>Carbon Dioxide Emissions (kg CO2/t-km round trip)</t>
  </si>
  <si>
    <t>Methane Emissions (kg CH4/t-km round trip)</t>
  </si>
  <si>
    <t>Nitrous Oxide Emissions (kg N2O/t-km round trip)</t>
  </si>
  <si>
    <t>Bulk Freight Rail Transport</t>
  </si>
  <si>
    <t xml:space="preserve"> - Gas Oil</t>
  </si>
  <si>
    <t>MJ/t-km (round trip)</t>
  </si>
  <si>
    <t>Boiler Thermal Input Rating (MW)</t>
  </si>
  <si>
    <t>Primary Energy Input (MJ/t)</t>
  </si>
  <si>
    <t>Carbon Dioxide Emissions (kg CO2/t)</t>
  </si>
  <si>
    <t>Methane Emissions (kg CH4/t)</t>
  </si>
  <si>
    <t>Heat Boiler and Grid Electricity</t>
  </si>
  <si>
    <t>MJ/t</t>
  </si>
  <si>
    <t>Electricity</t>
  </si>
  <si>
    <t>MJ/kWh</t>
  </si>
  <si>
    <t>kg CO2/kWh</t>
  </si>
  <si>
    <t>kg CH4/kWh</t>
  </si>
  <si>
    <t>kg N2O/kWh</t>
  </si>
  <si>
    <t>MJ/£</t>
  </si>
  <si>
    <t>kg CO2/£</t>
  </si>
  <si>
    <t>kg CH4/£</t>
  </si>
  <si>
    <t>kg N2O/£</t>
  </si>
  <si>
    <t>Assuming annual plant maintenance as a percentage of the primary energy input to plant construction (Ref. P5)</t>
  </si>
  <si>
    <t>Nitrous Oxide Emissions (kg N2O/t)</t>
  </si>
  <si>
    <t>Combined Heat and Power</t>
  </si>
  <si>
    <t>1 kWh of heat or electricity (net)</t>
  </si>
  <si>
    <t>Means of Supply</t>
  </si>
  <si>
    <t>Value (kWh/kWh)</t>
  </si>
  <si>
    <t>Value (kg CO2/kWh)</t>
  </si>
  <si>
    <t>Range +/- (kg CO2/kWh)</t>
  </si>
  <si>
    <t>Value (kg CH4/kWh)</t>
  </si>
  <si>
    <t>Range +/- (kg CH4/kWh)</t>
  </si>
  <si>
    <t>Value (kg N2O/kWh)</t>
  </si>
  <si>
    <t>Range +/- (kg N2O/kWh)</t>
  </si>
  <si>
    <t>Boiler and Grid Electricity</t>
  </si>
  <si>
    <t>Heat Supply</t>
  </si>
  <si>
    <t>Electricity Supply</t>
  </si>
  <si>
    <t>Electricity Internal Supply</t>
  </si>
  <si>
    <t>Electricity Surplus (Credit)</t>
  </si>
  <si>
    <t>Range+/-</t>
  </si>
  <si>
    <t xml:space="preserve">Range +/- </t>
  </si>
  <si>
    <t>CHP Electricity Surplus (Credit)</t>
  </si>
  <si>
    <t>Electricity Sales</t>
  </si>
  <si>
    <t>Electricity Credit</t>
  </si>
  <si>
    <t>Unit electricity surplus specified in "Unit Flow Chart" worksheet.</t>
  </si>
  <si>
    <t>"Well-to-Wheel Evaluation for Production of Ethanol from Wheat" by G. Punter, D. Rickeard, J.-F. Larive, R. Edwards, N. D. Mortimer, R. E. Horne, A. Bauen and J. Woods, Report by the LowCVP Fuels Working Group, WTW Sub-Group, FWG-P-04-024, Low Carbon Vehicle Partnership, London, United Kingdom, October 2004.</t>
  </si>
  <si>
    <t xml:space="preserve"> - Capital Equipment</t>
  </si>
  <si>
    <t>kg CO2/t-km (round trip)</t>
  </si>
  <si>
    <t>kg CH4/t-km (round trip)</t>
  </si>
  <si>
    <t>kg N2O/t-km (round trip)</t>
  </si>
  <si>
    <t xml:space="preserve"> - Maintenance</t>
  </si>
  <si>
    <t>% of capital equipment</t>
  </si>
  <si>
    <t>Bulk freight barge transport</t>
  </si>
  <si>
    <t>Bulk Freight Barge Transport</t>
  </si>
  <si>
    <t xml:space="preserve"> - Marine Diesel</t>
  </si>
  <si>
    <t xml:space="preserve"> - Barge Construction</t>
  </si>
  <si>
    <t xml:space="preserve"> - Barge Maintenance</t>
  </si>
  <si>
    <t>Bulk Freight Ship Transport</t>
  </si>
  <si>
    <t xml:space="preserve"> - Ship Construction</t>
  </si>
  <si>
    <t xml:space="preserve"> - Ship Maintenance</t>
  </si>
  <si>
    <t>£/t</t>
  </si>
  <si>
    <t>Allocation Parameters</t>
  </si>
  <si>
    <t>Allocation %</t>
  </si>
  <si>
    <t>"Advances in Wafering Technology" by R. J. Bass, P. G. Williams and D. A. G. Brown, Stamford Consulting Group, TSU B/SF/00202/REP, 1993</t>
  </si>
  <si>
    <t>Data from Reference System of Workbook for On-Farm Anaerobic Digestion of Dairy Manure with Combined Heat and Power Generation, dm_of_chp.xls, 21 June 2007.</t>
  </si>
  <si>
    <t>"Facilitating Carbon Assurance Schemes: Feedstock Production" by D. Kindred, ADAS, Draft Final Report on HGCA Project MD-0607-0033, April 2007.</t>
  </si>
  <si>
    <r>
      <t>"IPCC Guidelines for National Greenhouse Gas Inventories: Volume 4: Agriculture, Forestry and Other Land Use - Chapter 11: N</t>
    </r>
    <r>
      <rPr>
        <vertAlign val="subscript"/>
        <sz val="10"/>
        <rFont val="Arial"/>
        <family val="2"/>
      </rPr>
      <t>2</t>
    </r>
    <r>
      <rPr>
        <sz val="10"/>
        <rFont val="Arial"/>
        <family val="2"/>
      </rPr>
      <t>O Emissions from Managed Soils, and CO</t>
    </r>
    <r>
      <rPr>
        <vertAlign val="subscript"/>
        <sz val="10"/>
        <rFont val="Arial"/>
        <family val="2"/>
      </rPr>
      <t>2</t>
    </r>
    <r>
      <rPr>
        <sz val="10"/>
        <rFont val="Arial"/>
        <family val="2"/>
      </rPr>
      <t xml:space="preserve"> Emissions from Lime and Urea Production" Inter-governmental Panel on Climate Change, 2006.</t>
    </r>
  </si>
  <si>
    <t>Description of Functional Unit:</t>
  </si>
  <si>
    <t>Relevant Location:</t>
  </si>
  <si>
    <t>Relevant Period:</t>
  </si>
  <si>
    <t>Final Unit of Measurement:</t>
  </si>
  <si>
    <t>Input</t>
  </si>
  <si>
    <t>Contribution</t>
  </si>
  <si>
    <t>Units</t>
  </si>
  <si>
    <t>Primary Energy Multiplier</t>
  </si>
  <si>
    <t>Value</t>
  </si>
  <si>
    <t>Range +/-</t>
  </si>
  <si>
    <t>Primary Energy Input (MJ/ha.a)</t>
  </si>
  <si>
    <t>Carbon Dioxide Multiplier</t>
  </si>
  <si>
    <t>Carbon Dioxide Emissions (kg CO2/ha.a)</t>
  </si>
  <si>
    <t>Methane Multiplier</t>
  </si>
  <si>
    <t>Methane Emissions (kg CH4/ha.a)</t>
  </si>
  <si>
    <t>Nitrous Oxide Multiplier</t>
  </si>
  <si>
    <t>Nitrous Oxide Emissions (kg N2O/ha.a)</t>
  </si>
  <si>
    <t>Global Warming Potentials</t>
  </si>
  <si>
    <t>Variable input</t>
  </si>
  <si>
    <t>Replacement Generation</t>
  </si>
  <si>
    <t>LCA Options</t>
  </si>
  <si>
    <t>Net Grid</t>
  </si>
  <si>
    <t>Yes/No</t>
  </si>
  <si>
    <t>Yes =1, No = 0</t>
  </si>
  <si>
    <t>Gross Grid</t>
  </si>
  <si>
    <t>Pick List</t>
  </si>
  <si>
    <t>Allocation</t>
  </si>
  <si>
    <t>Replacement Generation/Net Grid/Gross Grid</t>
  </si>
  <si>
    <t>Credit</t>
  </si>
  <si>
    <t>Default surplus electricity credit procedure applied involves the use of the CHP fuel to generate electricity only, as specified in the EC Renewable Energy Directive methodology (Ref. ASC3).  The use of credits based on net grid electricity displacement reflects the approach used in the BEAT (Ref. ASC5).  The use of credits based on gross grid electricity displacement reflects the approach used in PAS 2050 (Ref. ASC4, p. 22).</t>
  </si>
  <si>
    <t>CHP plant</t>
  </si>
  <si>
    <t>Default values based on a conventional natural gas-fired boiler (Ref. 22).</t>
  </si>
  <si>
    <t>Bioethanol Production</t>
  </si>
  <si>
    <t>Price used for allocation</t>
  </si>
  <si>
    <t>Substitution credit used for allocation</t>
  </si>
  <si>
    <t>Anaerobic digestion</t>
  </si>
  <si>
    <t>Anaerobic Digestion</t>
  </si>
  <si>
    <t>biogas_gen</t>
  </si>
  <si>
    <t>biogas_ch4</t>
  </si>
  <si>
    <t>wwt_elec</t>
  </si>
  <si>
    <t>vinasse_loss</t>
  </si>
  <si>
    <t>vinasse_COD</t>
  </si>
  <si>
    <t xml:space="preserve">Biomass/Natural Gas-fired Boiler and Grid Electricity = </t>
  </si>
  <si>
    <t xml:space="preserve">           Biomass/Natural Gas-fired Combined Heat and Power Plant = </t>
  </si>
  <si>
    <t>FERMENTATION</t>
  </si>
  <si>
    <t xml:space="preserve"> %</t>
  </si>
  <si>
    <t xml:space="preserve">Carbon Dioxide = </t>
  </si>
  <si>
    <t>Water</t>
  </si>
  <si>
    <t xml:space="preserve">Total Volume of Fermentation Broth = </t>
  </si>
  <si>
    <t>http://www.andrew.cmu.edu/user/jitkangl/Fermentation%20of%20Ethanol/Fermentation%20of%20Ethanol.htm</t>
  </si>
  <si>
    <t>ferment_heat</t>
  </si>
  <si>
    <t>ferment_elec</t>
  </si>
  <si>
    <t>carbondioxide_emit</t>
  </si>
  <si>
    <t>h_req_ws</t>
  </si>
  <si>
    <t>e_req_ws</t>
  </si>
  <si>
    <t>"Simulation of ethanol production from sugarcane in Brazil: economic study of an autonomous distillery", 20th European Symposium on Computer Aided Process Engineering – ESCAPE20 S. Pierucci and G. Buzzi Ferraris (Editors) Marina O.S. Diasa,b, Marcelo P. Cunhaa, Charles D.F. Jesusa, Mirna I.G.
Scandiffioa, Carlos E.V. Rossella,b, Rubens Maciel Filhob, Antonio Bonomia, 2010</t>
  </si>
  <si>
    <t>"Phyllis Database for Biomass and Waste" www.ecn.nl/phyllis, Energy Research Centre of the Netherlands</t>
  </si>
  <si>
    <t>"Vinasses Biological Treatment by Anaerobic and Aerobic Processes: Laboratory and Pilot-Plant Tests," C. D. de Baztia, M. A. Cabrero and H. M. Poggi, Bioresource Technology, 1991.</t>
  </si>
  <si>
    <t>CV_biogas</t>
  </si>
  <si>
    <t>Baltic biogas bus source http://www.balticbiogasbus.eu/web/about-biogas.aspx (accessed 15/02/2011)</t>
  </si>
  <si>
    <t>total_solids</t>
  </si>
  <si>
    <r>
      <rPr>
        <i/>
        <sz val="10"/>
        <rFont val="Arial"/>
        <family val="2"/>
      </rPr>
      <t>"</t>
    </r>
    <r>
      <rPr>
        <sz val="10"/>
        <rFont val="Arial"/>
        <family val="2"/>
      </rPr>
      <t>Handbook of transport and the environment</t>
    </r>
    <r>
      <rPr>
        <i/>
        <sz val="10"/>
        <rFont val="Arial"/>
        <family val="2"/>
      </rPr>
      <t xml:space="preserve">" </t>
    </r>
    <r>
      <rPr>
        <sz val="10"/>
        <rFont val="Arial"/>
        <family val="2"/>
      </rPr>
      <t xml:space="preserve">by David A. Hensher, Kenneth J. Button, Emerald Group Publishing, page 168, 2003.  ISBN 0080441033. </t>
    </r>
  </si>
  <si>
    <t>"Energy and commodity balances, conversion factors and calorific values," Annex A.1,  Digest of United Kingdom energy statistics (DUKES), 2010 [http://www.decc.gov.uk/assets/decc/Statistics/publications/dukes/314-dukes-2010-ann-a.pdf, accessed 20/04/11]</t>
  </si>
  <si>
    <t>CV_methane</t>
  </si>
  <si>
    <t>MJ/kg steam</t>
  </si>
  <si>
    <t>steam_heat</t>
  </si>
  <si>
    <t>"Variations of Solvent Yield in Acetone-Butanol Fermentation" by L Yerushalmi, B Volesky, WK Leung and RJ Neufeld, Eur J Appl Microbiol Biotechnol Vol 18, pp 279-286 1983</t>
  </si>
  <si>
    <t>" Cogeneration - A New Source of Income for Sugar and Ethanol Mills or Bioelectricity - A New Business" by Jose Luiz Oliverio and Flavio Maltempi Ferreira, Proc. Int. Soc. Sugar Cane Technol., Vol. 27, 2010</t>
  </si>
  <si>
    <t>distil_heat</t>
  </si>
  <si>
    <t>distil_elec</t>
  </si>
  <si>
    <t>Default value assumed to be £494 per tonne</t>
  </si>
  <si>
    <t>ferm_loss</t>
  </si>
  <si>
    <t>distil_loss</t>
  </si>
  <si>
    <t>price_be_sc</t>
  </si>
  <si>
    <t>CV_be</t>
  </si>
  <si>
    <t>Greenhouse Gas Balance for the German Biofuels Quota Legislation - Methodology, Guidance and Default Values - Prepared for the Federal Environment Agency Germany" by Horst Fehrenbach, Jugen Giegrich, Sven Gartner, Guildo Reinhardt and Nils Rettenmaier, December 2007.</t>
  </si>
  <si>
    <t>Default assumes net calorific value of 26700 MJ/t for bioethanol (Ref 45)</t>
  </si>
  <si>
    <t>http://www.sugarcanecrops.com/agronomic_practices/harvesting_management accessed 04/05/11</t>
  </si>
  <si>
    <t>"Synthesis and parameter optimization of a combined sugar and ethanol production process integrated with CHP system" by Matteo Morandin, Andrea Toffolo, Andrea Lazzaretto, François Maréchal, Adriano V. Ensinas and Silvia A. Nebra, Journal of Energy (Article in Press), 2010.</t>
  </si>
  <si>
    <t>http://en.wikipedia.org/wiki/Sugarcane accessed 06/05/11</t>
  </si>
  <si>
    <t>T10</t>
  </si>
  <si>
    <t>Transport</t>
  </si>
  <si>
    <t>tr_f_pl_1_truck</t>
  </si>
  <si>
    <t>tr_f_pl_2_truck</t>
  </si>
  <si>
    <t>tr_pl_dtb_1_truck</t>
  </si>
  <si>
    <t>tr_pl_dtb_2_truck</t>
  </si>
  <si>
    <t>http://www.renewablefuelsagency.gov.uk/carboncalculator - Default values accessed 09/05/11</t>
  </si>
  <si>
    <t>http://www.portworld.com/map/ accessed 09/05/11</t>
  </si>
  <si>
    <t>Allocation and Substitution Credit References</t>
  </si>
  <si>
    <t>ASC1</t>
  </si>
  <si>
    <t>"Carbon and Sustainability Reporting within the Renewable Transport Fuel Obligation: Technical Guidance part Two - Carbon Reporting - Default Values and Fuel Chains, v1.2, Office of the Renewable Fuels Agency, 1st April 2008</t>
  </si>
  <si>
    <t>ASC2</t>
  </si>
  <si>
    <t>"Energy Requirement and GHG Emissions for Marginal Gasoline and Diesel Fuel Production" Appendix 3 Well-to-Wheels analysis of future automotive fuels and powertrains in the European context WELL-TO-TANK Report Version 2c, Institute for Environment and Sustainability, March 2007</t>
  </si>
  <si>
    <t>ASC3</t>
  </si>
  <si>
    <t>"Directive 2009/28/EC of the European Parliament and of the Council of 23 April 2009 on the promotion of the use of energy from renewable sources and amending and subsequently repealing Directives 2001/77/EC and 2003/30/EC", Official Journal of the European Union, April 2009.</t>
  </si>
  <si>
    <t>ASC4</t>
  </si>
  <si>
    <t>“Climate Change 2001: The Scientific Basis; Contribution of Working Group 1 to the Third Assessment Report of the IPCC” Inter-governmental Panel on Climate Change, Cambridge University Press, Cambridge, United Kingdom, www.ipcc.ch/ipccreports/assessment-reports.php.</t>
  </si>
  <si>
    <t>Renewable Energy Directive or PAS 2050</t>
  </si>
  <si>
    <t>method</t>
  </si>
  <si>
    <t>Renewable Energy Directive</t>
  </si>
  <si>
    <t>Calculation Methodology</t>
  </si>
  <si>
    <t>PAS 2050</t>
  </si>
  <si>
    <t>100 Year Time Horizon Global Warming Potential</t>
  </si>
  <si>
    <r>
      <t>Methane (kg eq. CO</t>
    </r>
    <r>
      <rPr>
        <vertAlign val="subscript"/>
        <sz val="10"/>
        <rFont val="Arial"/>
        <family val="2"/>
      </rPr>
      <t>2</t>
    </r>
    <r>
      <rPr>
        <sz val="10"/>
        <rFont val="Arial"/>
        <family val="2"/>
      </rPr>
      <t>/kg CH</t>
    </r>
    <r>
      <rPr>
        <vertAlign val="subscript"/>
        <sz val="10"/>
        <rFont val="Arial"/>
        <family val="2"/>
      </rPr>
      <t>4</t>
    </r>
    <r>
      <rPr>
        <sz val="10"/>
        <rFont val="Arial"/>
        <family val="2"/>
      </rPr>
      <t>)</t>
    </r>
  </si>
  <si>
    <r>
      <t>Nitrous Oxide (kg eq. CO</t>
    </r>
    <r>
      <rPr>
        <vertAlign val="subscript"/>
        <sz val="10"/>
        <rFont val="Arial"/>
        <family val="2"/>
      </rPr>
      <t>2</t>
    </r>
    <r>
      <rPr>
        <sz val="10"/>
        <rFont val="Arial"/>
        <family val="2"/>
      </rPr>
      <t>/kg N</t>
    </r>
    <r>
      <rPr>
        <vertAlign val="subscript"/>
        <sz val="10"/>
        <rFont val="Arial"/>
        <family val="2"/>
      </rPr>
      <t>2</t>
    </r>
    <r>
      <rPr>
        <sz val="10"/>
        <rFont val="Arial"/>
        <family val="2"/>
      </rPr>
      <t>O)</t>
    </r>
  </si>
  <si>
    <t>Values Specified for GWPs</t>
  </si>
  <si>
    <r>
      <t>“Climate Change 2001: The Scientific Basis; Contribution of Working Group 1 to the Third Assessment Report of the IPCC” Inter-governmental Panel on Climate Change, Cambridge University Press, Cambridge, United Kingdom, 2001,</t>
    </r>
    <r>
      <rPr>
        <u/>
        <sz val="10"/>
        <color indexed="12"/>
        <rFont val="Arial"/>
        <family val="2"/>
      </rPr>
      <t xml:space="preserve"> www.ipcc.ch/ipccreports/assessment-reports.php.</t>
    </r>
  </si>
  <si>
    <r>
      <t>"IPCC Fourth Assessment Report (AR4)</t>
    </r>
    <r>
      <rPr>
        <sz val="10"/>
        <rFont val="Arial"/>
        <family val="2"/>
      </rPr>
      <t>" Inter-governmental Panel on Climate Change, 2007.</t>
    </r>
  </si>
  <si>
    <t>IPCC Third Assessment Report (Ref. 51)</t>
  </si>
  <si>
    <t>IPCC Fourth Assessment Report (Ref. 52)</t>
  </si>
  <si>
    <t>Allocation by Price at Points of Separation of Co-Products</t>
  </si>
  <si>
    <t>Ethanol Yield</t>
  </si>
  <si>
    <t>Ethanol Average Price</t>
  </si>
  <si>
    <t>Ethanol</t>
  </si>
  <si>
    <t>http://www.xe.com/ucc/ accessed 16/05/11</t>
  </si>
  <si>
    <t>http://en.wikipedia.org/wiki/Heat_of_combustion accessed 16/05/11</t>
  </si>
  <si>
    <t>Price of Carbon Dioxide</t>
  </si>
  <si>
    <t>price_carbondioxide</t>
  </si>
  <si>
    <t xml:space="preserve">Losses = </t>
  </si>
  <si>
    <t>http://www.inflationdata.com/inflation/Inflation_Calculators/Inflation_Rate_Calculator.asp#calcresults accessed 19/05/11</t>
  </si>
  <si>
    <t>"The European Hydrogen Roadmap (HyWays)", http://www.hyways.de/docs/Brochures_and_Flyers/HyWays_Roadmap_FINAL_22FEB2008.pdf accessed 19/05/11</t>
  </si>
  <si>
    <t>Price of carbon dioxide taken from the Brew report, table A1.2 (Ref 37) and converted from Euro's to £'s using the average exchange rate for 2006 (€1 = £0.68) (Ref 53) brought up to 2011 price assuming inflation of 11.06% since 2006 (Ref 56).</t>
  </si>
  <si>
    <t>"Nutritional and Health Benefits of Inulin and Oligofructose - Caloric Value of Inulin and Oligofructose", Marcel B. Roberfroid, American Society for Nutritional Sciences, 1999</t>
  </si>
  <si>
    <t xml:space="preserve">Include Machinery and Equipment Manufacture? </t>
  </si>
  <si>
    <t>Yes= 1, No= 0</t>
  </si>
  <si>
    <t>Carbon Dioxide Emissions (kg CO2/t-km)</t>
  </si>
  <si>
    <t>Methane Emissions (kg CH4/t-km)</t>
  </si>
  <si>
    <t>Nitrous Oxide Emissions (kg N2O/t-km)</t>
  </si>
  <si>
    <t>Values for Specified Lorry Size</t>
  </si>
  <si>
    <t>Totals</t>
  </si>
  <si>
    <t>"BIOGRACE Standard Emissions Factors version2.xls" BIOGRACE Project, Harmonised Calculations of Biofuel Greenhouse Gas Emissions in Europe, www.biograce.net, 2010.</t>
  </si>
  <si>
    <t>Yes = 1, No = 0</t>
  </si>
  <si>
    <r>
      <t>"Chapter 11: N</t>
    </r>
    <r>
      <rPr>
        <vertAlign val="subscript"/>
        <sz val="10"/>
        <color indexed="8"/>
        <rFont val="Arial"/>
        <family val="2"/>
      </rPr>
      <t>2</t>
    </r>
    <r>
      <rPr>
        <sz val="10"/>
        <color indexed="8"/>
        <rFont val="Arial"/>
        <family val="2"/>
      </rPr>
      <t>O Emissions from Managed Soils, and CO</t>
    </r>
    <r>
      <rPr>
        <vertAlign val="subscript"/>
        <sz val="10"/>
        <color indexed="8"/>
        <rFont val="Arial"/>
        <family val="2"/>
      </rPr>
      <t>2</t>
    </r>
    <r>
      <rPr>
        <sz val="10"/>
        <color indexed="8"/>
        <rFont val="Arial"/>
        <family val="2"/>
      </rPr>
      <t xml:space="preserve"> Emissions from Lime and Urea Applications", C. De Klein, R. S. A Novoa, S. Ogle, K. A. Smith, P. Rochette, T. C. Wirth. IPCC Guidelines for National Greenhouse Gas Inventories, Vol. 4 2006</t>
    </r>
  </si>
  <si>
    <t>"Carbon Sequestration and Land Degradation" by A. J. Franzluebbers and P.C. Doriaswamy in 'Climate and Land Degradation' edited by M. V. K. Sivakumi and N. Ndiangui, Springer Verlag, Berlin, Germany, 2007.</t>
  </si>
  <si>
    <t>1 kilogram of N in fertiliser</t>
  </si>
  <si>
    <t>see below</t>
  </si>
  <si>
    <t>Type of N Fertiliser</t>
  </si>
  <si>
    <t>N Fertiliser</t>
  </si>
  <si>
    <t>Carbon Dioxide Emissions Factor</t>
  </si>
  <si>
    <t>Methane Emissions Factor</t>
  </si>
  <si>
    <t>Nitrous Oxide Emissions Factor</t>
  </si>
  <si>
    <t>MJ/kg N</t>
  </si>
  <si>
    <r>
      <t>kg CO</t>
    </r>
    <r>
      <rPr>
        <vertAlign val="subscript"/>
        <sz val="10"/>
        <rFont val="Arial"/>
        <family val="2"/>
      </rPr>
      <t>2</t>
    </r>
    <r>
      <rPr>
        <sz val="10"/>
        <rFont val="Arial"/>
        <family val="2"/>
      </rPr>
      <t>/kg N</t>
    </r>
  </si>
  <si>
    <r>
      <t>kg CH</t>
    </r>
    <r>
      <rPr>
        <vertAlign val="subscript"/>
        <sz val="10"/>
        <rFont val="Arial"/>
        <family val="2"/>
      </rPr>
      <t>4</t>
    </r>
    <r>
      <rPr>
        <sz val="10"/>
        <rFont val="Arial"/>
        <family val="2"/>
      </rPr>
      <t>/kg N</t>
    </r>
  </si>
  <si>
    <r>
      <t>kg N</t>
    </r>
    <r>
      <rPr>
        <vertAlign val="subscript"/>
        <sz val="10"/>
        <rFont val="Arial"/>
        <family val="2"/>
      </rPr>
      <t>2</t>
    </r>
    <r>
      <rPr>
        <sz val="10"/>
        <rFont val="Arial"/>
        <family val="2"/>
      </rPr>
      <t>O/kg N</t>
    </r>
  </si>
  <si>
    <t xml:space="preserve"> - EFMA European Union, 2006</t>
  </si>
  <si>
    <t>vinasse</t>
  </si>
  <si>
    <t>T11</t>
  </si>
  <si>
    <t>T12</t>
  </si>
  <si>
    <t>T13</t>
  </si>
  <si>
    <t>broth_conc</t>
  </si>
  <si>
    <t>vol_ws</t>
  </si>
  <si>
    <t>moist_ws</t>
  </si>
  <si>
    <t>moist_dry_feed</t>
  </si>
  <si>
    <t>CV_ws</t>
  </si>
  <si>
    <t xml:space="preserve">Fermentation </t>
  </si>
  <si>
    <t>"Digest of United Kingdom Energy Statistics, 2010" Department of Trade and Industry, HMSO, London, United Kingdom.</t>
  </si>
  <si>
    <t>Direct methane emissions per MJ of energy in biomass (Ref. 9)</t>
  </si>
  <si>
    <t>Direct nitrous oxide emissions per MJ of energy in biomass (Ref. 9).</t>
  </si>
  <si>
    <t>gas_capt</t>
  </si>
  <si>
    <t>Allocation by Mass at Points of Separation of Co-Products</t>
  </si>
  <si>
    <t>Ethanol Net Calorific Value</t>
  </si>
  <si>
    <t>Allocation by Energy Content at Points of Separation of Co-Products</t>
  </si>
  <si>
    <t>Allocation by Substitution Credit</t>
  </si>
  <si>
    <t>subs_cred_carb_diox</t>
  </si>
  <si>
    <t>Fermentation</t>
  </si>
  <si>
    <t>R10</t>
  </si>
  <si>
    <t>Assuming allocation based on relative value of all outputs from processing</t>
  </si>
  <si>
    <t>Linked Data:</t>
  </si>
  <si>
    <t xml:space="preserve">Evaluation Procedure for Surplus Electricity Credit </t>
  </si>
  <si>
    <t>Primary Energy Input (kWh/kWh)</t>
  </si>
  <si>
    <t>Carbon Dioxide Emissions (kg CO2/kWh)</t>
  </si>
  <si>
    <t>Methane Emissions (kg CH4/kWh)</t>
  </si>
  <si>
    <t>Nitrous Oxide Emissions (kg N2O/kWh)</t>
  </si>
  <si>
    <t>kWh/kWh</t>
  </si>
  <si>
    <t>ROAD TRANSPORT TO DISTRIBUTION POINT (Stage 1)</t>
  </si>
  <si>
    <t>ROAD TRANSPORT TO DISTRIBUTION POINT (Stage 2)</t>
  </si>
  <si>
    <t>GRAND TOTALS</t>
  </si>
  <si>
    <t>Summary of Primary Energy Inputs and Greenhouse Gas Emissions</t>
  </si>
  <si>
    <t>P6</t>
  </si>
  <si>
    <t xml:space="preserve"> a</t>
  </si>
  <si>
    <t>"Greenhouse Gas Emissions in the Production and Use of Ethanol from Sugar Cane in Brazil: the 2005/2006 averages and a prediction for 2020" by Isaias C. Macedo, Joaquim E.A. Seabra, Joao E.A.R. Silva, Biomass and Bioenergy, Issue 32, pages, 582-595, 2008.</t>
  </si>
  <si>
    <t>a</t>
  </si>
  <si>
    <t>Net Calorific Value (MJ/t)</t>
  </si>
  <si>
    <t>Cumulative Percentage Allocation to Ethanol</t>
  </si>
  <si>
    <t xml:space="preserve">Unit Heat Requirement for Fermentation = </t>
  </si>
  <si>
    <t xml:space="preserve">Unit Electricity Requirement for Fermentation = </t>
  </si>
  <si>
    <t xml:space="preserve"> km</t>
  </si>
  <si>
    <t xml:space="preserve">Ship Transport Round Trip Distance = </t>
  </si>
  <si>
    <t xml:space="preserve">Barge Transport Round Trip Distance = </t>
  </si>
  <si>
    <t xml:space="preserve">Road Transport Round Trip Distance = </t>
  </si>
  <si>
    <t>t GVW</t>
  </si>
  <si>
    <t xml:space="preserve"> t et</t>
  </si>
  <si>
    <t xml:space="preserve">Distributed Ethanol = </t>
  </si>
  <si>
    <t xml:space="preserve">Price of Ethanol = </t>
  </si>
  <si>
    <t xml:space="preserve">Net Calorific Value of Ethanol = </t>
  </si>
  <si>
    <t xml:space="preserve">Ethanol Available at Biorefinery = </t>
  </si>
  <si>
    <t xml:space="preserve"> MJ/t et</t>
  </si>
  <si>
    <t xml:space="preserve"> £/t et</t>
  </si>
  <si>
    <t xml:space="preserve">Broth Concentration = </t>
  </si>
  <si>
    <t>Broth Concentration</t>
  </si>
  <si>
    <t>1 tonne of ethanol (et)</t>
  </si>
  <si>
    <t>MJ/t et</t>
  </si>
  <si>
    <t xml:space="preserve">1 tonne of ethanol </t>
  </si>
  <si>
    <t>Choice of Calculation Methodology</t>
  </si>
  <si>
    <t>Option to Include Machinery and Equipment Manufacture</t>
  </si>
  <si>
    <t>Option for Surplus Electricity Credit from Combined Heat and Power Plant (used in processing)</t>
  </si>
  <si>
    <t>Functional Unit</t>
  </si>
  <si>
    <t>Transport Mode</t>
  </si>
  <si>
    <t>Average Round Trip Distance</t>
  </si>
  <si>
    <t>Does the Production Plant have its Own CHP Plant?</t>
  </si>
  <si>
    <t>Heat to Power Ratio</t>
  </si>
  <si>
    <t>Yield of Carbon Dioxide</t>
  </si>
  <si>
    <t>Methane Content of Biogas</t>
  </si>
  <si>
    <t>Price of Ethanol</t>
  </si>
  <si>
    <t>Energy content used for allocation</t>
  </si>
  <si>
    <t>The default methodology is the "Renewable Energy Directive".</t>
  </si>
  <si>
    <t>Options for Calculation Methodology</t>
  </si>
  <si>
    <t>"Assessment of Greenhouse Gas Emissions in the Production and Use of Fuel Ethanol in Brazil" by I. de Carvelho Macedo, M. R. L. V. Leal and J. E. A. Ramos da Silva, Government of the State of São Paulo, Brazil, March 2004.</t>
  </si>
  <si>
    <t>Ammonium Sulphate (AS; 21.0% N)</t>
  </si>
  <si>
    <t xml:space="preserve"> - IFS European Average, 2002</t>
  </si>
  <si>
    <t xml:space="preserve"> - IFS Modern Technology</t>
  </si>
  <si>
    <t>Calcium Ammonium Nitrate (CAN; 26.5% N)</t>
  </si>
  <si>
    <t>Carbon dioxide emissions factor for calcium ammonium nitrate fertiliser, European average, 2006 (Ref. 5, Page 21).</t>
  </si>
  <si>
    <t xml:space="preserve"> - EFMA European Union, Best Available Technology</t>
  </si>
  <si>
    <t>Carbon dioxide emissions factor for calcium ammonium nitrate fertiliser, Best Available Technology (Ref. 5, Page 21).</t>
  </si>
  <si>
    <t>Ammonium Nitrate (AN; 35.0% N))</t>
  </si>
  <si>
    <t>Urea (46.4% N)</t>
  </si>
  <si>
    <t>Phosphate Rock</t>
  </si>
  <si>
    <r>
      <t>1 kilogram of P</t>
    </r>
    <r>
      <rPr>
        <vertAlign val="subscript"/>
        <sz val="10"/>
        <rFont val="Arial"/>
        <family val="2"/>
      </rPr>
      <t>2</t>
    </r>
    <r>
      <rPr>
        <sz val="10"/>
        <rFont val="Arial"/>
        <family val="2"/>
      </rPr>
      <t>O</t>
    </r>
    <r>
      <rPr>
        <vertAlign val="subscript"/>
        <sz val="10"/>
        <rFont val="Arial"/>
        <family val="2"/>
      </rPr>
      <t>5</t>
    </r>
    <r>
      <rPr>
        <sz val="10"/>
        <rFont val="Arial"/>
        <family val="2"/>
      </rPr>
      <t xml:space="preserve"> in fertiliser</t>
    </r>
  </si>
  <si>
    <t>P Fertiliser</t>
  </si>
  <si>
    <t>Triple Superphosphate (TSP)</t>
  </si>
  <si>
    <r>
      <t>MJ/kg P</t>
    </r>
    <r>
      <rPr>
        <vertAlign val="subscript"/>
        <sz val="10"/>
        <rFont val="Arial"/>
        <family val="2"/>
      </rPr>
      <t>2</t>
    </r>
    <r>
      <rPr>
        <sz val="10"/>
        <rFont val="Arial"/>
        <family val="2"/>
      </rPr>
      <t>O</t>
    </r>
    <r>
      <rPr>
        <vertAlign val="subscript"/>
        <sz val="10"/>
        <rFont val="Arial"/>
        <family val="2"/>
      </rPr>
      <t>5</t>
    </r>
  </si>
  <si>
    <t>Single Superphosphate (SSP)</t>
  </si>
  <si>
    <r>
      <t>kg CO</t>
    </r>
    <r>
      <rPr>
        <vertAlign val="subscript"/>
        <sz val="10"/>
        <rFont val="Arial"/>
        <family val="2"/>
      </rPr>
      <t>2</t>
    </r>
    <r>
      <rPr>
        <sz val="10"/>
        <color indexed="8"/>
        <rFont val="Arial"/>
        <family val="2"/>
      </rPr>
      <t>/kg P</t>
    </r>
    <r>
      <rPr>
        <vertAlign val="subscript"/>
        <sz val="10"/>
        <color indexed="8"/>
        <rFont val="Arial"/>
        <family val="2"/>
      </rPr>
      <t>2</t>
    </r>
    <r>
      <rPr>
        <sz val="10"/>
        <color indexed="8"/>
        <rFont val="Arial"/>
        <family val="2"/>
      </rPr>
      <t>O</t>
    </r>
    <r>
      <rPr>
        <vertAlign val="subscript"/>
        <sz val="10"/>
        <color indexed="8"/>
        <rFont val="Arial"/>
        <family val="2"/>
      </rPr>
      <t>5</t>
    </r>
  </si>
  <si>
    <r>
      <t>kg CH</t>
    </r>
    <r>
      <rPr>
        <vertAlign val="subscript"/>
        <sz val="10"/>
        <rFont val="Arial"/>
        <family val="2"/>
      </rPr>
      <t>4</t>
    </r>
    <r>
      <rPr>
        <sz val="10"/>
        <color indexed="8"/>
        <rFont val="Arial"/>
        <family val="2"/>
      </rPr>
      <t>/kg P</t>
    </r>
    <r>
      <rPr>
        <vertAlign val="subscript"/>
        <sz val="10"/>
        <rFont val="Arial"/>
        <family val="2"/>
      </rPr>
      <t>2</t>
    </r>
    <r>
      <rPr>
        <sz val="10"/>
        <rFont val="Arial"/>
        <family val="2"/>
      </rPr>
      <t>O</t>
    </r>
    <r>
      <rPr>
        <vertAlign val="subscript"/>
        <sz val="10"/>
        <rFont val="Arial"/>
        <family val="2"/>
      </rPr>
      <t>5</t>
    </r>
  </si>
  <si>
    <r>
      <t>kg N</t>
    </r>
    <r>
      <rPr>
        <vertAlign val="subscript"/>
        <sz val="10"/>
        <rFont val="Arial"/>
        <family val="2"/>
      </rPr>
      <t>2</t>
    </r>
    <r>
      <rPr>
        <sz val="10"/>
        <color indexed="8"/>
        <rFont val="Arial"/>
        <family val="2"/>
      </rPr>
      <t>O/kg P</t>
    </r>
    <r>
      <rPr>
        <vertAlign val="subscript"/>
        <sz val="10"/>
        <rFont val="Arial"/>
        <family val="2"/>
      </rPr>
      <t>2</t>
    </r>
    <r>
      <rPr>
        <sz val="10"/>
        <rFont val="Arial"/>
        <family val="2"/>
      </rPr>
      <t>O</t>
    </r>
    <r>
      <rPr>
        <vertAlign val="subscript"/>
        <sz val="10"/>
        <rFont val="Arial"/>
        <family val="2"/>
      </rPr>
      <t>5</t>
    </r>
  </si>
  <si>
    <t>Nitrogen Fertiliser</t>
  </si>
  <si>
    <t>Phosphate Fertiliser</t>
  </si>
  <si>
    <t>"Energy Consumption and Greenhouse Gas Emissions in Fertiliser Production" by T. K. Jenssen and G. Kongshaug, Proceedings of the International Fertiliser Society, No. 509, York, United Kingdom, April 2003.</t>
  </si>
  <si>
    <r>
      <t>“GHG Emissions and Energy Efficiency in European Nitrogen Fertiliser Production and Use” by F. Brentrup and C. Palli</t>
    </r>
    <r>
      <rPr>
        <sz val="10"/>
        <rFont val="Arial"/>
        <family val="2"/>
      </rPr>
      <t>é</t>
    </r>
    <r>
      <rPr>
        <sz val="10"/>
        <rFont val="Arial"/>
        <family val="2"/>
      </rPr>
      <t>re, Proceedings of the International Fertiliser Society, No. 639, York, United Kingdom, 2008.</t>
    </r>
  </si>
  <si>
    <t>Primary energy multiplier of ammonium nitrate fertiliser, European average, 2006 (Ref. 68, Page 21).</t>
  </si>
  <si>
    <t>Primary energy multiplier of ammonium nitrate fertiliser, Best Available Technology (Ref. 68, Page 21).</t>
  </si>
  <si>
    <t>Primary energy multiplier of urea fertiliser, European Union, 2006 (Ref. 68, Page 21).</t>
  </si>
  <si>
    <t>Primary energy multiplier of urea fertiliser, Best Available Technology (Ref. 68, Page 21).</t>
  </si>
  <si>
    <t>Primary energy multiplier of ammonium sulphate fertiliser, European average, 2002 (Ref. 67, Page 22).</t>
  </si>
  <si>
    <t>Primary energy multiplier of ammonium sulphate fertiliser, Modern Technology (Ref. 67, Page 22).</t>
  </si>
  <si>
    <t>Primary energy multiplier of calcium ammonium nitrate fertiliser, European Union, 2006 (Ref. 68, Page 21).</t>
  </si>
  <si>
    <t>Primary energy multiplier of calcium ammonium nitrate fertiliser, Best Available Technology (Ref. 68, Page 21).</t>
  </si>
  <si>
    <t>Carbon dioxide emissions factor for ammonium nitrate fertiliser, European average, 2006 (Ref. 68, Page 21).</t>
  </si>
  <si>
    <t>Carbon dioxide emissions factor for ammonium nitrate fertiliser, Best Available Technology (Ref. 68, Page 21).</t>
  </si>
  <si>
    <t>Carbon dioxide emissions factor for urea fertiliser, European average, 2006 (Ref. 68, Page 21).</t>
  </si>
  <si>
    <t>Carbon dioxide emissions factor for urea fertiliser, Best Available Technology (Ref. 68, Page 21).</t>
  </si>
  <si>
    <t>Carbon dioxide emissions factor for ammonium sulphate fertiliser, European average, 2002; equal to total greenhouse gas emissions as no breakdown provided in original source (Ref. 67, Page 22).</t>
  </si>
  <si>
    <t>Carbon dioxide emissions factor for ammonium sulphate fertiliser, Modern Technology; equal to total greenhouse gas emissions as no breakdown provided in original source (Ref. 67, Page 22).</t>
  </si>
  <si>
    <r>
      <t>Methane emissions factor of ammonium nitrate fertiliser, European average, 2006, based on "other GHG emissions" of 0.143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</si>
  <si>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ammonium nitrate fertiliser, Best Available Technology, based on "other GHG emissions" of 0.114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</si>
  <si>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urea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</si>
  <si>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urea fertiliser, Best Available Technology, based on "other GHG emissions" of 0.152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</si>
  <si>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t>Methane emissions factor for ammonium sulphate fertiliser, European average, 2002; assumed to be zero as no breakdown provided in original source (Ref. 67, Page 22).</t>
  </si>
  <si>
    <t>Methane emissions factor for ammonium sulphate fertiliser, Modern Technology; assumed to be zero as no breakdown provided in original source (Ref. 67, Page 22).</t>
  </si>
  <si>
    <r>
      <t>Methane emissions factor of calcium ammonium nitrate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</si>
  <si>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Methane emissions factor of calcium ammonium nitrate fertiliser, Best Available Technology,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</si>
  <si>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Nitrous oxide emissions factor of ammonium nitrate fertiliser, European average, 2006, based on "nitrous oxide" of 3.686 kg eq. CO</t>
    </r>
    <r>
      <rPr>
        <vertAlign val="subscript"/>
        <sz val="10"/>
        <rFont val="Arial"/>
        <family val="2"/>
      </rPr>
      <t>2</t>
    </r>
    <r>
      <rPr>
        <sz val="10"/>
        <rFont val="Arial"/>
        <family val="2"/>
      </rPr>
      <t>/kg N</t>
    </r>
    <r>
      <rPr>
        <sz val="10"/>
        <rFont val="Arial"/>
        <family val="2"/>
      </rPr>
      <t xml:space="preserve"> (Ref. 68, Page 21), assumed converted with a Global Warming Potential of 296 kg eq. CO</t>
    </r>
    <r>
      <rPr>
        <vertAlign val="subscript"/>
        <sz val="10"/>
        <rFont val="Arial"/>
        <family val="2"/>
      </rPr>
      <t>2</t>
    </r>
    <r>
      <rPr>
        <sz val="10"/>
        <rFont val="Arial"/>
        <family val="2"/>
      </rPr>
      <t>/kg N</t>
    </r>
    <r>
      <rPr>
        <vertAlign val="subscript"/>
        <sz val="10"/>
        <rFont val="Arial"/>
        <family val="2"/>
      </rPr>
      <t>2</t>
    </r>
    <r>
      <rPr>
        <sz val="10"/>
        <rFont val="Arial"/>
        <family val="2"/>
      </rPr>
      <t>O (Ref. 51).</t>
    </r>
  </si>
  <si>
    <r>
      <t>Nitrous oxide emissions factor of ammonium nitrate fertiliser, Best Available Technology, based on "nitrous oxide" of 0.829 kg eq. CO</t>
    </r>
    <r>
      <rPr>
        <vertAlign val="subscript"/>
        <sz val="10"/>
        <rFont val="Arial"/>
        <family val="2"/>
      </rPr>
      <t>2</t>
    </r>
    <r>
      <rPr>
        <sz val="10"/>
        <rFont val="Arial"/>
        <family val="2"/>
      </rPr>
      <t>/kg N</t>
    </r>
    <r>
      <rPr>
        <sz val="10"/>
        <rFont val="Arial"/>
        <family val="2"/>
      </rPr>
      <t xml:space="preserve"> (Ref. 68, Page 21), assumed converted with a Global Warming Potential of 296 kg eq. CO</t>
    </r>
    <r>
      <rPr>
        <vertAlign val="subscript"/>
        <sz val="10"/>
        <rFont val="Arial"/>
        <family val="2"/>
      </rPr>
      <t>2</t>
    </r>
    <r>
      <rPr>
        <sz val="10"/>
        <rFont val="Arial"/>
        <family val="2"/>
      </rPr>
      <t>/kg N</t>
    </r>
    <r>
      <rPr>
        <vertAlign val="subscript"/>
        <sz val="10"/>
        <rFont val="Arial"/>
        <family val="2"/>
      </rPr>
      <t>2</t>
    </r>
    <r>
      <rPr>
        <sz val="10"/>
        <rFont val="Arial"/>
        <family val="2"/>
      </rPr>
      <t>O (Ref. 51).</t>
    </r>
  </si>
  <si>
    <r>
      <t>Nitrous oxide emissions factor of urea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</si>
  <si>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r>
      <t>Nitrous oxide emissions factor of ammonium nitrate fertiliser, Best Available Technology, based on "nitrous oxide" of 0.00 kg eq. CO</t>
    </r>
    <r>
      <rPr>
        <vertAlign val="subscript"/>
        <sz val="10"/>
        <rFont val="Arial"/>
        <family val="2"/>
      </rPr>
      <t>2</t>
    </r>
    <r>
      <rPr>
        <sz val="10"/>
        <rFont val="Arial"/>
        <family val="2"/>
      </rPr>
      <t>/kg N</t>
    </r>
    <r>
      <rPr>
        <sz val="10"/>
        <rFont val="Arial"/>
        <family val="2"/>
      </rPr>
      <t xml:space="preserve"> (Ref. 68, Page 21).</t>
    </r>
  </si>
  <si>
    <t>Nitrous oxide emissions factor for ammonium sulphate fertiliser, European average, 2002; assumed to be zero as no breakdown provided in original source (Ref. 68, Page 22).</t>
  </si>
  <si>
    <t>Nitrous oxide emissions factor for ammonium sulphate fertiliser, Modern Technology; assumed to be zero as no breakdown provided in original source (Ref. 68, Page 22).</t>
  </si>
  <si>
    <r>
      <t>Nitrous oxide emissions factor of calcium ammonium nitrate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</si>
  <si>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r>
      <t>Nitrous oxide emissions factor of calcium ammonium nitrate fertiliser, Best Available Technology, based on "nitrous oxide" of 0.00 kg eq. CO</t>
    </r>
    <r>
      <rPr>
        <vertAlign val="subscript"/>
        <sz val="10"/>
        <rFont val="Arial"/>
        <family val="2"/>
      </rPr>
      <t>2</t>
    </r>
    <r>
      <rPr>
        <sz val="10"/>
        <rFont val="Arial"/>
        <family val="2"/>
      </rPr>
      <t>/kg N</t>
    </r>
    <r>
      <rPr>
        <sz val="10"/>
        <rFont val="Arial"/>
        <family val="2"/>
      </rPr>
      <t xml:space="preserve"> (Ref. 68, Page 21).</t>
    </r>
  </si>
  <si>
    <t>Primary energy multiplier of monoammonium phosphate fertiliser, European average, 2002 (Ref. 67, Page 22).</t>
  </si>
  <si>
    <t>Carbon dioxide emissions factor for monoammonium phosphate fertiliser, European average, 2002; equal to total greenhouse gas emissions as no breakdown provided in original source (Ref. 67, Page 22).</t>
  </si>
  <si>
    <t>Methane emissions factor for monoammonium phosphate fertiliser, European average, 2002; assumed to be zero as no breakdown provided in original source (Ref. 67, Page 22).</t>
  </si>
  <si>
    <t>Nitrous oxide emissions factor for monoammonium phosphate fertiliser, European average, 2002; assumed to be zero as no breakdown provided in original source (Ref. 67, Page 22).</t>
  </si>
  <si>
    <t>Primary energy multiplier of diammonium phosphate fertiliser, European Union, 2006 (Ref. 68, Page 21).</t>
  </si>
  <si>
    <t>Carbon dioxide emissions factor for diammonium phosphate fertiliser, European average, 2006 (Ref. 68, Page 21).</t>
  </si>
  <si>
    <r>
      <t>Methane emissions factor of diammonium phosphate fertiliser, European average, 2006, based on "other GHG emissions" of 0.174 kg eq. CO</t>
    </r>
    <r>
      <rPr>
        <vertAlign val="subscript"/>
        <sz val="10"/>
        <rFont val="Arial"/>
        <family val="2"/>
      </rPr>
      <t>2</t>
    </r>
    <r>
      <rPr>
        <sz val="10"/>
        <rFont val="Arial"/>
        <family val="2"/>
      </rPr>
      <t>/kg N</t>
    </r>
    <r>
      <rPr>
        <sz val="10"/>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t>
    </r>
    <r>
      <rPr>
        <sz val="10"/>
        <rFont val="Arial"/>
        <family val="2"/>
      </rPr>
      <t xml:space="preserve"> (Ref. 51).</t>
    </r>
  </si>
  <si>
    <r>
      <t>Nitrous oxide emissions factor of diammonium phosphate fertiliser, European average, 2006, based on "nitrous oxide" of 0.00 kg eq. CO</t>
    </r>
    <r>
      <rPr>
        <vertAlign val="subscript"/>
        <sz val="10"/>
        <rFont val="Arial"/>
        <family val="2"/>
      </rPr>
      <t>2</t>
    </r>
    <r>
      <rPr>
        <sz val="10"/>
        <rFont val="Arial"/>
        <family val="2"/>
      </rPr>
      <t>/kg N</t>
    </r>
    <r>
      <rPr>
        <sz val="10"/>
        <rFont val="Arial"/>
        <family val="2"/>
      </rPr>
      <t xml:space="preserve"> (Ref. 68, Page 21).</t>
    </r>
  </si>
  <si>
    <t>Primary energy multiplier for single superphosphate fertiliser, European average, 2002 (Ref. 67, Page 22).</t>
  </si>
  <si>
    <t>Carbon dioxide emissions factor for single superphosphate fertiliser, European average, 2002 (Ref. 67, Page 22).</t>
  </si>
  <si>
    <t>Methane emissions factor for single superphosphate not known, included in carbon dioxide emissions factor (Ref. 67, Page 22).</t>
  </si>
  <si>
    <t>Nitrous oxide emissions factor for single superphosphate not known, included in carbon dioxide emissions factor (Ref. 67, Page 22).</t>
  </si>
  <si>
    <t>Primary energy multiplier for triple superphosphate fertiliser, European Union average, 2006 (Ref. 68, Page 21).</t>
  </si>
  <si>
    <t>Carbon dioxide emissions factor for triple superphosphate fertiliser, European Union average, 2006 (Ref. 68, Page 21).</t>
  </si>
  <si>
    <r>
      <t>Methane emissions factor of triple superphosphate fertiliser, European Union average, 2006, based on "other GHG emissions" of 0.02083 kg eq. CO</t>
    </r>
    <r>
      <rPr>
        <vertAlign val="subscript"/>
        <sz val="10"/>
        <rFont val="Arial"/>
        <family val="2"/>
      </rPr>
      <t>2</t>
    </r>
    <r>
      <rPr>
        <sz val="10"/>
        <rFont val="Arial"/>
        <family val="2"/>
      </rPr>
      <t>/kg P2O5</t>
    </r>
    <r>
      <rPr>
        <sz val="10"/>
        <color indexed="8"/>
        <rFont val="Arial"/>
        <family val="2"/>
      </rPr>
      <t xml:space="preserve"> (Ref. 68, Page 21), assumed to be all methane converted with a Global Warming Potential of 23 kg eq. CO</t>
    </r>
    <r>
      <rPr>
        <vertAlign val="subscript"/>
        <sz val="10"/>
        <rFont val="Arial"/>
        <family val="2"/>
      </rPr>
      <t>2</t>
    </r>
    <r>
      <rPr>
        <sz val="10"/>
        <rFont val="Arial"/>
        <family val="2"/>
      </rPr>
      <t>/kg CH</t>
    </r>
    <r>
      <rPr>
        <vertAlign val="subscript"/>
        <sz val="10"/>
        <rFont val="Arial"/>
        <family val="2"/>
      </rPr>
      <t>4 (Ref. 51).</t>
    </r>
  </si>
  <si>
    <r>
      <t>Nitrous oxide emissions factor of triple superphosphate fertiliser, European Union average, 2006, based on "nitrous oxide" of 0 kg eq. CO</t>
    </r>
    <r>
      <rPr>
        <vertAlign val="subscript"/>
        <sz val="10"/>
        <rFont val="Arial"/>
        <family val="2"/>
      </rPr>
      <t>2</t>
    </r>
    <r>
      <rPr>
        <sz val="10"/>
        <rFont val="Arial"/>
        <family val="2"/>
      </rPr>
      <t>/kg P</t>
    </r>
    <r>
      <rPr>
        <vertAlign val="subscript"/>
        <sz val="10"/>
        <rFont val="Arial"/>
        <family val="2"/>
      </rPr>
      <t>2</t>
    </r>
    <r>
      <rPr>
        <sz val="10"/>
        <rFont val="Arial"/>
        <family val="2"/>
      </rPr>
      <t>O</t>
    </r>
    <r>
      <rPr>
        <vertAlign val="subscript"/>
        <sz val="10"/>
        <rFont val="Arial"/>
        <family val="2"/>
      </rPr>
      <t>5</t>
    </r>
    <r>
      <rPr>
        <sz val="10"/>
        <color indexed="8"/>
        <rFont val="Arial"/>
        <family val="2"/>
      </rPr>
      <t xml:space="preserve"> (Ref. 68, Page 21)</t>
    </r>
    <r>
      <rPr>
        <sz val="10"/>
        <rFont val="Arial"/>
        <family val="2"/>
      </rPr>
      <t>.</t>
    </r>
  </si>
  <si>
    <t>Primary energy multiplier for phosphate rock fertiliser, European average, 2002 (Ref. 67, Page 14).</t>
  </si>
  <si>
    <t>Carbon dioxide emissions factor derived from primary energy multiplier for phosphate rock, European average 2002 (Ref. 67, Page 14), and assuming emissions due to diesel fuel consumption and carbon dioxide emissions factor for diesel fuel, United Kingdom 2004 (Ref. 15).</t>
  </si>
  <si>
    <t>Methane emissions factor derived from primary energy multiplier for phosphate rock, European average 2002 (Ref. 67, Page 14), and assuming emissions due to diesel fuel consumption and methane emissions factor for diesel fuel, United Kingdom 2004 (Ref. 15).</t>
  </si>
  <si>
    <t>Nitrous oxide emissions factor derived from primary energy multiplier for phosphate rock, European average 2002 (Ref. 67, Page 14), and assuming emissions due to diesel fuel consumption and nitrous oxide emissions factor for diesel fuel, United Kingdom 2004 (Ref. 15).</t>
  </si>
  <si>
    <t>Type of Phopshate Fertiliser</t>
  </si>
  <si>
    <t>Values for Specified N Fertiliser</t>
  </si>
  <si>
    <t>Values for Specified P Fertiliser</t>
  </si>
  <si>
    <t>Source of Ammonium Nitrate Manufacture Emissions Factor</t>
  </si>
  <si>
    <t>Source of Urea Manufacture Emissions Factor</t>
  </si>
  <si>
    <t>Source of Ammonium Sulphate Manufacture Emissions Factor</t>
  </si>
  <si>
    <t>Source of Calcium Ammonium Nitrate Manufacture Emissions Factor</t>
  </si>
  <si>
    <t xml:space="preserve"> Yes = 1, No = 0</t>
  </si>
  <si>
    <t>"Primary Energy and Greenhouse Gas Emission Multiplier for Products and Services, United Kingdom, 2004" NF0614stat0402.xls by Nigel Mortimer, North Energy Associates for National Non-Food Cereal Crops.</t>
  </si>
  <si>
    <t>Electricity emissions factors estimated from energy statistics for Brazil 2009 from International Energy Agency - www.iea.org/stats Accessed 09 March 2012.</t>
  </si>
  <si>
    <r>
      <t>Monoammonium Phosphate (MAP; 52% P</t>
    </r>
    <r>
      <rPr>
        <vertAlign val="subscript"/>
        <sz val="10"/>
        <rFont val="Arial"/>
        <family val="2"/>
      </rPr>
      <t>2</t>
    </r>
    <r>
      <rPr>
        <sz val="10"/>
        <rFont val="Arial"/>
        <family val="2"/>
      </rPr>
      <t>O</t>
    </r>
    <r>
      <rPr>
        <vertAlign val="subscript"/>
        <sz val="10"/>
        <rFont val="Arial"/>
        <family val="2"/>
      </rPr>
      <t>5</t>
    </r>
    <r>
      <rPr>
        <sz val="10"/>
        <rFont val="Arial"/>
        <family val="2"/>
      </rPr>
      <t>,</t>
    </r>
    <r>
      <rPr>
        <vertAlign val="subscript"/>
        <sz val="10"/>
        <rFont val="Arial"/>
        <family val="2"/>
      </rPr>
      <t xml:space="preserve"> </t>
    </r>
    <r>
      <rPr>
        <sz val="10"/>
        <rFont val="Arial"/>
        <family val="2"/>
      </rPr>
      <t>11.0% N)</t>
    </r>
  </si>
  <si>
    <r>
      <t>Diammonium Phosphate (DAP; 46% P</t>
    </r>
    <r>
      <rPr>
        <vertAlign val="subscript"/>
        <sz val="10"/>
        <rFont val="Arial"/>
        <family val="2"/>
      </rPr>
      <t>2</t>
    </r>
    <r>
      <rPr>
        <sz val="10"/>
        <rFont val="Arial"/>
        <family val="2"/>
      </rPr>
      <t>O</t>
    </r>
    <r>
      <rPr>
        <vertAlign val="subscript"/>
        <sz val="10"/>
        <rFont val="Arial"/>
        <family val="2"/>
      </rPr>
      <t>5</t>
    </r>
    <r>
      <rPr>
        <sz val="10"/>
        <rFont val="Arial"/>
        <family val="2"/>
      </rPr>
      <t>,</t>
    </r>
    <r>
      <rPr>
        <sz val="10"/>
        <rFont val="Arial"/>
        <family val="2"/>
      </rPr>
      <t xml:space="preserve"> 18.0% N)</t>
    </r>
  </si>
  <si>
    <t>"Experiences on Vinasse Disposal Part III: Combustion of Vinasses - Fuel Oil Emulsion" by L.A.B Cortez and L.E. Brossard Perez, Brazilian Journal of Chemical Engineering, vol 14, issue No. 1, March 1997.</t>
  </si>
  <si>
    <t>"Improving Filter Mud Cake with Rock Phosphate and Biofertilisers for Exporting Organic Onion Production in Newly Cultivated Land at South Valley Area" by A. A. Abo-Baker Basha, Australian Journal of Basic and Applied Sciences, Vol. 5, No. 8, p. 1354 - 1361, 2011.</t>
  </si>
  <si>
    <t>"A Comparison of Treatments for High Strength Distillery Slops from the Sugar Cane Industry" by H. M. Poggi-Varaldo, Proceedings of the 47th Purdue University Industrial Waste Conference, Lewis Publishers Inc., Michigan, United States of America, 1992.</t>
  </si>
  <si>
    <t>"Chapter 4 Mitigation of GHG Emissions Using Sugarcane Bioethanol" by Isaias C. Macedo and Joaquim E.A. Seabra in Sugarcane Ethanol - Contributions to climate change mitigation and the environment, edited by Peter Zuurbier and Jos van de Vooren, Wageningen Academic publishers, The Netherlands, 2008.</t>
  </si>
  <si>
    <t xml:space="preserve">Unit Volume of Permeate = </t>
  </si>
  <si>
    <t xml:space="preserve"> kWh/t et</t>
  </si>
  <si>
    <t>Heat Content of Steam</t>
  </si>
  <si>
    <t>Default value for heat content of steam of 2.73 MJ/kg (Table A2.5 Ref. 37).</t>
  </si>
  <si>
    <t>Unit Electricity Requirement for Fermentation</t>
  </si>
  <si>
    <t>Unit Steam Requirement for Fermentation</t>
  </si>
  <si>
    <t>kg/t et</t>
  </si>
  <si>
    <t>Ethanol Dispatched from Biorefinery =</t>
  </si>
  <si>
    <t xml:space="preserve">Unit Total Heat Requirement = </t>
  </si>
  <si>
    <t xml:space="preserve">Unit Total Electricity Requirement = </t>
  </si>
  <si>
    <t xml:space="preserve">Unit Electricity Requirement = </t>
  </si>
  <si>
    <t xml:space="preserve">Unit Heat Requirement = </t>
  </si>
  <si>
    <t>WASTE WATER TREATMENT PLANT</t>
  </si>
  <si>
    <t>ENERGY REQUIREMENTS OF BIOREFINERY</t>
  </si>
  <si>
    <t>SOURCE OF HEAT AND ELECTRICITY FOR BIOREFINERY</t>
  </si>
  <si>
    <t>BIOREFINERY</t>
  </si>
  <si>
    <t>Life of Biorefinery =</t>
  </si>
  <si>
    <t>Annual Operating Time of Biorefinery =</t>
  </si>
  <si>
    <t xml:space="preserve"> h/a</t>
  </si>
  <si>
    <t>Lifetime of Biorefinery</t>
  </si>
  <si>
    <t>h/a</t>
  </si>
  <si>
    <t>Annual Operating Time of Biorefinery</t>
  </si>
  <si>
    <t>Default value for plant life of 20 years (Ref. 22).</t>
  </si>
  <si>
    <t xml:space="preserve"> t GVW</t>
  </si>
  <si>
    <t>Lorry Size</t>
  </si>
  <si>
    <t>Lorry Size =</t>
  </si>
  <si>
    <t>Default value assumes no losses during fermentation.</t>
  </si>
  <si>
    <t xml:space="preserve">Pentose Liquor = </t>
  </si>
  <si>
    <t xml:space="preserve">Net Calorific Value of Pentose Liquor = </t>
  </si>
  <si>
    <t xml:space="preserve">Price of Pentose Liquor = </t>
  </si>
  <si>
    <t xml:space="preserve">Lignin = </t>
  </si>
  <si>
    <t xml:space="preserve">Net Calorific Value of Lignin = </t>
  </si>
  <si>
    <t xml:space="preserve">Lignin Used as Fuel? = </t>
  </si>
  <si>
    <t>pentose</t>
  </si>
  <si>
    <t>lignin</t>
  </si>
  <si>
    <t>Lignin Used in Energy Supply for Biorefinery?</t>
  </si>
  <si>
    <t>lignin_energy_source</t>
  </si>
  <si>
    <t>Default value assumes lignin is used for energy supply in the biorefinery.</t>
  </si>
  <si>
    <t>hexoses</t>
  </si>
  <si>
    <t xml:space="preserve">Hexoses Liquor  = </t>
  </si>
  <si>
    <t xml:space="preserve"> t fermentable sugar</t>
  </si>
  <si>
    <t xml:space="preserve">Total Available Fermentable Sugar = </t>
  </si>
  <si>
    <t xml:space="preserve">Price of Carbon Dioxide = </t>
  </si>
  <si>
    <r>
      <t xml:space="preserve"> t CO</t>
    </r>
    <r>
      <rPr>
        <vertAlign val="subscript"/>
        <sz val="10"/>
        <rFont val="Arial"/>
        <family val="2"/>
      </rPr>
      <t>2</t>
    </r>
  </si>
  <si>
    <r>
      <t xml:space="preserve"> £/t CO</t>
    </r>
    <r>
      <rPr>
        <vertAlign val="subscript"/>
        <sz val="10"/>
        <rFont val="Arial"/>
        <family val="2"/>
      </rPr>
      <t>2</t>
    </r>
  </si>
  <si>
    <t xml:space="preserve">Substitution Credit for Carbon Dioxide = </t>
  </si>
  <si>
    <r>
      <t xml:space="preserve"> kg eq. CO</t>
    </r>
    <r>
      <rPr>
        <vertAlign val="subscript"/>
        <sz val="10"/>
        <rFont val="Arial"/>
        <family val="2"/>
      </rPr>
      <t>2</t>
    </r>
    <r>
      <rPr>
        <sz val="10"/>
        <rFont val="Arial"/>
        <family val="2"/>
      </rPr>
      <t>/t CO</t>
    </r>
    <r>
      <rPr>
        <vertAlign val="subscript"/>
        <sz val="10"/>
        <rFont val="Arial"/>
        <family val="2"/>
      </rPr>
      <t>2</t>
    </r>
  </si>
  <si>
    <t>Substitution Credit for Carbon Dioxide</t>
  </si>
  <si>
    <t xml:space="preserve">Fermentation Gases Captured? = </t>
  </si>
  <si>
    <t xml:space="preserve">Proportion of Waste Solids in Fermentation Broth = </t>
  </si>
  <si>
    <t xml:space="preserve"> % by volume</t>
  </si>
  <si>
    <t xml:space="preserve">Default value for waste solids in fermentation broth of 10% by volume (nominal). </t>
  </si>
  <si>
    <t>Nominal default value for moisture content for waste solids of 85%.</t>
  </si>
  <si>
    <t xml:space="preserve"> MJ/t dws</t>
  </si>
  <si>
    <t>Lime spreadsheet; NF0614Lime02.xls from the "Environmental Assessment Tool for Biomaterials" by North Energy Associates Ltd., Contract No. NF0614 for the Department for Environment, Food and Rural Affairs, London, United Kingdom, 2006.</t>
  </si>
  <si>
    <t>t/t et</t>
  </si>
  <si>
    <t>Net Calorific Value of Biogas</t>
  </si>
  <si>
    <t>Unit Electricity Requirement for Waste Water Treatment</t>
  </si>
  <si>
    <t xml:space="preserve">Unit Electricity Requirement for Waste Water Treatment = </t>
  </si>
  <si>
    <t xml:space="preserve">Biogas Generation from Anaerobic Digestion = </t>
  </si>
  <si>
    <t xml:space="preserve">Methane Content of Biogas = </t>
  </si>
  <si>
    <t>Net Calorific Value of Methane</t>
  </si>
  <si>
    <t>Default value for methane content of biogas of 78.2% (Ref. 36).</t>
  </si>
  <si>
    <t>"An Engineering Data Book" edited by A. J. Munday and R. A. Farrar, The Macmillan Press Ltd., London, United Kingdom, 1979.</t>
  </si>
  <si>
    <t xml:space="preserve">Net Calorific Value of Methane = </t>
  </si>
  <si>
    <r>
      <t xml:space="preserve"> MJ/m</t>
    </r>
    <r>
      <rPr>
        <vertAlign val="superscript"/>
        <sz val="10"/>
        <rFont val="Arial"/>
        <family val="2"/>
      </rPr>
      <t>3</t>
    </r>
  </si>
  <si>
    <t xml:space="preserve">Net Calorific Value of Biogas = </t>
  </si>
  <si>
    <t xml:space="preserve">Waste Solids from Fermentation Broth = </t>
  </si>
  <si>
    <t xml:space="preserve"> t wsf</t>
  </si>
  <si>
    <t xml:space="preserve">Combined Moisture Content of Waste Solids for Drying = </t>
  </si>
  <si>
    <r>
      <t xml:space="preserve"> m</t>
    </r>
    <r>
      <rPr>
        <vertAlign val="superscript"/>
        <sz val="10"/>
        <rFont val="Arial"/>
        <family val="2"/>
      </rPr>
      <t>3</t>
    </r>
  </si>
  <si>
    <t>CV_ln</t>
  </si>
  <si>
    <t>"The Lignoboost Process" by P. Tomani, Cellolose Chemistry and Technology, Vol. 44, Nos. 1 -2, pp. 53 - 58, 2010.</t>
  </si>
  <si>
    <t xml:space="preserve">Unit Heat Available from Lignin = </t>
  </si>
  <si>
    <t xml:space="preserve">Unit Heat Available from Biogas  = </t>
  </si>
  <si>
    <t>t csc/a</t>
  </si>
  <si>
    <t xml:space="preserve"> MW</t>
  </si>
  <si>
    <t>Unit Biomass Consumption of Boiler =</t>
  </si>
  <si>
    <t>Overall Thermal Efficiency of CHP Plant</t>
  </si>
  <si>
    <t>Thermal Efficiency of Boiler</t>
  </si>
  <si>
    <t>Weighting Value of Electricity Relative to Heat in CHP Plant (for allocation of emissions)</t>
  </si>
  <si>
    <t>1 tonne ethanol</t>
  </si>
  <si>
    <t>Unit Biomass Consumption of Combined Heat and Power Plant (MJ/t et)</t>
  </si>
  <si>
    <t>Unit Electricity Consumption from Grid (kWh/t et)</t>
  </si>
  <si>
    <t>Unit Biomass Consumption of Boiler (MJ/t et)</t>
  </si>
  <si>
    <t>Boiler Life (a)</t>
  </si>
  <si>
    <t>CHP Plant Life (a)</t>
  </si>
  <si>
    <t xml:space="preserve">Unit Biomass Consumption of Combined Heat and Power Plant = </t>
  </si>
  <si>
    <t xml:space="preserve">Combined Heat and Power Plant Thermal Input Rating = </t>
  </si>
  <si>
    <t xml:space="preserve">Combined Heat and Power Plant Overall Thermal Efficiency = </t>
  </si>
  <si>
    <t xml:space="preserve">Combined Heat and Power Plant Heat to Power Ratio = </t>
  </si>
  <si>
    <t xml:space="preserve">Combined Heat and Power Plant Heat Output Rating = </t>
  </si>
  <si>
    <t xml:space="preserve">Combined Heat and Power Plant Net Electrical Output Rating = </t>
  </si>
  <si>
    <t xml:space="preserve">Combined Heat and Power Plant Life = </t>
  </si>
  <si>
    <t xml:space="preserve">Weighting of Value of Electricity to Value of Heat = </t>
  </si>
  <si>
    <t xml:space="preserve">Combined Heat and Power Plant Load Factor = </t>
  </si>
  <si>
    <t xml:space="preserve">Unit Electricity Export to Grid = </t>
  </si>
  <si>
    <t xml:space="preserve">Unit Electricity Import from Grid = </t>
  </si>
  <si>
    <t>Include Machinery and Equipment Manufacture?</t>
  </si>
  <si>
    <t>Fermentation in Biorefinery</t>
  </si>
  <si>
    <t>Sale of Surplus Electricity from Oil/Biomass-fired Combined Heat and Power Plant</t>
  </si>
  <si>
    <t>Biorefinery</t>
  </si>
  <si>
    <t>t/a</t>
  </si>
  <si>
    <t>Annual Ethanol Output Capacity</t>
  </si>
  <si>
    <t>Life of Biorefinery</t>
  </si>
  <si>
    <t>Biorefinery Construction, Maintenance and Decomissioning</t>
  </si>
  <si>
    <t xml:space="preserve">Lorry Size = </t>
  </si>
  <si>
    <t>rail</t>
  </si>
  <si>
    <t>barge</t>
  </si>
  <si>
    <t>ship</t>
  </si>
  <si>
    <t>To Biorefinery</t>
  </si>
  <si>
    <t>44 Tonne Truck: 29 m3 Capacity</t>
  </si>
  <si>
    <t>Average maintenance contribution of 2% (Ref. T3)</t>
  </si>
  <si>
    <t>40 Tonne Truck: 26 m3 Capacity</t>
  </si>
  <si>
    <t>32 Tonne Truck: 21 m3 Capacity</t>
  </si>
  <si>
    <t>26 Tonne Truck: 17m3 Capacity</t>
  </si>
  <si>
    <t>Bulk Freight Road Transport (ethanol from biorefinery to distribution point, stage 1)</t>
  </si>
  <si>
    <t>44/40/32/26 t GVW</t>
  </si>
  <si>
    <t>Ethanol from biorefinery to distribution point (Stage 1)</t>
  </si>
  <si>
    <t>Ethanol from biorefinery to distribution point (Stage 2)</t>
  </si>
  <si>
    <t xml:space="preserve">Default setting for ethanol transport (stage 1) from biorefinery to distribution point of road transport. </t>
  </si>
  <si>
    <t>Default value for lorry size of 44 t GVW for ethanol transport (stage 1) from biorefinery to distribution point.</t>
  </si>
  <si>
    <t>Default assumes no losses during ethanol transport (stage 1) from biorefinery to distribution point.</t>
  </si>
  <si>
    <t xml:space="preserve">Default setting for ethanol transport (stage 2) from biorefinery to distribution point of ship transport. </t>
  </si>
  <si>
    <t>Default value for lorry size of 44 t GVW for ethanol transport (stage 2) from biorefinery to distribution point.</t>
  </si>
  <si>
    <t>Default assumes no losses during ethanol transport (stage 2) from biorefinery to distribution point.</t>
  </si>
  <si>
    <t>Ethanol from biorefinery to distribution point (Stage 3)</t>
  </si>
  <si>
    <t>tr_pl_dtb_3_truck</t>
  </si>
  <si>
    <t>tr_pl_dtb_3_mode</t>
  </si>
  <si>
    <t>tr_pl_dtb_3_km</t>
  </si>
  <si>
    <t>tr_pl_dtb_3_loss</t>
  </si>
  <si>
    <t>Default value for lorry size of 44 t GVW for ethanol transport (stage 3) from biorefinery to distribution point.</t>
  </si>
  <si>
    <t xml:space="preserve">Default setting for ethanol transport (stage 3) from biorefinery to distribution point of rail transport. </t>
  </si>
  <si>
    <t xml:space="preserve">Transported Ethanol (stage 1) = </t>
  </si>
  <si>
    <t xml:space="preserve">Transported Ethanol (stage 2) = </t>
  </si>
  <si>
    <t>TRANSPORT TO DISTRIBUTION POINT (Stage 3)</t>
  </si>
  <si>
    <t>Acetone from biorefinery to distribution point (Stage 1)</t>
  </si>
  <si>
    <t>Acetone from biorefinery to distribution point (Stage 2)</t>
  </si>
  <si>
    <t>Acetone from biorefinery to distribution point (Stage 3)</t>
  </si>
  <si>
    <t>tr_pl_dtb_1_truck_ace</t>
  </si>
  <si>
    <t>tr_pl_dtb_1_mode_ace</t>
  </si>
  <si>
    <t>tr_pl_dtb_1_km_ace</t>
  </si>
  <si>
    <t>tr_pl_dtb_1_loss_ace</t>
  </si>
  <si>
    <t>tr_pl_dtb_2_truck_ace</t>
  </si>
  <si>
    <t>tr_pl_dtb_2_mode_ace</t>
  </si>
  <si>
    <t>tr_pl_dtb_2_km_ace</t>
  </si>
  <si>
    <t>tr_pl_dtb_2_loss_ace</t>
  </si>
  <si>
    <t>tr_pl_dtb_3_truck_ace</t>
  </si>
  <si>
    <t>tr_pl_dtb_3_mode_ace</t>
  </si>
  <si>
    <t>tr_pl_dtb_3_km_ace</t>
  </si>
  <si>
    <t>tr_pl_dtb_3_loss_ace</t>
  </si>
  <si>
    <t xml:space="preserve">Default setting for acteone transport (stage 1) from biorefinery to distribution point of road transport. </t>
  </si>
  <si>
    <t>Default assumes no losses during acetone transport (stage 1) from biorefinery to distribution point.</t>
  </si>
  <si>
    <t>Default assumes no losses during ethanol transport (stage 3) from biorefinery to distribution point.</t>
  </si>
  <si>
    <t>Default value for lorry size of 44 t GVW for acetone transport (stage 2) from biorefinery to distribution point.</t>
  </si>
  <si>
    <t xml:space="preserve">Default setting for acetone transport (stage 2) from biorefinery to distribution point of ship transport. </t>
  </si>
  <si>
    <t>Default assumes no losses during acetone transport (stage 2) from biorefinery to distribution point.</t>
  </si>
  <si>
    <t>Default value for lorry size of 44 t GVW for acetone transport (stage 3) from biorefinery to distribution point.</t>
  </si>
  <si>
    <t xml:space="preserve">Default setting for acetone transport (stage 3) from biorefinery to distribution point of rail transport. </t>
  </si>
  <si>
    <t>Default assumes no losses during acetone transport (stage 3) from biorefinery to distribution point.</t>
  </si>
  <si>
    <t xml:space="preserve"> Road Transport Round Trip Distance = </t>
  </si>
  <si>
    <t xml:space="preserve"> Rail Transport Round Trip Distance = </t>
  </si>
  <si>
    <t xml:space="preserve"> Barge Transport Round Trip Distance = </t>
  </si>
  <si>
    <t xml:space="preserve"> Ship Transport Round Trip Distance = </t>
  </si>
  <si>
    <t xml:space="preserve">Rail Transport Round Trip Distance = </t>
  </si>
  <si>
    <t>Butanol from biorefinery to distribution point (Stage 1)</t>
  </si>
  <si>
    <t>Butanol from biorefinery to distribution point (Stage 2)</t>
  </si>
  <si>
    <t>Butanol from biorefinery to distribution point (Stage 3)</t>
  </si>
  <si>
    <t>tr_pl_dtb_1_truck_but</t>
  </si>
  <si>
    <t>tr_pl_dtb_1_mode_but</t>
  </si>
  <si>
    <t>tr_pl_dtb_1_km_but</t>
  </si>
  <si>
    <t>tr_pl_dtb_1_loss_but</t>
  </si>
  <si>
    <t>tr_pl_dtb_2_mode_but</t>
  </si>
  <si>
    <t>tr_pl_dtb_2_truck_but</t>
  </si>
  <si>
    <t>tr_pl_dtb_2_km_but</t>
  </si>
  <si>
    <t>tr_pl_dtb_2_loss_but</t>
  </si>
  <si>
    <t>tr_pl_dtb_3_truck_but</t>
  </si>
  <si>
    <t>tr_pl_dtb_3_mode_but</t>
  </si>
  <si>
    <t>tr_pl_dtb_3_km_but</t>
  </si>
  <si>
    <t>tr_pl_dtb_3_loss_but</t>
  </si>
  <si>
    <t>Default value for lorry size of 44 t GVW for butanol transport (stage 1) from biorefinery to distribution point.</t>
  </si>
  <si>
    <t xml:space="preserve">Default setting for butanol transport (stage 1) from biorefinery to distribution point of road transport. </t>
  </si>
  <si>
    <t>Default assumes no losses during butanol transport (stage 1) from biorefinery to distribution point.</t>
  </si>
  <si>
    <t>Default value for lorry size of 44 t GVW for butanol transport (stage 2) from biorefinery to distribution point.</t>
  </si>
  <si>
    <t xml:space="preserve">Default setting for butanol transport (stage 2) from biorefinery to distribution point of ship transport. </t>
  </si>
  <si>
    <t>Default assumes no losses during butanol transport (stage 2) from biorefinery to distribution point.</t>
  </si>
  <si>
    <t>Default value for lorry size of 44 t GVW for butanol transport (stage 3) from biorefinery to distribution point.</t>
  </si>
  <si>
    <t xml:space="preserve">Default setting for butanol transport (stage 3) from biorefinery to distribution point of rail transport. </t>
  </si>
  <si>
    <t>Default assumes no losses during butanol transport (stage 3) from biorefinery to distribution point.</t>
  </si>
  <si>
    <t>Bulk Freight Road Transport (ethanol from biorefinery to distribution point, stage 2)</t>
  </si>
  <si>
    <t>Bulk Freight Road Transport (ethanol from biorefinery to distribution point, stage 3)</t>
  </si>
  <si>
    <t>Annual Ethanol Output Capacity (t et/a)</t>
  </si>
  <si>
    <t>kWh/t et</t>
  </si>
  <si>
    <t>£/t et</t>
  </si>
  <si>
    <t>P7</t>
  </si>
  <si>
    <t>"Modelling of Carbon and Energy Budgets of Wood Fuel Coppice Systems ” by Matthews, R., Robinson, R., Abbott, S., and Fearis, N. (1994), Report ETSU B/ W5/ 00337/ REP, Energy Technology Support Unit, Harwell, UK.</t>
  </si>
  <si>
    <t>"Primary Energy and Greenhouse Gas Multipliers for Fuels and Electricity, United Kingdom, 2004" NF0614Energy0402.xls from the "Environmental Assessment Tool for Biomaterials" by North Energy Associates Ltd., Contract No. NF0614 for the Department for Environment, Food and Rural Affairs, London, United Kingdom, 2004.</t>
  </si>
  <si>
    <t>"Primary Energy and Greenhouse Gas Multipliers for Products and Services, United Kingdom, 2004" NF0614Stat0402.xlsfrom the "Environmental Assessment Tool for Biomaterials" by North Energy Associates Ltd., Contract No. NF0614 for the Department for Environment, Food and Rural Affairs, London, United Kingdom, 2004.</t>
  </si>
  <si>
    <t>T14</t>
  </si>
  <si>
    <t>Marine diesel consumption of an inland waterway barge (Ref. T8).</t>
  </si>
  <si>
    <t>Energy requirement for construction of an inland waterway barge assumed similar to a bulk carrier ship of deadweight of 22,000 tonnes (Ref. T6).</t>
  </si>
  <si>
    <t>Average maintenance contribution (Ref. T6).</t>
  </si>
  <si>
    <t xml:space="preserve">Primary energy multiplier of marine diesel for the United Kingdom in 2004 (Ref. T13). </t>
  </si>
  <si>
    <t xml:space="preserve">Carbon dioxide emissions factor of marine diesel for the United Kingdom in 2004 (Ref. T13). </t>
  </si>
  <si>
    <t>Carbon dioxide emissions for construction of an inland waterway barge assumed similar to a bulk carrier ship of deadweight of 22,000 tonnes (Refs. T6 and T7).</t>
  </si>
  <si>
    <t xml:space="preserve">Methane emissions factor of marine diesel for the United Kingdom in 2004 (Ref. T13). </t>
  </si>
  <si>
    <t>Methane emissions for construction of an inland waterway barge assumed similar to a bulk carrier ship of deadweight of 22,000 tonnes (Refs. T6 and T7).</t>
  </si>
  <si>
    <t xml:space="preserve">Nitrous oxide emissions factor of marine diesel for the United Kingdom in 2004 (Ref. T13). </t>
  </si>
  <si>
    <t>Nitrous oxide emissions for construction of an inland waterway barge assumed similar to a bulk carrier ship of deadweight of 22,000 tonnes (Refs. T6 and T7).</t>
  </si>
  <si>
    <t>Average maintenance contribution (Ref. T2).</t>
  </si>
  <si>
    <t>Gas oil consumption of bulk freight rail transport (Ref. T5).</t>
  </si>
  <si>
    <t>Primary energy input of capital equipment for bulk freight rail transport (Ref. T2).</t>
  </si>
  <si>
    <t xml:space="preserve">Primary energy multiplier of gas oil for the United Kingdom in 2004 (Ref. T13). </t>
  </si>
  <si>
    <t xml:space="preserve">Carbon dioxide emissions factor of gas oil for the United Kingdom in 2004 (Ref. T13). </t>
  </si>
  <si>
    <t>Nitrous oxide emissions of capital equipment for bulk freight rail transport (Ref. T2 and T4).</t>
  </si>
  <si>
    <t>Methane emissions of capital equipment for bulk freight rail transport (Ref. T2 and T4).</t>
  </si>
  <si>
    <t>Carbon dioxide emissions of capital equipment for bulk freight rail transport (Refs. T2 and T7).</t>
  </si>
  <si>
    <t>Marine diesel consumption of a large bulk carrier ship with a deadweight of 14,201 tonnes and a maximum speed of 11.2 knots (Refs. T5 and T6).</t>
  </si>
  <si>
    <t>Energy requirement for construction of a large bulk carrier with deadweight of 14,201 tonnes and maximum speed of 11.2 knots (Ref. T6).</t>
  </si>
  <si>
    <t>Carbon dioxide emissions for construction of a large bulk carrier with deadweight of 14,201 tonnes and maximum speed of 11.2 knots (Refs. T6 and T7).</t>
  </si>
  <si>
    <t>Methane emissions for construction of a large bulk carrier with deadweight of 14,201 tonnes and maximum speed of 11.2 knots (Refs. T6 and T7).</t>
  </si>
  <si>
    <t>Nitrous oxide emissions for construction of a large bulk carrier with deadweight of 14,201 tonnes and maximum speed of 11.2 knots (Refs. T4, T6 and T7).</t>
  </si>
  <si>
    <t>Direct methane emissions per MJ of energy in biomass (Ref. 9).</t>
  </si>
  <si>
    <t>Data on cost of natural gas-fired boiler based on £405777 for actual boiler, representing 30% of total cost of £1352590 (used to calculate value for the constant of 1900, using 2/3 power law)</t>
  </si>
  <si>
    <t>Average primary energy multiplier for "Machinery and Equipment", "Electrical machinery and apparatus", "Electricity production and distribution ", and "Construction" for the United Kingdom in 2004 (Ref. P4).</t>
  </si>
  <si>
    <t>Assuming plant decommissioning as a percentage of the primary energy input to plant construction (Ref. P5).</t>
  </si>
  <si>
    <t>Average carbon dioxide emissions factor for "Machinery and Equipment", "Electrical machinery and apparatus", "Electricity production and distribution ", and "Construction" for the United Kingdom in 2004 (Ref. P4).</t>
  </si>
  <si>
    <t>Assuming annual plant maintenance as a percentage of the carbon dioxide emissions from plant construction (Ref. P5).</t>
  </si>
  <si>
    <t>Assuming plant decommissioning as a percentage of the carbon dioxide emissions from plant construction (Ref. P5).</t>
  </si>
  <si>
    <t>Average methane emissions factor for "Machinery and Equipment", "Electrical machinery and apparatus", "Electricity production and distribution ", and "Construction" for the United Kingdom in 2004 (Ref. P4).</t>
  </si>
  <si>
    <t>Assuming annual plant maintenance as a percentage of the methane emissions from plant construction (Ref. P5).</t>
  </si>
  <si>
    <t>Assuming plant decommissioning as a percentage of the methane emissions from plant construction (Ref. P5).</t>
  </si>
  <si>
    <t>Average nitrous oxide emissions factor for "Machinery and Equipment", "Electrical machinery and apparatus", "Electricity production and distribution ", and "Construction" for the United Kingdom in 2004 (Ref. P4).</t>
  </si>
  <si>
    <t>Assuming annual plant maintenance as a percentage of the nitrous oxide emissions from plant construction (Ref. P5).</t>
  </si>
  <si>
    <t>Assuming plant decommissioning as a percentage of the nitrous oxide emissions from plant construction (Ref. P5).</t>
  </si>
  <si>
    <t>Data on cost of 10 MWe natural gas-fired CHP system based on £5.43m (used to calculate value for the constant of 11698, using 2/3 power law).</t>
  </si>
  <si>
    <t>CHP Electricity Output Rating (MW)</t>
  </si>
  <si>
    <t>Biomass</t>
  </si>
  <si>
    <t>Average primary energy multiplier for "Machinery and Equipment", "Electrical machinery and apparatus", "Electricity production and distribution ", and "Construction" for the United Kingdom in 2004 (Ref. P4)</t>
  </si>
  <si>
    <t>Average carbon dioxide emissions factor for "Machinery and Equipment", "Electrical machinery and apparatus", "Electricity production and distribution ", and "Construction" for the United Kingdom in 2004 (Ref. P4)</t>
  </si>
  <si>
    <t>Average methane emissions factor for "Machinery and Equipment", "Electrical machinery and apparatus", "Electricity production and distribution ", and "Construction" for the United Kingdom in 2004 (Ref. P4)</t>
  </si>
  <si>
    <t>Average nitrous oxide emissions factor for "Machinery and Equipment", "Electrical machinery and apparatus", "Electricity production and distribution ", and "Construction" for the United Kingdom in 2004 (Ref. P4)</t>
  </si>
  <si>
    <t>Assuming annual plant maintenance as a percentage of the primary energy input to plant construction (Ref. P5).</t>
  </si>
  <si>
    <t>Replacement Generation for Surplus Electrcity from Biorefinery CHP Unit</t>
  </si>
  <si>
    <t>Contribution of Biomass Consumption</t>
  </si>
  <si>
    <t>Assuming carbon dioxide emissions from combustion of biomass is carbon neutral.</t>
  </si>
  <si>
    <t>Electricity Aggregated Supply</t>
  </si>
  <si>
    <t>Electricity Generation from CHP</t>
  </si>
  <si>
    <t>Total Electricity with CHP and Imports (if any)</t>
  </si>
  <si>
    <t>Electricity Imports (if any) with CHP</t>
  </si>
  <si>
    <t>Proportion of Electricity Supply from CHP</t>
  </si>
  <si>
    <t>Proportion of Electricity Imports (if any) with CHP</t>
  </si>
  <si>
    <t>Electricity Imported Supply (if any)</t>
  </si>
  <si>
    <t>CHP and Imported (if any) Electricity Supply</t>
  </si>
  <si>
    <t>Primary energy multiplier for heat derived from "Energy Supply" worksheet.</t>
  </si>
  <si>
    <t>Carbon dioxide emissions factor for heat derived from "Energy Supply" worksheet.</t>
  </si>
  <si>
    <t>Carbon dioxide emissions factor for electricity derived from "Energy Supply" worksheet.</t>
  </si>
  <si>
    <t>Methane emissions factor for heat derived from "Energy Supply" worksheet.</t>
  </si>
  <si>
    <t>Methane emissions factor for electricity derived from "Energy Supply" worksheet.</t>
  </si>
  <si>
    <t>Nitrous oxide emissions factor for heat derived from "Energy Supply" worksheet.</t>
  </si>
  <si>
    <t>Nitrous oxide emissions factor for electricity derived from "Energy Supply" worksheet.</t>
  </si>
  <si>
    <t>Primary energy multiplier for electricity derived from "Energy Supply" worksheet.</t>
  </si>
  <si>
    <t>Unit heat input to fermentation specified in "Unit Flow Chart" worksheet.</t>
  </si>
  <si>
    <t>Unit electricity input to fermentation specified in "Unit Flow Chart" worksheet.</t>
  </si>
  <si>
    <t>Primary Energy Input (MJ/t et)</t>
  </si>
  <si>
    <t>Carbon Dioxide Emissions (kg CO2/t et)</t>
  </si>
  <si>
    <t>Methane emissions factor for heat derived from "Energy Supply" worksheet..</t>
  </si>
  <si>
    <t>Methane Emissions (kg CH4/t et)</t>
  </si>
  <si>
    <t>Nitrous Oxide Emissions (kg N2O/t et)</t>
  </si>
  <si>
    <t>Unit Heat Input to Fermentation (MJ/t et)</t>
  </si>
  <si>
    <t>Unit Electricity Input to Fermentation (kWh/t et)</t>
  </si>
  <si>
    <t>Waste Water Treatment (AD) in Biorefinery</t>
  </si>
  <si>
    <t>Unit Electricity Input to Waste Water Treatment (AD) (kWh/t et)</t>
  </si>
  <si>
    <t>Waste Water Treament (anaerobic digestion)</t>
  </si>
  <si>
    <t>Unit electricity input to waste water treatment (AD) specified in "Unit Flow Chart" worksheet.</t>
  </si>
  <si>
    <t>Unit Electricity Surplus (kWh/t et)</t>
  </si>
  <si>
    <t>Primary energy multiplier for electricity credit from "Energy Supply" worksheet.</t>
  </si>
  <si>
    <t>Carbon dioxide emissions factor for electricity credit from "Energy Supply" worksheet.</t>
  </si>
  <si>
    <t>Methane emissions factor for electricity credit from "Energy Supply" worksheet.</t>
  </si>
  <si>
    <t>Nitrous oxide emissions factor for electricity credit from "Energy Supply" worksheet.</t>
  </si>
  <si>
    <t>Nitrous Oxide Emissions (kg N2O/et)</t>
  </si>
  <si>
    <t>Net Calorific Value of Ethanol</t>
  </si>
  <si>
    <t>Net Calorific Value of Lignin (50% moisture content)</t>
  </si>
  <si>
    <t>CV_pen</t>
  </si>
  <si>
    <t>Default value for net calorific value of lignin (50% moisture content) of 12360 MJ/t (Ref. 57).</t>
  </si>
  <si>
    <t xml:space="preserve">Price of Lignin = </t>
  </si>
  <si>
    <t>Lignin (50% moisture content) Yield (not used as fuel)</t>
  </si>
  <si>
    <t>Lignin (50% moisture content) Net Calorific Value</t>
  </si>
  <si>
    <t xml:space="preserve">Default value for net calorific value of 7600 MJ/t for waste solids based on vinasses. </t>
  </si>
  <si>
    <t>Lignin (50% moisture content) - not used as fuel</t>
  </si>
  <si>
    <t>Default value for overall thermal efficiency of CHP Plant of 85%.</t>
  </si>
  <si>
    <t>RAIL TRANSPORT TO PLANT (Stage 1)</t>
  </si>
  <si>
    <t xml:space="preserve"> - Diesel Fuel</t>
  </si>
  <si>
    <t xml:space="preserve"> - Vehicle</t>
  </si>
  <si>
    <t xml:space="preserve"> - Vehicle </t>
  </si>
  <si>
    <t>SUB-TOTALS FOR ROAD TRANSPORT (Stage 1)</t>
  </si>
  <si>
    <t>SUB-TOTALS FOR RAIL TRANSPORT (Stage 1)</t>
  </si>
  <si>
    <t>SUB-TOTALS FOR ROAD TRANSPORT (Stage 2)</t>
  </si>
  <si>
    <t>SUB-TOTALS FOR TRANSPORT TO PLANT (Stage 2)</t>
  </si>
  <si>
    <t>BARGE TRANSPORT TO PLANT (Stage 1)</t>
  </si>
  <si>
    <t>SUB-TOTALS FOR BARGE TRANSPORT (Stage 1)</t>
  </si>
  <si>
    <t>SHIP TRANSPORT TO PLANT (Stage 1)</t>
  </si>
  <si>
    <t>SUB-TOTALS FOR SHIP TRANSPORT (Stage 1)</t>
  </si>
  <si>
    <t>Include Equipment and Machinery Manufacture?</t>
  </si>
  <si>
    <t>SUB-TOTALS FOR TRANSPORT TO PLANT (Stage 1)</t>
  </si>
  <si>
    <t>Transport to Plant (Stage 1)</t>
  </si>
  <si>
    <t>Transport to Plant (Stage 2)</t>
  </si>
  <si>
    <t>BIOREFINERY PLANT</t>
  </si>
  <si>
    <t>Biorefinery Plant</t>
  </si>
  <si>
    <t>RAIL TRANSPORT TO PLANT (Stage 2)</t>
  </si>
  <si>
    <t>SUB-TOTALS FOR RAIL TRANSPORT (Stage 2)</t>
  </si>
  <si>
    <t>BARGE TRANSPORT TO PLANT (Stage 2)</t>
  </si>
  <si>
    <t>SUB-TOTALS FOR BARGE TRANSPORT (Stage 2)</t>
  </si>
  <si>
    <t>SHIP TRANSPORT TO PLANT (Stage 2)</t>
  </si>
  <si>
    <t>SUB-TOTALS FOR SHIP TRANSPORT (Stage 2)</t>
  </si>
  <si>
    <t>CARBON DIOXIDE CREDIT</t>
  </si>
  <si>
    <t>Carbon Dioxide Recovered from Fermentation</t>
  </si>
  <si>
    <t>SUB-TOTALS FOR CARBON DIOXIDE CREDIT</t>
  </si>
  <si>
    <t>Option for Credit for Carbon Dioxide Recovery from Fermentation</t>
  </si>
  <si>
    <t>gas_credit</t>
  </si>
  <si>
    <t>Default carbon dioxide credit with the Renewable Energy Directive (but excluded if co-product allocation by economic value applied).</t>
  </si>
  <si>
    <t>Carbon Dioxide Recovered (Credit)</t>
  </si>
  <si>
    <t>Electricity Sales (Credit)</t>
  </si>
  <si>
    <t>Are Fermentation Gases Recovered?</t>
  </si>
  <si>
    <t>WASTE WATER TREATMENT (AD)</t>
  </si>
  <si>
    <t>ELECTRICITY SALES CREDIT</t>
  </si>
  <si>
    <t>Waste Water Treatment (AD)</t>
  </si>
  <si>
    <t>Transport to Distribution Point (Stage 1)</t>
  </si>
  <si>
    <t>Assuming allocation based on relative value of all outputs from biorefinery</t>
  </si>
  <si>
    <t>SUB-TOTALS FOR TRANSPORT TO DISTRIBUTION POINT (Stage 1)</t>
  </si>
  <si>
    <t>Transport to Distribution Point (Stage 2)</t>
  </si>
  <si>
    <t>Transport to Distribution Point (Stage 3)</t>
  </si>
  <si>
    <t xml:space="preserve">SUB-TOTALS FOR FERMENTATION </t>
  </si>
  <si>
    <t>SUB-TOTALS FOR WASTE WATER TREATMENT (AD)</t>
  </si>
  <si>
    <t>SUB-TOTALS FOR ELECTRICITY SALES CREDIT</t>
  </si>
  <si>
    <t xml:space="preserve">SUB-TOTALS FOR BIOREFINERY PLANT </t>
  </si>
  <si>
    <t>RAIL TRANSPORT TO DISTRIBUTION POINT (Stage 1)</t>
  </si>
  <si>
    <t>BARGE TRANSPORT TO DISTRIBUTION POINT (Stage 1)</t>
  </si>
  <si>
    <t>SHIP TRANSPORT TO DISTRIBUTION POINT (Stage 1)</t>
  </si>
  <si>
    <t>SUB-TOTALS FOR TRANSPORT TO DISTRIBUTION POINT (Stage 3)</t>
  </si>
  <si>
    <t>RAIL TRANSPORT TO DISTRIBUTION POINT (Stage 2)</t>
  </si>
  <si>
    <t>BARGE TRANSPORT TO DISTRIBUTION POINT (Stage 2)</t>
  </si>
  <si>
    <t>SHIP TRANSPORT TO DISTRIBUTION POINT (Stage 2)</t>
  </si>
  <si>
    <t>ROAD TRANSPORT TO DISTRIBUTION POINT (Stage 3)</t>
  </si>
  <si>
    <t>RAIL TRANSPORT TO DISTRIBUTION POINT (Stage 3)</t>
  </si>
  <si>
    <t>SUB-TOTALS FOR RAIL TRANSPORT (Stage 3)</t>
  </si>
  <si>
    <t>SUB-TOTALS FOR ROAD TRANSPORT (Stage 3)</t>
  </si>
  <si>
    <t>BARGE TRANSPORT TO DISTRIBUTION POINT (Stage 3)</t>
  </si>
  <si>
    <t>SUB-TOTALS FOR BARGE TRANSPORT (Stage 3)</t>
  </si>
  <si>
    <t>SHIP TRANSPORT TO DISTRIBUTION POINT (Stage 3)</t>
  </si>
  <si>
    <t>SUB-TOTALS FOR SHIP TRANSPORT (Stage 3)</t>
  </si>
  <si>
    <t>SUB-TOTALS FOR TRANSPORT TO DISTRIBUTION POINT (Stage 2)</t>
  </si>
  <si>
    <t>Primary Energy Inputs</t>
  </si>
  <si>
    <t>Yield (t/t et)</t>
  </si>
  <si>
    <t>Energy Content (MJ/t et)</t>
  </si>
  <si>
    <t>Average Price (£/t)</t>
  </si>
  <si>
    <t>Value £/t (et)</t>
  </si>
  <si>
    <t>Lignin (50% moisture content) Average Price</t>
  </si>
  <si>
    <t>Price of Lignin (50% moisture content)</t>
  </si>
  <si>
    <t>price_ln</t>
  </si>
  <si>
    <t>price_pen</t>
  </si>
  <si>
    <t>"Forest Biorefineries: Current Status and Outlook" by L. Ketemäki, IUFRO Division VI Symposium, Saariselikä, Finland, 14 - 20 August 2007.</t>
  </si>
  <si>
    <t>"Energy Value of Foods: Basis and Derivation" by A. L. Merrill and B. H. Watt, Agricultural Handbook No. 74, Agricultural Research Service, United States Department of Agriculture, Washington DC, United States of America, February 1973.</t>
  </si>
  <si>
    <t xml:space="preserve">Default value assumed to be £ 50 per tonne of lignin (50% moisture content) based on a price of € 150 per tonne of lignin (dry) and an exchange rate of € 1.488  per £ (Ref. 5). </t>
  </si>
  <si>
    <t>Price of Pentose Liquor (91% moisture content)</t>
  </si>
  <si>
    <t>Net Calorific Value of Pentose Liquor (91% moisture content)</t>
  </si>
  <si>
    <t xml:space="preserve">Default value assumed to be £ 19 per tonne of pentose liquor (91% moisture content) based on a price of € 310 per tonne of sucrose (dry) and an exchange rate of € 1.481  per £ (Ref. 6). </t>
  </si>
  <si>
    <t>"Production of Surfactants from Cereal Co-Products by Green Chemistry" by B.Estrine, ARD, Renewable Resources and Biorefineries Conference, Gent, Belgium, 19 - 21 September 2005.</t>
  </si>
  <si>
    <t>Yield t/t et</t>
  </si>
  <si>
    <t>Carbon Dioxide Yield</t>
  </si>
  <si>
    <t>Substitution Credit for Lignin (50% moisture content)</t>
  </si>
  <si>
    <t>sub_cred_ln</t>
  </si>
  <si>
    <t>ASC5</t>
  </si>
  <si>
    <t xml:space="preserve">"Analysis of the Greenhouse Gas Emissions for Thermochemical BioSNG Production and Use in the United Kingdom" by N. D. Mortimer, A. K. F. Evans, O. Mwabonje, C. L. Whittaker and A. J. Hunter, North Energy Associates Ltd., Report NNFCC 10-009 for the National Non-Food Crops Centre, funded by the Department of Energy and Climate Change, London, United Kingdom, June 2009. </t>
  </si>
  <si>
    <t>ASC6</t>
  </si>
  <si>
    <t>"Ecoprofiles for the European Plastics Industry: Phenol" by I. Boustead, PlasticsEurope, Brussels, Belgium, March 2005.</t>
  </si>
  <si>
    <t xml:space="preserve">Substitution Credit for Lignin = </t>
  </si>
  <si>
    <t xml:space="preserve">Substitution Credit for Pentose Liquor = </t>
  </si>
  <si>
    <t>Substitution Credit for Pentose Liquor (91% moisture content)</t>
  </si>
  <si>
    <t>sub_cred_pen</t>
  </si>
  <si>
    <t>"Ecoprofiles for the European Plastics Industry: Reformer Hydrogen" by I. Boustead, PlasticsEurope, Brussels, Belgium, March 2005.</t>
  </si>
  <si>
    <t>"Ecoprofiles for the European Plastics Industry: Acetone" by  I. Boustead, PlasticsEurope, Brussels, Belgium, March 2005.</t>
  </si>
  <si>
    <t>ASC7</t>
  </si>
  <si>
    <t>ASC8</t>
  </si>
  <si>
    <t>"RSB GHG Calculation Methodology: Ecoinvent Database" Roundtable on Sustainable Biofuels, RSB-STD-01-003-01 (Version 2.0), Lausanne, Switzerland, 2011.</t>
  </si>
  <si>
    <t xml:space="preserve">"The Product Carbon Footprint of EU Sugar Beet: Summary of Key Findings" by I. Klenk, B. Landquist and O. Ruiz de Imana, Sugar Industry Journal, Issue 137 (62), March - April 2012. </t>
  </si>
  <si>
    <r>
      <t>kg eq. CO</t>
    </r>
    <r>
      <rPr>
        <vertAlign val="subscript"/>
        <sz val="10"/>
        <rFont val="Arial"/>
        <family val="2"/>
      </rPr>
      <t>2</t>
    </r>
    <r>
      <rPr>
        <sz val="10"/>
        <rFont val="Arial"/>
        <family val="2"/>
      </rPr>
      <t>/t</t>
    </r>
  </si>
  <si>
    <r>
      <t>Substitution Credit (kg eq. CO</t>
    </r>
    <r>
      <rPr>
        <b/>
        <vertAlign val="subscript"/>
        <sz val="10"/>
        <rFont val="Arial"/>
        <family val="2"/>
      </rPr>
      <t>2</t>
    </r>
    <r>
      <rPr>
        <b/>
        <sz val="10"/>
        <rFont val="Arial"/>
        <family val="2"/>
      </rPr>
      <t xml:space="preserve">/t) </t>
    </r>
  </si>
  <si>
    <r>
      <t>Value (kg eq. CO</t>
    </r>
    <r>
      <rPr>
        <b/>
        <vertAlign val="subscript"/>
        <sz val="10"/>
        <rFont val="Arial"/>
        <family val="2"/>
      </rPr>
      <t>2</t>
    </r>
    <r>
      <rPr>
        <b/>
        <sz val="10"/>
        <rFont val="Arial"/>
        <family val="2"/>
      </rPr>
      <t>/t et)</t>
    </r>
  </si>
  <si>
    <t>Lignin (50% moisture content) Substitution Credit</t>
  </si>
  <si>
    <t>Lignin (50% moisture content)</t>
  </si>
  <si>
    <t>Pentose Liquor (91% moisture content)</t>
  </si>
  <si>
    <t>Pentose Liquor (91% moisture content) Yield</t>
  </si>
  <si>
    <t>Pentose Liquor (91% moisture content) Substitution Credit</t>
  </si>
  <si>
    <t>Pentose Liquor (91% moisture content) Net Calorific Value</t>
  </si>
  <si>
    <t>Pentose Liquor (91% moisture content) Average Price</t>
  </si>
  <si>
    <t>Carbon Dioxide Substitution Credit</t>
  </si>
  <si>
    <t>CO-PRODUCT SUBSTITUTION CREDITS</t>
  </si>
  <si>
    <t>SUB-TOTALS FOR CO-PRODUCT SUBSTITUTION CREDITS</t>
  </si>
  <si>
    <t>Co-Product Substitution Credits</t>
  </si>
  <si>
    <t>Not Relevant</t>
  </si>
  <si>
    <t>SUSTAINABLE LIQUID BIOFUELS FROM BIOMASS BIOREFINING (SUNLIBB) PROJECT</t>
  </si>
  <si>
    <r>
      <rPr>
        <b/>
        <sz val="10"/>
        <rFont val="Arial"/>
        <family val="2"/>
      </rPr>
      <t>Project No:</t>
    </r>
    <r>
      <rPr>
        <sz val="10"/>
        <rFont val="Arial"/>
        <family val="2"/>
      </rPr>
      <t xml:space="preserve"> 251132</t>
    </r>
  </si>
  <si>
    <r>
      <t>Work Package:</t>
    </r>
    <r>
      <rPr>
        <sz val="10"/>
        <rFont val="Arial"/>
        <family val="2"/>
      </rPr>
      <t xml:space="preserve">  8  - Sustainability Assessment</t>
    </r>
  </si>
  <si>
    <r>
      <t>Partner:</t>
    </r>
    <r>
      <rPr>
        <sz val="10"/>
        <rFont val="Arial"/>
        <family val="2"/>
      </rPr>
      <t xml:space="preserve">  7 - North Energy Associates Ltd</t>
    </r>
  </si>
  <si>
    <t>Acknowledgements</t>
  </si>
  <si>
    <t>Instructions</t>
  </si>
  <si>
    <t>Version Control Notes</t>
  </si>
  <si>
    <t>This work was performed by North Energy Associates Ltd with funding support from the Directorate General for Energy of the European Commission as part of the 7th Framework Programme.</t>
  </si>
  <si>
    <t>Relevant values for specified data are entered in Column F of the Input worksheet.  This is currently populated with default values.</t>
  </si>
  <si>
    <t xml:space="preserve">Basic calculations are performed automatically in the individual specified process stage worksheets which contain notes on the details of these calculations, their assumptions and sources which are documented in the Reference worksheet. </t>
  </si>
  <si>
    <t>The main results are presented in the Summary worksheets which reflect the application of calculation methodologies based on co-product allocation by energy content (consistent with the European Commission's Renewable Energy Directive), by price/economic value (consistent with the British Standards Institution's PAS 2050), by mass and by substitution credits (for overall policy analysis by means of consequential life cycle assessment).</t>
  </si>
  <si>
    <t>Cultivation and harvesting</t>
  </si>
  <si>
    <t>n_fert</t>
  </si>
  <si>
    <t>ref_sys</t>
  </si>
  <si>
    <t>include_machinery</t>
  </si>
  <si>
    <t>Default value for substitution credit for pentose liquor (91% moisture content) of 63.1 kg eq. CO2/t based on displacement of sugar derived from sugar cane (Ref. ASC7).</t>
  </si>
  <si>
    <t>1 hectare of land</t>
  </si>
  <si>
    <t>United Kingdom</t>
  </si>
  <si>
    <t>hr/ha.a</t>
  </si>
  <si>
    <t xml:space="preserve"> - ploughing</t>
  </si>
  <si>
    <t xml:space="preserve"> - N Fertiliser</t>
  </si>
  <si>
    <t xml:space="preserve"> - P Fertiliser</t>
  </si>
  <si>
    <t>kg P2O5/ha.a</t>
  </si>
  <si>
    <t xml:space="preserve"> - K Fertiliser</t>
  </si>
  <si>
    <t>kg K2O/ha.a</t>
  </si>
  <si>
    <t>MJ/kg CaO</t>
  </si>
  <si>
    <t>Yes = 1, No = 1</t>
  </si>
  <si>
    <t>Cultivation References</t>
  </si>
  <si>
    <t>C1</t>
  </si>
  <si>
    <t>"GREET Model Miscanthus Parameter Development", Zhichao Wang, Jennifer B. Dunn and Michael Q. Wang, Centre for Transportation Research, Argonne National Laboratory, May 2012</t>
  </si>
  <si>
    <t>MJ/litre</t>
  </si>
  <si>
    <t>ncv_diesel</t>
  </si>
  <si>
    <t>Nitrogen Fertiliser Type</t>
  </si>
  <si>
    <t>Ammonium Nitrate, Ammonium Sulphate, Calcium Ammonium Nitrate or Urea</t>
  </si>
  <si>
    <t>Urea</t>
  </si>
  <si>
    <t>Ammonium Sulphate</t>
  </si>
  <si>
    <t>Calcium Ammonium Nitrate</t>
  </si>
  <si>
    <t>Ammonium Nitrate</t>
  </si>
  <si>
    <t>Phosphate Fertiliser Type</t>
  </si>
  <si>
    <t>Monoammonium Phosphate, Diammonium Phosphate, Single Superphosphate, Triple Superphosphate or Phosphate Rock</t>
  </si>
  <si>
    <t>p_fert_type</t>
  </si>
  <si>
    <t>Monoammonium Phosphate</t>
  </si>
  <si>
    <t>Diammonium Phosphate</t>
  </si>
  <si>
    <t>Single Superphosphate</t>
  </si>
  <si>
    <t>Triple Superphosphate</t>
  </si>
  <si>
    <t>Ammonium Nitrate Manufacture Emissions Factor Source</t>
  </si>
  <si>
    <t>EFMA European Union 2006 or EFMA European Union BAT</t>
  </si>
  <si>
    <t>an_source</t>
  </si>
  <si>
    <t>EFMA European Union, 2006</t>
  </si>
  <si>
    <t>Default is "EFMA European Union, 2006".</t>
  </si>
  <si>
    <t>Ammonium Sulphate Manufacture Emissions Factor Source</t>
  </si>
  <si>
    <t>IFS European Average 2002 or IFS Modern Technology</t>
  </si>
  <si>
    <t>as_source</t>
  </si>
  <si>
    <t>IFS European Average, 2002</t>
  </si>
  <si>
    <t>Default is "IFS European Average, 2002".</t>
  </si>
  <si>
    <t>Calcium Ammonium Nitrate Manufacture Emissions Factor Source</t>
  </si>
  <si>
    <t>can_source</t>
  </si>
  <si>
    <t>Urea Manufacture Emissions Factor Source</t>
  </si>
  <si>
    <t>ur_source</t>
  </si>
  <si>
    <t>Options for Source of Ammonium Nitrate Manufacture Emissions Factor</t>
  </si>
  <si>
    <t>Options for Source of Ammonium Sulphate Manufacture Emissions Factor</t>
  </si>
  <si>
    <t>EFMA European Union, BAT</t>
  </si>
  <si>
    <t>Options for Source of Calcium Ammonium Nitrate Manufacture Emissions Factor</t>
  </si>
  <si>
    <t>IFS Modern Technology</t>
  </si>
  <si>
    <t>Options for Source of Urea Manufacture Emissions Factor</t>
  </si>
  <si>
    <t>ploughing</t>
  </si>
  <si>
    <t>C2</t>
  </si>
  <si>
    <t>"Predicting Tractor Diesel Consumption", Robert Grisso, John V. Perumpral, David Vaughan, Gary T. Roberson and Robert Pitman, College of Agriculture and Life Sciences, Virginia Polytechnic Institute and State University, 2010</t>
  </si>
  <si>
    <t>Muriate of potash fertiliser</t>
  </si>
  <si>
    <r>
      <t>1 kilogram of K</t>
    </r>
    <r>
      <rPr>
        <vertAlign val="subscript"/>
        <sz val="10"/>
        <rFont val="Arial"/>
        <family val="2"/>
      </rPr>
      <t>2</t>
    </r>
    <r>
      <rPr>
        <sz val="10"/>
        <rFont val="Arial"/>
        <family val="2"/>
      </rPr>
      <t>O</t>
    </r>
    <r>
      <rPr>
        <sz val="10"/>
        <rFont val="Arial"/>
        <family val="2"/>
      </rPr>
      <t xml:space="preserve"> in fertiliser</t>
    </r>
  </si>
  <si>
    <t>K fertiliser emissions factor source</t>
  </si>
  <si>
    <t>K Fertiliser</t>
  </si>
  <si>
    <t>Muriate of Potash (MOP)</t>
  </si>
  <si>
    <t xml:space="preserve"> - NNFCC United Kingdom, 1996</t>
  </si>
  <si>
    <r>
      <t>MJ/kg K</t>
    </r>
    <r>
      <rPr>
        <vertAlign val="subscript"/>
        <sz val="10"/>
        <rFont val="Arial"/>
        <family val="2"/>
      </rPr>
      <t>2</t>
    </r>
    <r>
      <rPr>
        <sz val="10"/>
        <rFont val="Arial"/>
        <family val="2"/>
      </rPr>
      <t>O</t>
    </r>
  </si>
  <si>
    <t>Primary energy multiplier for muriate of potash fertiliser, United Kingdom, 1996 (Ref. C3).</t>
  </si>
  <si>
    <r>
      <t>kg CO</t>
    </r>
    <r>
      <rPr>
        <vertAlign val="subscript"/>
        <sz val="10"/>
        <rFont val="Arial"/>
        <family val="2"/>
      </rPr>
      <t>2</t>
    </r>
    <r>
      <rPr>
        <sz val="10"/>
        <rFont val="Arial"/>
        <family val="2"/>
      </rPr>
      <t>/kg K</t>
    </r>
    <r>
      <rPr>
        <vertAlign val="subscript"/>
        <sz val="10"/>
        <rFont val="Arial"/>
        <family val="2"/>
      </rPr>
      <t>2</t>
    </r>
    <r>
      <rPr>
        <sz val="10"/>
        <rFont val="Arial"/>
        <family val="2"/>
      </rPr>
      <t>O</t>
    </r>
  </si>
  <si>
    <t>Carbon dioxide emissions factor for muriate of potash fertiliser, United Kingdom, 1996 (Ref. C3).</t>
  </si>
  <si>
    <r>
      <t>kg CH</t>
    </r>
    <r>
      <rPr>
        <vertAlign val="subscript"/>
        <sz val="10"/>
        <rFont val="Arial"/>
        <family val="2"/>
      </rPr>
      <t>4</t>
    </r>
    <r>
      <rPr>
        <sz val="10"/>
        <rFont val="Arial"/>
        <family val="2"/>
      </rPr>
      <t>/kg K</t>
    </r>
    <r>
      <rPr>
        <vertAlign val="subscript"/>
        <sz val="10"/>
        <rFont val="Arial"/>
        <family val="2"/>
      </rPr>
      <t>2</t>
    </r>
    <r>
      <rPr>
        <sz val="10"/>
        <rFont val="Arial"/>
        <family val="2"/>
      </rPr>
      <t>O</t>
    </r>
  </si>
  <si>
    <t>Methane emissions factor for muriate of potash fertiliser, United Kingdom, 1996 (Ref. C3).</t>
  </si>
  <si>
    <r>
      <t>kg N</t>
    </r>
    <r>
      <rPr>
        <vertAlign val="subscript"/>
        <sz val="10"/>
        <rFont val="Arial"/>
        <family val="2"/>
      </rPr>
      <t>2</t>
    </r>
    <r>
      <rPr>
        <sz val="10"/>
        <rFont val="Arial"/>
        <family val="2"/>
      </rPr>
      <t>O/kg K</t>
    </r>
    <r>
      <rPr>
        <vertAlign val="subscript"/>
        <sz val="10"/>
        <rFont val="Arial"/>
        <family val="2"/>
      </rPr>
      <t>2</t>
    </r>
    <r>
      <rPr>
        <sz val="10"/>
        <rFont val="Arial"/>
        <family val="2"/>
      </rPr>
      <t>O</t>
    </r>
  </si>
  <si>
    <t>Nitrous oxide emissions factor for muriate of potash fertiliser, United Kingdom, 1996 (Ref. C3).</t>
  </si>
  <si>
    <t xml:space="preserve"> - CT Database United Kingdom, 1996</t>
  </si>
  <si>
    <t>Earlier version of primary energy multiplier for muriate of potash fertiliser, United Kingdom, 1996 (Ref. C24).</t>
  </si>
  <si>
    <t>Earlier version of carbon dioxide emissions factor for muriate of potash fertiliser, United Kingdom, 1996 (Ref. C24).</t>
  </si>
  <si>
    <t>Earlier version of methane emissions factor for muriate of potash fertiliser, United Kingdom, 1996 (Ref. C24).</t>
  </si>
  <si>
    <t>Earlier version of nitrous oxide emissions factor for muriate of potash fertiliser, United Kingdom, 1996 (Ref. C24).</t>
  </si>
  <si>
    <t xml:space="preserve"> - BIOGRACE EC Database</t>
  </si>
  <si>
    <t>Primary energy multiplier for K fertiliser (Ref. C20).</t>
  </si>
  <si>
    <t>Carbon dioxide emissions factor for K fertiliser (Ref. C20).</t>
  </si>
  <si>
    <t>Methane emissions factor for K fertiliser (Ref. C20).</t>
  </si>
  <si>
    <t>Nitrous oxide emissions factor for K fertiliser (Ref. C20).</t>
  </si>
  <si>
    <t>Primary energy multiplier for muriate of potash fertiliser, European Union average, 2006 (Ref. C18, Page 21).</t>
  </si>
  <si>
    <t>Carbon dioxide emissions factor for muriate of potash fertiliser, European Union average, 2006 (Ref. C18, Page 21).</t>
  </si>
  <si>
    <r>
      <t>Methane emissions factor of muriate of potash fertiliser, European Union average, 2006, based on "other GHG emissions" of 0.01 kg eq. CO</t>
    </r>
    <r>
      <rPr>
        <vertAlign val="subscript"/>
        <sz val="10"/>
        <rFont val="Arial"/>
        <family val="2"/>
      </rPr>
      <t>2</t>
    </r>
    <r>
      <rPr>
        <sz val="10"/>
        <rFont val="Arial"/>
        <family val="2"/>
      </rPr>
      <t>/kg K2O</t>
    </r>
    <r>
      <rPr>
        <sz val="10"/>
        <rFont val="Arial"/>
        <family val="2"/>
      </rPr>
      <t xml:space="preserve"> (Ref. C18, Page 21), assumed to be all methane converted with a Global Warming Potential of 23 kg eq. CO</t>
    </r>
    <r>
      <rPr>
        <vertAlign val="subscript"/>
        <sz val="10"/>
        <rFont val="Arial"/>
        <family val="2"/>
      </rPr>
      <t/>
    </r>
  </si>
  <si>
    <r>
      <t>Nitrous oxide emissions factor of muriate of potash fertiliser, European Union average, 2006, based on "nitrous oxide" of 0 kg eq. CO</t>
    </r>
    <r>
      <rPr>
        <vertAlign val="subscript"/>
        <sz val="10"/>
        <rFont val="Arial"/>
        <family val="2"/>
      </rPr>
      <t>2</t>
    </r>
    <r>
      <rPr>
        <sz val="10"/>
        <rFont val="Arial"/>
        <family val="2"/>
      </rPr>
      <t>/kg K2O</t>
    </r>
    <r>
      <rPr>
        <sz val="10"/>
        <rFont val="Arial"/>
        <family val="2"/>
      </rPr>
      <t xml:space="preserve"> (Ref. C18, Page 21)</t>
    </r>
    <r>
      <rPr>
        <sz val="10"/>
        <rFont val="Arial"/>
        <family val="2"/>
      </rPr>
      <t>.</t>
    </r>
  </si>
  <si>
    <t>Value for Specified K fertiliser</t>
  </si>
  <si>
    <r>
      <t>kg CO</t>
    </r>
    <r>
      <rPr>
        <vertAlign val="subscript"/>
        <sz val="10"/>
        <rFont val="Arial"/>
        <family val="2"/>
      </rPr>
      <t>2</t>
    </r>
    <r>
      <rPr>
        <sz val="10"/>
        <rFont val="Arial"/>
        <family val="2"/>
      </rPr>
      <t>/kg CaCO</t>
    </r>
    <r>
      <rPr>
        <vertAlign val="subscript"/>
        <sz val="10"/>
        <rFont val="Arial"/>
        <family val="2"/>
      </rPr>
      <t>3</t>
    </r>
  </si>
  <si>
    <r>
      <t>kg CH</t>
    </r>
    <r>
      <rPr>
        <vertAlign val="subscript"/>
        <sz val="10"/>
        <rFont val="Arial"/>
        <family val="2"/>
      </rPr>
      <t>4</t>
    </r>
    <r>
      <rPr>
        <sz val="10"/>
        <rFont val="Arial"/>
        <family val="2"/>
      </rPr>
      <t>/kg CaCO</t>
    </r>
    <r>
      <rPr>
        <vertAlign val="subscript"/>
        <sz val="10"/>
        <rFont val="Arial"/>
        <family val="2"/>
      </rPr>
      <t>3</t>
    </r>
  </si>
  <si>
    <r>
      <t>kg N</t>
    </r>
    <r>
      <rPr>
        <vertAlign val="subscript"/>
        <sz val="10"/>
        <rFont val="Arial"/>
        <family val="2"/>
      </rPr>
      <t>2</t>
    </r>
    <r>
      <rPr>
        <sz val="10"/>
        <rFont val="Arial"/>
        <family val="2"/>
      </rPr>
      <t>O/kg CaCO</t>
    </r>
    <r>
      <rPr>
        <vertAlign val="subscript"/>
        <sz val="10"/>
        <rFont val="Arial"/>
        <family val="2"/>
      </rPr>
      <t>3</t>
    </r>
  </si>
  <si>
    <t>Ground limestone</t>
  </si>
  <si>
    <t>Source of Lime Emissions Factor</t>
  </si>
  <si>
    <t>Lime</t>
  </si>
  <si>
    <r>
      <t>MJ/kg CaC</t>
    </r>
    <r>
      <rPr>
        <sz val="10"/>
        <rFont val="Arial"/>
        <family val="2"/>
      </rPr>
      <t>O</t>
    </r>
    <r>
      <rPr>
        <vertAlign val="subscript"/>
        <sz val="10"/>
        <rFont val="Arial"/>
        <family val="2"/>
      </rPr>
      <t>3</t>
    </r>
  </si>
  <si>
    <t>Primary energy multiplier for ground limestone, United Kingdom, 1996 (Ref. C16).</t>
  </si>
  <si>
    <t>Carbon dioxide emissions factor for ground limestone, United Kingdom, 1996 (Ref. C16).</t>
  </si>
  <si>
    <t>Methane emissions factor for ground limestone, United Kingdom, 1996 (Ref. C16).</t>
  </si>
  <si>
    <t>Nitrous oxide emissions factor for ground limestone, United Kingdom, 1996 (Ref. C16).</t>
  </si>
  <si>
    <t>Earlier version of carbon dioxide emissions factor for ground limestone, United Kingdom, 1996 (Ref. C25).</t>
  </si>
  <si>
    <t>Earlier version of methane emissions factor for ground limestone, United Kingdom, 1996 (Ref. C25).</t>
  </si>
  <si>
    <t>Earlier version of nitrous oxide emissions factor for ground limestone, United Kingdom, 1996 (Ref. C25).</t>
  </si>
  <si>
    <t>Primary energy multiplier for CaO fertiliser (Ref. C20).</t>
  </si>
  <si>
    <t>Carbon dioxide emissions factor for CaO fertiliser (Ref. C20).</t>
  </si>
  <si>
    <t>Methane emissions factor for CaO fertiliser (Ref. C20).</t>
  </si>
  <si>
    <t>Nitrous oxide emissions factor for CaO fertiliser (Ref. C20).</t>
  </si>
  <si>
    <t>Value for Specified Lime</t>
  </si>
  <si>
    <t>Potassium Fertiliser Type</t>
  </si>
  <si>
    <t>k_fert_source</t>
  </si>
  <si>
    <t>Private communications with Editor of Commercial Motor, 2005.</t>
  </si>
  <si>
    <t>T15</t>
  </si>
  <si>
    <t>Average diesel fuel consumption rate of bulk freight road transport (Ref. T15) with range based on 95% confidence limit of United Kingdom statistics (Ref.T5)</t>
  </si>
  <si>
    <t>44/40 t GVW</t>
  </si>
  <si>
    <t xml:space="preserve">EU - 27 emissions factor generated from www.iea.org/stats/balancetable.asp) </t>
  </si>
  <si>
    <t>kgCO2/kWh</t>
  </si>
  <si>
    <t>kgCH4/kWh</t>
  </si>
  <si>
    <t>kgN2O/kWh</t>
  </si>
  <si>
    <t>NNFCC United Kingdom, 1996, CT Database United Kingdom, 1996, BIOGRACE EC Database, EFMA European Union, 2006</t>
  </si>
  <si>
    <t xml:space="preserve">NNFCC United Kingdom, 1996, CT Database United Kingdom, 1996, BIOGRACE EC Database, </t>
  </si>
  <si>
    <t>lime_fert_source</t>
  </si>
  <si>
    <t>Default setting is "Biograce EC Database".</t>
  </si>
  <si>
    <r>
      <t>kg CO</t>
    </r>
    <r>
      <rPr>
        <vertAlign val="subscript"/>
        <sz val="10"/>
        <rFont val="Arial"/>
        <family val="2"/>
      </rPr>
      <t>2</t>
    </r>
    <r>
      <rPr>
        <sz val="10"/>
        <rFont val="Arial"/>
        <family val="2"/>
      </rPr>
      <t>/kg lime</t>
    </r>
  </si>
  <si>
    <t>Default value assumes distribution within Europe mainland, therefore 0km.</t>
  </si>
  <si>
    <t>Hexoses liquor</t>
  </si>
  <si>
    <t xml:space="preserve">Net Calorific Value of Hexoses Liquor = </t>
  </si>
  <si>
    <t xml:space="preserve">Price of Hexoses Liquor = </t>
  </si>
  <si>
    <t>Net Calorific Value of Hexoses liquor (91% moisture content)</t>
  </si>
  <si>
    <t>CV_hx</t>
  </si>
  <si>
    <t xml:space="preserve">Default value assumed to be £ 19 per tonne of hexose liquor (91% moisture content) based on a price of € 310 per tonne of sucrose (dry) and an exchange rate of € 1.481  per £ (Ref. 6). </t>
  </si>
  <si>
    <t>price_hx</t>
  </si>
  <si>
    <t>Price of Hexoses Liquor (91% moisture content)</t>
  </si>
  <si>
    <t>Default value for net calorific value of pentose liquor (91% moisture content) of 1519 MJ/t based on net calorific value of pentose of 16880 MJ/t (Ref. 4).</t>
  </si>
  <si>
    <t>Default value for net calorific value of hexoses liquor (91% moisture content) of 1488 MJ/t based on net calorific value of sugar of 16537 MJ/t (Ref. 4).</t>
  </si>
  <si>
    <t>CaO</t>
  </si>
  <si>
    <t>NNFCC United Kingdom, 1996</t>
  </si>
  <si>
    <t>CT Database United Kingdom, 1996</t>
  </si>
  <si>
    <t>BIOGRACE EC Database</t>
  </si>
  <si>
    <r>
      <t>kg CO</t>
    </r>
    <r>
      <rPr>
        <vertAlign val="subscript"/>
        <sz val="10"/>
        <rFont val="Arial"/>
        <family val="2"/>
      </rPr>
      <t>2</t>
    </r>
    <r>
      <rPr>
        <sz val="10"/>
        <rFont val="Arial"/>
        <family val="2"/>
      </rPr>
      <t>/kg CaO</t>
    </r>
    <r>
      <rPr>
        <sz val="10"/>
        <color theme="1"/>
        <rFont val="Trebuchet MS"/>
        <family val="2"/>
      </rPr>
      <t/>
    </r>
  </si>
  <si>
    <r>
      <t>kg CH</t>
    </r>
    <r>
      <rPr>
        <vertAlign val="subscript"/>
        <sz val="10"/>
        <rFont val="Arial"/>
        <family val="2"/>
      </rPr>
      <t>4</t>
    </r>
    <r>
      <rPr>
        <sz val="10"/>
        <rFont val="Arial"/>
        <family val="2"/>
      </rPr>
      <t>/kg CaO</t>
    </r>
    <r>
      <rPr>
        <sz val="10"/>
        <color theme="1"/>
        <rFont val="Trebuchet MS"/>
        <family val="2"/>
      </rPr>
      <t/>
    </r>
  </si>
  <si>
    <r>
      <t>kg N</t>
    </r>
    <r>
      <rPr>
        <vertAlign val="subscript"/>
        <sz val="10"/>
        <rFont val="Arial"/>
        <family val="2"/>
      </rPr>
      <t>2</t>
    </r>
    <r>
      <rPr>
        <sz val="10"/>
        <rFont val="Arial"/>
        <family val="2"/>
      </rPr>
      <t>O/kg CaO</t>
    </r>
    <r>
      <rPr>
        <sz val="10"/>
        <color theme="1"/>
        <rFont val="Trebuchet MS"/>
        <family val="2"/>
      </rPr>
      <t/>
    </r>
  </si>
  <si>
    <t>C20</t>
  </si>
  <si>
    <t>MJ/kg mineral (CaCO3 or CaO as in B8)</t>
  </si>
  <si>
    <t>Type of lime</t>
  </si>
  <si>
    <t>lime_type</t>
  </si>
  <si>
    <t>C23</t>
  </si>
  <si>
    <t>C24</t>
  </si>
  <si>
    <t>C18</t>
  </si>
  <si>
    <t>C16</t>
  </si>
  <si>
    <t>Lime spreadsheet; NF0614Limet02.xls from the "Environmental Assessment Tool for Biomaterials" by North Energy Associates Ltd., Contract No. NF0614 for the Department for Environment, Food and Rural Affairs, London, United Kingdom, 2009.</t>
  </si>
  <si>
    <t>Earlier version of primary energy multiplier for ground limestine, United Kingdom, 1996 (Ref. C16).</t>
  </si>
  <si>
    <t>C3</t>
  </si>
  <si>
    <t>Potash spreadsheet; NF0614KFert02.xls from the "Environmental Assessment Tool for Biomaterials" by North Energy Associates Ltd., Contract No. NF0614 for the Department for Environment, Food and Rural Affairs, London, United Kingdom, 2009.</t>
  </si>
  <si>
    <t>C21</t>
  </si>
  <si>
    <t>C22</t>
  </si>
  <si>
    <t>C14</t>
  </si>
  <si>
    <r>
      <t>kg CO</t>
    </r>
    <r>
      <rPr>
        <vertAlign val="subscript"/>
        <sz val="10"/>
        <rFont val="Arial"/>
        <family val="2"/>
      </rPr>
      <t>2</t>
    </r>
    <r>
      <rPr>
        <sz val="10"/>
        <rFont val="Arial"/>
        <family val="2"/>
      </rPr>
      <t>/kg mineral</t>
    </r>
  </si>
  <si>
    <r>
      <t>kg CH</t>
    </r>
    <r>
      <rPr>
        <vertAlign val="subscript"/>
        <sz val="10"/>
        <rFont val="Arial"/>
        <family val="2"/>
      </rPr>
      <t>4</t>
    </r>
    <r>
      <rPr>
        <sz val="10"/>
        <rFont val="Arial"/>
        <family val="2"/>
      </rPr>
      <t>/kg mineral</t>
    </r>
  </si>
  <si>
    <r>
      <t>kg N</t>
    </r>
    <r>
      <rPr>
        <vertAlign val="subscript"/>
        <sz val="10"/>
        <rFont val="Arial"/>
        <family val="2"/>
      </rPr>
      <t>2</t>
    </r>
    <r>
      <rPr>
        <sz val="10"/>
        <rFont val="Arial"/>
        <family val="2"/>
      </rPr>
      <t>O/kg mineral</t>
    </r>
  </si>
  <si>
    <t>Europe</t>
  </si>
  <si>
    <r>
      <t>1 kilogram of mineral</t>
    </r>
    <r>
      <rPr>
        <sz val="10"/>
        <rFont val="Arial"/>
        <family val="2"/>
      </rPr>
      <t xml:space="preserve"> in ground limestone</t>
    </r>
  </si>
  <si>
    <t>"Pre-treatment of Miscanthus x giganteus using the Ethanol organosolv process for ethanol production", N Brosse, P Sannigrahi and A Ragauskas, Ind. Eng. Chem. Res 2009, 48, 8328-8334</t>
  </si>
  <si>
    <t>Hexose Liquor (91% moisture content) Average Price</t>
  </si>
  <si>
    <t>Hexose Liquor (91% moisture content) Yield</t>
  </si>
  <si>
    <t>Hexose Liquor (91% moisture content)</t>
  </si>
  <si>
    <t>Unit Natural Gas Consumption of Boiler =</t>
  </si>
  <si>
    <t xml:space="preserve">Unit Natural Gas Consumption of Combined Heat and Power Plant = </t>
  </si>
  <si>
    <t>Total energy requirement of natural gas for United Kingdom in 2004 (Ref. P6)</t>
  </si>
  <si>
    <t>Total carbon requirement of natural gas for United Kingdom in 2004 (Ref. P6)</t>
  </si>
  <si>
    <t>Total methane requirement of natural gas for United Kingdom in 2004 (Ref. P6)</t>
  </si>
  <si>
    <t>Total nitrous oxide requirement of natural gas for United Kingdom in 2004 (Ref. P6)</t>
  </si>
  <si>
    <t>Natural gas</t>
  </si>
  <si>
    <t>Natural Gas</t>
  </si>
  <si>
    <t>Contribution of Natural Gas Consumption</t>
  </si>
  <si>
    <t>Unit Natural Gas Consumption of Combined Heat and Power Plant (MJ/t et)</t>
  </si>
  <si>
    <t>Unit Natural Gas Consumption of Boiler (MJ/t et)</t>
  </si>
  <si>
    <t>Assumed Net Thermal Efficiency of Replacement Natural Gas/Biomass Power Only Generation</t>
  </si>
  <si>
    <t>Default value for the round trip distance of 1200 km by road for ethanol transport (stage 1) from biorefinery to distribution point . Uses approximate distance from Amsterdam and distribution to Saxony Anhalt in Germany.</t>
  </si>
  <si>
    <t xml:space="preserve">Default value for lorry size of 44 t GVW for acetone transport (stage 1) from biorefinery to distribution point. </t>
  </si>
  <si>
    <t>Default value for the round trip distance of 1200 km by road for acetone transport (stage 1) from biorefinery to distribution point. Uses approximate distance from Amsterdam and distribution to Saxony Anhalt in Germany.</t>
  </si>
  <si>
    <t>Default value for the round trip distance of 1200 km by road for butanol transport (stage 1) from biorefinery to distribution point. Uses approximate distance from Amsterdam and distribution to Saxony Anhalt in Germany.</t>
  </si>
  <si>
    <t>Default value for the round trip distance of 0 km  (notional) by road for butanol transport (stage 3) from biorefinery to distribution point. Assumes chemical used at first distribution point</t>
  </si>
  <si>
    <t>Default value for the round trip distance of 0 km  (notional) by road for acetone transport (stage 3) from biorefinery to distribution point. Assumes chemical used at first distribution point</t>
  </si>
  <si>
    <t>Default value for the round trip distance of 0 km  (notional) by road for ethanol transport (stage 3) from biorefinery to distribution point. Assumes chemical used at first distribution point</t>
  </si>
  <si>
    <t>Default setting is "Triple Super Phosphate".</t>
  </si>
  <si>
    <t xml:space="preserve">Default setting is "Ammonium Nitrate" </t>
  </si>
  <si>
    <t>Default data</t>
  </si>
  <si>
    <t>Supply of Both Heat and Electricity from Natural Gas/Biomass-Fired Combined Heat and Power Plant</t>
  </si>
  <si>
    <t>Supply of Heat from Natural Gas/Biomass-Fired Boiler and Electricity from the Grid</t>
  </si>
  <si>
    <t>Supply of Heat from Natural Gas/Biomass-fired Boiler and Electricity from the Grid, or Both Heat and Electricity from Natural Gas/Biomass-Fired Combined Heat and Power Plant</t>
  </si>
  <si>
    <r>
      <t>m</t>
    </r>
    <r>
      <rPr>
        <vertAlign val="superscript"/>
        <sz val="10"/>
        <rFont val="Trebuchet MS"/>
        <family val="2"/>
      </rPr>
      <t>3</t>
    </r>
    <r>
      <rPr>
        <sz val="10"/>
        <rFont val="Trebuchet MS"/>
        <family val="2"/>
      </rPr>
      <t>/t ts</t>
    </r>
  </si>
  <si>
    <r>
      <t>MJ/m</t>
    </r>
    <r>
      <rPr>
        <vertAlign val="superscript"/>
        <sz val="10"/>
        <rFont val="Trebuchet MS"/>
        <family val="2"/>
      </rPr>
      <t>3</t>
    </r>
  </si>
  <si>
    <r>
      <t>Default value for net calorific value for methane of 33.95 MJ/m</t>
    </r>
    <r>
      <rPr>
        <vertAlign val="superscript"/>
        <sz val="10"/>
        <rFont val="Trebuchet MS"/>
        <family val="2"/>
      </rPr>
      <t>3</t>
    </r>
    <r>
      <rPr>
        <sz val="10"/>
        <rFont val="Trebuchet MS"/>
        <family val="2"/>
      </rPr>
      <t xml:space="preserve"> (Ref. ).</t>
    </r>
  </si>
  <si>
    <r>
      <t>Default assumes net calorific value of 23 MJ/m</t>
    </r>
    <r>
      <rPr>
        <vertAlign val="superscript"/>
        <sz val="10"/>
        <rFont val="Trebuchet MS"/>
        <family val="2"/>
      </rPr>
      <t>3</t>
    </r>
    <r>
      <rPr>
        <sz val="10"/>
        <rFont val="Trebuchet MS"/>
        <family val="2"/>
      </rPr>
      <t xml:space="preserve"> for biogas (Ref 38)</t>
    </r>
  </si>
  <si>
    <r>
      <t>kg eq.CO</t>
    </r>
    <r>
      <rPr>
        <vertAlign val="subscript"/>
        <sz val="10"/>
        <rFont val="Trebuchet MS"/>
        <family val="2"/>
      </rPr>
      <t>2</t>
    </r>
    <r>
      <rPr>
        <sz val="10"/>
        <rFont val="Trebuchet MS"/>
        <family val="2"/>
      </rPr>
      <t>/t</t>
    </r>
  </si>
  <si>
    <r>
      <t>Default value for substitution credit for lignin (50% moisture content) of 1.09 kg eq. CO</t>
    </r>
    <r>
      <rPr>
        <vertAlign val="subscript"/>
        <sz val="10"/>
        <rFont val="Trebuchet MS"/>
        <family val="2"/>
      </rPr>
      <t>2</t>
    </r>
    <r>
      <rPr>
        <sz val="10"/>
        <rFont val="Trebuchet MS"/>
        <family val="2"/>
      </rPr>
      <t>/t based on displacement of phenol derived from petroleum (Ref. ASC6).</t>
    </r>
  </si>
  <si>
    <r>
      <t>Default value for substitution credit for carbon dioxide of 265 + 3,667 = 3,932 kg eq. CO</t>
    </r>
    <r>
      <rPr>
        <vertAlign val="subscript"/>
        <sz val="10"/>
        <rFont val="Trebuchet MS"/>
        <family val="2"/>
      </rPr>
      <t>2</t>
    </r>
    <r>
      <rPr>
        <sz val="10"/>
        <rFont val="Trebuchet MS"/>
        <family val="2"/>
      </rPr>
      <t>/t based on displacement of carbon dioxide generated from petroleum (Ref. 66) including fossil carbon content.</t>
    </r>
  </si>
  <si>
    <t>Comments</t>
  </si>
  <si>
    <t>Range+/- (kWh/kWh)</t>
  </si>
  <si>
    <t>SUNLIBB Road Transport Data Workbook v03.xls prepared by North Energy Associates Ltd., Sheffield, United Kingdom, December 2012.</t>
  </si>
  <si>
    <t>T16</t>
  </si>
  <si>
    <t>"Selected Life Cycle Assessment for Road Freight Transport" by J. Brindley, C. L. Whittaker, J. H. R. Rix and N. D. Mortimer, North Energy Associates Ltd., NF0614Road03open.xls for National Non-Food Crops Centre, York, United Kingdom, 20 April 2013.</t>
  </si>
  <si>
    <t>Diesel fuel consumption of bulk freight road transport (Ref. T16)</t>
  </si>
  <si>
    <t>Total energy requirement of vehicle manufacture for bulk freight road transport (Ref. T16)</t>
  </si>
  <si>
    <t>Average maintenance contribution of 2% (Ref. T16)</t>
  </si>
  <si>
    <t>Total energy requirement for diesel fuel in United Kingdom in 2004 (Ref. T13)</t>
  </si>
  <si>
    <t>Total carbon requirement for diesel fuel in United Kingdom in 2004 (Ref. T13)</t>
  </si>
  <si>
    <t>Total methane requirement for diesel fuel in United Kingdom in 2004 (Ref. T13)</t>
  </si>
  <si>
    <t>Total nitrous oxide requirement for diesel fuel in United Kingdom in 2004 (Ref. T13)</t>
  </si>
  <si>
    <t>Total carbon dioxide emissions factor for diesel fuel in United Kingdom in 2004 (Ref. T13)</t>
  </si>
  <si>
    <t>Total methane multiplier for diesel fuel in United Kingdom in 2004 (Ref. T13)</t>
  </si>
  <si>
    <t>Methane emissions factor for vehicle manufacture of bulk freight road transport (Ref. T15)</t>
  </si>
  <si>
    <t>Total nitrous oxide emissions factor for diesel fuel in United Kingdom in 2004 (Ref. T13)</t>
  </si>
  <si>
    <t>Carbon dioxide emissions of vehicle manufacture for bulk freight road transport (Ref. T16)</t>
  </si>
  <si>
    <t>Based on 2% of the carbon dioxide emissions for vehicle manufacture of bulk freight road transport (Ref. T16)</t>
  </si>
  <si>
    <t>Methane emissions factor for vehicle manufacture of bulk freight road transport (Ref. T16)</t>
  </si>
  <si>
    <t>Based on 2% of the methane emissions for vehicle manufacture of bulk freight road transport (Ref. T16)</t>
  </si>
  <si>
    <t>Total methane multiplier for diesel fuel in United Kingdom in 2004 (Ref. T16)</t>
  </si>
  <si>
    <t>Nitrous oxide emissions for vehicle manufacture of bulk freight road transport (Ref. T16)</t>
  </si>
  <si>
    <t>Based on 2% of the nitrous oxide emissions for vehicle manufacture of bulk freight road transport (Ref. T16)</t>
  </si>
  <si>
    <t>This workbook has been developed in order to fulfill the requirements of Deliverable D8.3 for the SUNLIBB project.</t>
  </si>
  <si>
    <t>Onesmus Mwabonje</t>
  </si>
  <si>
    <r>
      <t>Task:</t>
    </r>
    <r>
      <rPr>
        <sz val="10"/>
        <rFont val="Arial"/>
        <family val="2"/>
      </rPr>
      <t xml:space="preserve">  8.3 - Application to Forage Maize Biorefineries</t>
    </r>
  </si>
  <si>
    <t>Based on SUNLIBB Miscanthus Biorefinery v3 modified for Forage Maize feedstock refined in Europe.</t>
  </si>
  <si>
    <t>CULTIVATION AND HARVESTING</t>
  </si>
  <si>
    <t>Nitrogen and Carbon Content of Organic Manures Applied</t>
  </si>
  <si>
    <t>Losses in Manure Management System?</t>
  </si>
  <si>
    <t>Organic Manure</t>
  </si>
  <si>
    <t>Nitrogen Content (kg N/t manure)</t>
  </si>
  <si>
    <t>Losses in Manure Management System (%)</t>
  </si>
  <si>
    <t>Total Nitrogen Applied (kg N/kg manure)</t>
  </si>
  <si>
    <t>Dry Matter Content (%)</t>
  </si>
  <si>
    <t>Carbon Content (% weight dry matter)</t>
  </si>
  <si>
    <t>Total Carbon Applied (kg C/kg manure)</t>
  </si>
  <si>
    <t>Cattle Farm Yard Manure (solid)</t>
  </si>
  <si>
    <t>As specified as total N content on 'fresh weight basis' presumably prior to manure management system including storage (Ref. 42, Page 62).</t>
  </si>
  <si>
    <t>Solid storage for manure from dairy cows (Ref. 43, Table 10.23).</t>
  </si>
  <si>
    <t>As specified on 'fresh weight basis' (Ref. 42, Page 62).</t>
  </si>
  <si>
    <t>Carbon content in dry matter for dairy cow manure (Ref. 44).</t>
  </si>
  <si>
    <t>Pig Farm Yard Manure (solid)</t>
  </si>
  <si>
    <t>Solid storage for manure from swine (Ref. 43, Table 10.23).</t>
  </si>
  <si>
    <t>Carbon content in dry matter for pig manure (Ref. 44).</t>
  </si>
  <si>
    <t>Sheep Farm Yard Manure</t>
  </si>
  <si>
    <t>Solid storage of manure from other animals including sheep (Ref. 43, Table 10.23).</t>
  </si>
  <si>
    <t>Carbon content in dry matter for sheep manure (Ref. 44).</t>
  </si>
  <si>
    <t>Horse Farm Yard Manure</t>
  </si>
  <si>
    <t>Solid storage of manure from other animals including horses (Ref. 43, Table 10.23).</t>
  </si>
  <si>
    <t>Assumed to be same as carbon content in dry matter for dairy cow manure (Ref. 44).</t>
  </si>
  <si>
    <t>Goat Farm Yard Manure</t>
  </si>
  <si>
    <t>Assumed to be the same as sheep farm yard manure and specified as total N content on 'fresh weight basis' presumably prior to manure management system including storage (Ref. 42, Page 62).</t>
  </si>
  <si>
    <t>Solid storage of manure from other animals such as fur bearing animals which are assumed to include goats (Ref. 43, Table 10.23).</t>
  </si>
  <si>
    <t>Assumed to be same as sheep farm yard manure and specified on 'fresh weight basis' (Ref. 42, Page 62).</t>
  </si>
  <si>
    <t>Assumed to be same as carbon content in dry matter for sheep manure (Ref. 44).</t>
  </si>
  <si>
    <t>Poultry Layer Manure</t>
  </si>
  <si>
    <t>As specified as total N content on 'fresh weight basis' presumably prior to manure management system including storage (Ref. 42, Page 64).</t>
  </si>
  <si>
    <t>Management for poultry manure without litter (Ref. 43, Table 10.23).</t>
  </si>
  <si>
    <t>As specified on 'fresh weight basis' (Ref. 42, Page 64).</t>
  </si>
  <si>
    <t>Carbon content in dry matter for chicken manure (Ref. 44).</t>
  </si>
  <si>
    <t>Poultry Broiler Litter</t>
  </si>
  <si>
    <t>Management for poultry manure with litter (Ref. 43, Table 10.23).</t>
  </si>
  <si>
    <t>Carbon content in dry matter for poultry litter (Ref. 44).</t>
  </si>
  <si>
    <t>Turkey Litter</t>
  </si>
  <si>
    <t>Assumed to be same as management for poultry manure with litter storage (Ref. 43, Table 10.23).</t>
  </si>
  <si>
    <t>As specified on 'fresh weight basis' (Ref. 57, Page 64).</t>
  </si>
  <si>
    <t>Assumed to be same as carbon content in dry matter for poultry litter (Ref. 44).</t>
  </si>
  <si>
    <t>Duck Farm Yard Manure (solid)</t>
  </si>
  <si>
    <t>Assumed to be same as management for poultry manure without litter (Ref. 43, Table 10.23).</t>
  </si>
  <si>
    <t>Assumed to be same as carbon content in dry matter for chicken manure (Ref. 44).</t>
  </si>
  <si>
    <t>Dairy Cattle Slurry</t>
  </si>
  <si>
    <t>As specified as total N content on 'fresh weight basis' presumably prior to manure management system including storage (Ref. 42, Page 65).</t>
  </si>
  <si>
    <t>Management of dairy cow liquid/slurry (Ref. 43, Table 10.23).</t>
  </si>
  <si>
    <t>As specified on 'fresh weight basis' (Ref. 42, Page 65).</t>
  </si>
  <si>
    <t>Beef Cattle Slurry</t>
  </si>
  <si>
    <t>Assumed to be same as dairy cattle slurry and specified as total N content on 'fresh weight basis' presumably prior to manure management system including storage (Ref. 42, Page 65).</t>
  </si>
  <si>
    <t>Assumed to be same as management for dairy cow liquid/slurry storage (Ref. 43, Table 10.23).</t>
  </si>
  <si>
    <t>Assumed to be same as dairy cattle slurry and specified on 'fresh weight basis' (Ref. 42, Page 65).</t>
  </si>
  <si>
    <t>Pig Slurry</t>
  </si>
  <si>
    <t>As specified as total N content on 'fresh weight basis' presumably prior to manure management system including storage (Ref. 42, Page 67).</t>
  </si>
  <si>
    <t>Management of swine liquid/slurry (Ref. 43, Table 10.23).</t>
  </si>
  <si>
    <t>As specified on 'fresh weight basis' (Ref. 42, Page 67).</t>
  </si>
  <si>
    <t>Separated Cattle Slurry (liquid fraction from strainer box)</t>
  </si>
  <si>
    <t>Separated Cattle Slurry (liquid fraction from weeping wall)</t>
  </si>
  <si>
    <t>Separated Cattle Slurry (liquid fraction from mechanical separator)</t>
  </si>
  <si>
    <t>Separated Cattle Slurry (solid fraction)</t>
  </si>
  <si>
    <t>Separated Pig Slurry (liquid fraction)</t>
  </si>
  <si>
    <t>Separated Pig Slurry (solid fraction)</t>
  </si>
  <si>
    <t>Digested Liquid Sewage Sludge</t>
  </si>
  <si>
    <t>As specified as total N content on 'fresh weight basis' presumably prior to manure management system including storage (Ref. 42, Page 75).</t>
  </si>
  <si>
    <t>Assumed to be same as management for swine liquid/slurry (Ref. 43, Table 10.23).</t>
  </si>
  <si>
    <t>As specified on 'fresh weight basis' (Ref. 42, Page 75).</t>
  </si>
  <si>
    <t>Carbon content in dry matter for sewage sludge (Ref. 44).</t>
  </si>
  <si>
    <t>Digested Cake Sewage Sludge</t>
  </si>
  <si>
    <t>Assumed to be same as solid storage for manure from swine (Ref. 43, Table 10.23).</t>
  </si>
  <si>
    <t>Carbon content in dry matter of aerobically digested sewage sludge (Ref. 44).</t>
  </si>
  <si>
    <t>Thermally Dried Sewage Sludge</t>
  </si>
  <si>
    <t>Carbon content of dry matter for thermally dried sewage sludge (Ref. 44).</t>
  </si>
  <si>
    <t>Lime Stabilised Sewage Sludge</t>
  </si>
  <si>
    <t>Composted Sewage Sludge</t>
  </si>
  <si>
    <t>Unknown Organic Manure</t>
  </si>
  <si>
    <t>Based on value equivalent to poultry broiler litter (Ref. 42, Table 7) which combines to result in highest total nitrogen applied.</t>
  </si>
  <si>
    <t>Based on value equivalent to management for poultry broiler litter (Ref. 42, Table 7) which combines to result in highest total nitrogen applied.</t>
  </si>
  <si>
    <t>Based on value equivalent of poultry broiler litter (Ref. 42, Table 7).</t>
  </si>
  <si>
    <t>Based on carbon content in dry matter for poultry litter (Ref. 44).</t>
  </si>
  <si>
    <t>Crop Protection Chemicals</t>
  </si>
  <si>
    <t>1 kilogram of active ingredients (a.i.) in crop protection chemicals</t>
  </si>
  <si>
    <t>Source of Crop Protection Chemicals Emissions Factor</t>
  </si>
  <si>
    <t xml:space="preserve"> - NNFCC Germany, 1996</t>
  </si>
  <si>
    <t>MJ/kg a.i.</t>
  </si>
  <si>
    <t>Average primary energy multiplier for general pesticides, herbicides, fungicides and insecticides, Germany, 1996 (Ref. 9).</t>
  </si>
  <si>
    <r>
      <t>kg CO</t>
    </r>
    <r>
      <rPr>
        <vertAlign val="subscript"/>
        <sz val="10"/>
        <rFont val="Arial"/>
        <family val="2"/>
      </rPr>
      <t>2</t>
    </r>
    <r>
      <rPr>
        <sz val="10"/>
        <rFont val="Arial"/>
        <family val="2"/>
      </rPr>
      <t>/kg a.i.</t>
    </r>
  </si>
  <si>
    <t>Average carbon dioxide emissions factor for general pesticides, herbicides, fungicides and insecticides, Germany, 1996 (Ref. 9).</t>
  </si>
  <si>
    <r>
      <t>kg CH</t>
    </r>
    <r>
      <rPr>
        <vertAlign val="subscript"/>
        <sz val="10"/>
        <rFont val="Arial"/>
        <family val="2"/>
      </rPr>
      <t>4</t>
    </r>
    <r>
      <rPr>
        <sz val="10"/>
        <rFont val="Arial"/>
        <family val="2"/>
      </rPr>
      <t>/kg a.i.</t>
    </r>
  </si>
  <si>
    <t>Average methane emissions factor for general pesticides, herbicides, fungicides and insecticides, Germany, 1996 (Ref. 9).</t>
  </si>
  <si>
    <r>
      <t>kg N</t>
    </r>
    <r>
      <rPr>
        <vertAlign val="subscript"/>
        <sz val="10"/>
        <rFont val="Arial"/>
        <family val="2"/>
      </rPr>
      <t>2</t>
    </r>
    <r>
      <rPr>
        <sz val="10"/>
        <rFont val="Arial"/>
        <family val="2"/>
      </rPr>
      <t>O/kg a.i.</t>
    </r>
  </si>
  <si>
    <t>Average nitrous oxide emissions factor for general pesticides, herbicides, fungicides and insecticides, Germany, 1996 (Ref. 9).</t>
  </si>
  <si>
    <t xml:space="preserve"> - CT Database Germany, 1996</t>
  </si>
  <si>
    <t>kg CO2/kg a.i.</t>
  </si>
  <si>
    <t>kg CH4/kg a.i.</t>
  </si>
  <si>
    <t>kg N2O/kg a.i.</t>
  </si>
  <si>
    <t>Primary energy multiplier for pesticides (Ref. 50).</t>
  </si>
  <si>
    <t>Carbon dioxide emissions factor for pesticides (Ref. 50).</t>
  </si>
  <si>
    <t>Methane emissions factor for pesticides (Ref. 50).</t>
  </si>
  <si>
    <t>Nitrous oxide emissions factor for pesticide (Ref. 50).</t>
  </si>
  <si>
    <t>Value for Specified Crop Protection Chemicals</t>
  </si>
  <si>
    <t>Basis for Soil Nitrous Oxide Emissions</t>
  </si>
  <si>
    <r>
      <t>IPCC, CT Crop Calculator or Brentrup and Palli</t>
    </r>
    <r>
      <rPr>
        <sz val="10"/>
        <rFont val="Arial"/>
        <family val="2"/>
      </rPr>
      <t>é</t>
    </r>
    <r>
      <rPr>
        <sz val="10"/>
        <rFont val="Arial"/>
        <family val="2"/>
      </rPr>
      <t>re</t>
    </r>
  </si>
  <si>
    <t>soil_emissions</t>
  </si>
  <si>
    <t>IPCC</t>
  </si>
  <si>
    <t>CT Crop Calculator</t>
  </si>
  <si>
    <t>Options for Basis of Soil Nitrous Oxide Emissions</t>
  </si>
  <si>
    <t>Brentrup and Palliére</t>
  </si>
  <si>
    <t>“Footprint Expert Crop Calculator” Crop Calculator V3.1.xls, Carbon Trust Footprinting Company, London, United Kingdom, July 2010.</t>
  </si>
  <si>
    <r>
      <t>Soil nitrous oxide emissions from any N fertiliser application are 0.0208 kg N</t>
    </r>
    <r>
      <rPr>
        <vertAlign val="subscript"/>
        <sz val="10"/>
        <rFont val="Arial"/>
        <family val="2"/>
      </rPr>
      <t>2</t>
    </r>
    <r>
      <rPr>
        <sz val="10"/>
        <rFont val="Arial"/>
        <family val="2"/>
      </rPr>
      <t>O/kg N using IPCC data (Ref. 60); 0.0173 kg N2O/kg N due to exclusion of indirect emissions via leakage and leaching using the CT Crop Calculator (Ref. 73); and from ammonium nitrate fertiliser are 0.0163 kg N</t>
    </r>
    <r>
      <rPr>
        <vertAlign val="subscript"/>
        <sz val="10"/>
        <rFont val="Arial"/>
        <family val="2"/>
      </rPr>
      <t>2</t>
    </r>
    <r>
      <rPr>
        <sz val="10"/>
        <rFont val="Arial"/>
        <family val="2"/>
      </rPr>
      <t>O/kg N, from urea are 0.0234 kg N</t>
    </r>
    <r>
      <rPr>
        <vertAlign val="subscript"/>
        <sz val="10"/>
        <rFont val="Arial"/>
        <family val="2"/>
      </rPr>
      <t>2</t>
    </r>
    <r>
      <rPr>
        <sz val="10"/>
        <rFont val="Arial"/>
        <family val="2"/>
      </rPr>
      <t>O/kg N, from calcium ammonium nitrate are 0.0148 kg N</t>
    </r>
    <r>
      <rPr>
        <vertAlign val="subscript"/>
        <sz val="10"/>
        <rFont val="Arial"/>
        <family val="2"/>
      </rPr>
      <t>2</t>
    </r>
    <r>
      <rPr>
        <sz val="10"/>
        <rFont val="Arial"/>
        <family val="2"/>
      </rPr>
      <t>O/kg N, from diammonium phosphate are 0.0176 kg N</t>
    </r>
    <r>
      <rPr>
        <vertAlign val="subscript"/>
        <sz val="10"/>
        <rFont val="Arial"/>
        <family val="2"/>
      </rPr>
      <t>2</t>
    </r>
    <r>
      <rPr>
        <sz val="10"/>
        <rFont val="Arial"/>
        <family val="2"/>
      </rPr>
      <t>O/kg N using Brentrup and Palliére data (Ref. 68) with 0.0208 kg N</t>
    </r>
    <r>
      <rPr>
        <vertAlign val="subscript"/>
        <sz val="10"/>
        <rFont val="Arial"/>
        <family val="2"/>
      </rPr>
      <t>2</t>
    </r>
    <r>
      <rPr>
        <sz val="10"/>
        <rFont val="Arial"/>
        <family val="2"/>
      </rPr>
      <t>O/kg N for all other N fertilisers (based on IPCC data; Ref. 60) .  Soil nitrous oxide emissions from crop residues are 0.0208 kg N</t>
    </r>
    <r>
      <rPr>
        <vertAlign val="subscript"/>
        <sz val="10"/>
        <rFont val="Arial"/>
        <family val="2"/>
      </rPr>
      <t>2</t>
    </r>
    <r>
      <rPr>
        <sz val="10"/>
        <rFont val="Arial"/>
        <family val="2"/>
      </rPr>
      <t>O/kg N using IPCC data (Ref. 60) and 0.0173 kg N</t>
    </r>
    <r>
      <rPr>
        <vertAlign val="subscript"/>
        <sz val="10"/>
        <rFont val="Arial"/>
        <family val="2"/>
      </rPr>
      <t>2</t>
    </r>
    <r>
      <rPr>
        <sz val="10"/>
        <rFont val="Arial"/>
        <family val="2"/>
      </rPr>
      <t>O/kg N using the CT Crop Calculator (Ref. 73).  Soil nitrous oxide emissions from organic manure is 0.0223 kg N</t>
    </r>
    <r>
      <rPr>
        <vertAlign val="subscript"/>
        <sz val="10"/>
        <rFont val="Arial"/>
        <family val="2"/>
      </rPr>
      <t>2</t>
    </r>
    <r>
      <rPr>
        <sz val="10"/>
        <rFont val="Arial"/>
        <family val="2"/>
      </rPr>
      <t>O/kg N using IPCC data (Ref. 60) and 0.0188 kg N</t>
    </r>
    <r>
      <rPr>
        <vertAlign val="subscript"/>
        <sz val="10"/>
        <rFont val="Arial"/>
        <family val="2"/>
      </rPr>
      <t>2</t>
    </r>
    <r>
      <rPr>
        <sz val="10"/>
        <rFont val="Arial"/>
        <family val="2"/>
      </rPr>
      <t>O/kg N using the CT Crop Calculator (Ref. 73).  Default is "IPCC".</t>
    </r>
  </si>
  <si>
    <t>Option to Include Seeds</t>
  </si>
  <si>
    <t>seed_incl</t>
  </si>
  <si>
    <t>Default is include seeds from calculation (value = 1).</t>
  </si>
  <si>
    <t>Option to Include Reference Land Use System</t>
  </si>
  <si>
    <t>Default is 0.</t>
  </si>
  <si>
    <t>Nitrous Oxide Soil Emissions from Crop Residue Incorporation</t>
  </si>
  <si>
    <t>residue_emissions</t>
  </si>
  <si>
    <t>Carbon Sequestration through Crop Residue Incorporation</t>
  </si>
  <si>
    <t>residue_C</t>
  </si>
  <si>
    <t>Default is not to take into account carbon sequestration through crop residue incorporation (value = 0).</t>
  </si>
  <si>
    <t>Nitrous Oxide Soil Emissions from Organic Manure Application</t>
  </si>
  <si>
    <t>fym_emissions</t>
  </si>
  <si>
    <t>Nitrogen Losses in Organic Manure Management System</t>
  </si>
  <si>
    <t>mms</t>
  </si>
  <si>
    <t>Default is to take into account any losses in the manure management system prior to application (value = 0).</t>
  </si>
  <si>
    <t>Carbon Sequestration through Organic Manure Application</t>
  </si>
  <si>
    <t>fym_C</t>
  </si>
  <si>
    <t>Default is not to take into account carbon sequestration from organic manure application (value = 0).</t>
  </si>
  <si>
    <t>Sowing Rate</t>
  </si>
  <si>
    <t>seeds</t>
  </si>
  <si>
    <t>"Maize - A growers guide" 2011, Limagrain UK Ltd, http://www.limagrain.co.uk/products/maize.html [accessed 29 November 2012]</t>
  </si>
  <si>
    <t>Private communication with Tim Richmond Limagrain UK Ltd 29 November 2012.</t>
  </si>
  <si>
    <t xml:space="preserve">Default is 38.27 kg of seeds/ha.a. (Ref. 74 &amp; 75) </t>
  </si>
  <si>
    <t xml:space="preserve">      Seeds  =</t>
  </si>
  <si>
    <t xml:space="preserve"> kg</t>
  </si>
  <si>
    <t>Sowing Rate =</t>
  </si>
  <si>
    <t xml:space="preserve"> kg/ha.a</t>
  </si>
  <si>
    <t xml:space="preserve">  Cultivated Area =</t>
  </si>
  <si>
    <t xml:space="preserve"> t/ha.a</t>
  </si>
  <si>
    <t>Seed Sowing Rate</t>
  </si>
  <si>
    <t>Include Seeds?</t>
  </si>
  <si>
    <t>N Fertiliser Application Rate</t>
  </si>
  <si>
    <t>Choice of Data for Cultivation Machinery</t>
  </si>
  <si>
    <t>Soil Nitrous Oxide Emissions from Crop Residue Incorporation?</t>
  </si>
  <si>
    <t>Carbon Sequestration through Crop Residue Incorporation?</t>
  </si>
  <si>
    <t>Retention of Carbon from Crop Residues in Soil</t>
  </si>
  <si>
    <t>Total Diesel Fuel Consumption</t>
  </si>
  <si>
    <t>l/ha.a</t>
  </si>
  <si>
    <t>Total Cultivation Machinery Time</t>
  </si>
  <si>
    <t>h/ha.a</t>
  </si>
  <si>
    <t>Specification of Number of Operations per Cultivation - Sub Soiling</t>
  </si>
  <si>
    <t>Number of Operations per Cultivation</t>
  </si>
  <si>
    <t>Specification of Number of Operations per Cultivation - Ploughing</t>
  </si>
  <si>
    <t>Specification of Number of Operations per Cultivation - Cultivating with Power Harrow</t>
  </si>
  <si>
    <t>Specification of Number of Operations per Cultivation - Drilling with Power Harrow</t>
  </si>
  <si>
    <t>Specification of Number of Operations per Cultivation - FYM Application</t>
  </si>
  <si>
    <t>Specification of Number of Operations per Cultivation - Applying Fertilisers</t>
  </si>
  <si>
    <t>Specification of Number of Operations per Cultivation - Applying Pesticides, Herbicides and Fungicides</t>
  </si>
  <si>
    <t>Specification of Number of Operations per Cultivation - Forage Maize Harvesting</t>
  </si>
  <si>
    <t>Net Calorific Value of Diesel</t>
  </si>
  <si>
    <t>MJ/l</t>
  </si>
  <si>
    <t>Cattle Farm Yard Manure (solid) Application Rate</t>
  </si>
  <si>
    <t>Pig Farm Yard Manure (solid) Application Rate</t>
  </si>
  <si>
    <t>Poultry Manure Application Rate</t>
  </si>
  <si>
    <t>Total Organic Manure Application Rate</t>
  </si>
  <si>
    <t>P Fertiliser Application Rate</t>
  </si>
  <si>
    <r>
      <t>kg P</t>
    </r>
    <r>
      <rPr>
        <vertAlign val="subscript"/>
        <sz val="10"/>
        <rFont val="Arial"/>
        <family val="2"/>
      </rPr>
      <t>2</t>
    </r>
    <r>
      <rPr>
        <sz val="10"/>
        <rFont val="Arial"/>
        <family val="2"/>
      </rPr>
      <t>O</t>
    </r>
    <r>
      <rPr>
        <vertAlign val="subscript"/>
        <sz val="10"/>
        <rFont val="Arial"/>
        <family val="2"/>
      </rPr>
      <t>5</t>
    </r>
    <r>
      <rPr>
        <sz val="10"/>
        <rFont val="Arial"/>
        <family val="2"/>
      </rPr>
      <t>/ha.a</t>
    </r>
  </si>
  <si>
    <t>K Fertiliser Application Rate</t>
  </si>
  <si>
    <r>
      <t>kg K</t>
    </r>
    <r>
      <rPr>
        <vertAlign val="subscript"/>
        <sz val="10"/>
        <rFont val="Arial"/>
        <family val="2"/>
      </rPr>
      <t>2</t>
    </r>
    <r>
      <rPr>
        <sz val="10"/>
        <rFont val="Arial"/>
        <family val="2"/>
      </rPr>
      <t>O/ha.a</t>
    </r>
  </si>
  <si>
    <t>Lime Application Rate</t>
  </si>
  <si>
    <r>
      <t>kg CaCO</t>
    </r>
    <r>
      <rPr>
        <vertAlign val="subscript"/>
        <sz val="10"/>
        <rFont val="Arial"/>
        <family val="2"/>
      </rPr>
      <t>3</t>
    </r>
    <r>
      <rPr>
        <sz val="10"/>
        <rFont val="Arial"/>
        <family val="2"/>
      </rPr>
      <t>/ha.a</t>
    </r>
  </si>
  <si>
    <t>Crop Protection Application Rate</t>
  </si>
  <si>
    <t>kg a.i./ha.a</t>
  </si>
  <si>
    <t>If the user cannot provide actual diesel fuel consumption, then the average fuel consumption rate is assumed to be 897.73 MJ/h (Ref. 1).</t>
  </si>
  <si>
    <t>Sub-Totals for Fuel</t>
  </si>
  <si>
    <t xml:space="preserve"> - sub soiling</t>
  </si>
  <si>
    <t>Based on the average rate of work of 6 ha per 8 h for subsoiling/flat lifting, giving a time of 1.33 h/ha.a (Ref. 2, p. 187).</t>
  </si>
  <si>
    <t>Energy requirement for tractor and subsoil manufacture (Ref. 2, 28, 29) using methodology for calculation in ref 9 for 2005</t>
  </si>
  <si>
    <t>kg CO2/hr</t>
  </si>
  <si>
    <t>Carbon requirement for tractor (2.8kg/hr) and subsoil manufacture(1.2kg/hr) (Ref. 2, 28, 29) using methodology for calculation in ref 9</t>
  </si>
  <si>
    <t>Methane multiplier calculated using data from ref 15</t>
  </si>
  <si>
    <t>Nitrous oxide multiplier calculated using data from ref 15</t>
  </si>
  <si>
    <t>Based on the average rate of work of 7 ha per 8 h for ploughing of light/heavy soils, giving a time of 1.14 h/ha.a (Ref. 2, p. 187).</t>
  </si>
  <si>
    <t>Energy requirement for tractor and plough manufacture (Ref. 2, 28, 29) using methodology for calculation in ref 9 for 2005</t>
  </si>
  <si>
    <t>Carbon requirement for tractor (2.8kg/hr) and plough manufacture (8.1kg/hr) (Ref. 2, 28, 29) using methodology for calculation in ref 9</t>
  </si>
  <si>
    <t xml:space="preserve"> - harrowing (with power harrow)</t>
  </si>
  <si>
    <t>Based on an average rate of work of 9 ha per 8 h for power harrowing, giving a time of 0.89 h/ha.a (Ref. 2, p. 187).</t>
  </si>
  <si>
    <t>Energy requirement for tractor and harrow manufacture (Ref. 2, 28, 29) using methodology for calculation in ref 9 for 2005</t>
  </si>
  <si>
    <t>Carbon requirement for tractor (2.8kg/hr) and harrow manufacture (5.8kg/hr) (Ref. 2, 28, 29) using methodology for calculation in ref 9</t>
  </si>
  <si>
    <t xml:space="preserve"> - drilling (with power harrow)</t>
  </si>
  <si>
    <t>Based on an average rate of work of 10 ha per 8 h for combi-drilling of cereals, giving a time of 0.80 h/ha.a (Ref. 2, p. 187).</t>
  </si>
  <si>
    <t>Energy requirement for tractor and seed drill manufacture (Ref. 2, 28, 29) using methodology for calculation in ref 9 for 2005</t>
  </si>
  <si>
    <t>Carbon requirement for tractor (1.9kg/hr) and seed drill (5.7kg/hr) manufacture (Ref. 2, 28, 29) using methodology for calculation in ref 9</t>
  </si>
  <si>
    <t xml:space="preserve"> - FYM application</t>
  </si>
  <si>
    <t>Based on the cost of spreading FYM of 42.75 £/h and the farmers cost of 48 £/ha, giving a time of 1.12 h/ha</t>
  </si>
  <si>
    <t>Energy requirement for tractor and spreader manufacture (Ref. 2, 28, 29) using methodology for calculation in ref 9 for 2005</t>
  </si>
  <si>
    <t>Carbon requirement for tractor (1.9kg/hr) and spreader (3.2kg/hr) manufacture (Ref. 2, 28, 29) using methodology for calculation in ref 9</t>
  </si>
  <si>
    <t xml:space="preserve"> - fertiliser application</t>
  </si>
  <si>
    <t>Based on  the average rate of work of 45 ha per 8 h for  fertiliser distribution and application (Ref. 2, p. 187).</t>
  </si>
  <si>
    <t>Energy requirement for tractor and fertiliser distributor manufacture (Ref. 2, 28, 29) using methodology for calculation in ref 9 for 2005</t>
  </si>
  <si>
    <t>Carbon requirement for tractor (1.9kg/hr) and fertiliser distributor (2.4kg/hr)manufacture (Ref. 2, 28, 29) using methodology for calculation in ref 9</t>
  </si>
  <si>
    <t xml:space="preserve"> - applying pesticides, herbicides and fungicides</t>
  </si>
  <si>
    <t>Based on the average rate of work for spraying  based on 200 l/ha and 24m boom of 45 ha per 8 h, giving a time of 0.18 h/ha.a per applictaion (Ref. 2, p. 187).</t>
  </si>
  <si>
    <t>Energy requirement for tractor and sprayer manufacture (Ref. 2, 28, 29) using methodology for calculation in ref 9 for 2005</t>
  </si>
  <si>
    <t>Carbon requirement for tractor (1.9kg/hr)and sprayer (15kg/hr) manufacture (Ref. 2, 28, 29) using methodology for calculation in ref 9</t>
  </si>
  <si>
    <t>Based on an arithmetic mean of the average rate of work for forage harvesting for first cuts and others of 16 and 20 ha per 8 h,  giving a time of 0.22 h/ha.a per harvest. The avarage cost for forage harvesting  is £58.13/ha and that of harvesting maize including carting (3 trailers) and clamping is £168.03/ha. Therefore, the time for harvesting forage maize including carting (3 trailers) and clamping  is 0.64 h/ha  (Ref. 2, p. 188).</t>
  </si>
  <si>
    <t>Energy requirement for forage harvester and maize attachment manufacture (Ref. 2, 28, 29) using methodology for calculation in ref 9 for 2005</t>
  </si>
  <si>
    <t>Carbon requirement for forage harvester (10.3kg/hr) and maize attachment (10.3kg/hr) manufacture (Ref. 2, 28, 29) using methodology for calculation in ref 9</t>
  </si>
  <si>
    <t>General assumption for agricultural machinery (Ref.2)</t>
  </si>
  <si>
    <t xml:space="preserve"> - FYM/slurry application</t>
  </si>
  <si>
    <t xml:space="preserve"> - Seeds</t>
  </si>
  <si>
    <t xml:space="preserve">Seed application rate of 38.27 kg/ha.a. (Ref. 34 &amp; 35) </t>
  </si>
  <si>
    <t>Input energy requirement of seeds based on a ratio of 600 times seeds in to seeds out (yield 190 bushels/acre, 8kg of seed/acre) (Ref. 30 and 3) and 0.00698MJ diesel per kg of maize (ref. 10)</t>
  </si>
  <si>
    <t>kg CH4/kg</t>
  </si>
  <si>
    <t>kg N2O/kg</t>
  </si>
  <si>
    <t xml:space="preserve"> - Farm Yard Manure</t>
  </si>
  <si>
    <t>kg FYM/ha.a</t>
  </si>
  <si>
    <t>Overall application rate of 73 t pig/cattle/poultry FYM/ha.a for forage maize (Ref. 34).</t>
  </si>
  <si>
    <t>Total energy requirement for dairy FYM spreading only, 50% by tanker and 50% by umbilical system (Ref. 41), assuming that all other primary energy inputs occur regardless of the method of disposal or use.</t>
  </si>
  <si>
    <t>kg CO2/kg FYM</t>
  </si>
  <si>
    <t>Total carbon requirement for dairy FYM spreading only, 50% by tanker and 50% by umbilical system (Ref. 41), assuming that all other carbon dioxide emissions occur regardless of the method of disposal or use.</t>
  </si>
  <si>
    <t>Total methane requirement for dairy FYM spreading only, 50%  by tanker and 50% by umbilical system (Ref. 41), assuming that all other methane emissions (such as the estimated 0.006994 kg CH4/kg FYM) occur regardless of the method of disposal or use.</t>
  </si>
  <si>
    <t>Total nitrous oxide requirement for dairy FYM spreading only, 50% by tanker and 50% by umbilical system (Ref. 41), assuming that all other nitrous emissions occur regardless of the method of disposal or use.</t>
  </si>
  <si>
    <t>An average application rate of 135 kg N/ha.a (Ref. 34)</t>
  </si>
  <si>
    <t>Total energy requirement of N fertiliser (NFertiliser worksheet)</t>
  </si>
  <si>
    <t>Total carbon requirement of N fertiliser (Nfertiliser worksheet)</t>
  </si>
  <si>
    <t>Total methane requirement of N fertiliser (NFertiliser worksheet)</t>
  </si>
  <si>
    <t>Total nitrous oxide requirement of N fertiliser (NFertiliser worksheet)</t>
  </si>
  <si>
    <t>An avarage application rate of 95 kg P2O5/ha.a (Ref. 34).</t>
  </si>
  <si>
    <t xml:space="preserve">Total energy requirement of P fertiliser (PFertiliser worksheet) </t>
  </si>
  <si>
    <t xml:space="preserve">Total carbon requirement of P fertiliser (PFertiliser worksheet) </t>
  </si>
  <si>
    <t xml:space="preserve">Total methane requirement of P fertiliser (PFertiliser worksheet) </t>
  </si>
  <si>
    <t xml:space="preserve">Total nitrous oxide requirement of P fertiliser (PFertiliser worksheet) </t>
  </si>
  <si>
    <t>An average application rate of 212.5 kg K2O/ha.a (Ref. 34).</t>
  </si>
  <si>
    <t xml:space="preserve">Total energy requirement of K fertiliser (KFertiliser worksheet) </t>
  </si>
  <si>
    <t>kg CO2/kg K20</t>
  </si>
  <si>
    <t xml:space="preserve">Total carbon requirement of K fertiliser (KFertiliser worksheet) </t>
  </si>
  <si>
    <t xml:space="preserve">Total methane requirement of K fertiliser (KFertiliser worksheet) </t>
  </si>
  <si>
    <t xml:space="preserve">Total nitrous oxide requirement of K fertiliser (KFertiliser worksheet) </t>
  </si>
  <si>
    <t xml:space="preserve"> - Crop Protection Chemicals</t>
  </si>
  <si>
    <t>Average application rate for maize and sweetcorn for Great Britain (Ref. 5)</t>
  </si>
  <si>
    <t>Total energy requirement of general pesticides, herbicides, fungicides and insecticides (CropProtectChemicals worksheet).</t>
  </si>
  <si>
    <t>Total carbon requirement of general pesticides, herbicides, fungicides and insecticides (CropProtectChemicals worksheet).</t>
  </si>
  <si>
    <t>Total methane requirement of general pesticides, herbicides, fungicides and insecticides (CropProtectChemicals worksheet).</t>
  </si>
  <si>
    <t>Total nitrous oxide requirement of general pesticides, herbicides, fungicides and insecticides (CropProtectChemicals worksheet).</t>
  </si>
  <si>
    <t xml:space="preserve"> - Lime</t>
  </si>
  <si>
    <r>
      <t>MJ/kg CaCO</t>
    </r>
    <r>
      <rPr>
        <vertAlign val="subscript"/>
        <sz val="10"/>
        <rFont val="Arial"/>
        <family val="2"/>
      </rPr>
      <t>3</t>
    </r>
  </si>
  <si>
    <t xml:space="preserve">Total energy requirement of lime (Lime worksheet) </t>
  </si>
  <si>
    <t xml:space="preserve">Total carbon requirement of lime (Lime worksheet) </t>
  </si>
  <si>
    <t xml:space="preserve">Total methane requirement of lime (Lime worksheet) </t>
  </si>
  <si>
    <t xml:space="preserve">Total nitrous oxide requirement of lime (Lime worksheet) </t>
  </si>
  <si>
    <r>
      <t>kg CO</t>
    </r>
    <r>
      <rPr>
        <vertAlign val="subscript"/>
        <sz val="10"/>
        <rFont val="Arial"/>
        <family val="2"/>
      </rPr>
      <t>2</t>
    </r>
    <r>
      <rPr>
        <sz val="10"/>
        <rFont val="Arial"/>
        <family val="2"/>
      </rPr>
      <t>/kg urea</t>
    </r>
  </si>
  <si>
    <r>
      <t>Emissions of carbon dioxide from soil due to urea hydrolysis of 0.73 kg CO</t>
    </r>
    <r>
      <rPr>
        <vertAlign val="subscript"/>
        <sz val="10"/>
        <rFont val="Arial"/>
        <family val="2"/>
      </rPr>
      <t>2</t>
    </r>
    <r>
      <rPr>
        <sz val="10"/>
        <rFont val="Arial"/>
        <family val="2"/>
      </rPr>
      <t>/kg urea (Refs. 36 and 38).</t>
    </r>
  </si>
  <si>
    <r>
      <t>Soil nitrous oxide emissions from any N fertiliser application are 0.0208 kg N</t>
    </r>
    <r>
      <rPr>
        <vertAlign val="subscript"/>
        <sz val="10"/>
        <rFont val="Arial"/>
        <family val="2"/>
      </rPr>
      <t>2</t>
    </r>
    <r>
      <rPr>
        <sz val="10"/>
        <rFont val="Arial"/>
        <family val="2"/>
      </rPr>
      <t>O/kg N using IPCC data (Ref. 46) and 0.0173 kg N2O/kg N due to exclusion of indirect emissions via leakage and leaching using the CT Crop Calculator (Ref. 47), and from ammonium nitrate fertiliser are 0.0163 kg N</t>
    </r>
    <r>
      <rPr>
        <vertAlign val="subscript"/>
        <sz val="10"/>
        <rFont val="Arial"/>
        <family val="2"/>
      </rPr>
      <t>2</t>
    </r>
    <r>
      <rPr>
        <sz val="10"/>
        <rFont val="Arial"/>
        <family val="2"/>
      </rPr>
      <t>O/kg N and from urea are 0.0234 kg N</t>
    </r>
    <r>
      <rPr>
        <vertAlign val="subscript"/>
        <sz val="10"/>
        <rFont val="Arial"/>
        <family val="2"/>
      </rPr>
      <t>2</t>
    </r>
    <r>
      <rPr>
        <sz val="10"/>
        <rFont val="Arial"/>
        <family val="2"/>
      </rPr>
      <t>O/kg N using Brentrup and Palli</t>
    </r>
    <r>
      <rPr>
        <sz val="10"/>
        <rFont val="Arial"/>
        <family val="2"/>
      </rPr>
      <t>é</t>
    </r>
    <r>
      <rPr>
        <sz val="10"/>
        <rFont val="Arial"/>
        <family val="2"/>
      </rPr>
      <t>re data (Ref. 2).</t>
    </r>
  </si>
  <si>
    <t xml:space="preserve"> - Carbon Dioxide Emissions from Soil (Lime)</t>
  </si>
  <si>
    <r>
      <t>Emissions of carbon dioxide from soil due to liming of 0.44 kg CO</t>
    </r>
    <r>
      <rPr>
        <vertAlign val="subscript"/>
        <sz val="10"/>
        <rFont val="Arial"/>
        <family val="2"/>
      </rPr>
      <t>2</t>
    </r>
    <r>
      <rPr>
        <sz val="10"/>
        <rFont val="Arial"/>
        <family val="2"/>
      </rPr>
      <t>/kg CaCO</t>
    </r>
    <r>
      <rPr>
        <vertAlign val="subscript"/>
        <sz val="10"/>
        <rFont val="Arial"/>
        <family val="2"/>
      </rPr>
      <t>3</t>
    </r>
    <r>
      <rPr>
        <sz val="10"/>
        <rFont val="Arial"/>
        <family val="2"/>
      </rPr>
      <t xml:space="preserve"> (Ref. 36).</t>
    </r>
  </si>
  <si>
    <t xml:space="preserve"> - Nitrous Oxide Emissions from Soil (Crop Residues)</t>
  </si>
  <si>
    <t>Based on calculated data in Crop Residue worksheet.</t>
  </si>
  <si>
    <t>Soil nitrous oxide emissions from crop residues are 0.0208 kg N2O/kg N using IPCC data (Ref. 8) and 0.0173 kg N2O/kg N using the CT Crop Calculator (Ref. 48).</t>
  </si>
  <si>
    <t xml:space="preserve"> - Carbon Dioxide Sequestration in Soil (Crop Residues)</t>
  </si>
  <si>
    <r>
      <t>kg CO</t>
    </r>
    <r>
      <rPr>
        <vertAlign val="subscript"/>
        <sz val="10"/>
        <rFont val="Arial"/>
        <family val="2"/>
      </rPr>
      <t>2</t>
    </r>
    <r>
      <rPr>
        <sz val="10"/>
        <rFont val="Arial"/>
        <family val="2"/>
      </rPr>
      <t>/ha.a</t>
    </r>
  </si>
  <si>
    <t xml:space="preserve"> - Nitrous Oxide Emissions from Soil (Organic Manure)</t>
  </si>
  <si>
    <t>Based on calculated data in Organic Manure worksheet.</t>
  </si>
  <si>
    <t>Soil nitrous oxide emissions from organic manure is 0.0223 kg N2O/kg N using IPCC data (Ref. 8) and 0.0188 kg N2O/kg N using the CT Crop Calculator (Ref. 48).</t>
  </si>
  <si>
    <t xml:space="preserve"> - Carbon Dioxide Sequestration in Soil (Organic Manure)</t>
  </si>
  <si>
    <t>t/ha.a (as harvested)</t>
  </si>
  <si>
    <t>fm_yield</t>
  </si>
  <si>
    <t>As harvested.  Default is 40.63 t/ha.a (Ref. 74).</t>
  </si>
  <si>
    <t>fm_mois</t>
  </si>
  <si>
    <t>Default is 68 % moisture content (by weight) (Ref. 74).</t>
  </si>
  <si>
    <t>Fertiliser Application</t>
  </si>
  <si>
    <t>Nitrogen Fertiliser Application Rate</t>
  </si>
  <si>
    <t>n_fert_type</t>
  </si>
  <si>
    <r>
      <t>CaCO</t>
    </r>
    <r>
      <rPr>
        <vertAlign val="subscript"/>
        <sz val="10"/>
        <rFont val="Trebuchet MS"/>
        <family val="2"/>
      </rPr>
      <t>3</t>
    </r>
  </si>
  <si>
    <r>
      <t>kg P</t>
    </r>
    <r>
      <rPr>
        <vertAlign val="subscript"/>
        <sz val="10"/>
        <rFont val="Trebuchet MS"/>
        <family val="2"/>
      </rPr>
      <t>2</t>
    </r>
    <r>
      <rPr>
        <sz val="10"/>
        <rFont val="Trebuchet MS"/>
        <family val="2"/>
      </rPr>
      <t>O</t>
    </r>
    <r>
      <rPr>
        <vertAlign val="subscript"/>
        <sz val="10"/>
        <rFont val="Trebuchet MS"/>
        <family val="2"/>
      </rPr>
      <t>5</t>
    </r>
    <r>
      <rPr>
        <sz val="10"/>
        <rFont val="Trebuchet MS"/>
        <family val="2"/>
      </rPr>
      <t>/ha.a</t>
    </r>
  </si>
  <si>
    <r>
      <t>kg K</t>
    </r>
    <r>
      <rPr>
        <vertAlign val="subscript"/>
        <sz val="10"/>
        <rFont val="Trebuchet MS"/>
        <family val="2"/>
      </rPr>
      <t>2</t>
    </r>
    <r>
      <rPr>
        <sz val="10"/>
        <rFont val="Trebuchet MS"/>
        <family val="2"/>
      </rPr>
      <t>O/ha.a</t>
    </r>
  </si>
  <si>
    <r>
      <t>kg CaCO</t>
    </r>
    <r>
      <rPr>
        <vertAlign val="subscript"/>
        <sz val="10"/>
        <rFont val="Trebuchet MS"/>
        <family val="2"/>
      </rPr>
      <t>3</t>
    </r>
    <r>
      <rPr>
        <sz val="10"/>
        <rFont val="Trebuchet MS"/>
        <family val="2"/>
      </rPr>
      <t>/ha.a or kg CaO/ha.a</t>
    </r>
  </si>
  <si>
    <t>p_fert</t>
  </si>
  <si>
    <r>
      <t>Default is an avarage application rate of 95 kg P</t>
    </r>
    <r>
      <rPr>
        <vertAlign val="subscript"/>
        <sz val="10"/>
        <rFont val="Arial"/>
        <family val="2"/>
      </rPr>
      <t>2</t>
    </r>
    <r>
      <rPr>
        <sz val="10"/>
        <rFont val="Arial"/>
        <family val="2"/>
      </rPr>
      <t>O</t>
    </r>
    <r>
      <rPr>
        <vertAlign val="subscript"/>
        <sz val="10"/>
        <rFont val="Arial"/>
        <family val="2"/>
      </rPr>
      <t>5</t>
    </r>
    <r>
      <rPr>
        <sz val="10"/>
        <rFont val="Arial"/>
        <family val="2"/>
      </rPr>
      <t>/ha.a (Ref. 74).</t>
    </r>
  </si>
  <si>
    <t>k_fert</t>
  </si>
  <si>
    <r>
      <t>Default is an average application rate of 212.5 kg K</t>
    </r>
    <r>
      <rPr>
        <vertAlign val="subscript"/>
        <sz val="10"/>
        <rFont val="Arial"/>
        <family val="2"/>
      </rPr>
      <t>2</t>
    </r>
    <r>
      <rPr>
        <sz val="10"/>
        <rFont val="Arial"/>
        <family val="2"/>
      </rPr>
      <t>O/ha.a (Ref. 74).</t>
    </r>
  </si>
  <si>
    <t>Nitrogen and Carbon Content of Incorporated Crop Residues</t>
  </si>
  <si>
    <t>t/ha.a</t>
  </si>
  <si>
    <t>t/ha.a at 0% moisture</t>
  </si>
  <si>
    <t>Above Ground Crop Residue Nitrogen Content</t>
  </si>
  <si>
    <t>Based on IPCC default data for Maize (Ref. 36, Table 11.2, Page 11.17).</t>
  </si>
  <si>
    <t>Above Ground Crop Residue Carbon Content</t>
  </si>
  <si>
    <t>Based on data for Maize straw (Ref. 44).</t>
  </si>
  <si>
    <t>Total Below Ground Crop Residue Dry Matter</t>
  </si>
  <si>
    <t>Below Ground Crop Residue Nitrogen Content</t>
  </si>
  <si>
    <t>Below Ground Crop Residue Carbon Content</t>
  </si>
  <si>
    <t>Assumed to be same as Maize straw (Ref. 44).</t>
  </si>
  <si>
    <t>Cited value of 23 ± 15% (Ref. 48).</t>
  </si>
  <si>
    <t>Nitrogen Addition to Soil (kg N/ha.a)</t>
  </si>
  <si>
    <r>
      <t>Carbon Sequestration in Soil (kg CO</t>
    </r>
    <r>
      <rPr>
        <vertAlign val="subscript"/>
        <sz val="10"/>
        <rFont val="Arial"/>
        <family val="2"/>
      </rPr>
      <t>2</t>
    </r>
    <r>
      <rPr>
        <sz val="10"/>
        <rFont val="Arial"/>
        <family val="2"/>
      </rPr>
      <t>/ha.a)</t>
    </r>
  </si>
  <si>
    <t>Incorporation of Above Ground Crop Residues</t>
  </si>
  <si>
    <t>Incorporation of Below Ground Crop Residues</t>
  </si>
  <si>
    <t>Spray Application</t>
  </si>
  <si>
    <t>Crop Protection Chemicals Application Rate</t>
  </si>
  <si>
    <t>crop_protect</t>
  </si>
  <si>
    <t>Crop Protection Chemicals Emissions Factor Source</t>
  </si>
  <si>
    <t>NNFCC Germany 1997 or CT Database Germany 1997 or BIOGRACE EC Database</t>
  </si>
  <si>
    <t>crop_protect_source</t>
  </si>
  <si>
    <t>Default value is "BIOGRACE EC Database".</t>
  </si>
  <si>
    <t>Options for Source of Crop Protection Chemicals Emissions Factor</t>
  </si>
  <si>
    <t>NNFCC Germany, 1996</t>
  </si>
  <si>
    <t>CT Database Germany, 1996</t>
  </si>
  <si>
    <t>Central Science Laboratory's Pesticide Usage Statistics, http://pusstats.csl.gov.uk, accessed April 2011</t>
  </si>
  <si>
    <t>Default is an average application rate for maize and sweetcorn for Great Britain of 1.12 kg/ha (Ref. 18).</t>
  </si>
  <si>
    <t>cult_time</t>
  </si>
  <si>
    <t>Default value for total machinery time of 6.29 h/ha.a for agricultural machinery for sub-soiling, ploughing, harrowing, sowing, applying fertilisers, pesticides, herbicides and fungicides, and harvesting (Ref. 2).</t>
  </si>
  <si>
    <t>Selection of Activity - Sub soiling</t>
  </si>
  <si>
    <t>sub_soiling</t>
  </si>
  <si>
    <t>Default is 1.</t>
  </si>
  <si>
    <t>Selection of Activity - Ploughing</t>
  </si>
  <si>
    <t>Selection of Activity - Cultivating with Power Harrow</t>
  </si>
  <si>
    <t>cult_harrow</t>
  </si>
  <si>
    <t>Selection of Activity - Drilling with Power Harrow</t>
  </si>
  <si>
    <t>drill_harrow</t>
  </si>
  <si>
    <t>Selection of Activity - FYM Application</t>
  </si>
  <si>
    <t>fym_application</t>
  </si>
  <si>
    <t>Selection of Activity - Applying Fertilisers</t>
  </si>
  <si>
    <t>fert_application</t>
  </si>
  <si>
    <t>Selection of Activity - Applying Pesticides, Herbicides and Fungicides</t>
  </si>
  <si>
    <t>spray_application</t>
  </si>
  <si>
    <t>forage_maize_harvest</t>
  </si>
  <si>
    <t>Diesel Fuel Consumption, Machinery Times, Machinery Operations</t>
  </si>
  <si>
    <t>cult_energy</t>
  </si>
  <si>
    <t>Machinery Times</t>
  </si>
  <si>
    <t>Default is "Machinery Times".</t>
  </si>
  <si>
    <t>cult_fuel_consumption</t>
  </si>
  <si>
    <t>Default value of 175.29 l/ha.a for total diesel fuel rate consumption based on a total machinery time of 6.29 h/ha.a for agricultural machinery for sub-soiling, ploughing, harrowing, sowing, applying fertilisers, pesticides, herbicides and fungicides (Ref. 2), and harvesting, a fuel consumption rate of  897.73 MJ/h (Ref. 1), and a net calorific value for conventional diesel of 35.9 MJ/l (Ref. 39).</t>
  </si>
  <si>
    <t>Options for Machinery Activities</t>
  </si>
  <si>
    <t>Diesel Fuel Consumption</t>
  </si>
  <si>
    <t>Cultivation Machinery Activities</t>
  </si>
  <si>
    <r>
      <t>Default setting CaCO</t>
    </r>
    <r>
      <rPr>
        <vertAlign val="subscript"/>
        <sz val="10"/>
        <rFont val="Trebuchet MS"/>
        <family val="2"/>
      </rPr>
      <t>3</t>
    </r>
  </si>
  <si>
    <t>CaCO3</t>
  </si>
  <si>
    <t>lime_fert</t>
  </si>
  <si>
    <t>fym_app1</t>
  </si>
  <si>
    <t>fym_app2</t>
  </si>
  <si>
    <t>fym_app3</t>
  </si>
  <si>
    <t>20.05.13</t>
  </si>
  <si>
    <t>Net calorific value of 35.9 MJ/l for conventional diesel (Ref. ASC1).</t>
  </si>
  <si>
    <t>Specification for a 15 kW Fodder Chopper with an Output of 3.5 to 9.0 t/h, www.fodderchopper.com, accessed 20 May 2013.</t>
  </si>
  <si>
    <t>final_chop_elec</t>
  </si>
  <si>
    <t>process_steam</t>
  </si>
  <si>
    <t>pretreat_loss</t>
  </si>
  <si>
    <t>fm_waste_solid_mois</t>
  </si>
  <si>
    <t xml:space="preserve">Unit Heat Available from Waste Solids, Lignin and Biogas = </t>
  </si>
  <si>
    <t>final_chop_loss</t>
  </si>
  <si>
    <r>
      <t>Authors:</t>
    </r>
    <r>
      <rPr>
        <sz val="10"/>
        <rFont val="Arial"/>
        <family val="2"/>
      </rPr>
      <t xml:space="preserve">  O. Mwabonje, C. Hatto and N. D. Mortimer</t>
    </r>
  </si>
  <si>
    <t>"Lignocellulosic Biomass to Ethanol Process Design and Economics Utilizing Co-Current Dilute Acid Prehydrolysis and Enzymatic Hydrolysis for Corn Stover" by A. Aden, M. Ruth, K. Ibsen, J. Jechura, K. Neeves, J. Sheehan, and B. Wallace, National Renewable Energy Laboratory, NREL/TP-510-32438, June 2002</t>
  </si>
  <si>
    <t>use_chp_fm</t>
  </si>
  <si>
    <t>chp_weight_fm</t>
  </si>
  <si>
    <t xml:space="preserve">Default value assumes same for annual input of forage maize of 500,000 t/a as sugar cane input capacity based on typical sugar cane mill (Ref. 48). </t>
  </si>
  <si>
    <t>prod_pl_input_fm</t>
  </si>
  <si>
    <t>prod_pl_life_fm</t>
  </si>
  <si>
    <t>Default value for annual operating time of 4320 h/a based on 180 d/a for a typical sugar cane mill (Ref. 48). Assumed to be the same for a forage maize biorefinery.</t>
  </si>
  <si>
    <t>prod_pl_op_time_fm</t>
  </si>
  <si>
    <t>boiler_eff_fm</t>
  </si>
  <si>
    <t>chp_eff_fm</t>
  </si>
  <si>
    <t>chp_h_to_p_fm</t>
  </si>
  <si>
    <t>"Farm Management Pocketbook" by J. Nix with P. Hill, 37th Edition, Wye College, University of London, London, United Kingdom, September 2012.</t>
  </si>
  <si>
    <t>Annual Forage Maize Input Capacity of Biorefinery</t>
  </si>
  <si>
    <t>Net Calorific Value of Waste Solids from Fermentation Broth and Forage Maize Treatment</t>
  </si>
  <si>
    <t xml:space="preserve">"Biofuels Pathways", JEC WTW study, V3b, April 2010 </t>
  </si>
  <si>
    <t>Modifying summary sheets.</t>
  </si>
  <si>
    <t>30.05.13</t>
  </si>
  <si>
    <t xml:space="preserve"> - Emissions from Soil (N Fertiliser)</t>
  </si>
  <si>
    <t>Minor corrections to text</t>
  </si>
  <si>
    <t>Charlotte Hatto</t>
  </si>
  <si>
    <t>17.06.13</t>
  </si>
  <si>
    <t>NM and OM</t>
  </si>
  <si>
    <t>Version 04</t>
  </si>
  <si>
    <t>Nigel Mortimer</t>
  </si>
  <si>
    <t>Version 01</t>
  </si>
  <si>
    <t>Version 02</t>
  </si>
  <si>
    <t>Version 03</t>
  </si>
  <si>
    <t>Phosphate Fertiliser Application Rate</t>
  </si>
  <si>
    <t>Potassium Fertiliser Application Rate</t>
  </si>
  <si>
    <t>Lime Fertiliser Source</t>
  </si>
  <si>
    <t>Lime Fertiliser Application Rate</t>
  </si>
  <si>
    <t>Net Calorific Value of Diesel Fuel</t>
  </si>
  <si>
    <t>Biomass Feedstock Yield =</t>
  </si>
  <si>
    <t>Harvested Biomass Feedstock =</t>
  </si>
  <si>
    <t>Moisture Content of Biomass Feedstock =</t>
  </si>
  <si>
    <t xml:space="preserve"> ha</t>
  </si>
  <si>
    <t xml:space="preserve"> t</t>
  </si>
  <si>
    <t>Net Calorific Value of Biomass Feedstock =</t>
  </si>
  <si>
    <t xml:space="preserve"> MJ/t</t>
  </si>
  <si>
    <t>Price of Biomass Feedstock =</t>
  </si>
  <si>
    <t xml:space="preserve"> £/t</t>
  </si>
  <si>
    <t xml:space="preserve">Transported Biomass Feedstock = </t>
  </si>
  <si>
    <t xml:space="preserve">     Delivered Biomass Feedstock at Plant  =</t>
  </si>
  <si>
    <t>Annual Biomass Feestock Input Capacity of Biorefinery =</t>
  </si>
  <si>
    <t xml:space="preserve"> t/a</t>
  </si>
  <si>
    <t>Life Cycle Greenhouse Gas Emissions for Production of Ethanol from Whole Maize or Stover with Allocation by Energy Content</t>
  </si>
  <si>
    <t>Ethanol from whole maize or stover at point of sale</t>
  </si>
  <si>
    <t>Life Cycle Greenhouse Gas Emissions for Production of Ethanol from Whole Maize or Stover with Allocation by Economic Value</t>
  </si>
  <si>
    <t>Life Cycle Greenhouse Gas Emissions for Production of Ethanol from Whole Maize or Stover with Allocation by Mass</t>
  </si>
  <si>
    <t>Life Cycle Greenhouse Gas Emissions for Production of Ethanol from Whole Maize or Stover with Allocation by Substitution</t>
  </si>
  <si>
    <t>Land used for the production of maize available at the field</t>
  </si>
  <si>
    <t>Lime Type</t>
  </si>
  <si>
    <t xml:space="preserve"> - maize harvesting </t>
  </si>
  <si>
    <t>Type of Biomass Feedstock for Biorefinery</t>
  </si>
  <si>
    <t>Type of Biomass Feedstock for Biorefinery =</t>
  </si>
  <si>
    <t>Whole Maize or Stover</t>
  </si>
  <si>
    <t>fm_type</t>
  </si>
  <si>
    <t>Whole Maize</t>
  </si>
  <si>
    <t>Stover</t>
  </si>
  <si>
    <t>Whole Maize Yield</t>
  </si>
  <si>
    <t>Whole Maize Moisture Content</t>
  </si>
  <si>
    <t>Maize Grain Yield</t>
  </si>
  <si>
    <t>Maize Grain Moisture Content</t>
  </si>
  <si>
    <t>Stover Yield</t>
  </si>
  <si>
    <t>Stover Moisture Content</t>
  </si>
  <si>
    <t>Input Sheet for Biorefinery Production with Whole Maize or Stover</t>
  </si>
  <si>
    <r>
      <t>Deliverable:</t>
    </r>
    <r>
      <rPr>
        <sz val="10"/>
        <rFont val="Arial"/>
        <family val="2"/>
      </rPr>
      <t xml:space="preserve">  D8.3 - Maize Supply Chain Workbook</t>
    </r>
  </si>
  <si>
    <t>This workbook calculates total primary energy inputs and total greenhouse gas emissions (carbon dioxide, methane, nitrous oxide and equivalent carbon dioxide) of a biorefinery based on the use of whole maize or stover as feedstock.</t>
  </si>
  <si>
    <t>gm_yield</t>
  </si>
  <si>
    <t>"European Confederation of Maize Production: Annual Report 2007 - 2008" Journées Mais, 17 September 2008.</t>
  </si>
  <si>
    <t>gm_mois</t>
  </si>
  <si>
    <t>Default value for maize grain moisture content of 15% based on assumed value at harvest (Ref. 78).</t>
  </si>
  <si>
    <r>
      <t>Default value for grain maize yield of 8.78 t/ha.a based on total grain maize production of 14 x 10</t>
    </r>
    <r>
      <rPr>
        <vertAlign val="superscript"/>
        <sz val="10"/>
        <rFont val="Trebuchet MS"/>
        <family val="2"/>
      </rPr>
      <t>6</t>
    </r>
    <r>
      <rPr>
        <sz val="10"/>
        <rFont val="Trebuchet MS"/>
        <family val="2"/>
      </rPr>
      <t xml:space="preserve"> t/a and total grain maize area of 1.595 x 10</t>
    </r>
    <r>
      <rPr>
        <vertAlign val="superscript"/>
        <sz val="10"/>
        <rFont val="Trebuchet MS"/>
        <family val="2"/>
      </rPr>
      <t>6</t>
    </r>
    <r>
      <rPr>
        <sz val="10"/>
        <rFont val="Trebuchet MS"/>
        <family val="2"/>
      </rPr>
      <t xml:space="preserve"> ha for France in 2008 (Ref. 77).</t>
    </r>
  </si>
  <si>
    <t>"Economics of Crop Residues: Corn Stover" by D. R. Petrolia, Transition to Bioeconomy Conference, Little Rock,Arkansas, United States of America, June 2009.</t>
  </si>
  <si>
    <t xml:space="preserve">"Harvest Index: A Predictor of Corn Stover Yield" by D. Pennington, Michigan State University Extension, 28 January 2013; http://msue.anr.msu.edu. </t>
  </si>
  <si>
    <t>"Buying and Selling Corn Silage or Other High Moisture Feeds" by D. Feuz, C. Israelsen, A. Young and L. Holmgren, Utah State University Co-operative Extension, Logan, Utah, United States of America, July 2012.</t>
  </si>
  <si>
    <t>Default value for harvested corn stover of t/ha.a based on a harvest index (weight of grain/weight of grain and stover) of 0.5 (Ref. 79), a grain maize yield of 8.78 t/ha.a (Ref. 77), a moisture content for grain maize of 15% (Ref. 78), a moisture content for corn stover of 68% (Ref. 80), and a recoverable harvest for corn stover of 35% (Ref. 78).</t>
  </si>
  <si>
    <t>cs_yield</t>
  </si>
  <si>
    <t>cs_mois</t>
  </si>
  <si>
    <t>Default value for corn stover moisture content of 68% (Ref. 80).</t>
  </si>
  <si>
    <t>t biomass feedstock delivered to biorefinery</t>
  </si>
  <si>
    <t>Biomass Feedstock</t>
  </si>
  <si>
    <t>Grain Maize Yield =</t>
  </si>
  <si>
    <t>Harvested Grain Maize =</t>
  </si>
  <si>
    <t>Moisture Content of Grain Maize =</t>
  </si>
  <si>
    <t>Net Calorific Value of Grain Maize =</t>
  </si>
  <si>
    <t>Price of Grain Maize=</t>
  </si>
  <si>
    <t>N Fertiliser Type</t>
  </si>
  <si>
    <t>P Fertiliser Type</t>
  </si>
  <si>
    <t>Options for Source of K Fertiliser Manufacturing Emissions Factor</t>
  </si>
  <si>
    <t>kg mineral/ha.a</t>
  </si>
  <si>
    <t>Options for Source of Lime Manufacturing Emissions Factor</t>
  </si>
  <si>
    <t>Biomass Feedstock Lorry Size Options (all stages)</t>
  </si>
  <si>
    <t>Biomass feedstock from field to biorefinery (Stage 1)</t>
  </si>
  <si>
    <t>Selection of Activity - Maize Harvesting</t>
  </si>
  <si>
    <t>Biomass feedstock from field to biorefinery (Stage 2)</t>
  </si>
  <si>
    <t>Default value for lorry size of 44 t GVW for biomass feedstock transport (stage 1) from field to biorefinery.</t>
  </si>
  <si>
    <t xml:space="preserve">Default setting for biomass feedstock transport (stage 1) from field to biorefinery of road transport. </t>
  </si>
  <si>
    <t>Default value for the round trip distance of 40 km by road for biomass feedstock transport (stage 1) from field to biorefinery (Ref. 48).</t>
  </si>
  <si>
    <t xml:space="preserve">Default value assumes no losses during biomass feedstock transport (stage 1) from field to biorefinery. </t>
  </si>
  <si>
    <t>Default value for lorry size of 44 t GVW for biomass feedstock transport (stage 2) from field to biorefinery.</t>
  </si>
  <si>
    <t xml:space="preserve">Default setting for biomass feedstock transport (stage 2) from field to biorefinery of road transport. </t>
  </si>
  <si>
    <t>Default value for the round trip distance of 40 km by road for biomass feedstock transport (stage 2) from field to biorefinery (Ref. 48).</t>
  </si>
  <si>
    <t xml:space="preserve">Default value assumes no losses during biomass feedstock transport (stage 2) from field to biorefinery. </t>
  </si>
  <si>
    <t>For Distribution</t>
  </si>
  <si>
    <t>Product Lorry Size Options (all products and stages)</t>
  </si>
  <si>
    <t>Transport Mode Options (all biomass feedstock, products and stages)</t>
  </si>
  <si>
    <t>price_gm</t>
  </si>
  <si>
    <t>price_cs</t>
  </si>
  <si>
    <t xml:space="preserve">Default value for stover of £ 56.70 per tonne based on average price for baled corn stover of $80 per US ton in the USA in 2012 (Ref. 81) and an exchange rate of £0.643/$. </t>
  </si>
  <si>
    <t>"Corn Stover in Missouri: Frequently Asked Questions"  Missouri State University Extension, Jefferson City, Missouri, United States of America, September 2012.</t>
  </si>
  <si>
    <t>Price of Grain Maize (at stated moisture content)</t>
  </si>
  <si>
    <t>Net Calorific Value of Grain Maize (at stated moisture content)</t>
  </si>
  <si>
    <t>CV_gm</t>
  </si>
  <si>
    <t>CV_cs</t>
  </si>
  <si>
    <t xml:space="preserve">Default value for grain maize of £ 225.06 per tonne based on average price for baled corn stover of $80 per US ton in the USA in 2012 (Ref. 81), an exchange rate of £0.643/$ and a relationship of corn silage price per US ton = 9 x grain maize price per bushel (Ref. 81) at 56 lb per bushel and 0.907 tonnes/US ton. </t>
  </si>
  <si>
    <t>"Process Design and Evaluation of Butanol Production from Lignocellulosic Biomass" by C.M. Daza Montaño, Presented at Bioenergy 2009, 4th International Bioenergy Conference and Exibition on 31st August to 4th September 2009, Jyväskylä, Finland, ECN-L--09-117.</t>
  </si>
  <si>
    <t>"Maize: ID401" Phyllis 2 database, www.ecn.nl/phyllis, accessed 29 July 2013.</t>
  </si>
  <si>
    <t>"Corn Stover: ID704" Phyllis 2 database, www.ecn.nl/phyllis, accessed 29 July 2013.</t>
  </si>
  <si>
    <t>Default value for net calorific value of grain maize at 15% moisture content of 13670 MJ/t (Ref. 82).</t>
  </si>
  <si>
    <t>Default value for net calorific value for stover at 68% moisture content of 3730 MJ/t (Ref.83).</t>
  </si>
  <si>
    <t>Hexoses Liquor Yield</t>
  </si>
  <si>
    <t>Hexoses Liquor Net Calorific Value</t>
  </si>
  <si>
    <t>Overall Percentage Allocation for Drying Waste Solids, Waste Water Treatment, Recovered Carbon Dioxide Credit, Surplus Electricity Sales Credit and Biorefinery Plant to Ethanol</t>
  </si>
  <si>
    <t>Overall Percentage Allocation for Drying Waste Solids, Waste Water Treatment, Surplus Electricity Sales Credit and Biorefinery Plant to Ethanol</t>
  </si>
  <si>
    <t>Grain Maize</t>
  </si>
  <si>
    <t>Biomass Feedstock Yield</t>
  </si>
  <si>
    <t>Biomass Feedstock Net Calorific Value</t>
  </si>
  <si>
    <t>Grain Maize Yield</t>
  </si>
  <si>
    <t>Grain Maize Net Calorific Value</t>
  </si>
  <si>
    <t>Price of Stover/Whole Maize (at stated moisture content)</t>
  </si>
  <si>
    <t>Net Caolorific Value of Stover/Whole Maize (at stated moisture content)</t>
  </si>
  <si>
    <t>31.07.13</t>
  </si>
  <si>
    <t>M£/t</t>
  </si>
  <si>
    <t>Biomass Feedstock Price</t>
  </si>
  <si>
    <t>Grain Maize Price</t>
  </si>
  <si>
    <t>Biomass Feedstock Type</t>
  </si>
  <si>
    <t>Ethanol Produced from Maize in Europe</t>
  </si>
  <si>
    <t>Substitution Credit for Grain Maize</t>
  </si>
  <si>
    <t>sub_cred_gm</t>
  </si>
  <si>
    <r>
      <t>Default value for substitution credit for grain maize (15 % moisture content) of 331 kg eq. CO</t>
    </r>
    <r>
      <rPr>
        <vertAlign val="subscript"/>
        <sz val="10"/>
        <rFont val="Trebuchet MS"/>
        <family val="2"/>
      </rPr>
      <t>2</t>
    </r>
    <r>
      <rPr>
        <sz val="10"/>
        <rFont val="Trebuchet MS"/>
        <family val="2"/>
      </rPr>
      <t>/t based on displacement of feed barley at 15% moisture content with total GHG emissions for cultivation only of 317 kg eq. CO</t>
    </r>
    <r>
      <rPr>
        <vertAlign val="subscript"/>
        <sz val="10"/>
        <rFont val="Trebuchet MS"/>
        <family val="2"/>
      </rPr>
      <t>2</t>
    </r>
    <r>
      <rPr>
        <sz val="10"/>
        <rFont val="Trebuchet MS"/>
        <family val="2"/>
      </rPr>
      <t>/t (Ref. 84) and equivalence of 1.045 t of feed barley per t of maize based on metalizable energy content of 13.2 MJ/kg dry matter for barley and 13.8 MJ/kg dry matter for maize (Ref. 11).</t>
    </r>
  </si>
  <si>
    <t>"Selected Life Cycle Assessment of Crushed Feed Barley" NF0614CrusBar02open.xls by North Energy Associates Ltd., Contract No. NF0614, National Non-Food Crops Centre, York, 2006.</t>
  </si>
  <si>
    <t>Grain Maize (15% moisture content) Yield</t>
  </si>
  <si>
    <t>Grain Maize (15% moisture content) Substitution Credit</t>
  </si>
  <si>
    <t>Grain Maize (15% moisture content)</t>
  </si>
  <si>
    <t>Default is to take into account soil nitrous oxide emissions from crop residue incorporation (value = 1).</t>
  </si>
  <si>
    <t xml:space="preserve">Default is to take into account soil nitrous oxide emissions from organic manure application (value = 1). </t>
  </si>
  <si>
    <t>Biomass Feedstock Moisture Content</t>
  </si>
  <si>
    <t xml:space="preserve">Assumes whole maize harvesting removes all above ground biomass and stover harvesting recovers 35% of above ground biomass. </t>
  </si>
  <si>
    <t>Total Above Ground Crop Residue Dry Matter Incorporated</t>
  </si>
  <si>
    <t>Biomass Feedstock Dry Matter Removed</t>
  </si>
  <si>
    <t>kg eq CO2/t et</t>
  </si>
  <si>
    <t>MJ/t et (range +/-)</t>
  </si>
  <si>
    <t>kg eq CO2/t et (range +/-)</t>
  </si>
  <si>
    <t>Value (MJ/t et)</t>
  </si>
  <si>
    <t>Range+/- (MJ/t et)</t>
  </si>
  <si>
    <t>Value (kg CO2/t et)</t>
  </si>
  <si>
    <t>Range +/- (kg CO2/t et)</t>
  </si>
  <si>
    <t>Value (kg CH4/t et)</t>
  </si>
  <si>
    <t>Range +/- (kg CH4/t et)</t>
  </si>
  <si>
    <t>Value (kg N2O/t et)</t>
  </si>
  <si>
    <t>Range +/- (kg N2O/t et)</t>
  </si>
  <si>
    <t>Value (kg eq CO2/t et)</t>
  </si>
  <si>
    <t>Range +/- (kg eq CO2/t et)</t>
  </si>
  <si>
    <t>Minor corrections to text.  Modification for choice of whole maize (forage maize) or stover (maize residue) as biomass feedstock to biorefinery in Input, Unit Flow Chart, Summary, Allocation, Substitution Credit, Cultivation and Crop Residue worksheets.  Change of location to "Europe" in Cell B2 and corrections to formulae in Cells F26, G26 and H26 in Allocation Mass worksheet.  Corrections to substitution credits in Acetone and Butanol Summary Substitution Credit worksheets.</t>
  </si>
  <si>
    <t>Version 05</t>
  </si>
  <si>
    <t>26.09.13</t>
  </si>
  <si>
    <t>Total carbon requirement of seeds assuming mainly diesel fuel consumption in production. Primary energy / 1.073 (to obtain delivered energy) x CO2 multiplier (Ref. P7).</t>
  </si>
  <si>
    <t>Primary energy multiplier for diesel fuel in United Kingdom in 2004 (Ref. P7).</t>
  </si>
  <si>
    <t>Carbon dioxide emissions factor for diesel fuel in United Kingdom in 2004 (Ref. P7).</t>
  </si>
  <si>
    <t>Total methane requirement for diesel fuel in United Kingdom in 2004 (Ref. P7).</t>
  </si>
  <si>
    <t>Nitrous oxide emissions factor for diesel fuel in United Kingdom in 2004 (Ref. P7).</t>
  </si>
  <si>
    <t>Total nitrous oxide requirement of seeds assuming mainly diesel fuel consumption in production. Primary energy / 1.11 (to obtain delivered energy) x N2O multiplier (Ref. P7)</t>
  </si>
  <si>
    <t>Total methane requirement of seeds assuming mainly diesel fuel consumption in production. Primary energy / 1.11 (to obtain delivered energy) x methane multiplier (Ref. P7).</t>
  </si>
  <si>
    <t>Default is an average application rate of 135 kg N/ha.a if only artificial N fertiliser is applied (Ref. 74)</t>
  </si>
  <si>
    <t>Default is zero if only artificial N fertiliser is applied oetherwise it is 40000 kg/ha.a of cattle farm yard manure (solid) (Ref. 74).</t>
  </si>
  <si>
    <t>Default is zero if only artificial N fertiliser is applied otherwise it is 25000 kg/ha.a of pig farm yard manure (solid) (Ref. 74).</t>
  </si>
  <si>
    <t>Default is zero if only artificial N fertiliser is applied otherwise it is 8000 kg/ha.a of poultry farm yard manure (solid) (Ref. 74).</t>
  </si>
  <si>
    <t>Version 06</t>
  </si>
  <si>
    <t>Correction to formulae in Cells M74, S74 and Y74 for emissions factors for seeds in Cultivation worksheet.  Modifications to notes for artificial and organic N fertiliser application rates (Rows 37, 50, 51 and 52) in Input worksheet.  Corrections to distribution transport formulae in Summary Butanol and Ethanol worksheets.  Corrections to biorefinery plant formulae and ship transport distribution stage 2 nitrous oxide emissions error (Column M) in all Summary worksheets.</t>
  </si>
  <si>
    <t xml:space="preserve"> t cws (at stated moisture content)</t>
  </si>
  <si>
    <t xml:space="preserve"> t dws (at stated moisture content)</t>
  </si>
  <si>
    <t>"Improving the Sustainability of the Brazilian Sugar Cane Industry" by A. van den Bos, I. Yildiz and C. Hamelinck, NL Agency, Utrecht, the Netherlands, 27 April 2012.</t>
  </si>
  <si>
    <t>process_elect</t>
  </si>
  <si>
    <t xml:space="preserve"> t maf</t>
  </si>
  <si>
    <t xml:space="preserve"> MJ/t maf</t>
  </si>
  <si>
    <t xml:space="preserve"> £/t maf</t>
  </si>
  <si>
    <t xml:space="preserve"> kWh/t maf</t>
  </si>
  <si>
    <t>kWh/t maf</t>
  </si>
  <si>
    <t>"Production of Bioethanol and Other Bio-based Materials from Sugarcane Bagasse: Integration to Conventional Bioethanol Production Process" by M. O.S. Dias, A. V. Ensinas, S. A. Nebra, R. M. Filho, C. E.V. Rossell and M. R. W. Maciel, Chemical Engineering Research and Design, Vol. 87, p. 1206-1216, 2009.</t>
  </si>
  <si>
    <t>"Sugar Cane Bagasse Prehydrolysis Using Water" by D. Abril, M. Medina and A. Abril, Brazilian Journal of Chemical Engineering, Vo. 29, No. 1, January/March 2012.</t>
  </si>
  <si>
    <t xml:space="preserve"> t cmf</t>
  </si>
  <si>
    <t xml:space="preserve"> MJ/t cmf</t>
  </si>
  <si>
    <t xml:space="preserve"> kWh/t cmf</t>
  </si>
  <si>
    <t xml:space="preserve"> t pnl (9% pentose by weight)</t>
  </si>
  <si>
    <t xml:space="preserve"> MJ/t pnl (9% pentose by weight)</t>
  </si>
  <si>
    <t xml:space="preserve"> £/t pnl (9% pentose by weight)</t>
  </si>
  <si>
    <r>
      <t xml:space="preserve"> kg eq. CO</t>
    </r>
    <r>
      <rPr>
        <vertAlign val="subscript"/>
        <sz val="10"/>
        <rFont val="Arial"/>
        <family val="2"/>
      </rPr>
      <t>2</t>
    </r>
    <r>
      <rPr>
        <sz val="10"/>
        <rFont val="Arial"/>
        <family val="2"/>
      </rPr>
      <t>/t pnl (9% pentose by weight)</t>
    </r>
  </si>
  <si>
    <t>odt hx/odt cmf</t>
  </si>
  <si>
    <t>odt lgn/odt cmf</t>
  </si>
  <si>
    <t xml:space="preserve"> t wss</t>
  </si>
  <si>
    <t xml:space="preserve">Waste Solids Solids from Maize Treatment = </t>
  </si>
  <si>
    <t xml:space="preserve"> t wss (at stated moisture content)</t>
  </si>
  <si>
    <t xml:space="preserve">Moisture Content of Waste Solids Solution from Maize Treatment = </t>
  </si>
  <si>
    <t xml:space="preserve">Combined Waste Solids Solutions for Drying = </t>
  </si>
  <si>
    <t xml:space="preserve">Waste Solids Solution from Fermentation = </t>
  </si>
  <si>
    <t xml:space="preserve">Moisture Content of Waste Solids from Fermentation Broth = </t>
  </si>
  <si>
    <t>odt pn/odt cmf</t>
  </si>
  <si>
    <t>"Medium and Long-term Opportunities and Risks of the Biotechnological Production of Bulk Chemicals from Renewable Resources - The Potential of White Biology, The BREW Project" Final report prepared under the European Commission's GROWTH Programme (DG Research), Utrecht, Netherlands, September 2006</t>
  </si>
  <si>
    <t>kg steam/t et</t>
  </si>
  <si>
    <t>16.07.14</t>
  </si>
  <si>
    <t>"Expansion of Sugarcane Ethanol production in Brazil: Environmental and Social Challenges" by Luiz A. Martinelli and Solange Filoso, Ecological Applications, 18(4), 2008, pp. 885–898</t>
  </si>
  <si>
    <t>Change in default value for CHP heat to power ratio from 3.0 to 5.7 in Cell F132 of Input worksheet.  Correction to default value for unit heat requirement of maize processing in Cell F138 and subsequent note in Input worksheet.  Addition of unit electricity requirement for maize processing in Row 160 of Input worksheet and in Unit Flow Chart worksheet.  Re-organisation of bioethanol production entries in Input worksheet.  Correction to default value of unit electricity requirement of maize final chopping in Cell F136 of Input worksheet.  Modifications to default values and related notes for unit hexoses production, unit pentoses production, lignin and waste solids production in Rows 141, 143, 144 and 146, respectively, of Input worksheet.  Modifications to formulae in Cells J169, N169, S135, S137, S169, W169, S245, AA79, AA113, AA128, AA130, AC262, AC270, AC272, AC283 and AC310 in Unit Flow Chart.</t>
  </si>
  <si>
    <t>Losses in Fermentation</t>
  </si>
  <si>
    <t>Version 07</t>
  </si>
  <si>
    <t>17.07.14</t>
  </si>
  <si>
    <t>Introduction of electricity input into Pre-Treat Hydrolysis and Summary worksheets.  Correction to formula in Cell B12 of Pre-Treat Hydrolysis worksheet.  Addition of Ultrafiltration, Distillation and Dehydration to summary tables and charts in Energy, Price and Mass Summary worksheets.</t>
  </si>
  <si>
    <t>Maize Biorefinery</t>
  </si>
  <si>
    <t>"Process Design and Economics for Biochemical Conversion of Lignocellulosic Biomass to Ethanol: Dilute-acid pretreatment and enzymatic hydrolysis of corn stover" by D. Humbird, R. Davis, L. Tao, C. Kirchin, D. Hsu, A. Aden, P. Schoen, J. Lukas, B. Olthof, M. Worley, D. Sexton and D. Dudgeonm, Technical Report NREL/TP-5100-47764, National Technical Energy Laboratory, Golden, Colorado, United States of America, May 2011.</t>
  </si>
  <si>
    <t>Default value for yield of ethanol of 0.483 6g/g fermentable sugar (Ref. 87; Page 119, Component 315).</t>
  </si>
  <si>
    <t>Yield of Ethanol</t>
  </si>
  <si>
    <t>t et</t>
  </si>
  <si>
    <t>yield_et</t>
  </si>
  <si>
    <t>g et/litre of broth</t>
  </si>
  <si>
    <t>Default value for broth concentration of 50.8 g et/litre (Ref. 87; Page 119, Component 315).</t>
  </si>
  <si>
    <t xml:space="preserve"> t et/t fermentable sugar</t>
  </si>
  <si>
    <t xml:space="preserve">Ethanol in Fermentation Broth = </t>
  </si>
  <si>
    <t xml:space="preserve">  t et</t>
  </si>
  <si>
    <t xml:space="preserve"> g et/l</t>
  </si>
  <si>
    <r>
      <t xml:space="preserve"> m</t>
    </r>
    <r>
      <rPr>
        <vertAlign val="superscript"/>
        <sz val="10"/>
        <rFont val="Arial"/>
        <family val="2"/>
      </rPr>
      <t>3</t>
    </r>
    <r>
      <rPr>
        <sz val="10"/>
        <rFont val="Arial"/>
        <family val="2"/>
      </rPr>
      <t>/t et</t>
    </r>
  </si>
  <si>
    <t xml:space="preserve">Ethanol in Permeate = </t>
  </si>
  <si>
    <t xml:space="preserve">Yield of Ethanol = </t>
  </si>
  <si>
    <t>PRODUCTION OF ETHANOL</t>
  </si>
  <si>
    <r>
      <t>t CO</t>
    </r>
    <r>
      <rPr>
        <vertAlign val="subscript"/>
        <sz val="10"/>
        <rFont val="Trebuchet MS"/>
        <family val="2"/>
      </rPr>
      <t>2</t>
    </r>
    <r>
      <rPr>
        <sz val="10"/>
        <rFont val="Trebuchet MS"/>
        <family val="2"/>
      </rPr>
      <t>/t et</t>
    </r>
  </si>
  <si>
    <t>Default value for carbon dioxide yield of 0.876 t/t et (Ref. 87; Page 119, Component 315).</t>
  </si>
  <si>
    <t>Ethanol (in fermentation broth) Yield</t>
  </si>
  <si>
    <t xml:space="preserve">Price for Ethanol = </t>
  </si>
  <si>
    <t xml:space="preserve">Net Calorific Value for Ethanol = </t>
  </si>
  <si>
    <t>Ethanol (in fermentation broth) Average Price</t>
  </si>
  <si>
    <t xml:space="preserve">Default value for steam requirement of 0 kg/t ethanol (Ref. 87; Page 119, Component 315). </t>
  </si>
  <si>
    <t xml:space="preserve">Default value for electricity requirement of 12.0 kWh/t ethanol (Ref. 87; Page 119, Component 315). </t>
  </si>
  <si>
    <t>BIOMASS/NATURAL GAS-FIRED BOILER</t>
  </si>
  <si>
    <t>BIOMASS/NATURAL GAS-FIRED BOILER AND GRID ELECTRICITY</t>
  </si>
  <si>
    <t>BIOMASS/NATURAL GAS-FIRED COMBINED HEAT AND POWER PLANT</t>
  </si>
  <si>
    <t>Assuming that heat and electricity is provided by either a biomass/natural gas-fired boiler and imported grid electricity or a biomass/natural gas-fired combined heat and power plant.</t>
  </si>
  <si>
    <t>The Unit Flow Chart worksheet represents the process stages involved in the cultivation and harvesting of maize in the European Union (EU) and its subsequent processing in a conceptual biorefinery to provide ethanol as the main product.</t>
  </si>
  <si>
    <t>Maize Ethanol NREL Biorefinery</t>
  </si>
  <si>
    <t>BIOMASS MILLIING</t>
  </si>
  <si>
    <t>Biomass Milling in Biorefinery</t>
  </si>
  <si>
    <t>Biomass Milling</t>
  </si>
  <si>
    <t>Unit electricity input to milling specified in "Unit Flow Chart" worksheet.</t>
  </si>
  <si>
    <t>Unit Electricity Requirement for Biomass Milling (kWh/t et)</t>
  </si>
  <si>
    <t>Unit Electricity Requirement for Biomass Milling</t>
  </si>
  <si>
    <t>Losses in Biomass Milling</t>
  </si>
  <si>
    <t>Default value of 0% losses during biomass milling.</t>
  </si>
  <si>
    <t>Unit Heat Requirement for Biomass Processing</t>
  </si>
  <si>
    <t xml:space="preserve">Milled Biomass Feedstock = </t>
  </si>
  <si>
    <t xml:space="preserve">Moisture Content of Milled Biomass Feedstock = </t>
  </si>
  <si>
    <t>kg steam/odt cmf</t>
  </si>
  <si>
    <t xml:space="preserve"> PRE-TREATMENT, ENZYME PRODUCTION AND ENZYMATIC HYDROLYSIS</t>
  </si>
  <si>
    <t>kWh/odt cmf</t>
  </si>
  <si>
    <t>Default value assumes no losses during biomass pre-treatment and enzymatic hydrolysis.</t>
  </si>
  <si>
    <t xml:space="preserve">Unit Heat Requirement for Biomass Processing = </t>
  </si>
  <si>
    <t xml:space="preserve">Unit Electricity Requirement for Biomass Processing = </t>
  </si>
  <si>
    <t xml:space="preserve">Losses in Biomass Processing = </t>
  </si>
  <si>
    <t>Unit Electricity Requirement for Biomass Processing</t>
  </si>
  <si>
    <t>Losses in Biomass Processing</t>
  </si>
  <si>
    <t>Unit Hexoses Production from Biomass Processing</t>
  </si>
  <si>
    <t>Hexoses Concentration</t>
  </si>
  <si>
    <t>hexoses_conc</t>
  </si>
  <si>
    <t>Default value for soluble sugar concentration of saccharified slurry of 11.7% (Ref. 87; Page 28).</t>
  </si>
  <si>
    <t xml:space="preserve">Hexoses Liquor Concentration = </t>
  </si>
  <si>
    <t xml:space="preserve"> % by weight</t>
  </si>
  <si>
    <t xml:space="preserve"> t hxl at specified concentration</t>
  </si>
  <si>
    <t>No pentose separation with NREL process - pentose removed in waste solids (Ref. 87).</t>
  </si>
  <si>
    <t>Unit Pentose Production from Biomass Processing</t>
  </si>
  <si>
    <t>Unit Lignin Production from Biomass Processing</t>
  </si>
  <si>
    <t>Unit heat input to pre-treatment, emzyme production and enzyme hydrolysis specified in "Unit Flow Chart" worksheet.</t>
  </si>
  <si>
    <t>Unit electricity input to pre-treatment, enzyme production and enzyme hydrolysis specified in "Unit Flow Chart" worksheet.</t>
  </si>
  <si>
    <t xml:space="preserve"> MJ/t hxl at specified concentration</t>
  </si>
  <si>
    <t xml:space="preserve"> £/t hxl st specified concentration</t>
  </si>
  <si>
    <t>process_H2SO4</t>
  </si>
  <si>
    <t>kg/odt cmf</t>
  </si>
  <si>
    <t>process_NH3</t>
  </si>
  <si>
    <t>Default value for unit electricity requirement of biomass milling of 7.9 kWh/t as received biomass (Ref. 87; Page 56, Figure 15).</t>
  </si>
  <si>
    <t>process_CSL</t>
  </si>
  <si>
    <t>process_DIAPHOS</t>
  </si>
  <si>
    <t>process_SORBITOL</t>
  </si>
  <si>
    <t>process_GLUCOSE</t>
  </si>
  <si>
    <t>process_NUTRIENT</t>
  </si>
  <si>
    <t>process_SO2</t>
  </si>
  <si>
    <t>Unit Heat Input to Biomass Processing (MJ/t et)</t>
  </si>
  <si>
    <t>Unit Electricity Input to Biomass Processing (kWh/t et)</t>
  </si>
  <si>
    <t>Unit Sulphuric Acid (93%) Input to Biomass Processing (kg/t et)</t>
  </si>
  <si>
    <t>Unit Ammonia Input to Biomass Processing (kg/t et)</t>
  </si>
  <si>
    <t>Unit Corn Steep Liquor Input to Biomass Processing (kg/t et)</t>
  </si>
  <si>
    <t>Unit Diammonium Phosphate Input to Biomass Processing (kg/t et)</t>
  </si>
  <si>
    <t>Unit Sorbitol Input to Biomass Processing (kg/t et)</t>
  </si>
  <si>
    <t>Unit Glucose Input to Biomass Processing (kg/t et)</t>
  </si>
  <si>
    <t>Unit Hot Nutrient Input to Biomass Processing (kg/t et)</t>
  </si>
  <si>
    <t>Unit Sulphur Dioxide Input to Biomass Processing (kg/t et)</t>
  </si>
  <si>
    <t>Sulphuric Acid (93%) Input</t>
  </si>
  <si>
    <t>Corn Steep Liquor Input</t>
  </si>
  <si>
    <t>Diammonium Phosphate Input</t>
  </si>
  <si>
    <t>Sorbitol Input</t>
  </si>
  <si>
    <t>Glucose Input</t>
  </si>
  <si>
    <t>Hot Nutrient Input</t>
  </si>
  <si>
    <t>Sulphur Dioxide Input</t>
  </si>
  <si>
    <t>Unit sulphuric acid (93%) input to pre-treatment, enzyme production and enzyme hydrolysis specified in "Input" worksheet.</t>
  </si>
  <si>
    <t>Unit ammonia input to pre-treatment, enzyme production and enzyme hydrolysis specified in "Input" worksheet.</t>
  </si>
  <si>
    <t>Unit corn steep liquor input to pre-treatment, enzyme production and enzyme hydrolysis specified in "Input" worksheet.</t>
  </si>
  <si>
    <t>Unit diammonium phosphate input to pre-treatment, enzyme production and enzyme hydrolysis specified in "Input" worksheet.</t>
  </si>
  <si>
    <t>Unit sorbitol input to pre-treatment, enzyme production and enzyme hydrolysis specified in "Input" worksheet.</t>
  </si>
  <si>
    <t>Unit glucose input to pre-treatment, enzyme production and enzyme hydrolysis specified in "Input" worksheet.</t>
  </si>
  <si>
    <t>Unit hot nutrient input to pre-treatment, enzyme production and enzyme hydrolysis specified in "Input" worksheet.</t>
  </si>
  <si>
    <t>Unit sulphur dioxide input to pre-treatment, enzyme production and enzyme hydrolysis specified in "Input" worksheet.</t>
  </si>
  <si>
    <t>Primary energy multiplier for sulphuric acid (Ref. 13).</t>
  </si>
  <si>
    <t>Carbon dioxide emissions factor fpr sulphuric acid (Ref. 13).</t>
  </si>
  <si>
    <t>Methane emissions factor for sulphuric acid (Ref. 13).</t>
  </si>
  <si>
    <t>Nitrous oxide emissions factor for sulphuric acid (Ref. 13).</t>
  </si>
  <si>
    <t xml:space="preserve">Estimated by Anna Evans from data provided in " Energy Efficiency Improvement and Cost Saving Opportunities for the Corn Wet Milling Industry An ENERGY STAR Guide for Energy and Plant Managers" Christina Galitsky, Ernst Worrell and Michael Ruth 2003, ERNEST ORLANDO LAWRENCE BERKELEY NATIONAL LABORATORY </t>
  </si>
  <si>
    <t>Primary energy multiplier for corn steep liquor of 18.96 MJ/kg (Ref. 88).</t>
  </si>
  <si>
    <t>Carbon dioxide emissions factor for corn steep liquor of 1.01375 kg CO2/kg (Ref. 88).</t>
  </si>
  <si>
    <t>Methane emissions factor for corn steep liquor of 0.002523 kg CH4/kg (Ref. 88).</t>
  </si>
  <si>
    <t>Nitrous oxide emissions factor for corn steep liquor of 0.000996 kg N2O/kg (Ref. 88).</t>
  </si>
  <si>
    <t>Methane emissions factor for ammonia 0.00311 kg CH4/kg (Ref. 17).</t>
  </si>
  <si>
    <t>Nitrous oxide emissions factor for ammonia 0.00000384 kg N2O/kg (Ref. 17).</t>
  </si>
  <si>
    <t>Carbon dioxide emissions factor for diammonium phosphate, European Union average, 2006, of 0.66996 kg CO2/kg product (Ref. 67).</t>
  </si>
  <si>
    <t>Primary energy multiplier for diammonium phosphate, European Union average, 2006, of 12.024 MJ/kg product (Ref. 67).</t>
  </si>
  <si>
    <t>Methane emissions factor for diammonium phosphate, European Union average, 2006, of 0.001296 kg CH4/kg product (Ref. 67).</t>
  </si>
  <si>
    <t>Nitrous oxide emissions factor for diammonium phosphate, European Union average, 2006, of 0 kg N2O/kg product (Ref. 67).</t>
  </si>
  <si>
    <t>Primary energy multiplier for sulphur dioxide of 5.50 MJ/kg based on sulphur content (Ref. 13).</t>
  </si>
  <si>
    <t>Carbon dioxide emissions factor for sulphur dioxide 0f 0.445 kg CO2/kg based on sulphur content (Ref. 13).</t>
  </si>
  <si>
    <t>Methane emissions factor for sulphur dioxide of 0.0000125 kg CH4/kg based on sulphur content (Ref. 13).</t>
  </si>
  <si>
    <t>Nitrous oxide emissions factor for sulphur dioxide 0f 0.00000330 kg N2O/kg based on sulphur content (Ref. 13).</t>
  </si>
  <si>
    <t>"Biorefinery Appendices" http://2011.igem.org, accessed 25 August 2014.</t>
  </si>
  <si>
    <t xml:space="preserve">Approximate primary energy multiplier for sorbitol based on 33.5 MJ/£ from Industry Group 21 for Other Organic Basic Chemicals (Ref. 15) and a 2004 price for sorbitol of £0.32/kg (Ref. 89). </t>
  </si>
  <si>
    <t xml:space="preserve">Approximate methane emissions factor for sorbitol based on 0.00321 kg CO2/£ from Industry Group 21 for Other Organic Basic Chemicals (Ref. 15) and a 2004 price for sorbitol of £0.32/kg (Ref. 89). </t>
  </si>
  <si>
    <t xml:space="preserve">Approximate carbon dioxide emissions factor for sorbitol based on 2.25 kg CO2/£ from Industry Group 21 for Other Organic Basic Chemicals (Ref. 15) and a 2004 price for sorbitol of £0.32/kg (Ref. 89). </t>
  </si>
  <si>
    <t xml:space="preserve">Approximate nitrous oxide emissions factor for sorbitol based on 0.00104 kg CO2/£ from Industry Group 21 for Other Organic Basic Chemicals (Ref. 15) and a 2004 price for sorbitol of £0.32/kg (Ref. 89). </t>
  </si>
  <si>
    <t>Primary energy multiplier for glucose based on average value for corn syrup ranging from 6.8 to 9.3 MJ/kg (Ref. 90).</t>
  </si>
  <si>
    <t>"Energy and Greenhouse Gas Assessment of European Glucose Production from Corn - a multiple allocation approach for key ingredients of the bio-based economy" by I. Tsiropoulos, B. Cok and M. K. Patel, Journal of Cleaner Technology, Vol. 43, pp. 182 - 190, March 2013.</t>
  </si>
  <si>
    <t>Approximate carbon dioxide emissions factor for glucose based on average total greenhouse gas emissions factor for corn syrup ranging from 0.7 to 1.1 kg eq. CO2/kg (Ref. 90).</t>
  </si>
  <si>
    <t>Methane emissions factor for corn syrup unknown but included in carbon dioxide emissions factor.</t>
  </si>
  <si>
    <t>Nitrous oxide emissions factor for corn syrup unknown but included in carbon dioxide emissions factor.</t>
  </si>
  <si>
    <t>Primary energy multiplier for hot nutrient assumed to be equivalent to corn syprup based on average value for corn syrup ranging from 6.8 to 9.3 MJ/kg (Ref. 90).</t>
  </si>
  <si>
    <t>Methane emissions factor for hot nutrient unknown but included in carbon dioxide emissions factor.</t>
  </si>
  <si>
    <t>Nitrous oxide emissions factor for hot nutrient unknown but included in carbon dioxide emissions factor.</t>
  </si>
  <si>
    <t>Ammonia Input</t>
  </si>
  <si>
    <t>Caustic Soda Input</t>
  </si>
  <si>
    <t>process_NaOH</t>
  </si>
  <si>
    <t>Default value for unit caustic soda requirement set at 0 kg/odt milled biomass for NREL process.</t>
  </si>
  <si>
    <t>Default value for unit steam requirement for biomass pre-treatment of 55.2 kg/odt milled biomass for NREL process (Ref. 87; Page 73, Figure 18).</t>
  </si>
  <si>
    <t>Default value for unit electricity requirement for biomass pre-treatment, enzyme production and enzymatic hydrolysis of 68.9 + 63.9 +26.3 = 159.1 kWh/odt milled biomass for NREL process (Ref. 87; Page 56, Figure 15) .</t>
  </si>
  <si>
    <t>Default value for unit sulphuric acid (93%) requirement of 23.8 kg/odt milled biomass for NREL process (Ref. 87; Page 63, Table 30).</t>
  </si>
  <si>
    <t>Default value for unit ammonia requirement of 12.6 + 1.4 = 14.0 kg/odt milled biomass for NREL Process (Ref. 87; Page 63, Table 30).</t>
  </si>
  <si>
    <t>Default value for corn steep liquor requirement of 13.9 + 2.0 = 15.9 kg/odt milled biomass for NREL process (Ref. 87; Page 63, Table 30).</t>
  </si>
  <si>
    <t>Default value for diammonium phosphate requirement of 1.7 kg/odt milled biomass for NREL process (Ref. 87; Page 63, Table 30).</t>
  </si>
  <si>
    <t>Default value for sorbitol requirement of 0.5 kg/odt milled biomass for NREL process (Ref. 87; Page 63, Table 30).</t>
  </si>
  <si>
    <t>Default value for glucose requirement of 29.0 kg/odt milled biomass for NREL process (Ref. 87; Page 63, Table 30).</t>
  </si>
  <si>
    <t>Default value for hot nutrient requirement of 0.8 kg/odt milled biomass for NREL process (Ref. 87; Page 63, Table 30).</t>
  </si>
  <si>
    <t>Default value for sulphur dioxide requirement of 0.2 kg/odt milled biomass for NREL process (Ref. 87; Page 63, Table 30).</t>
  </si>
  <si>
    <t>Unit Water Requirement for Biomass Processing</t>
  </si>
  <si>
    <t>Unit Sulphuric Acid (93%) Requirement for Biomass Processing</t>
  </si>
  <si>
    <t>Unit Caustic Soda Requirement for Biomass Processing</t>
  </si>
  <si>
    <t>Unit Ammonia Requirement for Biomass Processing</t>
  </si>
  <si>
    <t>Unit Corn Steep Liqour Requirement for Biomass Processing</t>
  </si>
  <si>
    <t>Unit Diammonium Phosphate Requirement for Biomass Processing</t>
  </si>
  <si>
    <t>Unit Sorbitol Requirement for Biomass Processing</t>
  </si>
  <si>
    <t>Unit Glucose Requirement for Biomass Processing</t>
  </si>
  <si>
    <t>Unit Hot Nutrient Requirement for Biomass Processing</t>
  </si>
  <si>
    <t>Unit Sulphur Dioxide Requirement for Biomass Processing</t>
  </si>
  <si>
    <t>process_H2O</t>
  </si>
  <si>
    <t>Default value for unit water requirement set at 0 kg/odt milled biomass for NREL process.</t>
  </si>
  <si>
    <t>Unit Water Input to Biomass Processing (kg/t et)</t>
  </si>
  <si>
    <t>Unit Caustic Soda Input to Biomass Processing (kg/t et)</t>
  </si>
  <si>
    <t>Water Input</t>
  </si>
  <si>
    <t>Unit caustic soda input to pre-treatment, enzyme production and enzyme hydrolysis specified in "Input" worksheet.</t>
  </si>
  <si>
    <t>Unit water input to pre-treatment, enzyme production and enzyme hydrolysis specified in "Input" worksheet.</t>
  </si>
  <si>
    <t>Primary energy multiplier for caustic soda of 20.0 MJ/kg (Ref. 9).</t>
  </si>
  <si>
    <t>Carbon dioxide emissions factor for caustic soda of 1.12 kg CO2/kg (Ref. 9).</t>
  </si>
  <si>
    <t>Nitrous oxide emissions factor for caustic soda of 0 kg N2O/kg (Ref. 9).</t>
  </si>
  <si>
    <t>Methane emissions factor for caustic soda of 0.00325 kg CH4/kg (Ref. 9).</t>
  </si>
  <si>
    <t>Primary energy multiplier for UK water supply of 3.88 MJ/t (Ref. 2).</t>
  </si>
  <si>
    <t xml:space="preserve">Carbon dioxide emissions factor for water based on a primary energy multiplier of 3.88 MJ/t (Ref. 2) and an approximate ratio between the carbon dioxide emissions factor and the primary energy multiplier for the water industry in the UK based on an interpretation of national statistics (Refs. 15 and 20). </t>
  </si>
  <si>
    <t xml:space="preserve">Methane emissions factor for water based on a primary energy multiplier of 3.88 MJ/t (Ref. 2) and an approximate ratio between the methane emissions factor and the primary energy multiplier for the water industry in the UK based on an interpretation of national statistics (Refs. 15 and 20). </t>
  </si>
  <si>
    <t xml:space="preserve">Nitrous oxide emissions factor for water based on a primary energy multiplier of 3.88 MJ/t (Ref. 2) and an approximate ratio between the nitrous oxide emissions factor and the primary energy multiplier for the water industry in the UK based on an interpretation of national statistics (Refs. 15 and 20). </t>
  </si>
  <si>
    <t>Pre-Treatment, Enzyme Production and Enzymatic Hydrolysis</t>
  </si>
  <si>
    <t>BIOMASS MILLING</t>
  </si>
  <si>
    <t>SUB-TOTALS FOR BIOMASS MILLING</t>
  </si>
  <si>
    <t>PRE-TREATMENT, ENZYME PRODUCTION AND ENZYMATIC HYDROLYSIS</t>
  </si>
  <si>
    <t>SUB-TOTALS FOR PRE-TREATMENT, ENZYME PRODUCTION AND ENZYMATIC HYDROLYSIS</t>
  </si>
  <si>
    <t>Pre-treatment, Enzyme Production and Enzymatic Hydrolysis in Biorefinery</t>
  </si>
  <si>
    <t>Primary energy multiplier for ammonia of 31.9 MJ/kg (Ref. 17).</t>
  </si>
  <si>
    <t>Carbon dioxide emissions factor for ammonia of 1.44 kg CO2/kg (Ref. 17).</t>
  </si>
  <si>
    <t>Lignin Moisture Content</t>
  </si>
  <si>
    <t>% by weight</t>
  </si>
  <si>
    <t>lignin_mois</t>
  </si>
  <si>
    <t xml:space="preserve"> t lgn at specified moisture content</t>
  </si>
  <si>
    <t xml:space="preserve"> MJ/t lgn at specified moisture content</t>
  </si>
  <si>
    <t xml:space="preserve"> £/t lgn specified moisture content</t>
  </si>
  <si>
    <t>Moisture Content of Waste Solid Solution from Biomass Processing</t>
  </si>
  <si>
    <t>Proportion of Waste Solids in Removed Fermentation Broth</t>
  </si>
  <si>
    <t>Moisture Content of Waste Solids in Removed Fermentation Broth</t>
  </si>
  <si>
    <t xml:space="preserve">Default value for moisture content of lignin of 87.9% (Ref. 87; Page 125, Component 508). </t>
  </si>
  <si>
    <t xml:space="preserve">Default value for moisture content of waste solids solution of 87.9% (Ref. 87; Page 125, Component 508). </t>
  </si>
  <si>
    <t>PRESSURE FILTRATION OF WASTE SOLIDS</t>
  </si>
  <si>
    <t xml:space="preserve">Unit Heat Requirement for Pressure Filtration of Waste Solids = </t>
  </si>
  <si>
    <t xml:space="preserve">Unit Electricity Requirement for Pressure Filtration of Waste Solids = </t>
  </si>
  <si>
    <t xml:space="preserve">Unit Steam Requirement for Pressure Filtration of Lignin and Waste Solids (from biomass processing and fermentation) </t>
  </si>
  <si>
    <t>Unit Electricity Requirement for Pressure Filtration of Lignin and Waste Solids (from biomass processing and fermentation)</t>
  </si>
  <si>
    <t xml:space="preserve">Filtered Waste Solids = </t>
  </si>
  <si>
    <t xml:space="preserve">Moisture Content of Filtered Waste Solids = </t>
  </si>
  <si>
    <t xml:space="preserve">Net Calorific Value of Filtered Waste Solids = </t>
  </si>
  <si>
    <t xml:space="preserve">Unit Heat Available in Filtered Waste Solids = </t>
  </si>
  <si>
    <t>Moisture Content of Filtered Waste Solids</t>
  </si>
  <si>
    <t xml:space="preserve">Default value for moisture content for filtered waste solids of 55.6% (Ref. 87; Page 131, Component 612). </t>
  </si>
  <si>
    <t>Unit Production of Stillage</t>
  </si>
  <si>
    <t>COD of Stillage</t>
  </si>
  <si>
    <t>Total Solids Content of Stillage</t>
  </si>
  <si>
    <t>t st/t et</t>
  </si>
  <si>
    <r>
      <t>mg O</t>
    </r>
    <r>
      <rPr>
        <vertAlign val="subscript"/>
        <sz val="10"/>
        <rFont val="Trebuchet MS"/>
        <family val="2"/>
      </rPr>
      <t>2</t>
    </r>
    <r>
      <rPr>
        <sz val="10"/>
        <rFont val="Trebuchet MS"/>
        <family val="2"/>
      </rPr>
      <t>/l st</t>
    </r>
  </si>
  <si>
    <t>mg/l st</t>
  </si>
  <si>
    <t>Unit Biogas Generation by Anaerobic Digestion of Stillage</t>
  </si>
  <si>
    <t>Stillage Losses in Waste Water Treatment</t>
  </si>
  <si>
    <t>Unit Steam Requirement for Ethanol Recovery</t>
  </si>
  <si>
    <t>Unit Electricity Requirement for Ethanol Recovery</t>
  </si>
  <si>
    <t>Default value for ethanol losses of 0.6% (Ref. 87; Page 73, Figure 18).</t>
  </si>
  <si>
    <t>Losses in Ethanol Recovery</t>
  </si>
  <si>
    <t>ETHANOL RECOVERY</t>
  </si>
  <si>
    <t xml:space="preserve">Stillage Available = </t>
  </si>
  <si>
    <t xml:space="preserve">  t st</t>
  </si>
  <si>
    <t xml:space="preserve">Stillage to Waste Water Treatment = </t>
  </si>
  <si>
    <t xml:space="preserve"> t st</t>
  </si>
  <si>
    <t xml:space="preserve">COD of Stillage = </t>
  </si>
  <si>
    <r>
      <t xml:space="preserve"> mg O</t>
    </r>
    <r>
      <rPr>
        <vertAlign val="subscript"/>
        <sz val="10"/>
        <rFont val="Arial"/>
        <family val="2"/>
      </rPr>
      <t>2</t>
    </r>
    <r>
      <rPr>
        <sz val="10"/>
        <rFont val="Arial"/>
        <family val="2"/>
      </rPr>
      <t>/l st</t>
    </r>
  </si>
  <si>
    <t xml:space="preserve"> mg/l st</t>
  </si>
  <si>
    <t xml:space="preserve">Total Solids Content of Stillage = </t>
  </si>
  <si>
    <t>Losses of Stillage  =</t>
  </si>
  <si>
    <t xml:space="preserve">Stillage Available for Anaerobic Digestion = </t>
  </si>
  <si>
    <t>kg steam/kg water removed</t>
  </si>
  <si>
    <t>kWh/kg water removed</t>
  </si>
  <si>
    <t>Default value for unit electricity requirement of pressure filtration of 0.00351 kWh/kg water removed (Ref. 87; Page 125).</t>
  </si>
  <si>
    <t>kWh/t st</t>
  </si>
  <si>
    <r>
      <t>Default value for COD of fresh stillage of 69000 mg O</t>
    </r>
    <r>
      <rPr>
        <vertAlign val="subscript"/>
        <sz val="10"/>
        <rFont val="Trebuchet MS"/>
        <family val="2"/>
      </rPr>
      <t>2</t>
    </r>
    <r>
      <rPr>
        <sz val="10"/>
        <rFont val="Trebuchet MS"/>
        <family val="2"/>
      </rPr>
      <t>/l (Ref. 36).</t>
    </r>
  </si>
  <si>
    <t>Default value for total solids content of stillage of 63000 mg/l (Ref. 36).</t>
  </si>
  <si>
    <t>Default value of stillage losses in waste water treatment of  0%.</t>
  </si>
  <si>
    <r>
      <t>Default value for unit biogas generation from anaerobic digestion of stillage of 400 m</t>
    </r>
    <r>
      <rPr>
        <vertAlign val="superscript"/>
        <sz val="10"/>
        <rFont val="Trebuchet MS"/>
        <family val="2"/>
      </rPr>
      <t>3</t>
    </r>
    <r>
      <rPr>
        <sz val="10"/>
        <rFont val="Trebuchet MS"/>
        <family val="2"/>
      </rPr>
      <t>/t of total solids (Ref. 36).</t>
    </r>
  </si>
  <si>
    <t>Unit Caustic Soda Requirement for Waste Water Treatment</t>
  </si>
  <si>
    <t>kg/t st</t>
  </si>
  <si>
    <t>wwt_NaOH</t>
  </si>
  <si>
    <t>Default value for unit caustic soda requirement of waste water treatment of 5.10 kg/t stillage (Ref. 87; Page 63, Table 30).</t>
  </si>
  <si>
    <t xml:space="preserve">Default value for unit electricity requirement for waste water treatment of 17.9 kWh/t stillage (Ref. 87; Page 56, Figure 15). </t>
  </si>
  <si>
    <t>Waste Water Treatment - Stillage</t>
  </si>
  <si>
    <t>Ethanol Recovery</t>
  </si>
  <si>
    <t>Unit Heat Input to Ethanol Recovery (MJ/t et)</t>
  </si>
  <si>
    <t>Unit Electricity Input to Ethanol Recovery (kWh/t et)</t>
  </si>
  <si>
    <t>Unit heat input to ethanol recovery specified in "Unit Flow Chart" worksheet.</t>
  </si>
  <si>
    <t>Unit electricity input to ethanol recovery specified in "Unit Flow Chart" worksheet.</t>
  </si>
  <si>
    <t>SUB-TOTALS FOR ETHANOL RECOVERY</t>
  </si>
  <si>
    <t>Pressure Filtration of Waste Solids in Biorefinery</t>
  </si>
  <si>
    <t>Unit Heat Input to Pressure Filtration of Waste Solids (MJ/t et)</t>
  </si>
  <si>
    <t>Unit Electricity Input to Pressure Filtration of Waste Solids (kWh/t et)</t>
  </si>
  <si>
    <t>Pressure Filtration of Waste Solids</t>
  </si>
  <si>
    <t>Unit heat input to pressure filtration of waste solids specified in "Unit Flow Chart" worksheet.</t>
  </si>
  <si>
    <t>Unit electricity input to pressure filtration of waste solids specified in "Unit Flow Chart" worksheet.</t>
  </si>
  <si>
    <t>BIOREFINERY UTILITIES</t>
  </si>
  <si>
    <t xml:space="preserve">Unit Heat Requirement for Ethanol Recovery = </t>
  </si>
  <si>
    <t xml:space="preserve">Unit Electricity Requirement for Ethanol Recovery= </t>
  </si>
  <si>
    <t xml:space="preserve">Unit Electricity Requirement for Biorefinery Utilities = </t>
  </si>
  <si>
    <t>Unit Electricity Requirement of Biorefinery Utilities</t>
  </si>
  <si>
    <t>util_elec</t>
  </si>
  <si>
    <t xml:space="preserve">Default value for unit electricity requirement for ethanol recovery of 93.4 kWh/t ethanol (Ref. 87; Page 56, Figure 15). </t>
  </si>
  <si>
    <t>Default value for unit hexoses production of 0.291 odt hx/odt biomass (Ref. 87; Page 119, Component 303) giving a conversion efficiency of 71% based on hexoses source content of 0.410 odt hx/odt corn stover, obtained from a breakdown of chemicals from which hexoses can be derived; 37.4% glucan, 2.0% galactan and 1.6% mannan (Ref. 76, Table 1).</t>
  </si>
  <si>
    <t>Default value for unit lignin production of 0.150 odt lgn/odt (Ref. 87; Page 119) maize giving a conversion efficiency of 83%  based on lignin content of 0.180 odt lgn/odt corn stover (Ref. 76; Table 1).</t>
  </si>
  <si>
    <t xml:space="preserve">Default value for unit steam requirement for ethanol recovery of 2724 kg steam/t ethanol (Ref. 87; Page 73, Figure 18). </t>
  </si>
  <si>
    <t>Default value for unit steam requirement of pressure filtration of 0 kg steam/kg water removed (Ref. 87).</t>
  </si>
  <si>
    <t>WASTE SOLIDS PRESSURE FILTRATION</t>
  </si>
  <si>
    <t>SUB-TOTALS FOR WASTE SOLIDS PRESSURE FILTRATION</t>
  </si>
  <si>
    <t>Waste Solids Pressure Filtration</t>
  </si>
  <si>
    <t>Unit Caustic Soda Input to Waste Water Treatment (AD) (kg/t et)</t>
  </si>
  <si>
    <t>Unit caustic soda input to waste water treatment specified in "Input" worksheet.</t>
  </si>
  <si>
    <t>Notional default value for heat to power ratio of CHP plant of 1:1.</t>
  </si>
  <si>
    <t xml:space="preserve">Re-naming of SUNLIBB - Maize Biorefinery v07 workbook to indicate production of ethanol using the NREL process for maize feedstock.  Correction to formuale in Cell S22 of Unit Flow Chart worksheet.  Addition of NREL/TP-5100-47764 (Ref. 87) to References worksheet.  Modifications for incorporation of all NREL processing data; ethanol yield, carbon dioxide yield, no hydrogen yield, no heat requirement and revised electricity requirement.  Changes to entries in Rows 150 to 156, and Rows 188 to 211 in Input worksheet.  Subsequent modifications to Unit Flow Chart, Allocation and Summary Ethanol worksheets.  Summary worksheets for acetone and butanol deleted.  Modifications to biomass milling, pre-treatment, ezyme production, enzymatic hydrolysis and waste water treatment.  Setting pentoses output to zero.  Removal of and hexoses concentration.  Replacement of ultrafiltration, distillation and dehydration with enthanol recovery.  Replacement of waste solids drying with waste solids pressure filtration.  Addition of biorefinery utilities.  Change in CHP heat to power ratio from 5.7:1 to 1:1.  </t>
  </si>
  <si>
    <t>Default value for unit stillage production of 18.9 t/t ethanol (Ref. 87; Page 126, Component 602).</t>
  </si>
  <si>
    <t xml:space="preserve">Lignin Moisture Content = </t>
  </si>
  <si>
    <t xml:space="preserve">Waste Solids Solution from Biomass Processing = </t>
  </si>
  <si>
    <t xml:space="preserve">Moisture Content of Waste Solids Solution from Biomass Processing = </t>
  </si>
  <si>
    <t>Biorefinery Utilities</t>
  </si>
  <si>
    <t>Unit Electricity Requirement for Biorefinery Utilities (kWh/t et)</t>
  </si>
  <si>
    <t>Unit electricity input to biorefinery utilities specified in "Unit Flow Chart" worksheet.</t>
  </si>
  <si>
    <t>SUB-TOTALS FOR BIOREFINERY UTILITIES</t>
  </si>
  <si>
    <r>
      <t xml:space="preserve"> kg eq. CO</t>
    </r>
    <r>
      <rPr>
        <vertAlign val="subscript"/>
        <sz val="10"/>
        <rFont val="Arial"/>
        <family val="2"/>
      </rPr>
      <t>2</t>
    </r>
    <r>
      <rPr>
        <sz val="10"/>
        <rFont val="Arial"/>
        <family val="2"/>
      </rPr>
      <t>/t lgn at specified moisture content</t>
    </r>
  </si>
  <si>
    <t>Default Value for unit electricity requirement for biorefinery utilities of 150.4 kWh/t et (Ref. 87; Page 56, Figure 15).</t>
  </si>
  <si>
    <t>Approximate carbon dioxide emissions factor for hot nutrient assumed to be equivent to glucose based on average total greenhouse gas emissions factor for corn syrup ranging from 0.7 to 1.1 kg eq. CO2/kg (Ref. 90).</t>
  </si>
  <si>
    <t>28.08.14</t>
  </si>
  <si>
    <t>03.09.14</t>
  </si>
  <si>
    <t>Default setting for functional unit of 1 tonne maize delivered to biorefinery.</t>
  </si>
  <si>
    <t>Renewable Energy Directive methodology excludes GHG emissions associated with the manufacture of vehicles, machinery and equipment and the PAS 2050 methodology, effectively, includes GHG emissions associated with the manufacture of vehicles, machinery and equipment.</t>
  </si>
  <si>
    <t>Correction entry in Cell H10 of Input worksheet.  Activation of drop-down menu of options for soil emissions in Cell F15 of Input worksheet.  Removal of superfluous sub-soiling option choice from Row 9 of Input worksheet.  Removal of superfluous names.</t>
  </si>
  <si>
    <t>04.09.14</t>
  </si>
  <si>
    <t>Corrections to formulae in linked data Cells B15 to B23 in Pre-Treatment, Hydrolysis and Enzyme Production worksheet.  Removal of superfluous Road Transport Distribution worksheets for acetone and butanol.</t>
  </si>
  <si>
    <t>Maize Ethanol Pilot Study Refinery</t>
  </si>
  <si>
    <t>Default setting assumes fermentation gases not recovered.</t>
  </si>
  <si>
    <t>Type of Maize</t>
  </si>
  <si>
    <t>Generic, low digestibility genotype or high digestibility genotype</t>
  </si>
  <si>
    <t>Generic</t>
  </si>
  <si>
    <t>Low Digestibility Genotype</t>
  </si>
  <si>
    <t>High Digestibility Genotype</t>
  </si>
  <si>
    <t>Options for Maize Type</t>
  </si>
  <si>
    <t>Default setting is generic maize.</t>
  </si>
  <si>
    <t>maize_type</t>
  </si>
  <si>
    <t>Supercritical Carbon Dioxide Extraction</t>
  </si>
  <si>
    <t>sce_option</t>
  </si>
  <si>
    <t>Unit Heat Requirement for Supercritical Carbon Dioxide Extraction</t>
  </si>
  <si>
    <t>sce_heat</t>
  </si>
  <si>
    <t>Unit Electricity Requirement for Supercritical Carbon Dioxide Extraction</t>
  </si>
  <si>
    <t>sce_elect</t>
  </si>
  <si>
    <t>Wax Extraction</t>
  </si>
  <si>
    <t>sce_wax</t>
  </si>
  <si>
    <t>Default setting with no supercrtical carbon dioxide extraction.</t>
  </si>
  <si>
    <r>
      <t>"Economic Evaluatuon of C</t>
    </r>
    <r>
      <rPr>
        <vertAlign val="subscript"/>
        <sz val="10"/>
        <rFont val="Arial"/>
        <family val="2"/>
      </rPr>
      <t>4</t>
    </r>
    <r>
      <rPr>
        <sz val="10"/>
        <rFont val="Arial"/>
        <family val="2"/>
      </rPr>
      <t xml:space="preserve"> Plants: Miscanthus Wax Production" by T. Attard, Green Chemistry Centre, University of York, York, United Kingdom, 11 September 2004.</t>
    </r>
  </si>
  <si>
    <r>
      <t>"C</t>
    </r>
    <r>
      <rPr>
        <vertAlign val="subscript"/>
        <sz val="10"/>
        <rFont val="Arial"/>
        <family val="2"/>
      </rPr>
      <t>4</t>
    </r>
    <r>
      <rPr>
        <sz val="10"/>
        <rFont val="Arial"/>
        <family val="2"/>
      </rPr>
      <t xml:space="preserve"> Biomass as Renewable Feedstock for an Integrated Biorefinery" draft paper from T. Attard, Green Chemistry Centre, University of York, York, United Kingdom, 11 September 2014.</t>
    </r>
  </si>
  <si>
    <t>"Pre-treatment of Maize and Miscanthus in a Fibre Expansion Vessel" by A. Casas and P. Hurst, Biorenewables Development Centre, University of York, York, United Kingdom, 10 March 2014.</t>
  </si>
  <si>
    <t>"Maize and Miscanthus PT Liquor Monosaccharide Content Calculation" by R. C. Simister, University of York, extended by N.D. Mortimer, North Energy Associates Ltd., Sheffield, United Kingdom, 19 September 2014.</t>
  </si>
  <si>
    <t>Private communication, T. Attard, Green Chemistry Centre, University of York, York, United Kingdom, 16 September 2014.</t>
  </si>
  <si>
    <t>Private communication, T. Attard, Green Chemistry Centre, University of York, York, United Kingdom, 12 September 2014.</t>
  </si>
  <si>
    <t>Default value for unit heat requirement of supercritical carbon dioxide extraction of 1,819 MJ/odt maize based on heating (64.88 kWh) for treating 0.1284 tonnes of miscanthus, assumed to be oven dry and same for maize (Ref. 91).</t>
  </si>
  <si>
    <t>Default value for unit electricity requirement of supercritical carbon dioxide extraction of 1,947 kWh/odt maize based on electricity consumption for refrigeration (20.27 kWh) and carbon dioxide pumping (229.768 kWh) for treating 0.1284 tonnes of miscanthus, assumed to be oven dry and same for maize (Ref. 91).</t>
  </si>
  <si>
    <t>Default value of 0.9% wax extraction from maize, assumed to be oven dry (Ref. 82).</t>
  </si>
  <si>
    <t>Improvement in Hexoses Production with Supercritical Carbon Dioxide Extraction</t>
  </si>
  <si>
    <t>hexoses_sce</t>
  </si>
  <si>
    <t>Improvement in Hexoses Production with Low Digestibility Genotype Miscanthus</t>
  </si>
  <si>
    <t>Improvement in Hexoses Production with High Digestibility Genotype Miscanthus</t>
  </si>
  <si>
    <t>hexoses_maizld</t>
  </si>
  <si>
    <t>hexoses_maizhd</t>
  </si>
  <si>
    <t>MJ/odt cmf</t>
  </si>
  <si>
    <t>% odt cmf</t>
  </si>
  <si>
    <t>Default value for improvement in fermentable sugar production from supercritical carbon dioxide extraction of +2.1% based on 0.144 t sugar/odt initial biomass and 0.141 t sugar/odt initial biomass with and without supercritical carbon dioxide extraction, respectively, derived from SUNLIBB Project WP7 pre-treatment experiments (Refs. 93 and 94).</t>
  </si>
  <si>
    <t>Default value for improvement in fermentable sugar production from use of low digestibility maize genotype of +2.8% based on 0.145 t sugar/odt initial biomass and 0.141 t sugar/odt initial biomass with low digestibility genotype and generic maize, respectively, derived from SUNLIBB Project WP7 pre-treatment experiments (Refs. 93 and 94).</t>
  </si>
  <si>
    <t>Default value for improvement in fermentable sugar production from use of high digestibility maize genotype of +8.5% based on 0.153 t sugar/odt initial biomass and 0.141 t sugar/odt initial biomass with high digestibility genotype and generic maize, respectively, derived from SUNLIBB Project WP7 pre-treatment experiments (Refs. 93 and 94).</t>
  </si>
  <si>
    <t>Change in Lignin Production with Supercritical Carbon Dioxide Extraction</t>
  </si>
  <si>
    <t>lignin_sce</t>
  </si>
  <si>
    <t>Change in Lignin Production with Low Digestibility Miscanthus Genotype</t>
  </si>
  <si>
    <t>Change in Lignin Production with High Digestibility Miscanthus Genotype</t>
  </si>
  <si>
    <t>lignin_maizld</t>
  </si>
  <si>
    <t>lignin_maizhd</t>
  </si>
  <si>
    <t>Default value for change in lignin production from supercritical carbon dioxide extraction of -1.1% based on 0.180 t lignin/odt initial biomass and 0.182 t lignin/odt initial biomass with and without supercritical carbon dioxide extraction, respectively, derived from SUNLIBB Project WP7 pre-treatment experiments (Refs. 93 and 94).</t>
  </si>
  <si>
    <t>Default value for change in lignin production from use of low digestibility genotype maize of +8.2% based on 0.197 t lignin/odt initial biomass and 0.182 t lignin/odt initial biomass with low digestibility genotype and generic maize, respectively, derived from SUNLIBB Project WP7 pre-treatment experiments (Refs. 93 and 94).</t>
  </si>
  <si>
    <t>Default value for change in lignin production from use of high digestibility genotype maize of +7.7% based on 0.196 t lignin/odt initial biomass and 0.182 t lignin/odt initial biomass with high digestibility genotype and generic maize, respectively, derived from SUNLIBB Project WP7 pre-treatment experiments (Refs. 93 and 94).</t>
  </si>
  <si>
    <t>Price of Wax</t>
  </si>
  <si>
    <t>price_wax</t>
  </si>
  <si>
    <r>
      <t xml:space="preserve">Default value assumed to be £8,000/t based on a range between </t>
    </r>
    <r>
      <rPr>
        <sz val="10"/>
        <rFont val="Calibri"/>
        <family val="2"/>
      </rPr>
      <t>€</t>
    </r>
    <r>
      <rPr>
        <sz val="10"/>
        <rFont val="Trebuchet MS"/>
        <family val="2"/>
      </rPr>
      <t xml:space="preserve">8/kg and </t>
    </r>
    <r>
      <rPr>
        <sz val="10"/>
        <rFont val="Calibri"/>
        <family val="2"/>
      </rPr>
      <t>€</t>
    </r>
    <r>
      <rPr>
        <sz val="10"/>
        <rFont val="Trebuchet MS"/>
        <family val="2"/>
      </rPr>
      <t xml:space="preserve">12/kg (Ref. 95). </t>
    </r>
  </si>
  <si>
    <t>Net Calorific Value of Wax</t>
  </si>
  <si>
    <t>CV_wax</t>
  </si>
  <si>
    <t xml:space="preserve">Default value for net calorific value of approximately 40,000 MJ/t based on range of gross calorific value for miscanthus wax of between 39.9968 and 40.3537 MJ/t (Ref. 96) adjusted for assumed water released during combustion. </t>
  </si>
  <si>
    <t>Substitution Credit for Wax</t>
  </si>
  <si>
    <t>sub_cred_wax</t>
  </si>
  <si>
    <r>
      <t>Default value of wax of 4,780 kg eq. CO</t>
    </r>
    <r>
      <rPr>
        <vertAlign val="subscript"/>
        <sz val="10"/>
        <rFont val="Trebuchet MS"/>
        <family val="2"/>
      </rPr>
      <t>2</t>
    </r>
    <r>
      <rPr>
        <sz val="10"/>
        <rFont val="Trebuchet MS"/>
        <family val="2"/>
      </rPr>
      <t xml:space="preserve">/t based on a price ranging between </t>
    </r>
    <r>
      <rPr>
        <sz val="10"/>
        <rFont val="Calibri"/>
        <family val="2"/>
      </rPr>
      <t>€</t>
    </r>
    <r>
      <rPr>
        <sz val="10"/>
        <rFont val="Trebuchet MS"/>
        <family val="2"/>
      </rPr>
      <t xml:space="preserve">8/kg and </t>
    </r>
    <r>
      <rPr>
        <sz val="10"/>
        <rFont val="Calibri"/>
        <family val="2"/>
      </rPr>
      <t>€</t>
    </r>
    <r>
      <rPr>
        <sz val="10"/>
        <rFont val="Trebuchet MS"/>
        <family val="2"/>
      </rPr>
      <t>12/kg in 2014 (Ref. 95) deflated and converted to £ 2004, and combined with a GHG emissions factor of 1.00 kg eq. CO</t>
    </r>
    <r>
      <rPr>
        <vertAlign val="subscript"/>
        <sz val="10"/>
        <rFont val="Trebuchet MS"/>
        <family val="2"/>
      </rPr>
      <t>2</t>
    </r>
    <r>
      <rPr>
        <sz val="10"/>
        <rFont val="Trebuchet MS"/>
        <family val="2"/>
      </rPr>
      <t xml:space="preserve">/£ for Industry Group 27 "Soaps and Detergents" (Ref. 15). </t>
    </r>
  </si>
  <si>
    <t>Type of Maize =</t>
  </si>
  <si>
    <t xml:space="preserve">Supercritical Carbon Dioxide Extraction = </t>
  </si>
  <si>
    <t>Re-naming of workbook to reflect final data available from SUNLIBB Project WP7.  Modifications to Input, Unit Flow Chart, Allocation and Summary worksheets for addition of supercritcal carbon dioxide extraction and effects of using high and low digestibility genotypes relative to generic maize.  Modifications to Biorefinery worksheet for capital cost of biorefinery plants without and with supercritical carbon dioxide extraction.</t>
  </si>
  <si>
    <t xml:space="preserve">Wax = </t>
  </si>
  <si>
    <t xml:space="preserve">Net Calorific Value of Wax = </t>
  </si>
  <si>
    <t xml:space="preserve">Price of Wax = </t>
  </si>
  <si>
    <t xml:space="preserve">Substitution Credit for Wax = </t>
  </si>
  <si>
    <t xml:space="preserve"> t wax</t>
  </si>
  <si>
    <t xml:space="preserve"> MJ/t wax</t>
  </si>
  <si>
    <t xml:space="preserve"> £/t wax</t>
  </si>
  <si>
    <r>
      <t xml:space="preserve"> kg eq. CO</t>
    </r>
    <r>
      <rPr>
        <vertAlign val="subscript"/>
        <sz val="10"/>
        <rFont val="Arial"/>
        <family val="2"/>
      </rPr>
      <t>2</t>
    </r>
    <r>
      <rPr>
        <sz val="10"/>
        <rFont val="Arial"/>
        <family val="2"/>
      </rPr>
      <t>/t wax</t>
    </r>
  </si>
  <si>
    <t>Wax Yield</t>
  </si>
  <si>
    <t>Wax Net Calorific Value</t>
  </si>
  <si>
    <t>Wax</t>
  </si>
  <si>
    <t>Produced by Onesmus Mwabonje, Charlotte Hatto and Nigel Mortimer, North Energy Associates Ltd., on 2 November 2014 for the SUNLIBB Project</t>
  </si>
  <si>
    <t>02.11.14</t>
  </si>
  <si>
    <t>Wax Average Price</t>
  </si>
  <si>
    <t>Carbon Dioxide Average Price</t>
  </si>
  <si>
    <t>Wax Substitution Credit</t>
  </si>
  <si>
    <t>Annual Maize Feed Capacity</t>
  </si>
  <si>
    <t>Supercritical Carbon Dioxide Extraction?</t>
  </si>
  <si>
    <t>£(2004)/t et</t>
  </si>
  <si>
    <t>MJ/£(2004)</t>
  </si>
  <si>
    <t xml:space="preserve">Primary energy multiplier of 16.5 MJ/£(2004) for Industry Group 42 "Machinery and Equipment" (Ref. 15). </t>
  </si>
  <si>
    <t>Assuming plant decommissioning as a percentage of the primary energy inputs and GHG emissions of plant construction (Ref. 2)</t>
  </si>
  <si>
    <t>Based on an average capital cost of £0.605m (2004) for a supercritical carbon dioxide extraction plant with a capacity of 355 t/a of dry miscanthus (Ref. 91), and an average capital cost of £101m (2004) for a miscanthus bioethanol plant with a capacity of 182,00 t/a, assuming same as a corn stover bioethanol plant (Ref. 87), and a 2/3 power law.</t>
  </si>
  <si>
    <t>Assuming annual plant maintenance as a percentage of the primary energy inputs and GHG emissions of plant construction (Ref. 2)</t>
  </si>
  <si>
    <t>kg CO2/£(2004)</t>
  </si>
  <si>
    <r>
      <t>Carbon dioxide emissions factor of 1.092 kg CO</t>
    </r>
    <r>
      <rPr>
        <vertAlign val="subscript"/>
        <sz val="10"/>
        <rFont val="Arial"/>
        <family val="2"/>
      </rPr>
      <t>2</t>
    </r>
    <r>
      <rPr>
        <sz val="10"/>
        <rFont val="Arial"/>
        <family val="2"/>
      </rPr>
      <t xml:space="preserve">/£(2004) for Industry Group 42 "Machinery and Equipment" (Ref. 15). </t>
    </r>
  </si>
  <si>
    <r>
      <t>Methane emissions factor of 0.001603 kg CH</t>
    </r>
    <r>
      <rPr>
        <vertAlign val="subscript"/>
        <sz val="10"/>
        <rFont val="Arial"/>
        <family val="2"/>
      </rPr>
      <t>4</t>
    </r>
    <r>
      <rPr>
        <sz val="10"/>
        <rFont val="Arial"/>
        <family val="2"/>
      </rPr>
      <t xml:space="preserve">/£(2004) for Industry Group 42 "Machinery and Equipment" (Ref. 15). </t>
    </r>
  </si>
  <si>
    <t>kg N2O/£(2004)</t>
  </si>
  <si>
    <r>
      <t>Nitrous oxide emissions factor of 0.00006409 kg N</t>
    </r>
    <r>
      <rPr>
        <vertAlign val="subscript"/>
        <sz val="10"/>
        <rFont val="Arial"/>
        <family val="2"/>
      </rPr>
      <t>2</t>
    </r>
    <r>
      <rPr>
        <sz val="10"/>
        <rFont val="Arial"/>
        <family val="2"/>
      </rPr>
      <t xml:space="preserve">O/£(2004) for Industry Group 42 "Machinery and Equipment" (Ref. 15). </t>
    </r>
  </si>
  <si>
    <t>kg CH4/£(2004)</t>
  </si>
  <si>
    <r>
      <t>Revised version submitted:</t>
    </r>
    <r>
      <rPr>
        <sz val="10"/>
        <rFont val="Arial"/>
        <family val="2"/>
      </rPr>
      <t xml:space="preserve">  November 2014</t>
    </r>
  </si>
  <si>
    <r>
      <rPr>
        <b/>
        <sz val="10"/>
        <rFont val="Arial"/>
        <family val="2"/>
      </rPr>
      <t>Submission date:</t>
    </r>
    <r>
      <rPr>
        <sz val="10"/>
        <rFont val="Arial"/>
        <family val="2"/>
      </rPr>
      <t xml:space="preserve"> July 2013</t>
    </r>
  </si>
  <si>
    <r>
      <rPr>
        <b/>
        <sz val="10"/>
        <rFont val="Arial"/>
        <family val="2"/>
      </rPr>
      <t>Due date:</t>
    </r>
    <r>
      <rPr>
        <sz val="10"/>
        <rFont val="Arial"/>
        <family val="2"/>
      </rPr>
      <t xml:space="preserve"> March 2013</t>
    </r>
  </si>
  <si>
    <t xml:space="preserve">This project has received funding from the European Union’s Seventh Programme for research, technological development </t>
  </si>
  <si>
    <t>and demonstration under grant agreement number 251132</t>
  </si>
  <si>
    <r>
      <rPr>
        <b/>
        <sz val="10"/>
        <rFont val="Arial"/>
        <family val="2"/>
      </rPr>
      <t xml:space="preserve">Work Package Leader: </t>
    </r>
    <r>
      <rPr>
        <sz val="10"/>
        <rFont val="Arial"/>
        <family val="2"/>
      </rPr>
      <t>N.D. Mortimer</t>
    </r>
  </si>
  <si>
    <r>
      <rPr>
        <b/>
        <sz val="10"/>
        <rFont val="Arial"/>
        <family val="2"/>
      </rPr>
      <t>Dissemination level:</t>
    </r>
    <r>
      <rPr>
        <sz val="10"/>
        <rFont val="Arial"/>
        <family val="2"/>
      </rPr>
      <t xml:space="preserve"> PU</t>
    </r>
  </si>
</sst>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0.00000000"/>
    <numFmt numFmtId="165" formatCode="0.0000000"/>
    <numFmt numFmtId="166" formatCode="0.000000"/>
    <numFmt numFmtId="167" formatCode="0.00000"/>
    <numFmt numFmtId="168" formatCode="0.0000"/>
    <numFmt numFmtId="169" formatCode="0.000"/>
    <numFmt numFmtId="170" formatCode="0.0"/>
    <numFmt numFmtId="171" formatCode="0.0000000000"/>
    <numFmt numFmtId="172" formatCode="_-* #,##0_-;\-* #,##0_-;_-* &quot;-&quot;??_-;_-@_-"/>
    <numFmt numFmtId="173" formatCode="0.000000000"/>
    <numFmt numFmtId="174" formatCode="0.00000000000"/>
    <numFmt numFmtId="175" formatCode="_-* #,##0.000_-;\-* #,##0.000_-;_-* &quot;-&quot;??_-;_-@_-"/>
  </numFmts>
  <fonts count="41" x14ac:knownFonts="1">
    <font>
      <sz val="10"/>
      <name val="Arial"/>
    </font>
    <font>
      <sz val="10"/>
      <color theme="1"/>
      <name val="Trebuchet MS"/>
      <family val="2"/>
    </font>
    <font>
      <sz val="10"/>
      <name val="Arial"/>
      <family val="2"/>
    </font>
    <font>
      <b/>
      <sz val="10"/>
      <name val="Arial"/>
      <family val="2"/>
    </font>
    <font>
      <sz val="10"/>
      <name val="Arial"/>
      <family val="2"/>
    </font>
    <font>
      <i/>
      <sz val="10"/>
      <name val="Arial"/>
      <family val="2"/>
    </font>
    <font>
      <b/>
      <i/>
      <sz val="10"/>
      <name val="Arial"/>
      <family val="2"/>
    </font>
    <font>
      <u/>
      <sz val="10"/>
      <color indexed="12"/>
      <name val="Arial"/>
      <family val="2"/>
    </font>
    <font>
      <vertAlign val="subscript"/>
      <sz val="10"/>
      <name val="Arial"/>
      <family val="2"/>
    </font>
    <font>
      <sz val="10"/>
      <color indexed="10"/>
      <name val="Arial"/>
      <family val="2"/>
    </font>
    <font>
      <sz val="10"/>
      <name val="Arial"/>
      <family val="2"/>
    </font>
    <font>
      <u/>
      <sz val="10"/>
      <color indexed="12"/>
      <name val="Arial"/>
      <family val="2"/>
    </font>
    <font>
      <vertAlign val="superscript"/>
      <sz val="10"/>
      <name val="Arial"/>
      <family val="2"/>
    </font>
    <font>
      <sz val="10"/>
      <color indexed="10"/>
      <name val="Arial"/>
      <family val="2"/>
    </font>
    <font>
      <sz val="10"/>
      <color indexed="8"/>
      <name val="Arial"/>
      <family val="2"/>
    </font>
    <font>
      <sz val="10"/>
      <color indexed="8"/>
      <name val="Arial"/>
      <family val="2"/>
    </font>
    <font>
      <vertAlign val="subscript"/>
      <sz val="10"/>
      <color indexed="8"/>
      <name val="Arial"/>
      <family val="2"/>
    </font>
    <font>
      <sz val="10"/>
      <name val="Arial"/>
      <family val="2"/>
    </font>
    <font>
      <b/>
      <sz val="11"/>
      <name val="Arial"/>
      <family val="2"/>
    </font>
    <font>
      <b/>
      <sz val="10"/>
      <color rgb="FFFF7C80"/>
      <name val="Arial"/>
      <family val="2"/>
    </font>
    <font>
      <sz val="10"/>
      <color theme="1"/>
      <name val="Arial"/>
      <family val="2"/>
    </font>
    <font>
      <b/>
      <vertAlign val="subscript"/>
      <sz val="10"/>
      <name val="Arial"/>
      <family val="2"/>
    </font>
    <font>
      <sz val="10"/>
      <color rgb="FFFF0000"/>
      <name val="Arial"/>
      <family val="2"/>
    </font>
    <font>
      <sz val="10"/>
      <name val="Trebuchet MS"/>
      <family val="2"/>
    </font>
    <font>
      <b/>
      <sz val="10"/>
      <name val="Trebuchet MS"/>
      <family val="2"/>
    </font>
    <font>
      <b/>
      <i/>
      <sz val="10"/>
      <name val="Trebuchet MS"/>
      <family val="2"/>
    </font>
    <font>
      <sz val="10"/>
      <color indexed="10"/>
      <name val="Trebuchet MS"/>
      <family val="2"/>
    </font>
    <font>
      <vertAlign val="superscript"/>
      <sz val="10"/>
      <name val="Trebuchet MS"/>
      <family val="2"/>
    </font>
    <font>
      <vertAlign val="subscript"/>
      <sz val="10"/>
      <name val="Trebuchet MS"/>
      <family val="2"/>
    </font>
    <font>
      <sz val="10"/>
      <color rgb="FFFF0000"/>
      <name val="Trebuchet MS"/>
      <family val="2"/>
    </font>
    <font>
      <b/>
      <sz val="10"/>
      <name val="Trebuchet MS"/>
      <family val="2"/>
      <scheme val="major"/>
    </font>
    <font>
      <sz val="10"/>
      <name val="Trebuchet MS"/>
      <family val="2"/>
      <scheme val="major"/>
    </font>
    <font>
      <sz val="10"/>
      <color indexed="10"/>
      <name val="Trebuchet MS"/>
      <family val="2"/>
      <scheme val="major"/>
    </font>
    <font>
      <b/>
      <i/>
      <sz val="10"/>
      <name val="Trebuchet MS"/>
      <family val="2"/>
      <scheme val="major"/>
    </font>
    <font>
      <sz val="10"/>
      <color rgb="FFFF6666"/>
      <name val="Arial"/>
      <family val="2"/>
    </font>
    <font>
      <i/>
      <sz val="10"/>
      <name val="Trebuchet MS"/>
      <family val="2"/>
    </font>
    <font>
      <sz val="10"/>
      <color rgb="FFFF6666"/>
      <name val="Trebuchet MS"/>
      <family val="2"/>
    </font>
    <font>
      <sz val="10"/>
      <color rgb="FFFF6666"/>
      <name val="Trebuchet MS"/>
      <family val="2"/>
      <scheme val="major"/>
    </font>
    <font>
      <u/>
      <sz val="10"/>
      <name val="Arial"/>
      <family val="2"/>
    </font>
    <font>
      <sz val="10"/>
      <name val="Calibri"/>
      <family val="2"/>
    </font>
    <font>
      <i/>
      <sz val="9"/>
      <color rgb="FF000000"/>
      <name val="Calibri"/>
      <family val="2"/>
    </font>
  </fonts>
  <fills count="39">
    <fill>
      <patternFill patternType="none"/>
    </fill>
    <fill>
      <patternFill patternType="gray125"/>
    </fill>
    <fill>
      <patternFill patternType="solid">
        <fgColor indexed="10"/>
        <bgColor indexed="64"/>
      </patternFill>
    </fill>
    <fill>
      <patternFill patternType="solid">
        <fgColor indexed="11"/>
        <bgColor indexed="64"/>
      </patternFill>
    </fill>
    <fill>
      <patternFill patternType="solid">
        <fgColor indexed="9"/>
        <bgColor indexed="64"/>
      </patternFill>
    </fill>
    <fill>
      <patternFill patternType="solid">
        <fgColor indexed="44"/>
        <bgColor indexed="64"/>
      </patternFill>
    </fill>
    <fill>
      <patternFill patternType="solid">
        <fgColor indexed="43"/>
        <bgColor indexed="64"/>
      </patternFill>
    </fill>
    <fill>
      <patternFill patternType="solid">
        <fgColor indexed="43"/>
        <bgColor indexed="51"/>
      </patternFill>
    </fill>
    <fill>
      <patternFill patternType="solid">
        <fgColor indexed="51"/>
        <bgColor indexed="64"/>
      </patternFill>
    </fill>
    <fill>
      <patternFill patternType="solid">
        <fgColor theme="0"/>
        <bgColor indexed="64"/>
      </patternFill>
    </fill>
    <fill>
      <patternFill patternType="solid">
        <fgColor rgb="FF99FF99"/>
        <bgColor indexed="64"/>
      </patternFill>
    </fill>
    <fill>
      <patternFill patternType="solid">
        <fgColor rgb="FFFFFF99"/>
        <bgColor indexed="64"/>
      </patternFill>
    </fill>
    <fill>
      <patternFill patternType="solid">
        <fgColor rgb="FFFF5050"/>
        <bgColor indexed="64"/>
      </patternFill>
    </fill>
    <fill>
      <patternFill patternType="solid">
        <fgColor rgb="FF99CCFF"/>
        <bgColor indexed="64"/>
      </patternFill>
    </fill>
    <fill>
      <patternFill patternType="solid">
        <fgColor rgb="FFFF6666"/>
        <bgColor indexed="64"/>
      </patternFill>
    </fill>
    <fill>
      <patternFill patternType="solid">
        <fgColor rgb="FFFFC000"/>
        <bgColor indexed="64"/>
      </patternFill>
    </fill>
    <fill>
      <patternFill patternType="solid">
        <fgColor rgb="FFFFFF00"/>
        <bgColor indexed="64"/>
      </patternFill>
    </fill>
    <fill>
      <patternFill patternType="solid">
        <fgColor indexed="65"/>
        <bgColor theme="0"/>
      </patternFill>
    </fill>
    <fill>
      <patternFill patternType="solid">
        <fgColor rgb="FF99FF99"/>
        <bgColor theme="0"/>
      </patternFill>
    </fill>
    <fill>
      <patternFill patternType="solid">
        <fgColor theme="0"/>
        <bgColor theme="0"/>
      </patternFill>
    </fill>
    <fill>
      <patternFill patternType="solid">
        <fgColor indexed="9"/>
        <bgColor theme="0"/>
      </patternFill>
    </fill>
    <fill>
      <patternFill patternType="solid">
        <fgColor indexed="47"/>
        <bgColor theme="0"/>
      </patternFill>
    </fill>
    <fill>
      <patternFill patternType="solid">
        <fgColor indexed="42"/>
        <bgColor theme="0"/>
      </patternFill>
    </fill>
    <fill>
      <patternFill patternType="solid">
        <fgColor rgb="FF92D050"/>
        <bgColor theme="0"/>
      </patternFill>
    </fill>
    <fill>
      <patternFill patternType="solid">
        <fgColor rgb="FFCCFFCC"/>
        <bgColor theme="0"/>
      </patternFill>
    </fill>
    <fill>
      <patternFill patternType="solid">
        <fgColor indexed="51"/>
        <bgColor theme="0"/>
      </patternFill>
    </fill>
    <fill>
      <patternFill patternType="solid">
        <fgColor rgb="FF339966"/>
        <bgColor theme="0"/>
      </patternFill>
    </fill>
    <fill>
      <patternFill patternType="solid">
        <fgColor indexed="57"/>
        <bgColor theme="0"/>
      </patternFill>
    </fill>
    <fill>
      <patternFill patternType="solid">
        <fgColor indexed="43"/>
        <bgColor theme="0"/>
      </patternFill>
    </fill>
    <fill>
      <patternFill patternType="solid">
        <fgColor rgb="FFFFFF99"/>
        <bgColor theme="0"/>
      </patternFill>
    </fill>
    <fill>
      <patternFill patternType="solid">
        <fgColor theme="3" tint="0.59999389629810485"/>
        <bgColor theme="0"/>
      </patternFill>
    </fill>
    <fill>
      <patternFill patternType="solid">
        <fgColor rgb="FFFFCC66"/>
        <bgColor theme="0"/>
      </patternFill>
    </fill>
    <fill>
      <patternFill patternType="solid">
        <fgColor theme="6" tint="0.39997558519241921"/>
        <bgColor theme="0"/>
      </patternFill>
    </fill>
    <fill>
      <patternFill patternType="solid">
        <fgColor rgb="FF666666"/>
        <bgColor theme="0"/>
      </patternFill>
    </fill>
    <fill>
      <patternFill patternType="solid">
        <fgColor rgb="FF92D050"/>
        <bgColor indexed="64"/>
      </patternFill>
    </fill>
    <fill>
      <patternFill patternType="solid">
        <fgColor rgb="FFCCFFCC"/>
        <bgColor indexed="64"/>
      </patternFill>
    </fill>
    <fill>
      <patternFill patternType="solid">
        <fgColor rgb="FFB3BCCA"/>
        <bgColor theme="0"/>
      </patternFill>
    </fill>
    <fill>
      <patternFill patternType="solid">
        <fgColor theme="3" tint="0.59999389629810485"/>
        <bgColor indexed="64"/>
      </patternFill>
    </fill>
    <fill>
      <patternFill patternType="solid">
        <fgColor theme="6" tint="0.39997558519241921"/>
        <bgColor indexed="64"/>
      </patternFill>
    </fill>
  </fills>
  <borders count="101">
    <border>
      <left/>
      <right/>
      <top/>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style="mediumDashed">
        <color indexed="64"/>
      </right>
      <top style="mediumDashed">
        <color indexed="64"/>
      </top>
      <bottom/>
      <diagonal/>
    </border>
    <border>
      <left/>
      <right style="mediumDashed">
        <color indexed="64"/>
      </right>
      <top/>
      <bottom/>
      <diagonal/>
    </border>
    <border>
      <left style="mediumDashed">
        <color indexed="64"/>
      </left>
      <right/>
      <top/>
      <bottom/>
      <diagonal/>
    </border>
    <border>
      <left style="thin">
        <color indexed="64"/>
      </left>
      <right style="mediumDashed">
        <color indexed="64"/>
      </right>
      <top/>
      <bottom/>
      <diagonal/>
    </border>
    <border>
      <left style="mediumDashed">
        <color indexed="64"/>
      </left>
      <right/>
      <top style="mediumDashed">
        <color indexed="64"/>
      </top>
      <bottom/>
      <diagonal/>
    </border>
    <border>
      <left/>
      <right/>
      <top style="mediumDashed">
        <color indexed="64"/>
      </top>
      <bottom/>
      <diagonal/>
    </border>
    <border>
      <left style="medium">
        <color indexed="64"/>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thin">
        <color indexed="64"/>
      </right>
      <top style="thin">
        <color indexed="64"/>
      </top>
      <bottom style="mediumDashed">
        <color indexed="64"/>
      </bottom>
      <diagonal/>
    </border>
    <border>
      <left/>
      <right style="mediumDashed">
        <color indexed="64"/>
      </right>
      <top/>
      <bottom style="mediumDashed">
        <color indexed="64"/>
      </bottom>
      <diagonal/>
    </border>
    <border>
      <left/>
      <right style="thin">
        <color indexed="64"/>
      </right>
      <top style="mediumDashed">
        <color indexed="64"/>
      </top>
      <bottom/>
      <diagonal/>
    </border>
    <border>
      <left/>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DashDot">
        <color indexed="64"/>
      </left>
      <right/>
      <top style="mediumDashDot">
        <color indexed="64"/>
      </top>
      <bottom/>
      <diagonal/>
    </border>
    <border>
      <left/>
      <right/>
      <top style="mediumDashDot">
        <color indexed="64"/>
      </top>
      <bottom/>
      <diagonal/>
    </border>
    <border>
      <left style="thin">
        <color indexed="64"/>
      </left>
      <right/>
      <top style="mediumDashDot">
        <color indexed="64"/>
      </top>
      <bottom style="medium">
        <color indexed="64"/>
      </bottom>
      <diagonal/>
    </border>
    <border>
      <left style="mediumDashDot">
        <color indexed="64"/>
      </left>
      <right/>
      <top/>
      <bottom/>
      <diagonal/>
    </border>
    <border>
      <left/>
      <right style="mediumDashDot">
        <color indexed="64"/>
      </right>
      <top/>
      <bottom/>
      <diagonal/>
    </border>
    <border>
      <left style="thin">
        <color indexed="64"/>
      </left>
      <right/>
      <top style="mediumDashDot">
        <color indexed="64"/>
      </top>
      <bottom/>
      <diagonal/>
    </border>
    <border>
      <left/>
      <right style="mediumDashDot">
        <color indexed="64"/>
      </right>
      <top/>
      <bottom style="thin">
        <color indexed="64"/>
      </bottom>
      <diagonal/>
    </border>
    <border>
      <left/>
      <right style="mediumDashDot">
        <color indexed="64"/>
      </right>
      <top style="thin">
        <color indexed="64"/>
      </top>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bottom style="thin">
        <color indexed="64"/>
      </bottom>
      <diagonal/>
    </border>
    <border>
      <left/>
      <right/>
      <top style="medium">
        <color indexed="64"/>
      </top>
      <bottom style="thin">
        <color indexed="64"/>
      </bottom>
      <diagonal/>
    </border>
    <border>
      <left style="mediumDashDot">
        <color indexed="64"/>
      </left>
      <right style="medium">
        <color indexed="64"/>
      </right>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right style="medium">
        <color indexed="64"/>
      </right>
      <top/>
      <bottom style="thin">
        <color indexed="64"/>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thin">
        <color indexed="64"/>
      </right>
      <top/>
      <bottom style="mediumDashDot">
        <color indexed="64"/>
      </bottom>
      <diagonal/>
    </border>
    <border>
      <left/>
      <right style="dotted">
        <color indexed="64"/>
      </right>
      <top/>
      <bottom/>
      <diagonal/>
    </border>
    <border>
      <left/>
      <right style="dotted">
        <color indexed="64"/>
      </right>
      <top style="thin">
        <color indexed="64"/>
      </top>
      <bottom/>
      <diagonal/>
    </border>
    <border>
      <left style="thin">
        <color indexed="64"/>
      </left>
      <right/>
      <top/>
      <bottom style="mediumDashDot">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DashDot">
        <color indexed="64"/>
      </left>
      <right/>
      <top style="thin">
        <color indexed="64"/>
      </top>
      <bottom/>
      <diagonal/>
    </border>
    <border>
      <left/>
      <right style="dotted">
        <color indexed="64"/>
      </right>
      <top/>
      <bottom style="thin">
        <color indexed="64"/>
      </bottom>
      <diagonal/>
    </border>
    <border>
      <left/>
      <right style="thin">
        <color indexed="64"/>
      </right>
      <top/>
      <bottom style="mediumDashed">
        <color indexed="64"/>
      </bottom>
      <diagonal/>
    </border>
    <border>
      <left/>
      <right/>
      <top style="mediumDashDot">
        <color indexed="64"/>
      </top>
      <bottom style="medium">
        <color indexed="64"/>
      </bottom>
      <diagonal/>
    </border>
    <border>
      <left style="mediumDashed">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DashDot">
        <color indexed="64"/>
      </top>
      <bottom/>
      <diagonal/>
    </border>
    <border>
      <left/>
      <right style="mediumDashDot">
        <color indexed="64"/>
      </right>
      <top style="mediumDashDot">
        <color indexed="64"/>
      </top>
      <bottom/>
      <diagonal/>
    </border>
  </borders>
  <cellStyleXfs count="7">
    <xf numFmtId="0" fontId="0" fillId="0" borderId="0"/>
    <xf numFmtId="43" fontId="2" fillId="0" borderId="0" applyFont="0" applyFill="0" applyBorder="0" applyAlignment="0" applyProtection="0"/>
    <xf numFmtId="0" fontId="7" fillId="0" borderId="0" applyNumberFormat="0" applyFill="0" applyBorder="0" applyAlignment="0" applyProtection="0">
      <alignment vertical="top"/>
      <protection locked="0"/>
    </xf>
    <xf numFmtId="0" fontId="4" fillId="0" borderId="0"/>
    <xf numFmtId="0" fontId="4" fillId="0" borderId="0"/>
    <xf numFmtId="0" fontId="2" fillId="0" borderId="0"/>
    <xf numFmtId="0" fontId="2" fillId="0" borderId="0"/>
  </cellStyleXfs>
  <cellXfs count="1613">
    <xf numFmtId="0" fontId="0" fillId="0" borderId="0" xfId="0"/>
    <xf numFmtId="0" fontId="0" fillId="0" borderId="0" xfId="0" applyAlignment="1">
      <alignment horizontal="left"/>
    </xf>
    <xf numFmtId="0" fontId="3" fillId="0" borderId="0" xfId="0" applyFont="1"/>
    <xf numFmtId="0" fontId="4" fillId="0" borderId="0" xfId="0" applyFont="1"/>
    <xf numFmtId="0" fontId="3" fillId="0" borderId="0" xfId="0" applyFont="1" applyAlignment="1">
      <alignment horizontal="left"/>
    </xf>
    <xf numFmtId="0" fontId="5" fillId="0" borderId="0" xfId="0" applyFont="1"/>
    <xf numFmtId="0" fontId="6" fillId="0" borderId="0" xfId="0" applyFont="1"/>
    <xf numFmtId="0" fontId="0" fillId="2" borderId="0" xfId="0" applyFill="1" applyAlignment="1">
      <alignment horizontal="left"/>
    </xf>
    <xf numFmtId="0" fontId="0" fillId="3" borderId="0" xfId="0" applyFill="1" applyAlignment="1">
      <alignment horizontal="left"/>
    </xf>
    <xf numFmtId="0" fontId="3" fillId="2" borderId="0" xfId="0" applyFont="1" applyFill="1" applyAlignment="1">
      <alignment horizontal="left"/>
    </xf>
    <xf numFmtId="0" fontId="0" fillId="0" borderId="0" xfId="0" applyFill="1" applyAlignment="1">
      <alignment horizontal="left"/>
    </xf>
    <xf numFmtId="0" fontId="4" fillId="0" borderId="0" xfId="0" applyFont="1" applyFill="1" applyAlignment="1">
      <alignment horizontal="left"/>
    </xf>
    <xf numFmtId="167" fontId="0" fillId="0" borderId="0" xfId="0" applyNumberFormat="1"/>
    <xf numFmtId="2" fontId="0" fillId="0" borderId="0" xfId="0" applyNumberFormat="1"/>
    <xf numFmtId="2" fontId="6" fillId="0" borderId="1" xfId="0" applyNumberFormat="1" applyFont="1" applyBorder="1" applyAlignment="1">
      <alignment horizontal="right"/>
    </xf>
    <xf numFmtId="0" fontId="0" fillId="0" borderId="2" xfId="0" applyBorder="1"/>
    <xf numFmtId="0" fontId="0" fillId="0" borderId="3" xfId="0" applyBorder="1"/>
    <xf numFmtId="0" fontId="3" fillId="0" borderId="2" xfId="0" applyFont="1" applyBorder="1"/>
    <xf numFmtId="0" fontId="6" fillId="0" borderId="4" xfId="0" applyFont="1" applyBorder="1"/>
    <xf numFmtId="0" fontId="6" fillId="0" borderId="3" xfId="0" applyFont="1" applyBorder="1"/>
    <xf numFmtId="0" fontId="6" fillId="0" borderId="5" xfId="0" applyFont="1" applyBorder="1"/>
    <xf numFmtId="0" fontId="6" fillId="0" borderId="6" xfId="0" applyFont="1" applyBorder="1"/>
    <xf numFmtId="0" fontId="6" fillId="0" borderId="0" xfId="0" applyFont="1" applyBorder="1"/>
    <xf numFmtId="0" fontId="0" fillId="0" borderId="0" xfId="0" applyBorder="1"/>
    <xf numFmtId="2" fontId="0" fillId="0" borderId="0" xfId="0" applyNumberFormat="1" applyBorder="1"/>
    <xf numFmtId="2" fontId="0" fillId="0" borderId="0" xfId="0" applyNumberFormat="1" applyBorder="1" applyAlignment="1">
      <alignment horizontal="right"/>
    </xf>
    <xf numFmtId="2" fontId="4" fillId="0" borderId="0" xfId="0" applyNumberFormat="1" applyFont="1" applyBorder="1" applyAlignment="1">
      <alignment horizontal="right"/>
    </xf>
    <xf numFmtId="0" fontId="6" fillId="0" borderId="7" xfId="0" applyFont="1" applyBorder="1"/>
    <xf numFmtId="0" fontId="6" fillId="0" borderId="8" xfId="0" applyFont="1" applyBorder="1"/>
    <xf numFmtId="0" fontId="0" fillId="0" borderId="8" xfId="0" applyBorder="1"/>
    <xf numFmtId="169" fontId="0" fillId="0" borderId="8" xfId="0" applyNumberFormat="1" applyBorder="1"/>
    <xf numFmtId="169" fontId="0" fillId="0" borderId="2" xfId="0" applyNumberFormat="1" applyBorder="1"/>
    <xf numFmtId="0" fontId="3" fillId="4" borderId="0" xfId="0" applyFont="1" applyFill="1"/>
    <xf numFmtId="0" fontId="0" fillId="4" borderId="0" xfId="0" applyFill="1"/>
    <xf numFmtId="0" fontId="5" fillId="4" borderId="0" xfId="0" applyFont="1" applyFill="1"/>
    <xf numFmtId="2" fontId="5" fillId="4" borderId="9" xfId="0" applyNumberFormat="1" applyFont="1" applyFill="1" applyBorder="1" applyAlignment="1">
      <alignment horizontal="center" wrapText="1"/>
    </xf>
    <xf numFmtId="2" fontId="5" fillId="4" borderId="10" xfId="0" applyNumberFormat="1" applyFont="1" applyFill="1" applyBorder="1" applyAlignment="1">
      <alignment horizontal="center" wrapText="1"/>
    </xf>
    <xf numFmtId="0" fontId="5" fillId="4" borderId="11" xfId="0" applyFont="1" applyFill="1" applyBorder="1" applyAlignment="1">
      <alignment wrapText="1"/>
    </xf>
    <xf numFmtId="2" fontId="5" fillId="4" borderId="12" xfId="0" applyNumberFormat="1" applyFont="1" applyFill="1" applyBorder="1" applyAlignment="1">
      <alignment horizontal="center" wrapText="1"/>
    </xf>
    <xf numFmtId="0" fontId="3" fillId="4" borderId="5" xfId="0" applyFont="1" applyFill="1" applyBorder="1"/>
    <xf numFmtId="168" fontId="3" fillId="4" borderId="5" xfId="0" applyNumberFormat="1" applyFont="1" applyFill="1" applyBorder="1"/>
    <xf numFmtId="0" fontId="0" fillId="0" borderId="0" xfId="0" applyFill="1" applyBorder="1" applyAlignment="1">
      <alignment horizontal="left"/>
    </xf>
    <xf numFmtId="0" fontId="0" fillId="0" borderId="0" xfId="0" applyFill="1"/>
    <xf numFmtId="0" fontId="4" fillId="0" borderId="2" xfId="0" applyFont="1" applyBorder="1"/>
    <xf numFmtId="0" fontId="0" fillId="5" borderId="0" xfId="0" applyFill="1"/>
    <xf numFmtId="0" fontId="0" fillId="5" borderId="0" xfId="0" applyFill="1" applyBorder="1" applyAlignment="1">
      <alignment horizontal="left"/>
    </xf>
    <xf numFmtId="0" fontId="0" fillId="6" borderId="6" xfId="0" applyFill="1" applyBorder="1"/>
    <xf numFmtId="0" fontId="0" fillId="6" borderId="4" xfId="0" applyFill="1" applyBorder="1"/>
    <xf numFmtId="0" fontId="0" fillId="6" borderId="8" xfId="0" applyFill="1" applyBorder="1"/>
    <xf numFmtId="0" fontId="0" fillId="6" borderId="0" xfId="0" applyFill="1" applyBorder="1"/>
    <xf numFmtId="0" fontId="0" fillId="6" borderId="2" xfId="0" applyFill="1" applyBorder="1" applyAlignment="1">
      <alignment horizontal="right"/>
    </xf>
    <xf numFmtId="0" fontId="0" fillId="6" borderId="2" xfId="0" applyFill="1" applyBorder="1"/>
    <xf numFmtId="169" fontId="0" fillId="6" borderId="5" xfId="0" applyNumberFormat="1" applyFill="1" applyBorder="1"/>
    <xf numFmtId="1" fontId="0" fillId="3" borderId="14" xfId="0" applyNumberFormat="1" applyFill="1" applyBorder="1"/>
    <xf numFmtId="0" fontId="0" fillId="6" borderId="7" xfId="0" applyFill="1" applyBorder="1"/>
    <xf numFmtId="0" fontId="0" fillId="6" borderId="5" xfId="0" applyFill="1" applyBorder="1"/>
    <xf numFmtId="0" fontId="0" fillId="6" borderId="3" xfId="0" applyFill="1" applyBorder="1"/>
    <xf numFmtId="0" fontId="0" fillId="5" borderId="2" xfId="0" applyFill="1" applyBorder="1"/>
    <xf numFmtId="0" fontId="0" fillId="4" borderId="15" xfId="0" applyFill="1" applyBorder="1"/>
    <xf numFmtId="0" fontId="0" fillId="4" borderId="16" xfId="0" applyFill="1" applyBorder="1"/>
    <xf numFmtId="0" fontId="0" fillId="4" borderId="17" xfId="0" applyFill="1" applyBorder="1"/>
    <xf numFmtId="0" fontId="3" fillId="4" borderId="0" xfId="0" applyFont="1" applyFill="1" applyBorder="1" applyAlignment="1">
      <alignment horizontal="center"/>
    </xf>
    <xf numFmtId="0" fontId="0" fillId="4" borderId="18" xfId="0" applyFill="1" applyBorder="1"/>
    <xf numFmtId="0" fontId="0" fillId="4" borderId="0" xfId="0" applyFill="1" applyBorder="1" applyAlignment="1">
      <alignment horizontal="center"/>
    </xf>
    <xf numFmtId="0" fontId="0" fillId="4" borderId="0" xfId="0" applyFill="1" applyBorder="1" applyAlignment="1">
      <alignment horizontal="right"/>
    </xf>
    <xf numFmtId="1" fontId="2" fillId="3" borderId="14" xfId="0" applyNumberFormat="1" applyFont="1" applyFill="1" applyBorder="1"/>
    <xf numFmtId="0" fontId="0" fillId="0" borderId="0" xfId="0" applyAlignment="1">
      <alignment vertical="top"/>
    </xf>
    <xf numFmtId="0" fontId="0" fillId="4" borderId="19" xfId="0" applyFill="1" applyBorder="1"/>
    <xf numFmtId="0" fontId="0" fillId="4" borderId="20" xfId="0" applyFill="1" applyBorder="1"/>
    <xf numFmtId="0" fontId="0" fillId="4" borderId="21" xfId="0" applyFill="1" applyBorder="1"/>
    <xf numFmtId="0" fontId="0" fillId="5" borderId="0" xfId="0" applyFill="1" applyBorder="1"/>
    <xf numFmtId="0" fontId="0" fillId="5" borderId="15" xfId="0" applyFill="1" applyBorder="1"/>
    <xf numFmtId="0" fontId="0" fillId="5" borderId="22" xfId="0" applyFill="1" applyBorder="1"/>
    <xf numFmtId="0" fontId="0" fillId="5" borderId="23" xfId="0" applyFill="1" applyBorder="1"/>
    <xf numFmtId="0" fontId="0" fillId="5" borderId="6" xfId="0" applyFill="1" applyBorder="1"/>
    <xf numFmtId="0" fontId="0" fillId="5" borderId="4" xfId="0" applyFill="1" applyBorder="1"/>
    <xf numFmtId="0" fontId="0" fillId="6" borderId="8" xfId="0" applyFill="1" applyBorder="1" applyAlignment="1">
      <alignment horizontal="right"/>
    </xf>
    <xf numFmtId="0" fontId="0" fillId="6" borderId="0" xfId="0" applyFill="1" applyBorder="1" applyAlignment="1">
      <alignment horizontal="right"/>
    </xf>
    <xf numFmtId="169" fontId="0" fillId="2" borderId="14" xfId="0" applyNumberFormat="1" applyFill="1" applyBorder="1"/>
    <xf numFmtId="0" fontId="3" fillId="4" borderId="17" xfId="0" applyFont="1" applyFill="1" applyBorder="1" applyAlignment="1">
      <alignment horizontal="center"/>
    </xf>
    <xf numFmtId="0" fontId="0" fillId="4" borderId="0" xfId="0" applyFill="1" applyBorder="1"/>
    <xf numFmtId="0" fontId="2" fillId="3" borderId="14" xfId="0" applyFont="1" applyFill="1" applyBorder="1"/>
    <xf numFmtId="1" fontId="2" fillId="4" borderId="0" xfId="0" applyNumberFormat="1" applyFont="1" applyFill="1" applyBorder="1"/>
    <xf numFmtId="0" fontId="5" fillId="4" borderId="18" xfId="0" applyFont="1" applyFill="1" applyBorder="1"/>
    <xf numFmtId="0" fontId="0" fillId="4" borderId="20" xfId="0" applyFill="1" applyBorder="1" applyAlignment="1">
      <alignment horizontal="center"/>
    </xf>
    <xf numFmtId="1" fontId="2" fillId="4" borderId="20" xfId="0" applyNumberFormat="1" applyFont="1" applyFill="1" applyBorder="1"/>
    <xf numFmtId="0" fontId="0" fillId="3" borderId="14" xfId="0" applyFill="1" applyBorder="1"/>
    <xf numFmtId="0" fontId="0" fillId="5" borderId="5" xfId="0" applyFill="1" applyBorder="1"/>
    <xf numFmtId="0" fontId="0" fillId="5" borderId="3" xfId="0" applyFill="1" applyBorder="1"/>
    <xf numFmtId="0" fontId="3" fillId="4" borderId="17" xfId="0" applyFont="1" applyFill="1" applyBorder="1"/>
    <xf numFmtId="0" fontId="3" fillId="4" borderId="0" xfId="0" applyFont="1" applyFill="1" applyBorder="1"/>
    <xf numFmtId="0" fontId="0" fillId="5" borderId="24" xfId="0" applyFill="1" applyBorder="1"/>
    <xf numFmtId="0" fontId="0" fillId="5" borderId="7" xfId="0" applyFill="1" applyBorder="1"/>
    <xf numFmtId="0" fontId="0" fillId="6" borderId="23" xfId="0" applyFill="1" applyBorder="1"/>
    <xf numFmtId="0" fontId="0" fillId="5" borderId="8" xfId="0" applyFill="1" applyBorder="1"/>
    <xf numFmtId="0" fontId="0" fillId="6" borderId="6" xfId="0" applyFill="1" applyBorder="1" applyAlignment="1">
      <alignment horizontal="right"/>
    </xf>
    <xf numFmtId="0" fontId="0" fillId="6" borderId="5" xfId="0" applyFill="1" applyBorder="1" applyAlignment="1">
      <alignment horizontal="right"/>
    </xf>
    <xf numFmtId="0" fontId="0" fillId="5" borderId="25" xfId="0" applyFill="1" applyBorder="1"/>
    <xf numFmtId="0" fontId="0" fillId="5" borderId="26" xfId="0" applyFill="1" applyBorder="1"/>
    <xf numFmtId="0" fontId="3" fillId="5" borderId="0" xfId="0" applyFont="1" applyFill="1"/>
    <xf numFmtId="0" fontId="7" fillId="0" borderId="0" xfId="2" applyFill="1" applyAlignment="1" applyProtection="1"/>
    <xf numFmtId="0" fontId="0" fillId="8" borderId="6" xfId="0" applyFill="1" applyBorder="1" applyAlignment="1">
      <alignment horizontal="left"/>
    </xf>
    <xf numFmtId="0" fontId="0" fillId="8" borderId="4" xfId="0" applyFill="1" applyBorder="1"/>
    <xf numFmtId="0" fontId="0" fillId="8" borderId="0" xfId="0" applyFill="1" applyBorder="1"/>
    <xf numFmtId="0" fontId="0" fillId="8" borderId="7" xfId="0" applyFill="1" applyBorder="1"/>
    <xf numFmtId="0" fontId="0" fillId="8" borderId="5" xfId="0" applyFill="1" applyBorder="1"/>
    <xf numFmtId="0" fontId="0" fillId="0" borderId="0" xfId="0" applyAlignment="1">
      <alignment vertical="top" wrapText="1"/>
    </xf>
    <xf numFmtId="0" fontId="0" fillId="2" borderId="0" xfId="0" applyFill="1"/>
    <xf numFmtId="170" fontId="0" fillId="0" borderId="0" xfId="0" applyNumberFormat="1"/>
    <xf numFmtId="2" fontId="0" fillId="8" borderId="0" xfId="0" applyNumberFormat="1" applyFill="1"/>
    <xf numFmtId="1" fontId="0" fillId="2" borderId="14" xfId="0" applyNumberFormat="1" applyFill="1" applyBorder="1"/>
    <xf numFmtId="0" fontId="0" fillId="0" borderId="0" xfId="0" applyFill="1" applyAlignment="1">
      <alignment horizontal="left" vertical="top"/>
    </xf>
    <xf numFmtId="0" fontId="0" fillId="0" borderId="0" xfId="0" applyAlignment="1">
      <alignment horizontal="left" vertical="top"/>
    </xf>
    <xf numFmtId="0" fontId="0" fillId="8" borderId="2" xfId="0" applyFill="1" applyBorder="1"/>
    <xf numFmtId="0" fontId="0" fillId="8" borderId="3" xfId="0" applyFill="1" applyBorder="1"/>
    <xf numFmtId="0" fontId="0" fillId="0" borderId="0" xfId="0" applyFill="1" applyAlignment="1">
      <alignment vertical="top"/>
    </xf>
    <xf numFmtId="0" fontId="0" fillId="0" borderId="0" xfId="0" applyAlignment="1"/>
    <xf numFmtId="0" fontId="0" fillId="0" borderId="0" xfId="0" applyFill="1" applyAlignment="1"/>
    <xf numFmtId="0" fontId="0" fillId="5" borderId="27" xfId="0" applyFill="1" applyBorder="1"/>
    <xf numFmtId="0" fontId="0" fillId="5" borderId="28" xfId="0" applyFill="1" applyBorder="1"/>
    <xf numFmtId="0" fontId="0" fillId="5" borderId="29" xfId="0" applyFill="1" applyBorder="1"/>
    <xf numFmtId="0" fontId="0" fillId="5" borderId="30" xfId="0" applyFill="1" applyBorder="1"/>
    <xf numFmtId="0" fontId="5" fillId="0" borderId="0" xfId="0" applyFont="1" applyBorder="1"/>
    <xf numFmtId="0" fontId="0" fillId="5" borderId="31" xfId="0" applyFill="1" applyBorder="1"/>
    <xf numFmtId="0" fontId="3" fillId="5" borderId="32" xfId="0" applyFont="1" applyFill="1" applyBorder="1" applyAlignment="1">
      <alignment horizontal="left"/>
    </xf>
    <xf numFmtId="0" fontId="0" fillId="5" borderId="32" xfId="0" applyFill="1" applyBorder="1"/>
    <xf numFmtId="0" fontId="0" fillId="5" borderId="33" xfId="0" applyFill="1" applyBorder="1"/>
    <xf numFmtId="0" fontId="0" fillId="5" borderId="14" xfId="0" applyFill="1" applyBorder="1"/>
    <xf numFmtId="0" fontId="3" fillId="5" borderId="0" xfId="0" applyFont="1" applyFill="1" applyBorder="1" applyAlignment="1"/>
    <xf numFmtId="0" fontId="3" fillId="5" borderId="2" xfId="0" applyFont="1" applyFill="1" applyBorder="1" applyAlignment="1"/>
    <xf numFmtId="1" fontId="4" fillId="2" borderId="14" xfId="0" applyNumberFormat="1" applyFont="1" applyFill="1" applyBorder="1"/>
    <xf numFmtId="0" fontId="0" fillId="5" borderId="2" xfId="0" applyFill="1" applyBorder="1" applyAlignment="1"/>
    <xf numFmtId="0" fontId="0" fillId="5" borderId="0" xfId="0" applyFill="1" applyBorder="1" applyAlignment="1"/>
    <xf numFmtId="0" fontId="0" fillId="2" borderId="14" xfId="0" applyFill="1" applyBorder="1"/>
    <xf numFmtId="1" fontId="2" fillId="5" borderId="0" xfId="0" applyNumberFormat="1" applyFont="1" applyFill="1" applyBorder="1"/>
    <xf numFmtId="0" fontId="0" fillId="5" borderId="0" xfId="0" applyFill="1" applyBorder="1" applyAlignment="1">
      <alignment horizontal="right"/>
    </xf>
    <xf numFmtId="0" fontId="3" fillId="4" borderId="0" xfId="0" applyFont="1" applyFill="1" applyBorder="1" applyAlignment="1">
      <alignment vertical="center"/>
    </xf>
    <xf numFmtId="0" fontId="0" fillId="5" borderId="34" xfId="0" applyFill="1" applyBorder="1"/>
    <xf numFmtId="0" fontId="0" fillId="5" borderId="35" xfId="0" applyFill="1" applyBorder="1"/>
    <xf numFmtId="0" fontId="0" fillId="5" borderId="36" xfId="0" applyFill="1" applyBorder="1"/>
    <xf numFmtId="0" fontId="0" fillId="5" borderId="37" xfId="0" applyFill="1" applyBorder="1"/>
    <xf numFmtId="0" fontId="0" fillId="5" borderId="38" xfId="0" applyFill="1" applyBorder="1"/>
    <xf numFmtId="0" fontId="0" fillId="4" borderId="5" xfId="0" applyFill="1" applyBorder="1"/>
    <xf numFmtId="0" fontId="3" fillId="0" borderId="0" xfId="0" applyFont="1" applyFill="1"/>
    <xf numFmtId="0" fontId="4" fillId="8" borderId="8" xfId="0" applyFont="1" applyFill="1" applyBorder="1"/>
    <xf numFmtId="1" fontId="0" fillId="8" borderId="2" xfId="0" applyNumberFormat="1" applyFill="1" applyBorder="1"/>
    <xf numFmtId="0" fontId="4" fillId="8" borderId="7" xfId="0" applyFont="1" applyFill="1" applyBorder="1"/>
    <xf numFmtId="0" fontId="4" fillId="0" borderId="0" xfId="0" applyFont="1" applyAlignment="1">
      <alignment vertical="top"/>
    </xf>
    <xf numFmtId="0" fontId="0" fillId="8" borderId="0" xfId="0" applyFill="1" applyAlignment="1">
      <alignment vertical="top"/>
    </xf>
    <xf numFmtId="0" fontId="3" fillId="0" borderId="0" xfId="0" applyFont="1" applyAlignment="1"/>
    <xf numFmtId="2" fontId="0" fillId="0" borderId="0" xfId="0" applyNumberFormat="1" applyFill="1"/>
    <xf numFmtId="0" fontId="3" fillId="0" borderId="0" xfId="0" applyFont="1" applyFill="1" applyBorder="1"/>
    <xf numFmtId="0" fontId="0" fillId="0" borderId="0" xfId="0" applyFill="1" applyBorder="1"/>
    <xf numFmtId="0" fontId="0" fillId="0" borderId="5" xfId="0" applyBorder="1"/>
    <xf numFmtId="0" fontId="6" fillId="0" borderId="0" xfId="0" applyFont="1" applyFill="1" applyBorder="1"/>
    <xf numFmtId="0" fontId="6" fillId="0" borderId="8" xfId="0" applyFont="1" applyFill="1" applyBorder="1" applyAlignment="1">
      <alignment horizontal="center"/>
    </xf>
    <xf numFmtId="0" fontId="6" fillId="0" borderId="0" xfId="0" applyFont="1" applyFill="1" applyBorder="1" applyAlignment="1">
      <alignment horizontal="center"/>
    </xf>
    <xf numFmtId="0" fontId="6" fillId="0" borderId="2" xfId="0" applyFont="1" applyFill="1" applyBorder="1" applyAlignment="1">
      <alignment horizontal="center"/>
    </xf>
    <xf numFmtId="0" fontId="6" fillId="0" borderId="5" xfId="0" applyFont="1" applyFill="1" applyBorder="1"/>
    <xf numFmtId="0" fontId="6" fillId="0" borderId="7" xfId="0" applyFont="1" applyFill="1" applyBorder="1" applyAlignment="1">
      <alignment horizontal="center"/>
    </xf>
    <xf numFmtId="0" fontId="6" fillId="0" borderId="5" xfId="0" applyFont="1" applyFill="1" applyBorder="1" applyAlignment="1">
      <alignment horizontal="center"/>
    </xf>
    <xf numFmtId="0" fontId="6" fillId="0" borderId="3" xfId="0" applyFont="1" applyFill="1" applyBorder="1" applyAlignment="1">
      <alignment horizontal="center"/>
    </xf>
    <xf numFmtId="0" fontId="3" fillId="0" borderId="4" xfId="0" applyFont="1" applyBorder="1"/>
    <xf numFmtId="0" fontId="0" fillId="0" borderId="4" xfId="0" applyBorder="1"/>
    <xf numFmtId="168" fontId="0" fillId="8" borderId="0" xfId="0" applyNumberFormat="1" applyFill="1"/>
    <xf numFmtId="168" fontId="0" fillId="8" borderId="2" xfId="0" applyNumberFormat="1" applyFill="1" applyBorder="1"/>
    <xf numFmtId="166" fontId="0" fillId="8" borderId="0" xfId="0" applyNumberFormat="1" applyFill="1"/>
    <xf numFmtId="166" fontId="0" fillId="8" borderId="2" xfId="0" applyNumberFormat="1" applyFill="1" applyBorder="1"/>
    <xf numFmtId="0" fontId="0" fillId="0" borderId="40" xfId="0" applyBorder="1"/>
    <xf numFmtId="0" fontId="0" fillId="0" borderId="39" xfId="0" applyBorder="1"/>
    <xf numFmtId="168" fontId="0" fillId="8" borderId="0" xfId="0" applyNumberFormat="1" applyFill="1" applyBorder="1"/>
    <xf numFmtId="166" fontId="0" fillId="2" borderId="0" xfId="0" applyNumberFormat="1" applyFill="1"/>
    <xf numFmtId="0" fontId="6" fillId="8" borderId="23" xfId="0" applyFont="1" applyFill="1" applyBorder="1" applyAlignment="1"/>
    <xf numFmtId="0" fontId="6" fillId="8" borderId="4" xfId="0" applyFont="1" applyFill="1" applyBorder="1" applyAlignment="1"/>
    <xf numFmtId="0" fontId="6" fillId="8" borderId="41" xfId="0" applyFont="1" applyFill="1" applyBorder="1" applyAlignment="1">
      <alignment horizontal="left"/>
    </xf>
    <xf numFmtId="0" fontId="6" fillId="8" borderId="41" xfId="0" applyFont="1" applyFill="1" applyBorder="1" applyAlignment="1">
      <alignment horizontal="center"/>
    </xf>
    <xf numFmtId="0" fontId="0" fillId="8" borderId="41" xfId="0" applyFill="1" applyBorder="1"/>
    <xf numFmtId="0" fontId="6" fillId="8" borderId="7" xfId="0" applyFont="1" applyFill="1" applyBorder="1"/>
    <xf numFmtId="0" fontId="6" fillId="8" borderId="12" xfId="0" applyFont="1" applyFill="1" applyBorder="1" applyAlignment="1">
      <alignment horizontal="center"/>
    </xf>
    <xf numFmtId="0" fontId="6" fillId="8" borderId="12" xfId="0" applyFont="1" applyFill="1" applyBorder="1" applyAlignment="1">
      <alignment horizontal="left"/>
    </xf>
    <xf numFmtId="168" fontId="0" fillId="8" borderId="42" xfId="0" applyNumberFormat="1" applyFill="1" applyBorder="1"/>
    <xf numFmtId="168" fontId="0" fillId="8" borderId="14" xfId="0" applyNumberFormat="1" applyFill="1" applyBorder="1"/>
    <xf numFmtId="166" fontId="0" fillId="8" borderId="14" xfId="0" applyNumberFormat="1" applyFill="1" applyBorder="1"/>
    <xf numFmtId="164" fontId="0" fillId="8" borderId="14" xfId="0" applyNumberFormat="1" applyFill="1" applyBorder="1"/>
    <xf numFmtId="0" fontId="4" fillId="8" borderId="1" xfId="0" applyFont="1" applyFill="1" applyBorder="1"/>
    <xf numFmtId="1" fontId="0" fillId="8" borderId="43" xfId="0" applyNumberFormat="1" applyFill="1" applyBorder="1"/>
    <xf numFmtId="168" fontId="0" fillId="0" borderId="0" xfId="0" applyNumberFormat="1" applyFill="1" applyBorder="1"/>
    <xf numFmtId="166" fontId="0" fillId="0" borderId="0" xfId="0" applyNumberFormat="1" applyFill="1" applyBorder="1"/>
    <xf numFmtId="164" fontId="0" fillId="0" borderId="0" xfId="0" applyNumberFormat="1" applyFill="1" applyBorder="1"/>
    <xf numFmtId="170" fontId="0" fillId="0" borderId="0" xfId="0" applyNumberFormat="1" applyFill="1"/>
    <xf numFmtId="169" fontId="0" fillId="0" borderId="0" xfId="0" applyNumberFormat="1"/>
    <xf numFmtId="169" fontId="0" fillId="0" borderId="0" xfId="0" applyNumberFormat="1" applyFill="1"/>
    <xf numFmtId="168" fontId="0" fillId="0" borderId="0" xfId="0" applyNumberFormat="1"/>
    <xf numFmtId="168" fontId="0" fillId="0" borderId="0" xfId="0" applyNumberFormat="1" applyFill="1"/>
    <xf numFmtId="0" fontId="0" fillId="0" borderId="0" xfId="0" applyFill="1" applyAlignment="1">
      <alignment wrapText="1"/>
    </xf>
    <xf numFmtId="166" fontId="0" fillId="8" borderId="42" xfId="0" applyNumberFormat="1" applyFill="1" applyBorder="1"/>
    <xf numFmtId="164" fontId="0" fillId="8" borderId="42" xfId="0" applyNumberFormat="1" applyFill="1" applyBorder="1"/>
    <xf numFmtId="168" fontId="0" fillId="8" borderId="12" xfId="0" applyNumberFormat="1" applyFill="1" applyBorder="1"/>
    <xf numFmtId="166" fontId="0" fillId="8" borderId="12" xfId="0" applyNumberFormat="1" applyFill="1" applyBorder="1"/>
    <xf numFmtId="164" fontId="0" fillId="8" borderId="12" xfId="0" applyNumberFormat="1" applyFill="1" applyBorder="1"/>
    <xf numFmtId="0" fontId="4" fillId="8" borderId="6" xfId="0" applyFont="1" applyFill="1" applyBorder="1"/>
    <xf numFmtId="1" fontId="0" fillId="8" borderId="4" xfId="0" applyNumberFormat="1" applyFill="1" applyBorder="1"/>
    <xf numFmtId="0" fontId="4" fillId="8" borderId="5" xfId="0" applyFont="1" applyFill="1" applyBorder="1"/>
    <xf numFmtId="1" fontId="0" fillId="8" borderId="3" xfId="0" applyNumberFormat="1" applyFill="1" applyBorder="1"/>
    <xf numFmtId="1" fontId="0" fillId="0" borderId="0" xfId="0" applyNumberFormat="1" applyFill="1" applyAlignment="1">
      <alignment horizontal="left"/>
    </xf>
    <xf numFmtId="168" fontId="0" fillId="0" borderId="0" xfId="0" applyNumberFormat="1" applyFill="1" applyAlignment="1">
      <alignment horizontal="left"/>
    </xf>
    <xf numFmtId="166" fontId="0" fillId="0" borderId="0" xfId="0" applyNumberFormat="1" applyFill="1" applyAlignment="1">
      <alignment horizontal="left"/>
    </xf>
    <xf numFmtId="164" fontId="0" fillId="0" borderId="0" xfId="0" applyNumberFormat="1" applyFill="1" applyAlignment="1">
      <alignment horizontal="left"/>
    </xf>
    <xf numFmtId="0" fontId="4" fillId="0" borderId="0" xfId="0" applyFont="1" applyFill="1" applyBorder="1"/>
    <xf numFmtId="1" fontId="0" fillId="0" borderId="0" xfId="0" applyNumberFormat="1" applyFill="1" applyBorder="1"/>
    <xf numFmtId="169" fontId="0" fillId="8" borderId="2" xfId="0" applyNumberFormat="1" applyFill="1" applyBorder="1"/>
    <xf numFmtId="169" fontId="6" fillId="8" borderId="44" xfId="0" applyNumberFormat="1" applyFont="1" applyFill="1" applyBorder="1"/>
    <xf numFmtId="169" fontId="6" fillId="8" borderId="43" xfId="0" applyNumberFormat="1" applyFont="1" applyFill="1" applyBorder="1"/>
    <xf numFmtId="2" fontId="4" fillId="8" borderId="0" xfId="0" applyNumberFormat="1" applyFont="1" applyFill="1" applyBorder="1"/>
    <xf numFmtId="0" fontId="6" fillId="0" borderId="1" xfId="0" applyFont="1" applyBorder="1"/>
    <xf numFmtId="0" fontId="0" fillId="5" borderId="0" xfId="0" applyFill="1" applyBorder="1" applyAlignment="1">
      <alignment horizontal="center"/>
    </xf>
    <xf numFmtId="0" fontId="0" fillId="5" borderId="25" xfId="0" applyFill="1" applyBorder="1" applyAlignment="1">
      <alignment horizontal="center"/>
    </xf>
    <xf numFmtId="0" fontId="0" fillId="5" borderId="45" xfId="0" applyFill="1" applyBorder="1" applyAlignment="1">
      <alignment horizontal="center"/>
    </xf>
    <xf numFmtId="14" fontId="0" fillId="0" borderId="0" xfId="0" applyNumberFormat="1" applyAlignment="1">
      <alignment vertical="top" wrapText="1"/>
    </xf>
    <xf numFmtId="0" fontId="0" fillId="9" borderId="0" xfId="0" applyFill="1"/>
    <xf numFmtId="0" fontId="0" fillId="6" borderId="3" xfId="0" applyFill="1" applyBorder="1" applyAlignment="1">
      <alignment horizontal="right"/>
    </xf>
    <xf numFmtId="0" fontId="0" fillId="6" borderId="7" xfId="0" applyFill="1" applyBorder="1" applyAlignment="1">
      <alignment horizontal="right"/>
    </xf>
    <xf numFmtId="0" fontId="4" fillId="6" borderId="0" xfId="0" applyFont="1" applyFill="1" applyBorder="1" applyAlignment="1">
      <alignment horizontal="right"/>
    </xf>
    <xf numFmtId="0" fontId="4" fillId="6" borderId="0" xfId="0" applyFont="1" applyFill="1" applyBorder="1"/>
    <xf numFmtId="0" fontId="0" fillId="5" borderId="47" xfId="0" applyFill="1" applyBorder="1"/>
    <xf numFmtId="0" fontId="0" fillId="5" borderId="50" xfId="0" applyFill="1" applyBorder="1"/>
    <xf numFmtId="0" fontId="4" fillId="4" borderId="0" xfId="0" applyFont="1" applyFill="1" applyBorder="1"/>
    <xf numFmtId="0" fontId="3" fillId="4" borderId="9" xfId="0" applyFont="1" applyFill="1" applyBorder="1" applyAlignment="1">
      <alignment horizontal="center"/>
    </xf>
    <xf numFmtId="0" fontId="3" fillId="4" borderId="15" xfId="0" applyFont="1" applyFill="1" applyBorder="1" applyAlignment="1">
      <alignment horizontal="center"/>
    </xf>
    <xf numFmtId="0" fontId="3" fillId="4" borderId="16" xfId="0" applyFont="1" applyFill="1" applyBorder="1" applyAlignment="1">
      <alignment horizontal="center"/>
    </xf>
    <xf numFmtId="0" fontId="4" fillId="4" borderId="18" xfId="0" applyFont="1" applyFill="1" applyBorder="1"/>
    <xf numFmtId="0" fontId="4" fillId="4" borderId="0" xfId="0" applyFont="1" applyFill="1" applyBorder="1" applyAlignment="1">
      <alignment horizontal="right"/>
    </xf>
    <xf numFmtId="0" fontId="4" fillId="6" borderId="2" xfId="0" applyFont="1" applyFill="1" applyBorder="1"/>
    <xf numFmtId="1" fontId="0" fillId="5" borderId="14" xfId="0" applyNumberFormat="1" applyFill="1" applyBorder="1"/>
    <xf numFmtId="0" fontId="11" fillId="6" borderId="23" xfId="2" applyFont="1" applyFill="1" applyBorder="1" applyAlignment="1" applyProtection="1">
      <alignment horizontal="center"/>
    </xf>
    <xf numFmtId="0" fontId="4" fillId="6" borderId="42" xfId="0" applyFont="1" applyFill="1" applyBorder="1"/>
    <xf numFmtId="0" fontId="11" fillId="4" borderId="9" xfId="2" applyFont="1" applyFill="1" applyBorder="1" applyAlignment="1" applyProtection="1">
      <alignment horizontal="center"/>
    </xf>
    <xf numFmtId="0" fontId="0" fillId="4" borderId="17" xfId="0" applyFill="1" applyBorder="1" applyAlignment="1"/>
    <xf numFmtId="0" fontId="4" fillId="6" borderId="8" xfId="0" applyFont="1" applyFill="1" applyBorder="1" applyAlignment="1">
      <alignment horizontal="right"/>
    </xf>
    <xf numFmtId="0" fontId="3" fillId="5" borderId="0" xfId="0" applyFont="1" applyFill="1" applyBorder="1" applyAlignment="1">
      <alignment horizontal="left"/>
    </xf>
    <xf numFmtId="0" fontId="0" fillId="5" borderId="18" xfId="0" applyFill="1" applyBorder="1"/>
    <xf numFmtId="0" fontId="0" fillId="9" borderId="15" xfId="0" applyFill="1" applyBorder="1"/>
    <xf numFmtId="0" fontId="0" fillId="9" borderId="20" xfId="0" applyFill="1" applyBorder="1"/>
    <xf numFmtId="0" fontId="0" fillId="0" borderId="17" xfId="0" applyBorder="1"/>
    <xf numFmtId="0" fontId="0" fillId="4" borderId="19" xfId="0" applyFill="1" applyBorder="1" applyAlignment="1">
      <alignment horizontal="right"/>
    </xf>
    <xf numFmtId="0" fontId="0" fillId="0" borderId="20" xfId="0" applyBorder="1"/>
    <xf numFmtId="0" fontId="0" fillId="5" borderId="59" xfId="0" applyFill="1" applyBorder="1"/>
    <xf numFmtId="0" fontId="4" fillId="4" borderId="0" xfId="0" applyFont="1" applyFill="1" applyBorder="1" applyAlignment="1">
      <alignment horizontal="left"/>
    </xf>
    <xf numFmtId="0" fontId="0" fillId="4" borderId="17" xfId="0" applyFill="1" applyBorder="1" applyAlignment="1">
      <alignment horizontal="right"/>
    </xf>
    <xf numFmtId="0" fontId="0" fillId="0" borderId="18" xfId="0" applyBorder="1" applyAlignment="1"/>
    <xf numFmtId="0" fontId="0" fillId="9" borderId="0" xfId="0" applyFill="1" applyBorder="1"/>
    <xf numFmtId="0" fontId="4" fillId="4" borderId="17" xfId="0" applyFont="1" applyFill="1" applyBorder="1" applyAlignment="1">
      <alignment horizontal="right"/>
    </xf>
    <xf numFmtId="0" fontId="0" fillId="6" borderId="23" xfId="0" applyFill="1" applyBorder="1" applyAlignment="1">
      <alignment horizontal="right"/>
    </xf>
    <xf numFmtId="0" fontId="0" fillId="6" borderId="4" xfId="0" applyFill="1" applyBorder="1" applyAlignment="1">
      <alignment horizontal="right"/>
    </xf>
    <xf numFmtId="0" fontId="0" fillId="4" borderId="9" xfId="0" applyFill="1" applyBorder="1"/>
    <xf numFmtId="0" fontId="0" fillId="4" borderId="15" xfId="0" applyFill="1" applyBorder="1" applyAlignment="1">
      <alignment horizontal="right"/>
    </xf>
    <xf numFmtId="0" fontId="13" fillId="0" borderId="15" xfId="0" applyFont="1" applyFill="1" applyBorder="1"/>
    <xf numFmtId="1" fontId="10" fillId="4" borderId="0" xfId="0" applyNumberFormat="1" applyFont="1" applyFill="1" applyBorder="1"/>
    <xf numFmtId="0" fontId="3" fillId="4" borderId="20" xfId="0" applyFont="1" applyFill="1" applyBorder="1" applyAlignment="1">
      <alignment horizontal="center"/>
    </xf>
    <xf numFmtId="0" fontId="0" fillId="4" borderId="20" xfId="0" applyFill="1" applyBorder="1" applyAlignment="1">
      <alignment horizontal="right"/>
    </xf>
    <xf numFmtId="0" fontId="13" fillId="0" borderId="20" xfId="0" applyFont="1" applyFill="1" applyBorder="1"/>
    <xf numFmtId="0" fontId="9" fillId="4" borderId="18" xfId="0" applyFont="1" applyFill="1" applyBorder="1"/>
    <xf numFmtId="0" fontId="3" fillId="4" borderId="15" xfId="0" applyFont="1" applyFill="1" applyBorder="1" applyAlignment="1"/>
    <xf numFmtId="0" fontId="3" fillId="4" borderId="17" xfId="0" applyFont="1" applyFill="1" applyBorder="1" applyAlignment="1"/>
    <xf numFmtId="0" fontId="3" fillId="4" borderId="19" xfId="0" applyFont="1" applyFill="1" applyBorder="1" applyAlignment="1">
      <alignment horizontal="center"/>
    </xf>
    <xf numFmtId="0" fontId="3" fillId="4" borderId="21" xfId="0" applyFont="1" applyFill="1" applyBorder="1" applyAlignment="1">
      <alignment horizontal="center"/>
    </xf>
    <xf numFmtId="0" fontId="0" fillId="5" borderId="63" xfId="0" applyFill="1" applyBorder="1"/>
    <xf numFmtId="0" fontId="0" fillId="5" borderId="64" xfId="0" applyFill="1" applyBorder="1"/>
    <xf numFmtId="0" fontId="0" fillId="5" borderId="65" xfId="0" applyFill="1" applyBorder="1"/>
    <xf numFmtId="0" fontId="0" fillId="5" borderId="66" xfId="0" applyFill="1" applyBorder="1"/>
    <xf numFmtId="0" fontId="0" fillId="5" borderId="67" xfId="0" applyFill="1" applyBorder="1"/>
    <xf numFmtId="0" fontId="0" fillId="0" borderId="0" xfId="0" applyBorder="1" applyAlignment="1"/>
    <xf numFmtId="0" fontId="0" fillId="5" borderId="68" xfId="0" applyFill="1" applyBorder="1"/>
    <xf numFmtId="0" fontId="0" fillId="5" borderId="69" xfId="0" applyFill="1" applyBorder="1"/>
    <xf numFmtId="0" fontId="0" fillId="5" borderId="70" xfId="0" applyFill="1" applyBorder="1"/>
    <xf numFmtId="0" fontId="4" fillId="5" borderId="14" xfId="0" applyFont="1" applyFill="1" applyBorder="1"/>
    <xf numFmtId="0" fontId="0" fillId="4" borderId="71" xfId="0" applyFill="1" applyBorder="1"/>
    <xf numFmtId="0" fontId="4" fillId="5" borderId="0" xfId="0" applyFont="1" applyFill="1"/>
    <xf numFmtId="0" fontId="0" fillId="5" borderId="44" xfId="0" applyFill="1" applyBorder="1"/>
    <xf numFmtId="0" fontId="7" fillId="4" borderId="9" xfId="2" applyFill="1" applyBorder="1" applyAlignment="1" applyProtection="1">
      <alignment horizontal="center"/>
    </xf>
    <xf numFmtId="0" fontId="4" fillId="0" borderId="0" xfId="2" applyFont="1" applyAlignment="1" applyProtection="1"/>
    <xf numFmtId="0" fontId="0" fillId="5" borderId="20" xfId="0" applyFill="1" applyBorder="1"/>
    <xf numFmtId="0" fontId="0" fillId="4" borderId="20" xfId="0" applyFill="1" applyBorder="1" applyAlignment="1"/>
    <xf numFmtId="0" fontId="14" fillId="6" borderId="2" xfId="0" applyFont="1" applyFill="1" applyBorder="1" applyAlignment="1">
      <alignment horizontal="right"/>
    </xf>
    <xf numFmtId="0" fontId="4" fillId="6" borderId="0" xfId="0" applyFont="1" applyFill="1" applyBorder="1" applyAlignment="1">
      <alignment horizontal="left"/>
    </xf>
    <xf numFmtId="0" fontId="4" fillId="6" borderId="7" xfId="0" applyFont="1" applyFill="1" applyBorder="1" applyAlignment="1">
      <alignment horizontal="right"/>
    </xf>
    <xf numFmtId="0" fontId="11" fillId="5" borderId="7" xfId="2" applyFont="1" applyFill="1" applyBorder="1" applyAlignment="1" applyProtection="1"/>
    <xf numFmtId="0" fontId="7" fillId="7" borderId="23" xfId="2" applyFill="1" applyBorder="1" applyAlignment="1" applyProtection="1">
      <alignment horizontal="center"/>
    </xf>
    <xf numFmtId="0" fontId="4" fillId="0" borderId="0" xfId="0" applyFont="1" applyFill="1" applyAlignment="1">
      <alignment vertical="top"/>
    </xf>
    <xf numFmtId="0" fontId="4" fillId="0" borderId="0" xfId="0" applyFont="1" applyAlignment="1"/>
    <xf numFmtId="0" fontId="4" fillId="0" borderId="0" xfId="0" applyFont="1" applyAlignment="1">
      <alignment vertical="top" wrapText="1"/>
    </xf>
    <xf numFmtId="1" fontId="3" fillId="2" borderId="0" xfId="0" applyNumberFormat="1" applyFont="1" applyFill="1"/>
    <xf numFmtId="0" fontId="0" fillId="8" borderId="3" xfId="0" applyFill="1" applyBorder="1" applyAlignment="1">
      <alignment horizontal="center" vertical="center"/>
    </xf>
    <xf numFmtId="0" fontId="4" fillId="8" borderId="0" xfId="0" applyFont="1" applyFill="1" applyBorder="1"/>
    <xf numFmtId="2" fontId="0" fillId="2" borderId="0" xfId="0" applyNumberFormat="1" applyFill="1"/>
    <xf numFmtId="2" fontId="0" fillId="2" borderId="2" xfId="0" applyNumberFormat="1" applyFill="1" applyBorder="1"/>
    <xf numFmtId="2" fontId="3" fillId="0" borderId="0" xfId="0" applyNumberFormat="1" applyFont="1"/>
    <xf numFmtId="2" fontId="3" fillId="2" borderId="0" xfId="0" applyNumberFormat="1" applyFont="1" applyFill="1"/>
    <xf numFmtId="2" fontId="3" fillId="0" borderId="0" xfId="0" applyNumberFormat="1" applyFont="1" applyFill="1"/>
    <xf numFmtId="0" fontId="10" fillId="0" borderId="0" xfId="0" applyFont="1"/>
    <xf numFmtId="0" fontId="0" fillId="0" borderId="9" xfId="0" applyBorder="1"/>
    <xf numFmtId="1" fontId="4" fillId="5" borderId="14" xfId="0" applyNumberFormat="1" applyFont="1" applyFill="1" applyBorder="1"/>
    <xf numFmtId="1" fontId="4" fillId="4" borderId="20" xfId="0" applyNumberFormat="1" applyFont="1" applyFill="1" applyBorder="1"/>
    <xf numFmtId="0" fontId="9" fillId="4" borderId="21" xfId="0" applyFont="1" applyFill="1" applyBorder="1"/>
    <xf numFmtId="0" fontId="0" fillId="5" borderId="75" xfId="0" applyFill="1" applyBorder="1"/>
    <xf numFmtId="0" fontId="0" fillId="5" borderId="76" xfId="0" applyFill="1" applyBorder="1"/>
    <xf numFmtId="0" fontId="0" fillId="5" borderId="77" xfId="0" applyFill="1" applyBorder="1"/>
    <xf numFmtId="0" fontId="0" fillId="5" borderId="78" xfId="0" applyFill="1" applyBorder="1"/>
    <xf numFmtId="0" fontId="4" fillId="6" borderId="2" xfId="0" applyFont="1" applyFill="1" applyBorder="1" applyAlignment="1">
      <alignment horizontal="left"/>
    </xf>
    <xf numFmtId="0" fontId="7" fillId="0" borderId="0" xfId="2" applyAlignment="1" applyProtection="1"/>
    <xf numFmtId="0" fontId="3" fillId="0" borderId="0" xfId="0" applyFont="1" applyFill="1" applyAlignment="1"/>
    <xf numFmtId="0" fontId="6" fillId="0" borderId="0" xfId="0" applyFont="1" applyFill="1" applyBorder="1" applyAlignment="1"/>
    <xf numFmtId="2" fontId="0" fillId="0" borderId="0" xfId="0" applyNumberFormat="1" applyAlignment="1"/>
    <xf numFmtId="2" fontId="0" fillId="0" borderId="0" xfId="0" applyNumberFormat="1" applyAlignment="1">
      <alignment wrapText="1"/>
    </xf>
    <xf numFmtId="2" fontId="0" fillId="0" borderId="0" xfId="0" applyNumberFormat="1" applyAlignment="1">
      <alignment vertical="top"/>
    </xf>
    <xf numFmtId="2" fontId="4" fillId="0" borderId="0" xfId="0" applyNumberFormat="1" applyFont="1" applyAlignment="1">
      <alignment vertical="top" wrapText="1"/>
    </xf>
    <xf numFmtId="2" fontId="0" fillId="2" borderId="0" xfId="0" applyNumberFormat="1" applyFill="1" applyAlignment="1"/>
    <xf numFmtId="2" fontId="0" fillId="0" borderId="0" xfId="0" applyNumberFormat="1" applyAlignment="1">
      <alignment vertical="top" wrapText="1"/>
    </xf>
    <xf numFmtId="2" fontId="0" fillId="2" borderId="0" xfId="0" applyNumberFormat="1" applyFill="1" applyAlignment="1">
      <alignment vertical="top"/>
    </xf>
    <xf numFmtId="2" fontId="0" fillId="0" borderId="0" xfId="0" applyNumberFormat="1" applyFill="1" applyAlignment="1">
      <alignment vertical="top"/>
    </xf>
    <xf numFmtId="2" fontId="3" fillId="0" borderId="0" xfId="0" applyNumberFormat="1" applyFont="1" applyAlignment="1">
      <alignment vertical="top"/>
    </xf>
    <xf numFmtId="2" fontId="3" fillId="0" borderId="0" xfId="0" applyNumberFormat="1" applyFont="1" applyAlignment="1">
      <alignment vertical="top" wrapText="1"/>
    </xf>
    <xf numFmtId="2" fontId="6" fillId="0" borderId="0" xfId="0" applyNumberFormat="1" applyFont="1" applyAlignment="1">
      <alignment vertical="top"/>
    </xf>
    <xf numFmtId="168" fontId="0" fillId="0" borderId="0" xfId="0" applyNumberFormat="1" applyAlignment="1"/>
    <xf numFmtId="164" fontId="0" fillId="0" borderId="0" xfId="0" applyNumberFormat="1" applyAlignment="1"/>
    <xf numFmtId="2" fontId="0" fillId="3" borderId="0" xfId="0" applyNumberFormat="1" applyFill="1" applyAlignment="1">
      <alignment horizontal="right" vertical="top"/>
    </xf>
    <xf numFmtId="0" fontId="0" fillId="8" borderId="0" xfId="0" applyFill="1" applyBorder="1" applyAlignment="1">
      <alignment horizontal="left"/>
    </xf>
    <xf numFmtId="0" fontId="4" fillId="0" borderId="0" xfId="0" applyFont="1" applyAlignment="1">
      <alignment horizontal="left"/>
    </xf>
    <xf numFmtId="0" fontId="14" fillId="0" borderId="0" xfId="0" applyFont="1" applyAlignment="1"/>
    <xf numFmtId="0" fontId="3" fillId="0" borderId="0" xfId="3" applyFont="1"/>
    <xf numFmtId="0" fontId="4" fillId="0" borderId="0" xfId="3"/>
    <xf numFmtId="0" fontId="4" fillId="2" borderId="0" xfId="3" applyFill="1"/>
    <xf numFmtId="169" fontId="4" fillId="2" borderId="0" xfId="3" applyNumberFormat="1" applyFill="1"/>
    <xf numFmtId="0" fontId="4" fillId="0" borderId="0" xfId="3" applyFill="1"/>
    <xf numFmtId="0" fontId="15" fillId="0" borderId="0" xfId="0" applyFont="1" applyAlignment="1"/>
    <xf numFmtId="0" fontId="4" fillId="0" borderId="0" xfId="3" applyFont="1"/>
    <xf numFmtId="0" fontId="4" fillId="8" borderId="4" xfId="3" applyFill="1" applyBorder="1"/>
    <xf numFmtId="0" fontId="4" fillId="8" borderId="8" xfId="3" applyFont="1" applyFill="1" applyBorder="1"/>
    <xf numFmtId="0" fontId="4" fillId="8" borderId="2" xfId="3" applyFill="1" applyBorder="1" applyAlignment="1">
      <alignment horizontal="right"/>
    </xf>
    <xf numFmtId="0" fontId="4" fillId="8" borderId="7" xfId="3" applyFont="1" applyFill="1" applyBorder="1"/>
    <xf numFmtId="0" fontId="4" fillId="8" borderId="3" xfId="3" applyFill="1" applyBorder="1" applyAlignment="1">
      <alignment horizontal="right"/>
    </xf>
    <xf numFmtId="2" fontId="4" fillId="0" borderId="0" xfId="3" applyNumberFormat="1"/>
    <xf numFmtId="2" fontId="3" fillId="0" borderId="0" xfId="3" applyNumberFormat="1" applyFont="1"/>
    <xf numFmtId="2" fontId="14" fillId="0" borderId="0" xfId="3" applyNumberFormat="1" applyFont="1" applyFill="1" applyAlignment="1"/>
    <xf numFmtId="168" fontId="4" fillId="2" borderId="0" xfId="3" applyNumberFormat="1" applyFill="1"/>
    <xf numFmtId="170" fontId="4" fillId="2" borderId="0" xfId="3" applyNumberFormat="1" applyFill="1"/>
    <xf numFmtId="170" fontId="3" fillId="2" borderId="0" xfId="3" applyNumberFormat="1" applyFont="1" applyFill="1"/>
    <xf numFmtId="0" fontId="3" fillId="2" borderId="0" xfId="3" applyFont="1" applyFill="1"/>
    <xf numFmtId="169" fontId="3" fillId="2" borderId="0" xfId="3" applyNumberFormat="1" applyFont="1" applyFill="1"/>
    <xf numFmtId="168" fontId="3" fillId="2" borderId="0" xfId="3" applyNumberFormat="1" applyFont="1" applyFill="1"/>
    <xf numFmtId="0" fontId="0" fillId="4" borderId="0" xfId="0" applyFill="1" applyBorder="1" applyAlignment="1">
      <alignment horizontal="left"/>
    </xf>
    <xf numFmtId="0" fontId="4" fillId="0" borderId="0" xfId="0" applyFont="1" applyFill="1" applyAlignment="1"/>
    <xf numFmtId="0" fontId="0" fillId="0" borderId="6" xfId="0" applyBorder="1"/>
    <xf numFmtId="0" fontId="4" fillId="0" borderId="0" xfId="0" applyFont="1" applyFill="1"/>
    <xf numFmtId="0" fontId="3" fillId="0" borderId="0" xfId="0" applyFont="1" applyFill="1" applyAlignment="1">
      <alignment horizontal="left"/>
    </xf>
    <xf numFmtId="1" fontId="4" fillId="8" borderId="0" xfId="0" applyNumberFormat="1" applyFont="1" applyFill="1" applyBorder="1"/>
    <xf numFmtId="1" fontId="0" fillId="8" borderId="0" xfId="0" applyNumberFormat="1" applyFill="1" applyAlignment="1">
      <alignment horizontal="right"/>
    </xf>
    <xf numFmtId="0" fontId="9" fillId="0" borderId="2" xfId="0" applyFont="1" applyBorder="1"/>
    <xf numFmtId="0" fontId="4" fillId="0" borderId="0" xfId="0" applyFont="1" applyBorder="1"/>
    <xf numFmtId="0" fontId="9" fillId="0" borderId="0" xfId="0" applyFont="1"/>
    <xf numFmtId="2" fontId="4" fillId="0" borderId="0" xfId="0" applyNumberFormat="1" applyFont="1" applyAlignment="1"/>
    <xf numFmtId="0" fontId="0" fillId="0" borderId="0" xfId="0" applyFill="1" applyBorder="1" applyAlignment="1"/>
    <xf numFmtId="1" fontId="0" fillId="2" borderId="0" xfId="0" applyNumberFormat="1" applyFill="1"/>
    <xf numFmtId="1" fontId="3" fillId="0" borderId="0" xfId="0" applyNumberFormat="1" applyFont="1" applyFill="1"/>
    <xf numFmtId="1" fontId="3" fillId="0" borderId="0" xfId="0" applyNumberFormat="1" applyFont="1"/>
    <xf numFmtId="1" fontId="4" fillId="2" borderId="0" xfId="0" applyNumberFormat="1" applyFont="1" applyFill="1"/>
    <xf numFmtId="0" fontId="17" fillId="4" borderId="0" xfId="0" applyFont="1" applyFill="1" applyBorder="1"/>
    <xf numFmtId="0" fontId="0" fillId="4" borderId="2" xfId="0" applyFill="1" applyBorder="1"/>
    <xf numFmtId="2" fontId="5" fillId="4" borderId="16" xfId="0" applyNumberFormat="1" applyFont="1" applyFill="1" applyBorder="1" applyAlignment="1">
      <alignment horizontal="center" wrapText="1"/>
    </xf>
    <xf numFmtId="2" fontId="5" fillId="4" borderId="15" xfId="0" applyNumberFormat="1" applyFont="1" applyFill="1" applyBorder="1" applyAlignment="1">
      <alignment horizontal="center" wrapText="1"/>
    </xf>
    <xf numFmtId="2" fontId="5" fillId="4" borderId="50" xfId="0" applyNumberFormat="1" applyFont="1" applyFill="1" applyBorder="1" applyAlignment="1">
      <alignment horizontal="center" wrapText="1"/>
    </xf>
    <xf numFmtId="2" fontId="5" fillId="4" borderId="7" xfId="0" applyNumberFormat="1" applyFont="1" applyFill="1" applyBorder="1" applyAlignment="1">
      <alignment horizontal="center" wrapText="1"/>
    </xf>
    <xf numFmtId="1" fontId="0" fillId="4" borderId="12" xfId="0" applyNumberFormat="1" applyFill="1" applyBorder="1"/>
    <xf numFmtId="1" fontId="0" fillId="4" borderId="5" xfId="0" applyNumberFormat="1" applyFill="1" applyBorder="1"/>
    <xf numFmtId="1" fontId="0" fillId="4" borderId="79" xfId="0" applyNumberFormat="1" applyFill="1" applyBorder="1"/>
    <xf numFmtId="1" fontId="0" fillId="4" borderId="2" xfId="0" applyNumberFormat="1" applyFill="1" applyBorder="1"/>
    <xf numFmtId="1" fontId="0" fillId="4" borderId="14" xfId="0" applyNumberFormat="1" applyFill="1" applyBorder="1"/>
    <xf numFmtId="1" fontId="0" fillId="4" borderId="7" xfId="0" applyNumberFormat="1" applyFill="1" applyBorder="1"/>
    <xf numFmtId="2" fontId="4" fillId="4" borderId="60" xfId="0" applyNumberFormat="1" applyFont="1" applyFill="1" applyBorder="1"/>
    <xf numFmtId="2" fontId="3" fillId="4" borderId="58" xfId="0" applyNumberFormat="1" applyFont="1" applyFill="1" applyBorder="1"/>
    <xf numFmtId="1" fontId="3" fillId="4" borderId="46" xfId="0" applyNumberFormat="1" applyFont="1" applyFill="1" applyBorder="1"/>
    <xf numFmtId="168" fontId="3" fillId="4" borderId="0" xfId="0" applyNumberFormat="1" applyFont="1" applyFill="1" applyBorder="1"/>
    <xf numFmtId="168" fontId="3" fillId="4" borderId="2" xfId="0" applyNumberFormat="1" applyFont="1" applyFill="1" applyBorder="1"/>
    <xf numFmtId="168" fontId="3" fillId="4" borderId="3" xfId="0" applyNumberFormat="1" applyFont="1" applyFill="1" applyBorder="1"/>
    <xf numFmtId="0" fontId="3" fillId="0" borderId="0" xfId="0" applyFont="1" applyBorder="1"/>
    <xf numFmtId="0" fontId="18" fillId="0" borderId="0" xfId="0" applyFont="1" applyAlignment="1">
      <alignment vertical="top"/>
    </xf>
    <xf numFmtId="0" fontId="3" fillId="2" borderId="0" xfId="0" applyFont="1" applyFill="1" applyBorder="1" applyAlignment="1"/>
    <xf numFmtId="169" fontId="0" fillId="5" borderId="0" xfId="0" applyNumberFormat="1" applyFill="1" applyAlignment="1"/>
    <xf numFmtId="169" fontId="0" fillId="2" borderId="0" xfId="0" applyNumberFormat="1" applyFill="1" applyAlignment="1"/>
    <xf numFmtId="166" fontId="0" fillId="2" borderId="0" xfId="0" applyNumberFormat="1" applyFill="1" applyAlignment="1"/>
    <xf numFmtId="165" fontId="0" fillId="2" borderId="0" xfId="0" applyNumberFormat="1" applyFill="1" applyAlignment="1"/>
    <xf numFmtId="2" fontId="0" fillId="5" borderId="0" xfId="0" applyNumberFormat="1" applyFill="1" applyAlignment="1">
      <alignment horizontal="right"/>
    </xf>
    <xf numFmtId="165" fontId="0" fillId="5" borderId="0" xfId="0" applyNumberFormat="1" applyFill="1" applyAlignment="1">
      <alignment horizontal="right"/>
    </xf>
    <xf numFmtId="169" fontId="0" fillId="2" borderId="0" xfId="0" applyNumberFormat="1" applyFill="1"/>
    <xf numFmtId="165" fontId="0" fillId="2" borderId="0" xfId="0" applyNumberFormat="1" applyFill="1"/>
    <xf numFmtId="2" fontId="4" fillId="0" borderId="0" xfId="0" applyNumberFormat="1" applyFont="1" applyAlignment="1">
      <alignment horizontal="left"/>
    </xf>
    <xf numFmtId="168" fontId="0" fillId="8" borderId="6" xfId="0" applyNumberFormat="1" applyFill="1" applyBorder="1"/>
    <xf numFmtId="168" fontId="0" fillId="8" borderId="8" xfId="0" applyNumberFormat="1" applyFill="1" applyBorder="1"/>
    <xf numFmtId="168" fontId="3" fillId="8" borderId="8" xfId="0" applyNumberFormat="1" applyFont="1" applyFill="1" applyBorder="1"/>
    <xf numFmtId="168" fontId="0" fillId="8" borderId="5" xfId="0" applyNumberFormat="1" applyFill="1" applyBorder="1"/>
    <xf numFmtId="168" fontId="3" fillId="8" borderId="14" xfId="0" applyNumberFormat="1" applyFont="1" applyFill="1" applyBorder="1"/>
    <xf numFmtId="0" fontId="0" fillId="0" borderId="7" xfId="0" applyBorder="1"/>
    <xf numFmtId="166" fontId="0" fillId="8" borderId="8" xfId="0" applyNumberFormat="1" applyFill="1" applyBorder="1"/>
    <xf numFmtId="168" fontId="0" fillId="2" borderId="2" xfId="0" applyNumberFormat="1" applyFill="1" applyBorder="1" applyAlignment="1"/>
    <xf numFmtId="168" fontId="0" fillId="2" borderId="0" xfId="0" applyNumberFormat="1" applyFill="1" applyBorder="1" applyAlignment="1"/>
    <xf numFmtId="166" fontId="0" fillId="2" borderId="0" xfId="0" applyNumberFormat="1" applyFill="1" applyBorder="1" applyAlignment="1"/>
    <xf numFmtId="166" fontId="0" fillId="2" borderId="2" xfId="0" applyNumberFormat="1" applyFill="1" applyBorder="1" applyAlignment="1"/>
    <xf numFmtId="0" fontId="0" fillId="10" borderId="6" xfId="0" applyFill="1" applyBorder="1" applyAlignment="1"/>
    <xf numFmtId="0" fontId="0" fillId="10" borderId="4" xfId="0" applyFill="1" applyBorder="1" applyAlignment="1"/>
    <xf numFmtId="0" fontId="0" fillId="10" borderId="7" xfId="0" applyFill="1" applyBorder="1" applyAlignment="1"/>
    <xf numFmtId="0" fontId="0" fillId="10" borderId="5" xfId="0" applyFill="1" applyBorder="1" applyAlignment="1"/>
    <xf numFmtId="0" fontId="0" fillId="10" borderId="3" xfId="0" applyFill="1" applyBorder="1" applyAlignment="1"/>
    <xf numFmtId="2" fontId="4" fillId="4" borderId="11" xfId="0" applyNumberFormat="1" applyFont="1" applyFill="1" applyBorder="1"/>
    <xf numFmtId="1" fontId="0" fillId="4" borderId="73" xfId="0" applyNumberFormat="1" applyFill="1" applyBorder="1"/>
    <xf numFmtId="0" fontId="0" fillId="3" borderId="0" xfId="0" applyFill="1" applyAlignment="1">
      <alignment horizontal="right"/>
    </xf>
    <xf numFmtId="0" fontId="19" fillId="0" borderId="0" xfId="0" applyFont="1" applyAlignment="1">
      <alignment vertical="top" wrapText="1"/>
    </xf>
    <xf numFmtId="172" fontId="0" fillId="3" borderId="14" xfId="1" applyNumberFormat="1" applyFont="1" applyFill="1" applyBorder="1"/>
    <xf numFmtId="0" fontId="0" fillId="5" borderId="43" xfId="0" applyFill="1" applyBorder="1"/>
    <xf numFmtId="2" fontId="3" fillId="0" borderId="0" xfId="0" applyNumberFormat="1" applyFont="1" applyAlignment="1">
      <alignment wrapText="1"/>
    </xf>
    <xf numFmtId="0" fontId="3" fillId="0" borderId="0" xfId="0" applyFont="1" applyAlignment="1">
      <alignment wrapText="1"/>
    </xf>
    <xf numFmtId="169" fontId="0" fillId="5" borderId="14" xfId="0" applyNumberFormat="1" applyFill="1" applyBorder="1"/>
    <xf numFmtId="0" fontId="0" fillId="9" borderId="17" xfId="0" applyFill="1" applyBorder="1"/>
    <xf numFmtId="0" fontId="7" fillId="7" borderId="8" xfId="2" applyFill="1" applyBorder="1" applyAlignment="1" applyProtection="1">
      <alignment horizontal="center"/>
    </xf>
    <xf numFmtId="0" fontId="7" fillId="7" borderId="2" xfId="2" applyFill="1" applyBorder="1" applyAlignment="1" applyProtection="1">
      <alignment horizontal="center"/>
    </xf>
    <xf numFmtId="0" fontId="0" fillId="11" borderId="23" xfId="0" applyFill="1" applyBorder="1"/>
    <xf numFmtId="0" fontId="0" fillId="11" borderId="6" xfId="0" applyFill="1" applyBorder="1"/>
    <xf numFmtId="0" fontId="0" fillId="11" borderId="4" xfId="0" applyFill="1" applyBorder="1"/>
    <xf numFmtId="0" fontId="0" fillId="11" borderId="8" xfId="0" applyFill="1" applyBorder="1"/>
    <xf numFmtId="0" fontId="0" fillId="11" borderId="0" xfId="0" applyFill="1" applyBorder="1"/>
    <xf numFmtId="0" fontId="0" fillId="11" borderId="2" xfId="0" applyFill="1" applyBorder="1"/>
    <xf numFmtId="0" fontId="0" fillId="11" borderId="7" xfId="0" applyFill="1" applyBorder="1"/>
    <xf numFmtId="0" fontId="0" fillId="11" borderId="5" xfId="0" applyFill="1" applyBorder="1"/>
    <xf numFmtId="0" fontId="0" fillId="11" borderId="3" xfId="0" applyFill="1" applyBorder="1"/>
    <xf numFmtId="0" fontId="0" fillId="13" borderId="14" xfId="0" applyFill="1" applyBorder="1"/>
    <xf numFmtId="0" fontId="0" fillId="13" borderId="0" xfId="0" applyFill="1" applyBorder="1"/>
    <xf numFmtId="169" fontId="0" fillId="14" borderId="14" xfId="0" applyNumberFormat="1" applyFill="1" applyBorder="1"/>
    <xf numFmtId="1" fontId="0" fillId="14" borderId="14" xfId="0" applyNumberFormat="1" applyFill="1" applyBorder="1"/>
    <xf numFmtId="0" fontId="5" fillId="8" borderId="23" xfId="0" applyFont="1" applyFill="1" applyBorder="1"/>
    <xf numFmtId="170" fontId="0" fillId="2" borderId="0" xfId="0" applyNumberFormat="1" applyFill="1"/>
    <xf numFmtId="168" fontId="0" fillId="2" borderId="0" xfId="0" applyNumberFormat="1" applyFill="1"/>
    <xf numFmtId="2" fontId="14" fillId="0" borderId="0" xfId="0" applyNumberFormat="1" applyFont="1" applyFill="1" applyAlignment="1"/>
    <xf numFmtId="2" fontId="4" fillId="0" borderId="0" xfId="0" applyNumberFormat="1" applyFont="1"/>
    <xf numFmtId="2" fontId="20" fillId="0" borderId="0" xfId="0" applyNumberFormat="1" applyFont="1"/>
    <xf numFmtId="0" fontId="20" fillId="0" borderId="0" xfId="0" applyFont="1"/>
    <xf numFmtId="170" fontId="14" fillId="14" borderId="0" xfId="0" applyNumberFormat="1" applyFont="1" applyFill="1" applyAlignment="1"/>
    <xf numFmtId="0" fontId="20" fillId="0" borderId="0" xfId="0" applyFont="1" applyAlignment="1">
      <alignment vertical="top"/>
    </xf>
    <xf numFmtId="169" fontId="14" fillId="14" borderId="0" xfId="0" applyNumberFormat="1" applyFont="1" applyFill="1" applyAlignment="1"/>
    <xf numFmtId="49" fontId="20" fillId="0" borderId="0" xfId="0" applyNumberFormat="1" applyFont="1" applyAlignment="1">
      <alignment vertical="top"/>
    </xf>
    <xf numFmtId="0" fontId="20" fillId="0" borderId="0" xfId="0" applyFont="1" applyFill="1"/>
    <xf numFmtId="170" fontId="20" fillId="14" borderId="0" xfId="0" applyNumberFormat="1" applyFont="1" applyFill="1"/>
    <xf numFmtId="169" fontId="20" fillId="14" borderId="0" xfId="0" applyNumberFormat="1" applyFont="1" applyFill="1"/>
    <xf numFmtId="0" fontId="20" fillId="14" borderId="0" xfId="0" applyFont="1" applyFill="1"/>
    <xf numFmtId="0" fontId="5" fillId="10" borderId="23" xfId="0" applyFont="1" applyFill="1" applyBorder="1"/>
    <xf numFmtId="0" fontId="0" fillId="10" borderId="4" xfId="0" applyFill="1" applyBorder="1"/>
    <xf numFmtId="0" fontId="4" fillId="10" borderId="7" xfId="0" applyFont="1" applyFill="1" applyBorder="1"/>
    <xf numFmtId="0" fontId="4" fillId="10" borderId="3" xfId="0" applyFont="1" applyFill="1" applyBorder="1" applyAlignment="1">
      <alignment horizontal="right" vertical="top"/>
    </xf>
    <xf numFmtId="170" fontId="3" fillId="14" borderId="0" xfId="0" applyNumberFormat="1" applyFont="1" applyFill="1"/>
    <xf numFmtId="169" fontId="3" fillId="14" borderId="0" xfId="0" applyNumberFormat="1" applyFont="1" applyFill="1"/>
    <xf numFmtId="167" fontId="3" fillId="14" borderId="0" xfId="0" applyNumberFormat="1" applyFont="1" applyFill="1"/>
    <xf numFmtId="169" fontId="14" fillId="0" borderId="0" xfId="0" applyNumberFormat="1" applyFont="1" applyFill="1" applyAlignment="1"/>
    <xf numFmtId="169" fontId="20" fillId="0" borderId="0" xfId="0" applyNumberFormat="1" applyFont="1" applyFill="1"/>
    <xf numFmtId="169" fontId="20" fillId="0" borderId="0" xfId="0" applyNumberFormat="1" applyFont="1"/>
    <xf numFmtId="167" fontId="0" fillId="2" borderId="0" xfId="0" applyNumberFormat="1" applyFill="1"/>
    <xf numFmtId="167" fontId="0" fillId="0" borderId="0" xfId="0" applyNumberFormat="1" applyFill="1"/>
    <xf numFmtId="167" fontId="14" fillId="0" borderId="0" xfId="0" applyNumberFormat="1" applyFont="1" applyFill="1" applyAlignment="1"/>
    <xf numFmtId="167" fontId="14" fillId="14" borderId="0" xfId="0" applyNumberFormat="1" applyFont="1" applyFill="1" applyAlignment="1"/>
    <xf numFmtId="167" fontId="20" fillId="0" borderId="0" xfId="0" applyNumberFormat="1" applyFont="1" applyFill="1"/>
    <xf numFmtId="167" fontId="20" fillId="14" borderId="0" xfId="0" applyNumberFormat="1" applyFont="1" applyFill="1"/>
    <xf numFmtId="167" fontId="20" fillId="0" borderId="0" xfId="0" applyNumberFormat="1" applyFont="1"/>
    <xf numFmtId="164" fontId="0" fillId="2" borderId="0" xfId="0" applyNumberFormat="1" applyFill="1"/>
    <xf numFmtId="164" fontId="0" fillId="0" borderId="0" xfId="0" applyNumberFormat="1" applyFill="1"/>
    <xf numFmtId="164" fontId="14" fillId="0" borderId="0" xfId="0" applyNumberFormat="1" applyFont="1" applyFill="1" applyAlignment="1"/>
    <xf numFmtId="164" fontId="14" fillId="14" borderId="0" xfId="0" applyNumberFormat="1" applyFont="1" applyFill="1" applyAlignment="1"/>
    <xf numFmtId="164" fontId="20" fillId="0" borderId="0" xfId="0" applyNumberFormat="1" applyFont="1" applyFill="1"/>
    <xf numFmtId="164" fontId="20" fillId="14" borderId="0" xfId="0" applyNumberFormat="1" applyFont="1" applyFill="1"/>
    <xf numFmtId="164" fontId="20" fillId="0" borderId="0" xfId="0" applyNumberFormat="1" applyFont="1"/>
    <xf numFmtId="164" fontId="0" fillId="0" borderId="0" xfId="0" applyNumberFormat="1"/>
    <xf numFmtId="164" fontId="3" fillId="14" borderId="0" xfId="0" applyNumberFormat="1" applyFont="1" applyFill="1"/>
    <xf numFmtId="170" fontId="4" fillId="0" borderId="0" xfId="3" applyNumberFormat="1" applyFill="1"/>
    <xf numFmtId="169" fontId="4" fillId="0" borderId="0" xfId="3" applyNumberFormat="1" applyFill="1"/>
    <xf numFmtId="168" fontId="4" fillId="0" borderId="0" xfId="3" applyNumberFormat="1" applyFill="1"/>
    <xf numFmtId="1" fontId="4" fillId="8" borderId="2" xfId="0" applyNumberFormat="1" applyFont="1" applyFill="1" applyBorder="1"/>
    <xf numFmtId="2" fontId="0" fillId="3" borderId="0" xfId="0" applyNumberFormat="1" applyFill="1" applyAlignment="1">
      <alignment horizontal="right"/>
    </xf>
    <xf numFmtId="169" fontId="0" fillId="3" borderId="0" xfId="0" applyNumberFormat="1" applyFill="1" applyAlignment="1">
      <alignment horizontal="right"/>
    </xf>
    <xf numFmtId="170" fontId="0" fillId="3" borderId="0" xfId="0" applyNumberFormat="1" applyFill="1" applyAlignment="1">
      <alignment horizontal="right" vertical="top"/>
    </xf>
    <xf numFmtId="168" fontId="0" fillId="3" borderId="0" xfId="0" applyNumberFormat="1" applyFill="1" applyAlignment="1">
      <alignment horizontal="right"/>
    </xf>
    <xf numFmtId="167" fontId="0" fillId="3" borderId="0" xfId="0" applyNumberFormat="1" applyFill="1" applyAlignment="1">
      <alignment horizontal="right" vertical="top"/>
    </xf>
    <xf numFmtId="168" fontId="0" fillId="2" borderId="0" xfId="0" applyNumberFormat="1" applyFill="1" applyAlignment="1">
      <alignment horizontal="right"/>
    </xf>
    <xf numFmtId="168" fontId="0" fillId="0" borderId="0" xfId="0" applyNumberFormat="1" applyAlignment="1">
      <alignment horizontal="right"/>
    </xf>
    <xf numFmtId="168" fontId="3" fillId="2" borderId="0" xfId="0" applyNumberFormat="1" applyFont="1" applyFill="1" applyAlignment="1">
      <alignment horizontal="right"/>
    </xf>
    <xf numFmtId="1" fontId="0" fillId="2" borderId="0" xfId="0" applyNumberFormat="1" applyFill="1" applyAlignment="1">
      <alignment horizontal="right"/>
    </xf>
    <xf numFmtId="1" fontId="0" fillId="0" borderId="0" xfId="0" applyNumberFormat="1" applyAlignment="1">
      <alignment horizontal="right"/>
    </xf>
    <xf numFmtId="1" fontId="0" fillId="2" borderId="0" xfId="0" applyNumberFormat="1" applyFill="1" applyAlignment="1">
      <alignment horizontal="right" vertical="top"/>
    </xf>
    <xf numFmtId="1" fontId="3" fillId="2" borderId="0" xfId="0" applyNumberFormat="1" applyFont="1" applyFill="1" applyAlignment="1">
      <alignment horizontal="right"/>
    </xf>
    <xf numFmtId="166" fontId="0" fillId="3" borderId="0" xfId="0" applyNumberFormat="1" applyFill="1" applyAlignment="1">
      <alignment horizontal="right"/>
    </xf>
    <xf numFmtId="169" fontId="0" fillId="0" borderId="8" xfId="0" applyNumberFormat="1" applyFill="1" applyBorder="1"/>
    <xf numFmtId="169" fontId="0" fillId="0" borderId="2" xfId="0" applyNumberFormat="1" applyFill="1" applyBorder="1"/>
    <xf numFmtId="167" fontId="0" fillId="3" borderId="0" xfId="0" applyNumberFormat="1" applyFill="1" applyAlignment="1">
      <alignment horizontal="right"/>
    </xf>
    <xf numFmtId="173" fontId="0" fillId="3" borderId="0" xfId="0" applyNumberFormat="1" applyFill="1" applyAlignment="1">
      <alignment horizontal="right"/>
    </xf>
    <xf numFmtId="165" fontId="0" fillId="3" borderId="0" xfId="0" applyNumberFormat="1" applyFill="1" applyAlignment="1">
      <alignment horizontal="right" vertical="top"/>
    </xf>
    <xf numFmtId="1" fontId="0" fillId="14" borderId="0" xfId="0" applyNumberFormat="1" applyFill="1" applyAlignment="1">
      <alignment horizontal="right"/>
    </xf>
    <xf numFmtId="0" fontId="0" fillId="13" borderId="0" xfId="0" applyFill="1" applyAlignment="1">
      <alignment horizontal="right"/>
    </xf>
    <xf numFmtId="2" fontId="5" fillId="4" borderId="73" xfId="0" applyNumberFormat="1" applyFont="1" applyFill="1" applyBorder="1" applyAlignment="1">
      <alignment horizontal="center" wrapText="1"/>
    </xf>
    <xf numFmtId="169" fontId="0" fillId="0" borderId="0" xfId="0" applyNumberFormat="1" applyAlignment="1">
      <alignment horizontal="right" vertical="top"/>
    </xf>
    <xf numFmtId="169" fontId="3" fillId="2" borderId="0" xfId="0" applyNumberFormat="1" applyFont="1" applyFill="1" applyAlignment="1">
      <alignment horizontal="right" vertical="top"/>
    </xf>
    <xf numFmtId="169" fontId="0" fillId="2" borderId="0" xfId="0" applyNumberFormat="1" applyFill="1" applyAlignment="1">
      <alignment horizontal="right" vertical="top"/>
    </xf>
    <xf numFmtId="0" fontId="4" fillId="4" borderId="2" xfId="0" applyFont="1" applyFill="1" applyBorder="1" applyAlignment="1">
      <alignment horizontal="right"/>
    </xf>
    <xf numFmtId="1" fontId="0" fillId="13" borderId="14" xfId="0" applyNumberFormat="1" applyFill="1" applyBorder="1"/>
    <xf numFmtId="0" fontId="0" fillId="5" borderId="82" xfId="0" applyFill="1" applyBorder="1"/>
    <xf numFmtId="0" fontId="0" fillId="13" borderId="0" xfId="0" applyFill="1"/>
    <xf numFmtId="0" fontId="4" fillId="11" borderId="8" xfId="0" applyFont="1" applyFill="1" applyBorder="1" applyAlignment="1">
      <alignment horizontal="right"/>
    </xf>
    <xf numFmtId="0" fontId="4" fillId="11" borderId="2" xfId="0" applyFont="1" applyFill="1" applyBorder="1" applyAlignment="1">
      <alignment horizontal="left" vertical="top"/>
    </xf>
    <xf numFmtId="0" fontId="4" fillId="11" borderId="8" xfId="0" applyFont="1" applyFill="1" applyBorder="1" applyAlignment="1">
      <alignment horizontal="right" vertical="top"/>
    </xf>
    <xf numFmtId="0" fontId="4" fillId="11" borderId="2" xfId="0" applyFont="1" applyFill="1" applyBorder="1"/>
    <xf numFmtId="0" fontId="0" fillId="5" borderId="74" xfId="0" applyFill="1" applyBorder="1"/>
    <xf numFmtId="0" fontId="0" fillId="5" borderId="83" xfId="0" applyFill="1" applyBorder="1"/>
    <xf numFmtId="0" fontId="0" fillId="5" borderId="84" xfId="0" applyFill="1" applyBorder="1"/>
    <xf numFmtId="0" fontId="0" fillId="5" borderId="85" xfId="0" applyFill="1" applyBorder="1"/>
    <xf numFmtId="0" fontId="0" fillId="5" borderId="86" xfId="0" applyFill="1" applyBorder="1"/>
    <xf numFmtId="0" fontId="0" fillId="13" borderId="2" xfId="0" applyFill="1" applyBorder="1"/>
    <xf numFmtId="0" fontId="4" fillId="6" borderId="8" xfId="0" applyFont="1" applyFill="1" applyBorder="1" applyAlignment="1">
      <alignment horizontal="right"/>
    </xf>
    <xf numFmtId="169" fontId="4" fillId="14" borderId="14" xfId="0" applyNumberFormat="1" applyFont="1" applyFill="1" applyBorder="1"/>
    <xf numFmtId="0" fontId="0" fillId="14" borderId="14" xfId="0" applyFill="1" applyBorder="1"/>
    <xf numFmtId="0" fontId="4" fillId="11" borderId="0" xfId="0" applyFont="1" applyFill="1" applyBorder="1" applyAlignment="1">
      <alignment horizontal="right"/>
    </xf>
    <xf numFmtId="0" fontId="3" fillId="4" borderId="0" xfId="0" applyFont="1" applyFill="1" applyBorder="1" applyAlignment="1">
      <alignment horizontal="center"/>
    </xf>
    <xf numFmtId="0" fontId="4" fillId="6" borderId="8" xfId="0" applyFont="1" applyFill="1" applyBorder="1" applyAlignment="1">
      <alignment horizontal="right"/>
    </xf>
    <xf numFmtId="0" fontId="0" fillId="6" borderId="0" xfId="0" applyFill="1" applyBorder="1" applyAlignment="1">
      <alignment horizontal="right"/>
    </xf>
    <xf numFmtId="0" fontId="0" fillId="9" borderId="0" xfId="0" applyFill="1" applyBorder="1" applyAlignment="1">
      <alignment horizontal="right"/>
    </xf>
    <xf numFmtId="0" fontId="3" fillId="4" borderId="18" xfId="0" applyFont="1" applyFill="1" applyBorder="1" applyAlignment="1">
      <alignment horizontal="center"/>
    </xf>
    <xf numFmtId="0" fontId="3" fillId="4" borderId="17" xfId="0" applyFont="1" applyFill="1" applyBorder="1" applyAlignment="1">
      <alignment horizontal="center"/>
    </xf>
    <xf numFmtId="0" fontId="4" fillId="6" borderId="0" xfId="0" applyFont="1" applyFill="1" applyBorder="1" applyAlignment="1">
      <alignment horizontal="right"/>
    </xf>
    <xf numFmtId="0" fontId="0" fillId="6" borderId="8" xfId="0" applyFill="1" applyBorder="1" applyAlignment="1">
      <alignment horizontal="right"/>
    </xf>
    <xf numFmtId="0" fontId="0" fillId="13" borderId="0" xfId="0" applyFill="1" applyBorder="1" applyAlignment="1">
      <alignment horizontal="center"/>
    </xf>
    <xf numFmtId="0" fontId="0" fillId="13" borderId="4" xfId="0" applyFill="1" applyBorder="1"/>
    <xf numFmtId="0" fontId="0" fillId="9" borderId="18" xfId="0" applyFill="1" applyBorder="1"/>
    <xf numFmtId="0" fontId="0" fillId="9" borderId="18" xfId="0" applyFill="1" applyBorder="1" applyAlignment="1">
      <alignment horizontal="right"/>
    </xf>
    <xf numFmtId="0" fontId="4" fillId="4" borderId="18" xfId="0" applyFont="1" applyFill="1" applyBorder="1" applyAlignment="1">
      <alignment horizontal="left"/>
    </xf>
    <xf numFmtId="169" fontId="4" fillId="14" borderId="14" xfId="0" applyNumberFormat="1" applyFont="1" applyFill="1" applyBorder="1" applyAlignment="1">
      <alignment horizontal="right"/>
    </xf>
    <xf numFmtId="2" fontId="0" fillId="13" borderId="14" xfId="0" applyNumberFormat="1" applyFill="1" applyBorder="1"/>
    <xf numFmtId="0" fontId="4" fillId="6" borderId="5" xfId="0" applyFont="1" applyFill="1" applyBorder="1" applyAlignment="1">
      <alignment horizontal="right"/>
    </xf>
    <xf numFmtId="0" fontId="4" fillId="6" borderId="3" xfId="0" applyFont="1" applyFill="1" applyBorder="1" applyAlignment="1">
      <alignment horizontal="left"/>
    </xf>
    <xf numFmtId="0" fontId="0" fillId="5" borderId="12" xfId="0" applyFill="1" applyBorder="1"/>
    <xf numFmtId="0" fontId="0" fillId="5" borderId="89" xfId="0" applyFill="1" applyBorder="1"/>
    <xf numFmtId="0" fontId="0" fillId="5" borderId="90" xfId="0" applyFill="1" applyBorder="1"/>
    <xf numFmtId="0" fontId="4" fillId="13" borderId="0" xfId="0" applyFont="1" applyFill="1" applyBorder="1" applyAlignment="1">
      <alignment vertical="center"/>
    </xf>
    <xf numFmtId="0" fontId="0" fillId="13" borderId="0" xfId="0" applyFill="1" applyBorder="1" applyAlignment="1">
      <alignment vertical="center"/>
    </xf>
    <xf numFmtId="0" fontId="0" fillId="11" borderId="12" xfId="0" applyFill="1" applyBorder="1"/>
    <xf numFmtId="0" fontId="0" fillId="11" borderId="41" xfId="0" applyFill="1" applyBorder="1"/>
    <xf numFmtId="0" fontId="0" fillId="11" borderId="42" xfId="0" applyFill="1" applyBorder="1" applyAlignment="1">
      <alignment horizontal="center" vertical="center"/>
    </xf>
    <xf numFmtId="0" fontId="0" fillId="13" borderId="6" xfId="0" applyFill="1" applyBorder="1"/>
    <xf numFmtId="0" fontId="0" fillId="11" borderId="8" xfId="0" applyFill="1" applyBorder="1" applyAlignment="1">
      <alignment horizontal="right"/>
    </xf>
    <xf numFmtId="0" fontId="0" fillId="5" borderId="45" xfId="0" applyFill="1" applyBorder="1"/>
    <xf numFmtId="0" fontId="3" fillId="5" borderId="38" xfId="0" applyFont="1" applyFill="1" applyBorder="1" applyAlignment="1">
      <alignment horizontal="left"/>
    </xf>
    <xf numFmtId="0" fontId="4" fillId="6" borderId="8" xfId="0" applyFont="1" applyFill="1" applyBorder="1" applyAlignment="1">
      <alignment horizontal="right"/>
    </xf>
    <xf numFmtId="0" fontId="0" fillId="4" borderId="17" xfId="0" applyFill="1" applyBorder="1" applyAlignment="1">
      <alignment horizontal="right"/>
    </xf>
    <xf numFmtId="0" fontId="0" fillId="6" borderId="0" xfId="0" applyFill="1" applyBorder="1" applyAlignment="1">
      <alignment horizontal="right"/>
    </xf>
    <xf numFmtId="0" fontId="4" fillId="4" borderId="17" xfId="0" applyFont="1" applyFill="1" applyBorder="1" applyAlignment="1">
      <alignment horizontal="right"/>
    </xf>
    <xf numFmtId="0" fontId="0" fillId="6" borderId="8" xfId="0" applyFill="1" applyBorder="1" applyAlignment="1">
      <alignment horizontal="right"/>
    </xf>
    <xf numFmtId="0" fontId="0" fillId="6" borderId="7" xfId="0" applyFill="1" applyBorder="1" applyAlignment="1">
      <alignment horizontal="right"/>
    </xf>
    <xf numFmtId="0" fontId="0" fillId="9" borderId="9" xfId="0" applyFill="1" applyBorder="1"/>
    <xf numFmtId="0" fontId="0" fillId="9" borderId="16" xfId="0" applyFill="1" applyBorder="1"/>
    <xf numFmtId="0" fontId="0" fillId="5" borderId="91" xfId="0" applyFill="1" applyBorder="1"/>
    <xf numFmtId="0" fontId="3" fillId="5" borderId="38" xfId="0" applyFont="1" applyFill="1" applyBorder="1"/>
    <xf numFmtId="0" fontId="5" fillId="8" borderId="23" xfId="3" applyFont="1" applyFill="1" applyBorder="1"/>
    <xf numFmtId="0" fontId="5" fillId="10" borderId="23" xfId="0" applyFont="1" applyFill="1" applyBorder="1" applyAlignment="1"/>
    <xf numFmtId="168" fontId="5" fillId="8" borderId="23" xfId="0" applyNumberFormat="1" applyFont="1" applyFill="1" applyBorder="1"/>
    <xf numFmtId="0" fontId="3" fillId="4" borderId="9" xfId="0" applyFont="1" applyFill="1" applyBorder="1" applyAlignment="1">
      <alignment horizontal="center"/>
    </xf>
    <xf numFmtId="0" fontId="4" fillId="6" borderId="2" xfId="0" applyFont="1" applyFill="1" applyBorder="1" applyAlignment="1">
      <alignment horizontal="right"/>
    </xf>
    <xf numFmtId="2" fontId="0" fillId="13" borderId="0" xfId="0" applyNumberFormat="1" applyFill="1" applyAlignment="1">
      <alignment vertical="top"/>
    </xf>
    <xf numFmtId="2" fontId="0" fillId="13" borderId="0" xfId="0" applyNumberFormat="1" applyFill="1" applyAlignment="1"/>
    <xf numFmtId="0" fontId="0" fillId="10" borderId="2" xfId="0" applyFill="1" applyBorder="1" applyAlignment="1"/>
    <xf numFmtId="0" fontId="4" fillId="10" borderId="8" xfId="0" applyFont="1" applyFill="1" applyBorder="1" applyAlignment="1"/>
    <xf numFmtId="0" fontId="4" fillId="10" borderId="0" xfId="0" applyFont="1" applyFill="1" applyBorder="1" applyAlignment="1"/>
    <xf numFmtId="169" fontId="0" fillId="2" borderId="0" xfId="0" applyNumberFormat="1" applyFill="1" applyAlignment="1">
      <alignment horizontal="right"/>
    </xf>
    <xf numFmtId="169" fontId="0" fillId="0" borderId="0" xfId="0" applyNumberFormat="1" applyAlignment="1">
      <alignment horizontal="right"/>
    </xf>
    <xf numFmtId="169" fontId="0" fillId="0" borderId="0" xfId="0" applyNumberFormat="1" applyFill="1" applyAlignment="1">
      <alignment horizontal="right"/>
    </xf>
    <xf numFmtId="169" fontId="0" fillId="14" borderId="0" xfId="0" applyNumberFormat="1" applyFill="1" applyAlignment="1">
      <alignment horizontal="right"/>
    </xf>
    <xf numFmtId="169" fontId="3" fillId="14" borderId="0" xfId="0" applyNumberFormat="1" applyFont="1" applyFill="1" applyAlignment="1">
      <alignment horizontal="right"/>
    </xf>
    <xf numFmtId="168" fontId="0" fillId="2" borderId="0" xfId="0" applyNumberFormat="1" applyFill="1" applyAlignment="1"/>
    <xf numFmtId="168" fontId="0" fillId="2" borderId="0" xfId="0" applyNumberFormat="1" applyFill="1" applyAlignment="1">
      <alignment vertical="top"/>
    </xf>
    <xf numFmtId="168" fontId="0" fillId="0" borderId="0" xfId="0" applyNumberFormat="1" applyAlignment="1">
      <alignment vertical="top"/>
    </xf>
    <xf numFmtId="168" fontId="3" fillId="2" borderId="0" xfId="0" applyNumberFormat="1" applyFont="1" applyFill="1" applyAlignment="1">
      <alignment vertical="top"/>
    </xf>
    <xf numFmtId="168" fontId="0" fillId="14" borderId="0" xfId="0" applyNumberFormat="1" applyFill="1" applyAlignment="1"/>
    <xf numFmtId="168" fontId="3" fillId="14" borderId="0" xfId="0" applyNumberFormat="1" applyFont="1" applyFill="1" applyAlignment="1"/>
    <xf numFmtId="165" fontId="0" fillId="2" borderId="0" xfId="0" applyNumberFormat="1" applyFill="1" applyAlignment="1">
      <alignment vertical="top"/>
    </xf>
    <xf numFmtId="165" fontId="0" fillId="0" borderId="0" xfId="0" applyNumberFormat="1" applyAlignment="1">
      <alignment vertical="top"/>
    </xf>
    <xf numFmtId="165" fontId="3" fillId="2" borderId="0" xfId="0" applyNumberFormat="1" applyFont="1" applyFill="1" applyAlignment="1">
      <alignment vertical="top"/>
    </xf>
    <xf numFmtId="165" fontId="0" fillId="0" borderId="0" xfId="0" applyNumberFormat="1" applyAlignment="1"/>
    <xf numFmtId="165" fontId="0" fillId="14" borderId="0" xfId="0" applyNumberFormat="1" applyFill="1" applyAlignment="1"/>
    <xf numFmtId="164" fontId="0" fillId="2" borderId="0" xfId="0" applyNumberFormat="1" applyFill="1" applyAlignment="1"/>
    <xf numFmtId="164" fontId="0" fillId="2" borderId="0" xfId="0" applyNumberFormat="1" applyFill="1" applyAlignment="1">
      <alignment vertical="top"/>
    </xf>
    <xf numFmtId="164" fontId="0" fillId="0" borderId="0" xfId="0" applyNumberFormat="1" applyAlignment="1">
      <alignment vertical="top"/>
    </xf>
    <xf numFmtId="164" fontId="3" fillId="2" borderId="0" xfId="0" applyNumberFormat="1" applyFont="1" applyFill="1" applyAlignment="1">
      <alignment vertical="top"/>
    </xf>
    <xf numFmtId="164" fontId="0" fillId="14" borderId="0" xfId="0" applyNumberFormat="1" applyFill="1" applyAlignment="1"/>
    <xf numFmtId="164" fontId="3" fillId="14" borderId="0" xfId="0" applyNumberFormat="1" applyFont="1" applyFill="1" applyAlignment="1"/>
    <xf numFmtId="165" fontId="3" fillId="14" borderId="0" xfId="0" applyNumberFormat="1" applyFont="1" applyFill="1" applyAlignment="1"/>
    <xf numFmtId="0" fontId="0" fillId="11" borderId="6" xfId="0" applyFill="1" applyBorder="1" applyAlignment="1">
      <alignment horizontal="center"/>
    </xf>
    <xf numFmtId="1" fontId="2" fillId="11" borderId="6" xfId="0" applyNumberFormat="1" applyFont="1" applyFill="1" applyBorder="1"/>
    <xf numFmtId="0" fontId="0" fillId="11" borderId="0" xfId="0" applyFill="1" applyBorder="1" applyAlignment="1">
      <alignment horizontal="center"/>
    </xf>
    <xf numFmtId="0" fontId="0" fillId="11" borderId="5" xfId="0" applyFill="1" applyBorder="1" applyAlignment="1">
      <alignment horizontal="center"/>
    </xf>
    <xf numFmtId="1" fontId="2" fillId="11" borderId="5" xfId="0" applyNumberFormat="1" applyFont="1" applyFill="1" applyBorder="1"/>
    <xf numFmtId="0" fontId="0" fillId="11" borderId="0" xfId="0" applyFill="1" applyBorder="1" applyAlignment="1">
      <alignment horizontal="right"/>
    </xf>
    <xf numFmtId="2" fontId="4" fillId="0" borderId="0" xfId="0" applyNumberFormat="1" applyFont="1" applyAlignment="1">
      <alignment vertical="top"/>
    </xf>
    <xf numFmtId="1" fontId="0" fillId="8" borderId="0" xfId="0" applyNumberFormat="1" applyFill="1" applyAlignment="1">
      <alignment vertical="top"/>
    </xf>
    <xf numFmtId="169" fontId="3" fillId="2" borderId="0" xfId="0" applyNumberFormat="1" applyFont="1" applyFill="1" applyAlignment="1">
      <alignment horizontal="right"/>
    </xf>
    <xf numFmtId="173" fontId="0" fillId="3" borderId="0" xfId="0" applyNumberFormat="1" applyFill="1" applyAlignment="1">
      <alignment horizontal="right" vertical="top"/>
    </xf>
    <xf numFmtId="2" fontId="0" fillId="0" borderId="0" xfId="0" applyNumberFormat="1" applyFill="1" applyAlignment="1">
      <alignment horizontal="right" vertical="top"/>
    </xf>
    <xf numFmtId="168" fontId="3" fillId="2" borderId="0" xfId="0" applyNumberFormat="1" applyFont="1" applyFill="1" applyAlignment="1"/>
    <xf numFmtId="168" fontId="3" fillId="2" borderId="0" xfId="0" applyNumberFormat="1" applyFont="1" applyFill="1"/>
    <xf numFmtId="170" fontId="0" fillId="3" borderId="0" xfId="0" applyNumberFormat="1" applyFill="1" applyAlignment="1">
      <alignment horizontal="right"/>
    </xf>
    <xf numFmtId="164" fontId="0" fillId="3" borderId="0" xfId="0" applyNumberFormat="1" applyFill="1" applyAlignment="1">
      <alignment horizontal="right"/>
    </xf>
    <xf numFmtId="2" fontId="0" fillId="2" borderId="0" xfId="0" applyNumberFormat="1" applyFill="1" applyAlignment="1">
      <alignment horizontal="right"/>
    </xf>
    <xf numFmtId="2" fontId="0" fillId="0" borderId="0" xfId="0" applyNumberFormat="1" applyAlignment="1">
      <alignment horizontal="right"/>
    </xf>
    <xf numFmtId="2" fontId="3" fillId="2" borderId="0" xfId="0" applyNumberFormat="1" applyFont="1" applyFill="1" applyAlignment="1">
      <alignment horizontal="right"/>
    </xf>
    <xf numFmtId="165" fontId="0" fillId="2" borderId="0" xfId="0" applyNumberFormat="1" applyFill="1" applyAlignment="1">
      <alignment horizontal="right"/>
    </xf>
    <xf numFmtId="165" fontId="0" fillId="0" borderId="0" xfId="0" applyNumberFormat="1" applyAlignment="1">
      <alignment horizontal="right"/>
    </xf>
    <xf numFmtId="165" fontId="3" fillId="2" borderId="0" xfId="0" applyNumberFormat="1" applyFont="1" applyFill="1" applyAlignment="1">
      <alignment horizontal="right"/>
    </xf>
    <xf numFmtId="164" fontId="0" fillId="2" borderId="0" xfId="0" applyNumberFormat="1" applyFill="1" applyAlignment="1">
      <alignment horizontal="right"/>
    </xf>
    <xf numFmtId="164" fontId="0" fillId="0" borderId="0" xfId="0" applyNumberFormat="1" applyAlignment="1">
      <alignment horizontal="right"/>
    </xf>
    <xf numFmtId="164" fontId="3" fillId="2" borderId="0" xfId="0" applyNumberFormat="1" applyFont="1" applyFill="1" applyAlignment="1">
      <alignment horizontal="right"/>
    </xf>
    <xf numFmtId="171" fontId="0" fillId="3" borderId="0" xfId="0" applyNumberFormat="1" applyFill="1" applyAlignment="1">
      <alignment horizontal="right"/>
    </xf>
    <xf numFmtId="173" fontId="0" fillId="2" borderId="0" xfId="0" applyNumberFormat="1" applyFill="1" applyAlignment="1">
      <alignment horizontal="right"/>
    </xf>
    <xf numFmtId="173" fontId="0" fillId="0" borderId="0" xfId="0" applyNumberFormat="1" applyAlignment="1">
      <alignment horizontal="right"/>
    </xf>
    <xf numFmtId="173" fontId="3" fillId="2" borderId="0" xfId="0" applyNumberFormat="1" applyFont="1" applyFill="1" applyAlignment="1">
      <alignment horizontal="right"/>
    </xf>
    <xf numFmtId="174" fontId="0" fillId="3" borderId="0" xfId="0" applyNumberFormat="1" applyFill="1" applyAlignment="1">
      <alignment horizontal="right"/>
    </xf>
    <xf numFmtId="171" fontId="0" fillId="2" borderId="0" xfId="0" applyNumberFormat="1" applyFill="1" applyAlignment="1">
      <alignment horizontal="right"/>
    </xf>
    <xf numFmtId="171" fontId="0" fillId="0" borderId="0" xfId="0" applyNumberFormat="1" applyAlignment="1">
      <alignment horizontal="right"/>
    </xf>
    <xf numFmtId="171" fontId="3" fillId="2" borderId="0" xfId="0" applyNumberFormat="1" applyFont="1" applyFill="1" applyAlignment="1">
      <alignment horizontal="right"/>
    </xf>
    <xf numFmtId="170" fontId="0" fillId="2" borderId="0" xfId="0" applyNumberFormat="1" applyFill="1" applyAlignment="1">
      <alignment horizontal="right" vertical="top"/>
    </xf>
    <xf numFmtId="170" fontId="0" fillId="2" borderId="0" xfId="0" applyNumberFormat="1" applyFill="1" applyAlignment="1">
      <alignment horizontal="right"/>
    </xf>
    <xf numFmtId="170" fontId="0" fillId="0" borderId="0" xfId="0" applyNumberFormat="1" applyAlignment="1">
      <alignment horizontal="right"/>
    </xf>
    <xf numFmtId="170" fontId="3" fillId="2" borderId="0" xfId="0" applyNumberFormat="1" applyFont="1" applyFill="1" applyAlignment="1">
      <alignment horizontal="right"/>
    </xf>
    <xf numFmtId="2" fontId="0" fillId="2" borderId="0" xfId="0" applyNumberFormat="1" applyFill="1" applyAlignment="1">
      <alignment horizontal="right" vertical="top"/>
    </xf>
    <xf numFmtId="169" fontId="0" fillId="5" borderId="0" xfId="0" applyNumberFormat="1" applyFill="1" applyAlignment="1">
      <alignment horizontal="right"/>
    </xf>
    <xf numFmtId="164" fontId="0" fillId="5" borderId="0" xfId="0" applyNumberFormat="1" applyFill="1" applyAlignment="1">
      <alignment horizontal="right"/>
    </xf>
    <xf numFmtId="174" fontId="0" fillId="3" borderId="0" xfId="0" applyNumberFormat="1" applyFill="1" applyAlignment="1">
      <alignment horizontal="right" vertical="top"/>
    </xf>
    <xf numFmtId="1" fontId="0" fillId="8" borderId="0" xfId="0" applyNumberFormat="1" applyFill="1" applyAlignment="1">
      <alignment horizontal="right" vertical="top"/>
    </xf>
    <xf numFmtId="0" fontId="0" fillId="8" borderId="0" xfId="0" applyFill="1" applyAlignment="1">
      <alignment horizontal="right" vertical="top"/>
    </xf>
    <xf numFmtId="0" fontId="0" fillId="10" borderId="0" xfId="0" applyFill="1" applyBorder="1" applyAlignment="1"/>
    <xf numFmtId="0" fontId="0" fillId="10" borderId="0" xfId="0" applyFill="1" applyBorder="1"/>
    <xf numFmtId="0" fontId="0" fillId="10" borderId="2" xfId="0" applyFill="1" applyBorder="1"/>
    <xf numFmtId="0" fontId="0" fillId="10" borderId="5" xfId="0" applyFill="1" applyBorder="1"/>
    <xf numFmtId="0" fontId="0" fillId="10" borderId="3" xfId="0" applyFill="1" applyBorder="1"/>
    <xf numFmtId="168" fontId="0" fillId="13" borderId="0" xfId="0" applyNumberFormat="1" applyFill="1" applyBorder="1"/>
    <xf numFmtId="1" fontId="0" fillId="13" borderId="0" xfId="0" applyNumberFormat="1" applyFill="1" applyBorder="1"/>
    <xf numFmtId="170" fontId="0" fillId="8" borderId="0" xfId="0" applyNumberFormat="1" applyFill="1" applyBorder="1"/>
    <xf numFmtId="170" fontId="0" fillId="10" borderId="0" xfId="0" applyNumberFormat="1" applyFill="1" applyBorder="1"/>
    <xf numFmtId="169" fontId="0" fillId="8" borderId="0" xfId="0" applyNumberFormat="1" applyFill="1"/>
    <xf numFmtId="169" fontId="0" fillId="0" borderId="39" xfId="0" applyNumberFormat="1" applyBorder="1"/>
    <xf numFmtId="169" fontId="0" fillId="0" borderId="40" xfId="0" applyNumberFormat="1" applyBorder="1"/>
    <xf numFmtId="169" fontId="0" fillId="8" borderId="0" xfId="0" applyNumberFormat="1" applyFill="1" applyBorder="1"/>
    <xf numFmtId="169" fontId="0" fillId="2" borderId="8" xfId="0" applyNumberFormat="1" applyFill="1" applyBorder="1" applyAlignment="1"/>
    <xf numFmtId="169" fontId="0" fillId="2" borderId="2" xfId="0" applyNumberFormat="1" applyFill="1" applyBorder="1" applyAlignment="1"/>
    <xf numFmtId="165" fontId="0" fillId="8" borderId="8" xfId="0" applyNumberFormat="1" applyFill="1" applyBorder="1"/>
    <xf numFmtId="165" fontId="0" fillId="8" borderId="2" xfId="0" applyNumberFormat="1" applyFill="1" applyBorder="1"/>
    <xf numFmtId="165" fontId="0" fillId="8" borderId="0" xfId="0" applyNumberFormat="1" applyFill="1"/>
    <xf numFmtId="165" fontId="0" fillId="0" borderId="39" xfId="0" applyNumberFormat="1" applyBorder="1"/>
    <xf numFmtId="165" fontId="0" fillId="0" borderId="40" xfId="0" applyNumberFormat="1" applyBorder="1"/>
    <xf numFmtId="165" fontId="0" fillId="0" borderId="0" xfId="0" applyNumberFormat="1"/>
    <xf numFmtId="165" fontId="0" fillId="0" borderId="2" xfId="0" applyNumberFormat="1" applyBorder="1"/>
    <xf numFmtId="165" fontId="0" fillId="2" borderId="0" xfId="0" applyNumberFormat="1" applyFill="1" applyBorder="1" applyAlignment="1"/>
    <xf numFmtId="165" fontId="0" fillId="2" borderId="2" xfId="0" applyNumberFormat="1" applyFill="1" applyBorder="1" applyAlignment="1"/>
    <xf numFmtId="168" fontId="0" fillId="14" borderId="0" xfId="0" applyNumberFormat="1" applyFill="1" applyBorder="1"/>
    <xf numFmtId="0" fontId="4" fillId="2" borderId="8" xfId="0" applyFont="1" applyFill="1" applyBorder="1" applyAlignment="1"/>
    <xf numFmtId="0" fontId="4" fillId="10" borderId="7" xfId="0" applyFont="1" applyFill="1" applyBorder="1" applyAlignment="1"/>
    <xf numFmtId="1" fontId="0" fillId="8" borderId="0" xfId="0" applyNumberFormat="1" applyFill="1" applyBorder="1"/>
    <xf numFmtId="169" fontId="0" fillId="14" borderId="0" xfId="0" applyNumberFormat="1" applyFill="1" applyBorder="1"/>
    <xf numFmtId="1" fontId="0" fillId="14" borderId="0" xfId="0" applyNumberFormat="1" applyFill="1" applyBorder="1"/>
    <xf numFmtId="1" fontId="0" fillId="14" borderId="5" xfId="0" applyNumberFormat="1" applyFill="1" applyBorder="1"/>
    <xf numFmtId="169" fontId="0" fillId="14" borderId="2" xfId="0" applyNumberFormat="1" applyFill="1" applyBorder="1"/>
    <xf numFmtId="168" fontId="0" fillId="14" borderId="2" xfId="0" applyNumberFormat="1" applyFill="1" applyBorder="1"/>
    <xf numFmtId="166" fontId="0" fillId="14" borderId="0" xfId="0" applyNumberFormat="1" applyFill="1"/>
    <xf numFmtId="166" fontId="0" fillId="14" borderId="2" xfId="0" applyNumberFormat="1" applyFill="1" applyBorder="1"/>
    <xf numFmtId="165" fontId="0" fillId="14" borderId="0" xfId="0" applyNumberFormat="1" applyFill="1"/>
    <xf numFmtId="165" fontId="0" fillId="14" borderId="2" xfId="0" applyNumberFormat="1" applyFill="1" applyBorder="1"/>
    <xf numFmtId="0" fontId="4" fillId="14" borderId="14" xfId="0" applyFont="1" applyFill="1" applyBorder="1" applyAlignment="1">
      <alignment horizontal="right" vertical="center"/>
    </xf>
    <xf numFmtId="167" fontId="0" fillId="2" borderId="0" xfId="0" applyNumberFormat="1" applyFill="1" applyAlignment="1">
      <alignment horizontal="right"/>
    </xf>
    <xf numFmtId="167" fontId="3" fillId="2" borderId="0" xfId="0" applyNumberFormat="1" applyFont="1" applyFill="1" applyAlignment="1">
      <alignment horizontal="right"/>
    </xf>
    <xf numFmtId="166" fontId="0" fillId="2" borderId="0" xfId="0" applyNumberFormat="1" applyFill="1" applyAlignment="1">
      <alignment horizontal="right"/>
    </xf>
    <xf numFmtId="166" fontId="3" fillId="2" borderId="0" xfId="0" applyNumberFormat="1" applyFont="1" applyFill="1" applyAlignment="1">
      <alignment horizontal="right"/>
    </xf>
    <xf numFmtId="1" fontId="4" fillId="8" borderId="0" xfId="0" applyNumberFormat="1" applyFont="1" applyFill="1" applyBorder="1" applyAlignment="1">
      <alignment horizontal="right"/>
    </xf>
    <xf numFmtId="169" fontId="0" fillId="8" borderId="0" xfId="0" applyNumberFormat="1" applyFill="1" applyAlignment="1">
      <alignment horizontal="right"/>
    </xf>
    <xf numFmtId="167" fontId="0" fillId="0" borderId="0" xfId="0" applyNumberFormat="1" applyAlignment="1">
      <alignment horizontal="right"/>
    </xf>
    <xf numFmtId="166" fontId="0" fillId="0" borderId="0" xfId="0" applyNumberFormat="1" applyAlignment="1">
      <alignment horizontal="right"/>
    </xf>
    <xf numFmtId="166" fontId="0" fillId="8" borderId="0" xfId="0" applyNumberFormat="1" applyFill="1" applyAlignment="1">
      <alignment horizontal="right"/>
    </xf>
    <xf numFmtId="1" fontId="4" fillId="2" borderId="0" xfId="0" applyNumberFormat="1" applyFont="1" applyFill="1" applyAlignment="1">
      <alignment horizontal="right"/>
    </xf>
    <xf numFmtId="1" fontId="4" fillId="0" borderId="0" xfId="0" applyNumberFormat="1" applyFont="1" applyAlignment="1">
      <alignment horizontal="right"/>
    </xf>
    <xf numFmtId="168" fontId="4" fillId="0" borderId="0" xfId="0" applyNumberFormat="1" applyFont="1" applyAlignment="1">
      <alignment horizontal="right"/>
    </xf>
    <xf numFmtId="167" fontId="4" fillId="2" borderId="0" xfId="0" applyNumberFormat="1" applyFont="1" applyFill="1" applyAlignment="1">
      <alignment horizontal="right"/>
    </xf>
    <xf numFmtId="167" fontId="4" fillId="0" borderId="0" xfId="0" applyNumberFormat="1" applyFont="1" applyAlignment="1">
      <alignment horizontal="right"/>
    </xf>
    <xf numFmtId="1" fontId="4" fillId="8" borderId="0" xfId="0" applyNumberFormat="1" applyFont="1" applyFill="1" applyAlignment="1">
      <alignment horizontal="right"/>
    </xf>
    <xf numFmtId="165" fontId="0" fillId="8" borderId="0" xfId="0" applyNumberFormat="1" applyFill="1" applyAlignment="1">
      <alignment horizontal="right"/>
    </xf>
    <xf numFmtId="170" fontId="0" fillId="8" borderId="0" xfId="0" applyNumberFormat="1" applyFill="1" applyAlignment="1">
      <alignment horizontal="right"/>
    </xf>
    <xf numFmtId="1" fontId="0" fillId="8" borderId="0" xfId="0" applyNumberFormat="1" applyFill="1"/>
    <xf numFmtId="172" fontId="0" fillId="5" borderId="14" xfId="1" applyNumberFormat="1" applyFont="1" applyFill="1" applyBorder="1"/>
    <xf numFmtId="172" fontId="0" fillId="8" borderId="3" xfId="1" applyNumberFormat="1" applyFont="1" applyFill="1" applyBorder="1"/>
    <xf numFmtId="172" fontId="0" fillId="8" borderId="2" xfId="1" applyNumberFormat="1" applyFont="1" applyFill="1" applyBorder="1"/>
    <xf numFmtId="172" fontId="0" fillId="13" borderId="14" xfId="1" applyNumberFormat="1" applyFont="1" applyFill="1" applyBorder="1"/>
    <xf numFmtId="2" fontId="6" fillId="0" borderId="6" xfId="0" applyNumberFormat="1" applyFont="1" applyBorder="1" applyAlignment="1">
      <alignment horizontal="right"/>
    </xf>
    <xf numFmtId="0" fontId="6" fillId="0" borderId="44" xfId="0" applyFont="1" applyBorder="1"/>
    <xf numFmtId="0" fontId="0" fillId="10" borderId="4" xfId="0" applyFill="1" applyBorder="1" applyAlignment="1">
      <alignment horizontal="left"/>
    </xf>
    <xf numFmtId="0" fontId="4" fillId="10" borderId="4" xfId="0" applyFont="1" applyFill="1" applyBorder="1" applyAlignment="1">
      <alignment horizontal="left"/>
    </xf>
    <xf numFmtId="0" fontId="4" fillId="10" borderId="3" xfId="0" applyFont="1" applyFill="1" applyBorder="1"/>
    <xf numFmtId="169" fontId="6" fillId="10" borderId="43" xfId="0" applyNumberFormat="1" applyFont="1" applyFill="1" applyBorder="1"/>
    <xf numFmtId="169" fontId="6" fillId="10" borderId="1" xfId="0" applyNumberFormat="1" applyFont="1" applyFill="1" applyBorder="1"/>
    <xf numFmtId="2" fontId="6" fillId="0" borderId="1" xfId="0" applyNumberFormat="1" applyFont="1" applyBorder="1"/>
    <xf numFmtId="169" fontId="6" fillId="10" borderId="44" xfId="0" applyNumberFormat="1" applyFont="1" applyFill="1" applyBorder="1"/>
    <xf numFmtId="169" fontId="0" fillId="10" borderId="8" xfId="0" applyNumberFormat="1" applyFill="1" applyBorder="1"/>
    <xf numFmtId="169" fontId="0" fillId="0" borderId="0" xfId="0" applyNumberFormat="1" applyBorder="1"/>
    <xf numFmtId="169" fontId="0" fillId="10" borderId="0" xfId="0" applyNumberFormat="1" applyFill="1" applyBorder="1"/>
    <xf numFmtId="1" fontId="0" fillId="10" borderId="8" xfId="0" applyNumberFormat="1" applyFill="1" applyBorder="1"/>
    <xf numFmtId="1" fontId="0" fillId="8" borderId="8" xfId="0" applyNumberFormat="1" applyFill="1" applyBorder="1"/>
    <xf numFmtId="1" fontId="0" fillId="0" borderId="8" xfId="0" applyNumberFormat="1" applyBorder="1"/>
    <xf numFmtId="1" fontId="0" fillId="0" borderId="8" xfId="0" applyNumberFormat="1" applyFill="1" applyBorder="1"/>
    <xf numFmtId="1" fontId="6" fillId="8" borderId="44" xfId="0" applyNumberFormat="1" applyFont="1" applyFill="1" applyBorder="1"/>
    <xf numFmtId="1" fontId="4" fillId="8" borderId="8" xfId="0" applyNumberFormat="1" applyFont="1" applyFill="1" applyBorder="1"/>
    <xf numFmtId="1" fontId="0" fillId="0" borderId="23" xfId="0" applyNumberFormat="1" applyBorder="1"/>
    <xf numFmtId="1" fontId="6" fillId="10" borderId="44" xfId="0" applyNumberFormat="1" applyFont="1" applyFill="1" applyBorder="1"/>
    <xf numFmtId="1" fontId="0" fillId="0" borderId="0" xfId="0" applyNumberFormat="1" applyBorder="1"/>
    <xf numFmtId="1" fontId="0" fillId="0" borderId="2" xfId="0" applyNumberFormat="1" applyFill="1" applyBorder="1"/>
    <xf numFmtId="1" fontId="6" fillId="8" borderId="1" xfId="0" applyNumberFormat="1" applyFont="1" applyFill="1" applyBorder="1"/>
    <xf numFmtId="1" fontId="0" fillId="0" borderId="2" xfId="0" applyNumberFormat="1" applyBorder="1"/>
    <xf numFmtId="1" fontId="6" fillId="8" borderId="43" xfId="0" applyNumberFormat="1" applyFont="1" applyFill="1" applyBorder="1"/>
    <xf numFmtId="1" fontId="0" fillId="0" borderId="4" xfId="0" applyNumberFormat="1" applyBorder="1"/>
    <xf numFmtId="1" fontId="0" fillId="10" borderId="2" xfId="0" applyNumberFormat="1" applyFill="1" applyBorder="1"/>
    <xf numFmtId="1" fontId="6" fillId="10" borderId="43" xfId="0" applyNumberFormat="1" applyFont="1" applyFill="1" applyBorder="1"/>
    <xf numFmtId="1" fontId="0" fillId="10" borderId="0" xfId="0" applyNumberFormat="1" applyFill="1" applyBorder="1"/>
    <xf numFmtId="1" fontId="6" fillId="10" borderId="1" xfId="0" applyNumberFormat="1" applyFont="1" applyFill="1" applyBorder="1"/>
    <xf numFmtId="169" fontId="6" fillId="8" borderId="1" xfId="0" applyNumberFormat="1" applyFont="1" applyFill="1" applyBorder="1"/>
    <xf numFmtId="169" fontId="4" fillId="0" borderId="0" xfId="0" applyNumberFormat="1" applyFont="1" applyBorder="1"/>
    <xf numFmtId="169" fontId="4" fillId="8" borderId="8" xfId="0" applyNumberFormat="1" applyFont="1" applyFill="1" applyBorder="1"/>
    <xf numFmtId="169" fontId="0" fillId="0" borderId="23" xfId="0" applyNumberFormat="1" applyBorder="1"/>
    <xf numFmtId="169" fontId="4" fillId="8" borderId="2" xfId="0" applyNumberFormat="1" applyFont="1" applyFill="1" applyBorder="1"/>
    <xf numFmtId="169" fontId="4" fillId="8" borderId="0" xfId="0" applyNumberFormat="1" applyFont="1" applyFill="1" applyBorder="1"/>
    <xf numFmtId="169" fontId="0" fillId="0" borderId="4" xfId="0" applyNumberFormat="1" applyBorder="1"/>
    <xf numFmtId="1" fontId="6" fillId="0" borderId="8" xfId="0" applyNumberFormat="1" applyFont="1" applyBorder="1"/>
    <xf numFmtId="1" fontId="0" fillId="8" borderId="2" xfId="0" applyNumberFormat="1" applyFill="1" applyBorder="1" applyAlignment="1">
      <alignment horizontal="right"/>
    </xf>
    <xf numFmtId="1" fontId="6" fillId="0" borderId="2" xfId="0" applyNumberFormat="1" applyFont="1" applyBorder="1"/>
    <xf numFmtId="1" fontId="0" fillId="0" borderId="2" xfId="0" applyNumberFormat="1" applyFill="1" applyBorder="1" applyAlignment="1">
      <alignment horizontal="right"/>
    </xf>
    <xf numFmtId="1" fontId="6" fillId="8" borderId="43" xfId="0" applyNumberFormat="1" applyFont="1" applyFill="1" applyBorder="1" applyAlignment="1">
      <alignment horizontal="right"/>
    </xf>
    <xf numFmtId="1" fontId="0" fillId="8" borderId="0" xfId="0" applyNumberFormat="1" applyFill="1" applyBorder="1" applyAlignment="1">
      <alignment horizontal="right"/>
    </xf>
    <xf numFmtId="1" fontId="6" fillId="8" borderId="1" xfId="0" applyNumberFormat="1" applyFont="1" applyFill="1" applyBorder="1" applyAlignment="1">
      <alignment horizontal="right"/>
    </xf>
    <xf numFmtId="1" fontId="6" fillId="8" borderId="23" xfId="0" applyNumberFormat="1" applyFont="1" applyFill="1" applyBorder="1"/>
    <xf numFmtId="1" fontId="4" fillId="0" borderId="23" xfId="0" applyNumberFormat="1" applyFont="1" applyFill="1" applyBorder="1"/>
    <xf numFmtId="2" fontId="4" fillId="0" borderId="0" xfId="0" applyNumberFormat="1" applyFont="1" applyFill="1" applyBorder="1" applyAlignment="1">
      <alignment horizontal="right"/>
    </xf>
    <xf numFmtId="169" fontId="4" fillId="0" borderId="23" xfId="0" applyNumberFormat="1" applyFont="1" applyFill="1" applyBorder="1"/>
    <xf numFmtId="1" fontId="4" fillId="0" borderId="8" xfId="0" applyNumberFormat="1" applyFont="1" applyFill="1" applyBorder="1"/>
    <xf numFmtId="1" fontId="6" fillId="8" borderId="4" xfId="0" applyNumberFormat="1" applyFont="1" applyFill="1" applyBorder="1" applyAlignment="1">
      <alignment horizontal="right"/>
    </xf>
    <xf numFmtId="1" fontId="6" fillId="8" borderId="7" xfId="0" applyNumberFormat="1" applyFont="1" applyFill="1" applyBorder="1"/>
    <xf numFmtId="2" fontId="6" fillId="0" borderId="5" xfId="0" applyNumberFormat="1" applyFont="1" applyBorder="1" applyAlignment="1">
      <alignment horizontal="right"/>
    </xf>
    <xf numFmtId="1" fontId="6" fillId="8" borderId="3" xfId="0" applyNumberFormat="1" applyFont="1" applyFill="1" applyBorder="1"/>
    <xf numFmtId="169" fontId="6" fillId="8" borderId="7" xfId="0" applyNumberFormat="1" applyFont="1" applyFill="1" applyBorder="1"/>
    <xf numFmtId="169" fontId="6" fillId="8" borderId="3" xfId="0" applyNumberFormat="1" applyFont="1" applyFill="1" applyBorder="1"/>
    <xf numFmtId="2" fontId="4" fillId="0" borderId="6" xfId="0" applyNumberFormat="1" applyFont="1" applyFill="1" applyBorder="1" applyAlignment="1">
      <alignment horizontal="right"/>
    </xf>
    <xf numFmtId="0" fontId="4" fillId="0" borderId="5" xfId="0" applyFont="1" applyBorder="1"/>
    <xf numFmtId="0" fontId="4" fillId="0" borderId="41" xfId="0" applyFont="1" applyFill="1" applyBorder="1"/>
    <xf numFmtId="0" fontId="4" fillId="0" borderId="42" xfId="0" applyFont="1" applyFill="1" applyBorder="1"/>
    <xf numFmtId="0" fontId="4" fillId="0" borderId="12" xfId="0" applyFont="1" applyBorder="1"/>
    <xf numFmtId="1" fontId="4" fillId="0" borderId="4" xfId="0" applyNumberFormat="1" applyFont="1" applyFill="1" applyBorder="1"/>
    <xf numFmtId="1" fontId="4" fillId="0" borderId="2" xfId="0" applyNumberFormat="1" applyFont="1" applyFill="1" applyBorder="1"/>
    <xf numFmtId="1" fontId="4" fillId="0" borderId="7" xfId="0" applyNumberFormat="1" applyFont="1" applyBorder="1"/>
    <xf numFmtId="1" fontId="4" fillId="0" borderId="3" xfId="0" applyNumberFormat="1" applyFont="1" applyBorder="1"/>
    <xf numFmtId="169" fontId="4" fillId="0" borderId="4" xfId="0" applyNumberFormat="1" applyFont="1" applyFill="1" applyBorder="1"/>
    <xf numFmtId="169" fontId="4" fillId="0" borderId="8" xfId="0" applyNumberFormat="1" applyFont="1" applyFill="1" applyBorder="1"/>
    <xf numFmtId="169" fontId="4" fillId="0" borderId="2" xfId="0" applyNumberFormat="1" applyFont="1" applyFill="1" applyBorder="1"/>
    <xf numFmtId="169" fontId="4" fillId="0" borderId="7" xfId="0" applyNumberFormat="1" applyFont="1" applyBorder="1"/>
    <xf numFmtId="169" fontId="4" fillId="0" borderId="3" xfId="0" applyNumberFormat="1" applyFont="1" applyBorder="1"/>
    <xf numFmtId="1" fontId="4" fillId="0" borderId="4" xfId="0" applyNumberFormat="1" applyFont="1" applyFill="1" applyBorder="1" applyAlignment="1">
      <alignment horizontal="right"/>
    </xf>
    <xf numFmtId="1" fontId="4" fillId="0" borderId="2" xfId="0" applyNumberFormat="1" applyFont="1" applyFill="1" applyBorder="1" applyAlignment="1">
      <alignment horizontal="right"/>
    </xf>
    <xf numFmtId="2" fontId="4" fillId="0" borderId="1" xfId="0" applyNumberFormat="1" applyFont="1" applyFill="1" applyBorder="1" applyAlignment="1">
      <alignment horizontal="right"/>
    </xf>
    <xf numFmtId="2" fontId="6" fillId="0" borderId="1" xfId="0" applyNumberFormat="1" applyFont="1" applyFill="1" applyBorder="1" applyAlignment="1">
      <alignment horizontal="right"/>
    </xf>
    <xf numFmtId="1" fontId="4" fillId="10" borderId="8" xfId="0" applyNumberFormat="1" applyFont="1" applyFill="1" applyBorder="1"/>
    <xf numFmtId="1" fontId="4" fillId="10" borderId="2" xfId="0" applyNumberFormat="1" applyFont="1" applyFill="1" applyBorder="1"/>
    <xf numFmtId="169" fontId="4" fillId="10" borderId="8" xfId="0" applyNumberFormat="1" applyFont="1" applyFill="1" applyBorder="1"/>
    <xf numFmtId="169" fontId="4" fillId="10" borderId="2" xfId="0" applyNumberFormat="1" applyFont="1" applyFill="1" applyBorder="1"/>
    <xf numFmtId="1" fontId="6" fillId="10" borderId="43" xfId="0" applyNumberFormat="1" applyFont="1" applyFill="1" applyBorder="1" applyAlignment="1">
      <alignment horizontal="right"/>
    </xf>
    <xf numFmtId="1" fontId="4" fillId="10" borderId="2" xfId="0" applyNumberFormat="1" applyFont="1" applyFill="1" applyBorder="1" applyAlignment="1">
      <alignment horizontal="right"/>
    </xf>
    <xf numFmtId="1" fontId="4" fillId="10" borderId="44" xfId="0" applyNumberFormat="1" applyFont="1" applyFill="1" applyBorder="1"/>
    <xf numFmtId="1" fontId="4" fillId="10" borderId="43" xfId="0" applyNumberFormat="1" applyFont="1" applyFill="1" applyBorder="1"/>
    <xf numFmtId="169" fontId="4" fillId="10" borderId="44" xfId="0" applyNumberFormat="1" applyFont="1" applyFill="1" applyBorder="1"/>
    <xf numFmtId="169" fontId="4" fillId="10" borderId="43" xfId="0" applyNumberFormat="1" applyFont="1" applyFill="1" applyBorder="1"/>
    <xf numFmtId="1" fontId="4" fillId="10" borderId="43" xfId="0" applyNumberFormat="1" applyFont="1" applyFill="1" applyBorder="1" applyAlignment="1">
      <alignment horizontal="right"/>
    </xf>
    <xf numFmtId="0" fontId="0" fillId="0" borderId="0" xfId="0" applyAlignment="1">
      <alignment wrapText="1"/>
    </xf>
    <xf numFmtId="2" fontId="3" fillId="2" borderId="0" xfId="0" applyNumberFormat="1" applyFont="1" applyFill="1" applyAlignment="1">
      <alignment horizontal="center"/>
    </xf>
    <xf numFmtId="2" fontId="3" fillId="2" borderId="0" xfId="0" applyNumberFormat="1" applyFont="1" applyFill="1" applyAlignment="1">
      <alignment horizontal="center" vertical="center"/>
    </xf>
    <xf numFmtId="2" fontId="3" fillId="0" borderId="0" xfId="0" applyNumberFormat="1" applyFont="1" applyFill="1" applyAlignment="1">
      <alignment horizontal="center" vertical="center"/>
    </xf>
    <xf numFmtId="0" fontId="4" fillId="0" borderId="0" xfId="0" applyFont="1" applyAlignment="1">
      <alignment wrapText="1"/>
    </xf>
    <xf numFmtId="1" fontId="0" fillId="4" borderId="41" xfId="0" applyNumberFormat="1" applyFill="1" applyBorder="1"/>
    <xf numFmtId="1" fontId="0" fillId="4" borderId="0" xfId="0" applyNumberFormat="1" applyFill="1" applyBorder="1"/>
    <xf numFmtId="1" fontId="0" fillId="4" borderId="18" xfId="0" applyNumberFormat="1" applyFill="1" applyBorder="1"/>
    <xf numFmtId="1" fontId="3" fillId="4" borderId="49" xfId="0" applyNumberFormat="1" applyFont="1" applyFill="1" applyBorder="1"/>
    <xf numFmtId="2" fontId="5" fillId="4" borderId="81" xfId="0" applyNumberFormat="1" applyFont="1" applyFill="1" applyBorder="1" applyAlignment="1">
      <alignment horizontal="center" wrapText="1"/>
    </xf>
    <xf numFmtId="1" fontId="0" fillId="4" borderId="61" xfId="0" applyNumberFormat="1" applyFill="1" applyBorder="1"/>
    <xf numFmtId="170" fontId="0" fillId="8" borderId="0" xfId="0" applyNumberFormat="1" applyFill="1"/>
    <xf numFmtId="2" fontId="3" fillId="0" borderId="0" xfId="0" applyNumberFormat="1" applyFont="1" applyAlignment="1">
      <alignment horizontal="left" wrapText="1"/>
    </xf>
    <xf numFmtId="2" fontId="3" fillId="12" borderId="0" xfId="0" applyNumberFormat="1" applyFont="1" applyFill="1" applyAlignment="1">
      <alignment horizontal="center" vertical="center"/>
    </xf>
    <xf numFmtId="166" fontId="0" fillId="0" borderId="0" xfId="0" applyNumberFormat="1" applyFill="1"/>
    <xf numFmtId="165" fontId="0" fillId="0" borderId="0" xfId="0" applyNumberFormat="1" applyFill="1"/>
    <xf numFmtId="2" fontId="3" fillId="0" borderId="0" xfId="0" applyNumberFormat="1" applyFont="1" applyFill="1" applyAlignment="1">
      <alignment horizontal="center"/>
    </xf>
    <xf numFmtId="0" fontId="3" fillId="0" borderId="0" xfId="0" applyFont="1" applyAlignment="1">
      <alignment horizontal="center"/>
    </xf>
    <xf numFmtId="2" fontId="0" fillId="8" borderId="0" xfId="0" applyNumberFormat="1" applyFill="1" applyAlignment="1">
      <alignment horizontal="center"/>
    </xf>
    <xf numFmtId="1" fontId="0" fillId="8" borderId="0" xfId="0" applyNumberFormat="1" applyFill="1" applyAlignment="1">
      <alignment horizontal="center"/>
    </xf>
    <xf numFmtId="2" fontId="0" fillId="0" borderId="0" xfId="0" applyNumberFormat="1" applyAlignment="1">
      <alignment horizontal="center"/>
    </xf>
    <xf numFmtId="1" fontId="3" fillId="2" borderId="0" xfId="0" applyNumberFormat="1" applyFont="1" applyFill="1" applyAlignment="1">
      <alignment horizontal="center"/>
    </xf>
    <xf numFmtId="0" fontId="4" fillId="0" borderId="8" xfId="0" applyFont="1" applyBorder="1"/>
    <xf numFmtId="1" fontId="4" fillId="0" borderId="0" xfId="0" applyNumberFormat="1" applyFont="1" applyFill="1" applyBorder="1"/>
    <xf numFmtId="169" fontId="4" fillId="0" borderId="0" xfId="0" applyNumberFormat="1" applyFont="1" applyFill="1" applyBorder="1"/>
    <xf numFmtId="1" fontId="4" fillId="0" borderId="0" xfId="0" applyNumberFormat="1" applyFont="1" applyFill="1" applyBorder="1" applyAlignment="1">
      <alignment horizontal="right"/>
    </xf>
    <xf numFmtId="1" fontId="4" fillId="15" borderId="8" xfId="0" applyNumberFormat="1" applyFont="1" applyFill="1" applyBorder="1"/>
    <xf numFmtId="1" fontId="6" fillId="15" borderId="44" xfId="0" applyNumberFormat="1" applyFont="1" applyFill="1" applyBorder="1"/>
    <xf numFmtId="1" fontId="6" fillId="15" borderId="1" xfId="0" applyNumberFormat="1" applyFont="1" applyFill="1" applyBorder="1"/>
    <xf numFmtId="1" fontId="4" fillId="15" borderId="0" xfId="0" applyNumberFormat="1" applyFont="1" applyFill="1" applyBorder="1"/>
    <xf numFmtId="169" fontId="4" fillId="15" borderId="8" xfId="0" applyNumberFormat="1" applyFont="1" applyFill="1" applyBorder="1"/>
    <xf numFmtId="169" fontId="6" fillId="15" borderId="44" xfId="0" applyNumberFormat="1" applyFont="1" applyFill="1" applyBorder="1"/>
    <xf numFmtId="169" fontId="6" fillId="15" borderId="1" xfId="0" applyNumberFormat="1" applyFont="1" applyFill="1" applyBorder="1"/>
    <xf numFmtId="169" fontId="4" fillId="15" borderId="0" xfId="0" applyNumberFormat="1" applyFont="1" applyFill="1" applyBorder="1"/>
    <xf numFmtId="1" fontId="3" fillId="15" borderId="46" xfId="0" applyNumberFormat="1" applyFont="1" applyFill="1" applyBorder="1"/>
    <xf numFmtId="0" fontId="3" fillId="9" borderId="0" xfId="0" applyFont="1" applyFill="1"/>
    <xf numFmtId="0" fontId="4" fillId="9" borderId="0" xfId="0" applyFont="1" applyFill="1"/>
    <xf numFmtId="0" fontId="4" fillId="9" borderId="0" xfId="0" applyFont="1" applyFill="1" applyAlignment="1">
      <alignment wrapText="1"/>
    </xf>
    <xf numFmtId="0" fontId="3" fillId="4" borderId="0" xfId="0" applyFont="1" applyFill="1" applyBorder="1" applyAlignment="1">
      <alignment horizontal="center"/>
    </xf>
    <xf numFmtId="0" fontId="4" fillId="4" borderId="0" xfId="0" applyFont="1" applyFill="1" applyBorder="1" applyAlignment="1">
      <alignment horizontal="right"/>
    </xf>
    <xf numFmtId="0" fontId="0" fillId="16" borderId="0" xfId="0" applyFill="1"/>
    <xf numFmtId="0" fontId="0" fillId="0" borderId="8" xfId="0" applyFill="1" applyBorder="1"/>
    <xf numFmtId="0" fontId="0" fillId="5" borderId="92" xfId="0" applyFill="1" applyBorder="1"/>
    <xf numFmtId="0" fontId="0" fillId="5" borderId="42" xfId="0" applyFill="1" applyBorder="1"/>
    <xf numFmtId="0" fontId="0" fillId="5" borderId="93" xfId="0" applyFill="1" applyBorder="1"/>
    <xf numFmtId="0" fontId="22" fillId="5" borderId="0" xfId="0" applyFont="1" applyFill="1"/>
    <xf numFmtId="0" fontId="22" fillId="5" borderId="0" xfId="0" applyFont="1" applyFill="1" applyBorder="1"/>
    <xf numFmtId="49" fontId="0" fillId="0" borderId="0" xfId="0" applyNumberFormat="1" applyAlignment="1">
      <alignment vertical="top"/>
    </xf>
    <xf numFmtId="0" fontId="5" fillId="0" borderId="0" xfId="0" applyFont="1" applyAlignment="1">
      <alignment vertical="top"/>
    </xf>
    <xf numFmtId="0" fontId="5" fillId="0" borderId="0" xfId="0" applyFont="1" applyAlignment="1">
      <alignment horizontal="left" vertical="top"/>
    </xf>
    <xf numFmtId="2" fontId="0" fillId="0" borderId="0" xfId="0" applyNumberFormat="1" applyFill="1" applyAlignment="1">
      <alignment horizontal="left" vertical="top"/>
    </xf>
    <xf numFmtId="2" fontId="5" fillId="0" borderId="0" xfId="0" applyNumberFormat="1" applyFont="1" applyAlignment="1">
      <alignment horizontal="left" vertical="top"/>
    </xf>
    <xf numFmtId="2" fontId="0" fillId="0" borderId="0" xfId="0" applyNumberFormat="1" applyAlignment="1">
      <alignment horizontal="left" vertical="top"/>
    </xf>
    <xf numFmtId="0" fontId="2" fillId="0" borderId="0" xfId="0" applyFont="1" applyFill="1" applyAlignment="1">
      <alignment vertical="top"/>
    </xf>
    <xf numFmtId="0" fontId="5" fillId="0" borderId="0" xfId="0" applyFont="1" applyFill="1" applyAlignment="1">
      <alignment horizontal="left" vertical="top"/>
    </xf>
    <xf numFmtId="2" fontId="5" fillId="0" borderId="0" xfId="0" applyNumberFormat="1" applyFont="1" applyFill="1" applyAlignment="1">
      <alignment horizontal="left" vertical="top"/>
    </xf>
    <xf numFmtId="0" fontId="5" fillId="0" borderId="0" xfId="0" applyFont="1" applyFill="1"/>
    <xf numFmtId="166" fontId="0" fillId="0" borderId="0" xfId="0" applyNumberFormat="1" applyAlignment="1">
      <alignment horizontal="left" vertical="top"/>
    </xf>
    <xf numFmtId="0" fontId="3" fillId="0" borderId="0" xfId="0" applyFont="1" applyAlignment="1">
      <alignment vertical="top"/>
    </xf>
    <xf numFmtId="0" fontId="3" fillId="0" borderId="0" xfId="0" applyFont="1" applyAlignment="1">
      <alignment horizontal="left" vertical="top"/>
    </xf>
    <xf numFmtId="0" fontId="2" fillId="4" borderId="8" xfId="0" applyFont="1" applyFill="1" applyBorder="1"/>
    <xf numFmtId="0" fontId="2" fillId="0" borderId="0" xfId="0" applyFont="1" applyAlignment="1">
      <alignment vertical="top"/>
    </xf>
    <xf numFmtId="0" fontId="2" fillId="0" borderId="0" xfId="0" applyFont="1"/>
    <xf numFmtId="0" fontId="2" fillId="0" borderId="0" xfId="2" applyFont="1" applyAlignment="1" applyProtection="1"/>
    <xf numFmtId="0" fontId="2" fillId="8" borderId="8" xfId="0" applyFont="1" applyFill="1" applyBorder="1"/>
    <xf numFmtId="0" fontId="2" fillId="0" borderId="0" xfId="0" applyFont="1" applyAlignment="1">
      <alignment horizontal="left" vertical="top"/>
    </xf>
    <xf numFmtId="166" fontId="0" fillId="0" borderId="0" xfId="0" applyNumberFormat="1" applyFill="1" applyAlignment="1">
      <alignment horizontal="left" vertical="top"/>
    </xf>
    <xf numFmtId="49" fontId="2" fillId="0" borderId="0" xfId="0" applyNumberFormat="1" applyFont="1" applyAlignment="1">
      <alignment vertical="top"/>
    </xf>
    <xf numFmtId="0" fontId="2" fillId="8" borderId="7" xfId="0" applyFont="1" applyFill="1" applyBorder="1"/>
    <xf numFmtId="166" fontId="3" fillId="2" borderId="0" xfId="0" applyNumberFormat="1" applyFont="1" applyFill="1"/>
    <xf numFmtId="0" fontId="2" fillId="0" borderId="0" xfId="0" applyFont="1" applyFill="1" applyBorder="1"/>
    <xf numFmtId="2" fontId="2" fillId="0" borderId="0" xfId="0" applyNumberFormat="1" applyFont="1" applyAlignment="1">
      <alignment vertical="top" wrapText="1"/>
    </xf>
    <xf numFmtId="0" fontId="2" fillId="0" borderId="0" xfId="0" applyFont="1" applyAlignment="1"/>
    <xf numFmtId="2" fontId="23" fillId="5" borderId="0" xfId="3" applyNumberFormat="1" applyFont="1" applyFill="1"/>
    <xf numFmtId="2" fontId="23" fillId="14" borderId="0" xfId="5" applyNumberFormat="1" applyFont="1" applyFill="1" applyBorder="1"/>
    <xf numFmtId="167" fontId="23" fillId="5" borderId="0" xfId="3" applyNumberFormat="1" applyFont="1" applyFill="1"/>
    <xf numFmtId="11" fontId="23" fillId="5" borderId="0" xfId="3" applyNumberFormat="1" applyFont="1" applyFill="1"/>
    <xf numFmtId="0" fontId="2" fillId="0" borderId="0" xfId="0" applyFont="1" applyAlignment="1">
      <alignment vertical="top" wrapText="1"/>
    </xf>
    <xf numFmtId="2" fontId="0" fillId="13" borderId="0" xfId="0" applyNumberFormat="1" applyFill="1"/>
    <xf numFmtId="11" fontId="0" fillId="13" borderId="0" xfId="0" applyNumberFormat="1" applyFill="1"/>
    <xf numFmtId="169" fontId="0" fillId="13" borderId="0" xfId="0" applyNumberFormat="1" applyFill="1"/>
    <xf numFmtId="2" fontId="0" fillId="0" borderId="0" xfId="0" applyNumberFormat="1" applyFill="1" applyBorder="1" applyAlignment="1">
      <alignment horizontal="right"/>
    </xf>
    <xf numFmtId="2" fontId="0" fillId="0" borderId="1" xfId="0" applyNumberFormat="1" applyBorder="1" applyAlignment="1">
      <alignment horizontal="right"/>
    </xf>
    <xf numFmtId="0" fontId="6" fillId="0" borderId="1" xfId="0" applyFont="1" applyFill="1" applyBorder="1"/>
    <xf numFmtId="0" fontId="5" fillId="0" borderId="0" xfId="0" applyFont="1" applyFill="1" applyBorder="1"/>
    <xf numFmtId="1" fontId="5" fillId="10" borderId="8" xfId="0" applyNumberFormat="1" applyFont="1" applyFill="1" applyBorder="1"/>
    <xf numFmtId="2" fontId="5" fillId="0" borderId="0" xfId="0" applyNumberFormat="1" applyFont="1" applyBorder="1" applyAlignment="1">
      <alignment horizontal="right"/>
    </xf>
    <xf numFmtId="1" fontId="5" fillId="8" borderId="2" xfId="0" applyNumberFormat="1" applyFont="1" applyFill="1" applyBorder="1"/>
    <xf numFmtId="1" fontId="5" fillId="8" borderId="8" xfId="0" applyNumberFormat="1" applyFont="1" applyFill="1" applyBorder="1"/>
    <xf numFmtId="1" fontId="4" fillId="8" borderId="44" xfId="0" applyNumberFormat="1" applyFont="1" applyFill="1" applyBorder="1"/>
    <xf numFmtId="1" fontId="4" fillId="8" borderId="43" xfId="0" applyNumberFormat="1" applyFont="1" applyFill="1" applyBorder="1"/>
    <xf numFmtId="169" fontId="4" fillId="8" borderId="44" xfId="0" applyNumberFormat="1" applyFont="1" applyFill="1" applyBorder="1"/>
    <xf numFmtId="169" fontId="4" fillId="8" borderId="43" xfId="0" applyNumberFormat="1" applyFont="1" applyFill="1" applyBorder="1"/>
    <xf numFmtId="1" fontId="6" fillId="0" borderId="8" xfId="0" applyNumberFormat="1" applyFont="1" applyFill="1" applyBorder="1"/>
    <xf numFmtId="169" fontId="4" fillId="8" borderId="1" xfId="0" applyNumberFormat="1" applyFont="1" applyFill="1" applyBorder="1"/>
    <xf numFmtId="0" fontId="2" fillId="0" borderId="0" xfId="0" applyFont="1" applyFill="1"/>
    <xf numFmtId="2" fontId="6" fillId="0" borderId="0" xfId="0" applyNumberFormat="1" applyFont="1" applyFill="1" applyBorder="1" applyAlignment="1">
      <alignment horizontal="right"/>
    </xf>
    <xf numFmtId="169" fontId="6" fillId="0" borderId="8" xfId="0" applyNumberFormat="1" applyFont="1" applyFill="1" applyBorder="1"/>
    <xf numFmtId="169" fontId="6" fillId="0" borderId="2" xfId="0" applyNumberFormat="1" applyFont="1" applyFill="1" applyBorder="1"/>
    <xf numFmtId="0" fontId="2" fillId="8" borderId="0" xfId="0" applyFont="1" applyFill="1" applyBorder="1" applyAlignment="1">
      <alignment horizontal="left"/>
    </xf>
    <xf numFmtId="2" fontId="0" fillId="0" borderId="0" xfId="0" applyNumberFormat="1" applyFill="1" applyBorder="1"/>
    <xf numFmtId="0" fontId="2" fillId="11" borderId="8" xfId="0" applyFont="1" applyFill="1" applyBorder="1" applyAlignment="1">
      <alignment horizontal="right" vertical="top"/>
    </xf>
    <xf numFmtId="0" fontId="2" fillId="11" borderId="2" xfId="0" applyFont="1" applyFill="1" applyBorder="1"/>
    <xf numFmtId="0" fontId="2" fillId="11" borderId="8" xfId="0" applyFont="1" applyFill="1" applyBorder="1" applyAlignment="1">
      <alignment horizontal="right"/>
    </xf>
    <xf numFmtId="0" fontId="2" fillId="11" borderId="2" xfId="0" applyFont="1" applyFill="1" applyBorder="1" applyAlignment="1">
      <alignment horizontal="left" vertical="top"/>
    </xf>
    <xf numFmtId="0" fontId="2" fillId="11" borderId="0" xfId="0" applyFont="1" applyFill="1" applyBorder="1" applyAlignment="1">
      <alignment horizontal="right"/>
    </xf>
    <xf numFmtId="0" fontId="2" fillId="11" borderId="0" xfId="0" applyFont="1" applyFill="1" applyBorder="1" applyAlignment="1">
      <alignment horizontal="right" vertical="top"/>
    </xf>
    <xf numFmtId="169" fontId="0" fillId="0" borderId="0" xfId="0" applyNumberFormat="1" applyFill="1" applyBorder="1"/>
    <xf numFmtId="0" fontId="2" fillId="8" borderId="5" xfId="0" applyFont="1" applyFill="1" applyBorder="1"/>
    <xf numFmtId="0" fontId="2" fillId="0" borderId="0" xfId="0" applyFont="1" applyFill="1" applyAlignment="1"/>
    <xf numFmtId="1" fontId="0" fillId="0" borderId="0" xfId="0" applyNumberFormat="1" applyFill="1" applyBorder="1" applyAlignment="1">
      <alignment horizontal="right"/>
    </xf>
    <xf numFmtId="0" fontId="0" fillId="0" borderId="5" xfId="0" applyFill="1" applyBorder="1"/>
    <xf numFmtId="0" fontId="2" fillId="0" borderId="0" xfId="0" applyFont="1" applyBorder="1"/>
    <xf numFmtId="1" fontId="5" fillId="8" borderId="2" xfId="0" applyNumberFormat="1" applyFont="1" applyFill="1" applyBorder="1" applyAlignment="1">
      <alignment horizontal="right"/>
    </xf>
    <xf numFmtId="0" fontId="2" fillId="5" borderId="0" xfId="0" applyFont="1" applyFill="1"/>
    <xf numFmtId="1" fontId="0" fillId="0" borderId="7" xfId="0" applyNumberFormat="1" applyFill="1" applyBorder="1"/>
    <xf numFmtId="1" fontId="0" fillId="0" borderId="3" xfId="0" applyNumberFormat="1" applyFill="1" applyBorder="1"/>
    <xf numFmtId="0" fontId="3" fillId="4" borderId="0" xfId="0" applyFont="1" applyFill="1" applyBorder="1" applyAlignment="1">
      <alignment horizontal="center"/>
    </xf>
    <xf numFmtId="0" fontId="4" fillId="6" borderId="0" xfId="0" applyFont="1" applyFill="1" applyBorder="1" applyAlignment="1">
      <alignment horizontal="right"/>
    </xf>
    <xf numFmtId="0" fontId="4" fillId="4" borderId="0" xfId="0" applyFont="1" applyFill="1" applyBorder="1" applyAlignment="1">
      <alignment horizontal="right"/>
    </xf>
    <xf numFmtId="0" fontId="2" fillId="5" borderId="0" xfId="0" applyFont="1" applyFill="1" applyBorder="1"/>
    <xf numFmtId="0" fontId="2" fillId="4" borderId="0" xfId="0" applyFont="1" applyFill="1" applyBorder="1" applyAlignment="1">
      <alignment horizontal="right"/>
    </xf>
    <xf numFmtId="0" fontId="2" fillId="8" borderId="0" xfId="0" applyFont="1" applyFill="1" applyBorder="1"/>
    <xf numFmtId="2" fontId="2" fillId="0" borderId="0" xfId="0" applyNumberFormat="1" applyFont="1"/>
    <xf numFmtId="11" fontId="0" fillId="14" borderId="0" xfId="0" applyNumberFormat="1" applyFill="1" applyAlignment="1">
      <alignment horizontal="right"/>
    </xf>
    <xf numFmtId="11" fontId="0" fillId="0" borderId="0" xfId="0" applyNumberFormat="1" applyAlignment="1"/>
    <xf numFmtId="11" fontId="0" fillId="0" borderId="0" xfId="0" applyNumberFormat="1" applyFill="1" applyAlignment="1">
      <alignment horizontal="right"/>
    </xf>
    <xf numFmtId="11" fontId="0" fillId="0" borderId="0" xfId="0" applyNumberFormat="1" applyAlignment="1">
      <alignment horizontal="right"/>
    </xf>
    <xf numFmtId="11" fontId="3" fillId="14" borderId="0" xfId="0" applyNumberFormat="1" applyFont="1" applyFill="1" applyAlignment="1">
      <alignment horizontal="right"/>
    </xf>
    <xf numFmtId="0" fontId="0" fillId="13" borderId="6" xfId="0" applyFill="1" applyBorder="1" applyAlignment="1">
      <alignment horizontal="center"/>
    </xf>
    <xf numFmtId="0" fontId="2" fillId="6" borderId="8" xfId="0" applyFont="1" applyFill="1" applyBorder="1" applyAlignment="1">
      <alignment horizontal="right"/>
    </xf>
    <xf numFmtId="0" fontId="0" fillId="3" borderId="0" xfId="0" applyFill="1" applyAlignment="1">
      <alignment vertical="top"/>
    </xf>
    <xf numFmtId="0" fontId="0" fillId="2" borderId="0" xfId="0" applyFill="1" applyAlignment="1">
      <alignment horizontal="left" vertical="top"/>
    </xf>
    <xf numFmtId="0" fontId="0" fillId="3" borderId="0" xfId="0" applyFill="1" applyAlignment="1">
      <alignment horizontal="left" vertical="top"/>
    </xf>
    <xf numFmtId="0" fontId="2" fillId="9" borderId="0" xfId="0" applyFont="1" applyFill="1" applyAlignment="1">
      <alignment vertical="top"/>
    </xf>
    <xf numFmtId="168" fontId="2" fillId="13" borderId="8" xfId="0" applyNumberFormat="1" applyFont="1" applyFill="1" applyBorder="1"/>
    <xf numFmtId="0" fontId="2" fillId="4" borderId="0" xfId="0" applyFont="1" applyFill="1" applyBorder="1"/>
    <xf numFmtId="169" fontId="0" fillId="5" borderId="0" xfId="0" applyNumberFormat="1" applyFill="1"/>
    <xf numFmtId="0" fontId="2" fillId="0" borderId="8" xfId="0" applyFont="1" applyBorder="1"/>
    <xf numFmtId="0" fontId="6" fillId="0" borderId="8" xfId="0" applyFont="1" applyFill="1" applyBorder="1"/>
    <xf numFmtId="1" fontId="6" fillId="0" borderId="0" xfId="0" applyNumberFormat="1" applyFont="1" applyFill="1" applyBorder="1"/>
    <xf numFmtId="169" fontId="6" fillId="0" borderId="0" xfId="0" applyNumberFormat="1" applyFont="1" applyFill="1" applyBorder="1"/>
    <xf numFmtId="1" fontId="6" fillId="8" borderId="14" xfId="0" applyNumberFormat="1" applyFont="1" applyFill="1" applyBorder="1"/>
    <xf numFmtId="0" fontId="2" fillId="6" borderId="0" xfId="0" applyFont="1" applyFill="1" applyBorder="1"/>
    <xf numFmtId="0" fontId="2" fillId="0" borderId="0" xfId="0" applyFont="1" applyFill="1" applyBorder="1" applyAlignment="1"/>
    <xf numFmtId="0" fontId="0" fillId="5" borderId="0" xfId="0" applyFill="1" applyAlignment="1">
      <alignment horizontal="left"/>
    </xf>
    <xf numFmtId="0" fontId="0" fillId="5" borderId="0" xfId="0" applyFill="1" applyAlignment="1">
      <alignment horizontal="right"/>
    </xf>
    <xf numFmtId="0" fontId="2" fillId="5" borderId="2" xfId="0" applyFont="1" applyFill="1" applyBorder="1"/>
    <xf numFmtId="1" fontId="0" fillId="5" borderId="0" xfId="0" applyNumberFormat="1" applyFill="1"/>
    <xf numFmtId="167" fontId="0" fillId="5" borderId="0" xfId="0" applyNumberFormat="1" applyFill="1"/>
    <xf numFmtId="0" fontId="2" fillId="6" borderId="5" xfId="0" applyFont="1" applyFill="1" applyBorder="1" applyAlignment="1">
      <alignment horizontal="right"/>
    </xf>
    <xf numFmtId="0" fontId="4" fillId="6" borderId="5" xfId="0" applyFont="1" applyFill="1" applyBorder="1"/>
    <xf numFmtId="0" fontId="5" fillId="9" borderId="0" xfId="0" applyFont="1" applyFill="1"/>
    <xf numFmtId="14" fontId="2" fillId="0" borderId="0" xfId="0" applyNumberFormat="1" applyFont="1" applyAlignment="1">
      <alignment vertical="top" wrapText="1"/>
    </xf>
    <xf numFmtId="0" fontId="2" fillId="0" borderId="0" xfId="0" applyFont="1" applyAlignment="1">
      <alignment wrapText="1"/>
    </xf>
    <xf numFmtId="0" fontId="2" fillId="0" borderId="0" xfId="0" applyFont="1" applyFill="1" applyAlignment="1">
      <alignment wrapText="1"/>
    </xf>
    <xf numFmtId="0" fontId="0" fillId="9" borderId="0" xfId="0" applyFill="1" applyBorder="1" applyAlignment="1">
      <alignment horizontal="center"/>
    </xf>
    <xf numFmtId="0" fontId="0" fillId="9" borderId="18" xfId="0" applyFill="1" applyBorder="1" applyAlignment="1">
      <alignment horizontal="center"/>
    </xf>
    <xf numFmtId="0" fontId="0" fillId="6" borderId="0" xfId="0" applyFill="1" applyBorder="1" applyAlignment="1">
      <alignment horizontal="right"/>
    </xf>
    <xf numFmtId="0" fontId="3" fillId="9" borderId="0" xfId="0" applyFont="1" applyFill="1" applyBorder="1" applyAlignment="1">
      <alignment horizontal="center"/>
    </xf>
    <xf numFmtId="0" fontId="3" fillId="0" borderId="0" xfId="5" applyFont="1"/>
    <xf numFmtId="0" fontId="2" fillId="0" borderId="0" xfId="5"/>
    <xf numFmtId="0" fontId="2" fillId="0" borderId="0" xfId="5" applyFont="1"/>
    <xf numFmtId="0" fontId="2" fillId="0" borderId="0" xfId="5" applyFont="1" applyAlignment="1">
      <alignment horizontal="center" vertical="top" wrapText="1"/>
    </xf>
    <xf numFmtId="0" fontId="2" fillId="0" borderId="0" xfId="5" applyAlignment="1">
      <alignment horizontal="center" vertical="top" wrapText="1"/>
    </xf>
    <xf numFmtId="170" fontId="2" fillId="0" borderId="0" xfId="5" applyNumberFormat="1" applyAlignment="1">
      <alignment horizontal="center"/>
    </xf>
    <xf numFmtId="0" fontId="2" fillId="0" borderId="0" xfId="5" applyAlignment="1">
      <alignment horizontal="center"/>
    </xf>
    <xf numFmtId="168" fontId="3" fillId="14" borderId="0" xfId="5" applyNumberFormat="1" applyFont="1" applyFill="1" applyAlignment="1">
      <alignment horizontal="center"/>
    </xf>
    <xf numFmtId="167" fontId="2" fillId="0" borderId="0" xfId="5" applyNumberFormat="1" applyFont="1" applyFill="1" applyAlignment="1">
      <alignment horizontal="left"/>
    </xf>
    <xf numFmtId="169" fontId="3" fillId="14" borderId="0" xfId="5" applyNumberFormat="1" applyFont="1" applyFill="1" applyAlignment="1">
      <alignment horizontal="center"/>
    </xf>
    <xf numFmtId="0" fontId="2" fillId="0" borderId="0" xfId="5" applyFont="1" applyFill="1" applyBorder="1"/>
    <xf numFmtId="170" fontId="2" fillId="0" borderId="0" xfId="5" applyNumberFormat="1" applyFont="1" applyFill="1" applyAlignment="1">
      <alignment horizontal="center"/>
    </xf>
    <xf numFmtId="0" fontId="3" fillId="0" borderId="0" xfId="5" applyFont="1" applyFill="1" applyAlignment="1">
      <alignment horizontal="center"/>
    </xf>
    <xf numFmtId="0" fontId="3" fillId="0" borderId="0" xfId="6" applyFont="1"/>
    <xf numFmtId="0" fontId="2" fillId="0" borderId="0" xfId="6"/>
    <xf numFmtId="0" fontId="2" fillId="0" borderId="0" xfId="6" applyFont="1"/>
    <xf numFmtId="0" fontId="2" fillId="10" borderId="4" xfId="6" applyFill="1" applyBorder="1"/>
    <xf numFmtId="0" fontId="2" fillId="10" borderId="7" xfId="6" applyFont="1" applyFill="1" applyBorder="1"/>
    <xf numFmtId="0" fontId="2" fillId="10" borderId="3" xfId="6" applyFill="1" applyBorder="1" applyAlignment="1">
      <alignment horizontal="right"/>
    </xf>
    <xf numFmtId="2" fontId="2" fillId="0" borderId="0" xfId="6" applyNumberFormat="1"/>
    <xf numFmtId="2" fontId="3" fillId="0" borderId="0" xfId="6" applyNumberFormat="1" applyFont="1"/>
    <xf numFmtId="2" fontId="14" fillId="0" borderId="0" xfId="6" applyNumberFormat="1" applyFont="1" applyFill="1" applyAlignment="1"/>
    <xf numFmtId="0" fontId="2" fillId="0" borderId="0" xfId="6" applyFill="1"/>
    <xf numFmtId="1" fontId="2" fillId="14" borderId="0" xfId="6" applyNumberFormat="1" applyFill="1"/>
    <xf numFmtId="0" fontId="2" fillId="0" borderId="0" xfId="6" applyAlignment="1">
      <alignment vertical="top"/>
    </xf>
    <xf numFmtId="2" fontId="2" fillId="14" borderId="0" xfId="6" applyNumberFormat="1" applyFill="1"/>
    <xf numFmtId="168" fontId="2" fillId="14" borderId="0" xfId="6" applyNumberFormat="1" applyFill="1"/>
    <xf numFmtId="49" fontId="2" fillId="0" borderId="0" xfId="6" applyNumberFormat="1" applyAlignment="1">
      <alignment vertical="top"/>
    </xf>
    <xf numFmtId="167" fontId="2" fillId="14" borderId="0" xfId="6" applyNumberFormat="1" applyFill="1"/>
    <xf numFmtId="168" fontId="2" fillId="0" borderId="0" xfId="6" applyNumberFormat="1"/>
    <xf numFmtId="2" fontId="2" fillId="0" borderId="0" xfId="6" applyNumberFormat="1" applyFill="1"/>
    <xf numFmtId="168" fontId="2" fillId="0" borderId="0" xfId="6" applyNumberFormat="1" applyFill="1"/>
    <xf numFmtId="167" fontId="2" fillId="0" borderId="0" xfId="6" applyNumberFormat="1" applyFill="1"/>
    <xf numFmtId="1" fontId="3" fillId="14" borderId="0" xfId="6" applyNumberFormat="1" applyFont="1" applyFill="1"/>
    <xf numFmtId="2" fontId="3" fillId="14" borderId="0" xfId="6" applyNumberFormat="1" applyFont="1" applyFill="1"/>
    <xf numFmtId="168" fontId="3" fillId="14" borderId="0" xfId="6" applyNumberFormat="1" applyFont="1" applyFill="1"/>
    <xf numFmtId="167" fontId="3" fillId="14" borderId="0" xfId="6" applyNumberFormat="1" applyFont="1" applyFill="1"/>
    <xf numFmtId="0" fontId="0" fillId="6" borderId="0" xfId="0" applyFill="1" applyBorder="1" applyAlignment="1">
      <alignment horizontal="right"/>
    </xf>
    <xf numFmtId="0" fontId="2" fillId="6" borderId="0" xfId="0" applyFont="1" applyFill="1" applyBorder="1" applyAlignment="1">
      <alignment horizontal="right"/>
    </xf>
    <xf numFmtId="0" fontId="25" fillId="17" borderId="0" xfId="0" applyFont="1" applyFill="1" applyBorder="1" applyAlignment="1">
      <alignment wrapText="1"/>
    </xf>
    <xf numFmtId="0" fontId="25" fillId="17" borderId="0" xfId="0" applyFont="1" applyFill="1" applyBorder="1"/>
    <xf numFmtId="0" fontId="23" fillId="17" borderId="0" xfId="0" applyFont="1" applyFill="1"/>
    <xf numFmtId="0" fontId="23" fillId="17" borderId="0" xfId="0" applyFont="1" applyFill="1" applyBorder="1"/>
    <xf numFmtId="0" fontId="23" fillId="18" borderId="94" xfId="0" applyFont="1" applyFill="1" applyBorder="1" applyAlignment="1">
      <alignment vertical="top" wrapText="1"/>
    </xf>
    <xf numFmtId="0" fontId="23" fillId="18" borderId="95" xfId="0" applyFont="1" applyFill="1" applyBorder="1" applyAlignment="1">
      <alignment vertical="top" wrapText="1"/>
    </xf>
    <xf numFmtId="0" fontId="23" fillId="17" borderId="0" xfId="0" applyFont="1" applyFill="1" applyBorder="1" applyAlignment="1">
      <alignment vertical="top" wrapText="1"/>
    </xf>
    <xf numFmtId="0" fontId="25" fillId="17" borderId="0" xfId="0" applyFont="1" applyFill="1" applyAlignment="1">
      <alignment horizontal="left"/>
    </xf>
    <xf numFmtId="0" fontId="23" fillId="19" borderId="0" xfId="0" applyFont="1" applyFill="1"/>
    <xf numFmtId="0" fontId="23" fillId="17" borderId="0" xfId="0" applyFont="1" applyFill="1" applyBorder="1" applyAlignment="1">
      <alignment vertical="top"/>
    </xf>
    <xf numFmtId="0" fontId="23" fillId="18" borderId="96" xfId="0" applyFont="1" applyFill="1" applyBorder="1" applyAlignment="1">
      <alignment vertical="top" wrapText="1"/>
    </xf>
    <xf numFmtId="0" fontId="23" fillId="18" borderId="62" xfId="0" applyFont="1" applyFill="1" applyBorder="1" applyAlignment="1">
      <alignment horizontal="center" vertical="top"/>
    </xf>
    <xf numFmtId="0" fontId="25" fillId="19" borderId="0" xfId="0" applyFont="1" applyFill="1" applyAlignment="1">
      <alignment horizontal="left" vertical="top"/>
    </xf>
    <xf numFmtId="0" fontId="23" fillId="17" borderId="6" xfId="0" applyFont="1" applyFill="1" applyBorder="1" applyAlignment="1">
      <alignment vertical="top"/>
    </xf>
    <xf numFmtId="0" fontId="23" fillId="19" borderId="0" xfId="0" applyFont="1" applyFill="1" applyBorder="1"/>
    <xf numFmtId="0" fontId="23" fillId="18" borderId="80" xfId="0" applyFont="1" applyFill="1" applyBorder="1" applyAlignment="1">
      <alignment horizontal="center"/>
    </xf>
    <xf numFmtId="0" fontId="23" fillId="17" borderId="1" xfId="0" applyFont="1" applyFill="1" applyBorder="1" applyAlignment="1">
      <alignment vertical="top"/>
    </xf>
    <xf numFmtId="0" fontId="25" fillId="19" borderId="1" xfId="0" applyFont="1" applyFill="1" applyBorder="1"/>
    <xf numFmtId="0" fontId="23" fillId="17" borderId="1" xfId="0" applyFont="1" applyFill="1" applyBorder="1" applyAlignment="1">
      <alignment vertical="top" wrapText="1"/>
    </xf>
    <xf numFmtId="0" fontId="23" fillId="19" borderId="5" xfId="0" applyFont="1" applyFill="1" applyBorder="1"/>
    <xf numFmtId="0" fontId="23" fillId="18" borderId="80" xfId="0" applyFont="1" applyFill="1" applyBorder="1" applyAlignment="1">
      <alignment horizontal="center" vertical="top"/>
    </xf>
    <xf numFmtId="0" fontId="23" fillId="19" borderId="5" xfId="0" applyFont="1" applyFill="1" applyBorder="1" applyAlignment="1">
      <alignment horizontal="center"/>
    </xf>
    <xf numFmtId="0" fontId="23" fillId="18" borderId="62" xfId="0" applyFont="1" applyFill="1" applyBorder="1" applyAlignment="1">
      <alignment horizontal="center"/>
    </xf>
    <xf numFmtId="0" fontId="25" fillId="19" borderId="0" xfId="0" applyFont="1" applyFill="1"/>
    <xf numFmtId="0" fontId="23" fillId="17" borderId="0" xfId="0" applyFont="1" applyFill="1" applyBorder="1" applyAlignment="1">
      <alignment horizontal="center" vertical="top"/>
    </xf>
    <xf numFmtId="0" fontId="25" fillId="17" borderId="0" xfId="0" applyFont="1" applyFill="1" applyBorder="1" applyAlignment="1">
      <alignment horizontal="center"/>
    </xf>
    <xf numFmtId="0" fontId="23" fillId="17" borderId="0" xfId="0" applyFont="1" applyFill="1" applyBorder="1" applyAlignment="1">
      <alignment horizontal="center"/>
    </xf>
    <xf numFmtId="0" fontId="23" fillId="18" borderId="14" xfId="0" applyFont="1" applyFill="1" applyBorder="1" applyAlignment="1">
      <alignment vertical="top" wrapText="1"/>
    </xf>
    <xf numFmtId="0" fontId="24" fillId="20" borderId="0" xfId="0" applyFont="1" applyFill="1" applyAlignment="1">
      <alignment horizontal="left" vertical="top"/>
    </xf>
    <xf numFmtId="0" fontId="23" fillId="19" borderId="0" xfId="0" applyFont="1" applyFill="1" applyAlignment="1">
      <alignment vertical="top"/>
    </xf>
    <xf numFmtId="2" fontId="23" fillId="19" borderId="0" xfId="0" applyNumberFormat="1" applyFont="1" applyFill="1" applyAlignment="1" applyProtection="1">
      <alignment horizontal="left" vertical="top"/>
      <protection locked="0"/>
    </xf>
    <xf numFmtId="0" fontId="23" fillId="19" borderId="0" xfId="0" applyFont="1" applyFill="1" applyAlignment="1">
      <alignment wrapText="1"/>
    </xf>
    <xf numFmtId="2" fontId="23" fillId="17" borderId="0" xfId="0" applyNumberFormat="1" applyFont="1" applyFill="1" applyAlignment="1" applyProtection="1">
      <alignment horizontal="left" vertical="top"/>
      <protection locked="0"/>
    </xf>
    <xf numFmtId="0" fontId="25" fillId="19" borderId="56" xfId="0" applyFont="1" applyFill="1" applyBorder="1" applyAlignment="1">
      <alignment horizontal="left" vertical="top"/>
    </xf>
    <xf numFmtId="0" fontId="25" fillId="19" borderId="56" xfId="0" applyFont="1" applyFill="1" applyBorder="1" applyAlignment="1">
      <alignment vertical="top"/>
    </xf>
    <xf numFmtId="2" fontId="25" fillId="19" borderId="56" xfId="0" applyNumberFormat="1" applyFont="1" applyFill="1" applyBorder="1" applyAlignment="1" applyProtection="1">
      <alignment horizontal="left" vertical="top" wrapText="1"/>
      <protection locked="0"/>
    </xf>
    <xf numFmtId="2" fontId="25" fillId="17" borderId="56" xfId="0" applyNumberFormat="1" applyFont="1" applyFill="1" applyBorder="1" applyAlignment="1" applyProtection="1">
      <alignment horizontal="left" vertical="top" wrapText="1"/>
      <protection locked="0"/>
    </xf>
    <xf numFmtId="0" fontId="25" fillId="19" borderId="54" xfId="0" applyFont="1" applyFill="1" applyBorder="1" applyAlignment="1">
      <alignment horizontal="center" vertical="top" wrapText="1"/>
    </xf>
    <xf numFmtId="0" fontId="23" fillId="19" borderId="8" xfId="0" applyFont="1" applyFill="1" applyBorder="1" applyAlignment="1">
      <alignment vertical="top"/>
    </xf>
    <xf numFmtId="0" fontId="23" fillId="19" borderId="0" xfId="0" applyFont="1" applyFill="1" applyBorder="1" applyAlignment="1">
      <alignment horizontal="center" vertical="top"/>
    </xf>
    <xf numFmtId="0" fontId="23" fillId="19" borderId="0" xfId="0" applyFont="1" applyFill="1" applyBorder="1" applyAlignment="1">
      <alignment vertical="top"/>
    </xf>
    <xf numFmtId="0" fontId="25" fillId="19" borderId="19" xfId="0" applyFont="1" applyFill="1" applyBorder="1" applyAlignment="1">
      <alignment vertical="top"/>
    </xf>
    <xf numFmtId="0" fontId="25" fillId="19" borderId="20" xfId="0" applyFont="1" applyFill="1" applyBorder="1" applyAlignment="1">
      <alignment vertical="top"/>
    </xf>
    <xf numFmtId="2" fontId="25" fillId="19" borderId="20" xfId="0" applyNumberFormat="1" applyFont="1" applyFill="1" applyBorder="1" applyAlignment="1" applyProtection="1">
      <alignment horizontal="left" vertical="top" wrapText="1"/>
      <protection locked="0"/>
    </xf>
    <xf numFmtId="2" fontId="25" fillId="17" borderId="20" xfId="0" applyNumberFormat="1" applyFont="1" applyFill="1" applyBorder="1" applyAlignment="1" applyProtection="1">
      <alignment horizontal="left" vertical="top" wrapText="1"/>
      <protection locked="0"/>
    </xf>
    <xf numFmtId="0" fontId="25" fillId="19" borderId="51" xfId="0" applyFont="1" applyFill="1" applyBorder="1" applyAlignment="1">
      <alignment horizontal="left" vertical="top" wrapText="1"/>
    </xf>
    <xf numFmtId="0" fontId="25" fillId="17" borderId="0" xfId="0" applyFont="1" applyFill="1" applyAlignment="1">
      <alignment horizontal="left" vertical="top"/>
    </xf>
    <xf numFmtId="0" fontId="25" fillId="21" borderId="54" xfId="0" applyFont="1" applyFill="1" applyBorder="1" applyAlignment="1">
      <alignment vertical="top"/>
    </xf>
    <xf numFmtId="0" fontId="25" fillId="21" borderId="15" xfId="0" applyFont="1" applyFill="1" applyBorder="1" applyAlignment="1">
      <alignment vertical="top"/>
    </xf>
    <xf numFmtId="0" fontId="25" fillId="21" borderId="51" xfId="0" applyFont="1" applyFill="1" applyBorder="1" applyAlignment="1">
      <alignment vertical="top"/>
    </xf>
    <xf numFmtId="2" fontId="25" fillId="21" borderId="51" xfId="0" applyNumberFormat="1" applyFont="1" applyFill="1" applyBorder="1" applyAlignment="1" applyProtection="1">
      <alignment horizontal="left" vertical="top" wrapText="1"/>
      <protection locked="0"/>
    </xf>
    <xf numFmtId="0" fontId="25" fillId="21" borderId="51" xfId="0" applyFont="1" applyFill="1" applyBorder="1" applyAlignment="1">
      <alignment horizontal="left" vertical="top" wrapText="1"/>
    </xf>
    <xf numFmtId="0" fontId="23" fillId="21" borderId="62" xfId="0" applyFont="1" applyFill="1" applyBorder="1" applyAlignment="1">
      <alignment horizontal="center" vertical="top"/>
    </xf>
    <xf numFmtId="0" fontId="23" fillId="20" borderId="0" xfId="0" applyFont="1" applyFill="1" applyAlignment="1">
      <alignment vertical="top"/>
    </xf>
    <xf numFmtId="0" fontId="23" fillId="19" borderId="15" xfId="0" applyFont="1" applyFill="1" applyBorder="1"/>
    <xf numFmtId="0" fontId="23" fillId="21" borderId="80" xfId="0" applyFont="1" applyFill="1" applyBorder="1" applyAlignment="1">
      <alignment horizontal="center" vertical="top"/>
    </xf>
    <xf numFmtId="0" fontId="23" fillId="21" borderId="25" xfId="0" applyFont="1" applyFill="1" applyBorder="1" applyAlignment="1">
      <alignment vertical="top"/>
    </xf>
    <xf numFmtId="0" fontId="23" fillId="21" borderId="57" xfId="0" applyFont="1" applyFill="1" applyBorder="1" applyAlignment="1">
      <alignment vertical="top"/>
    </xf>
    <xf numFmtId="0" fontId="23" fillId="21" borderId="57" xfId="0" applyFont="1" applyFill="1" applyBorder="1" applyAlignment="1">
      <alignment vertical="top" wrapText="1"/>
    </xf>
    <xf numFmtId="0" fontId="26" fillId="17" borderId="57" xfId="0" applyFont="1" applyFill="1" applyBorder="1" applyAlignment="1">
      <alignment vertical="top"/>
    </xf>
    <xf numFmtId="2" fontId="23" fillId="22" borderId="57" xfId="0" applyNumberFormat="1" applyFont="1" applyFill="1" applyBorder="1" applyAlignment="1" applyProtection="1">
      <alignment horizontal="left" vertical="top" wrapText="1"/>
      <protection locked="0"/>
    </xf>
    <xf numFmtId="2" fontId="23" fillId="17" borderId="57" xfId="0" applyNumberFormat="1" applyFont="1" applyFill="1" applyBorder="1" applyAlignment="1" applyProtection="1">
      <alignment horizontal="left" vertical="top" wrapText="1"/>
      <protection locked="0"/>
    </xf>
    <xf numFmtId="0" fontId="23" fillId="21" borderId="22" xfId="0" applyFont="1" applyFill="1" applyBorder="1" applyAlignment="1">
      <alignment horizontal="left" vertical="top" wrapText="1"/>
    </xf>
    <xf numFmtId="0" fontId="25" fillId="20" borderId="0" xfId="0" applyFont="1" applyFill="1" applyAlignment="1">
      <alignment horizontal="left"/>
    </xf>
    <xf numFmtId="0" fontId="23" fillId="21" borderId="3" xfId="0" applyFont="1" applyFill="1" applyBorder="1" applyAlignment="1">
      <alignment vertical="top"/>
    </xf>
    <xf numFmtId="0" fontId="23" fillId="21" borderId="12" xfId="0" applyFont="1" applyFill="1" applyBorder="1" applyAlignment="1">
      <alignment vertical="top"/>
    </xf>
    <xf numFmtId="0" fontId="26" fillId="20" borderId="12" xfId="0" applyFont="1" applyFill="1" applyBorder="1" applyAlignment="1">
      <alignment horizontal="left" vertical="top"/>
    </xf>
    <xf numFmtId="0" fontId="23" fillId="21" borderId="7" xfId="0" applyFont="1" applyFill="1" applyBorder="1" applyAlignment="1">
      <alignment horizontal="left" vertical="top" wrapText="1"/>
    </xf>
    <xf numFmtId="1" fontId="23" fillId="22" borderId="12" xfId="0" applyNumberFormat="1" applyFont="1" applyFill="1" applyBorder="1" applyAlignment="1" applyProtection="1">
      <alignment horizontal="left" vertical="top"/>
      <protection locked="0"/>
    </xf>
    <xf numFmtId="1" fontId="23" fillId="17" borderId="12" xfId="0" applyNumberFormat="1" applyFont="1" applyFill="1" applyBorder="1" applyAlignment="1" applyProtection="1">
      <alignment horizontal="left" vertical="top"/>
      <protection locked="0"/>
    </xf>
    <xf numFmtId="0" fontId="23" fillId="21" borderId="2" xfId="0" applyFont="1" applyFill="1" applyBorder="1" applyAlignment="1">
      <alignment vertical="top"/>
    </xf>
    <xf numFmtId="0" fontId="23" fillId="21" borderId="42" xfId="0" applyFont="1" applyFill="1" applyBorder="1" applyAlignment="1">
      <alignment vertical="top"/>
    </xf>
    <xf numFmtId="0" fontId="26" fillId="20" borderId="42" xfId="0" applyFont="1" applyFill="1" applyBorder="1" applyAlignment="1">
      <alignment horizontal="left" vertical="top"/>
    </xf>
    <xf numFmtId="1" fontId="23" fillId="22" borderId="42" xfId="0" applyNumberFormat="1" applyFont="1" applyFill="1" applyBorder="1" applyAlignment="1" applyProtection="1">
      <alignment horizontal="left" vertical="top"/>
      <protection locked="0"/>
    </xf>
    <xf numFmtId="1" fontId="23" fillId="17" borderId="42" xfId="0" applyNumberFormat="1" applyFont="1" applyFill="1" applyBorder="1" applyAlignment="1" applyProtection="1">
      <alignment horizontal="left" vertical="top"/>
      <protection locked="0"/>
    </xf>
    <xf numFmtId="0" fontId="23" fillId="21" borderId="8" xfId="0" applyFont="1" applyFill="1" applyBorder="1" applyAlignment="1">
      <alignment horizontal="left" vertical="top" wrapText="1"/>
    </xf>
    <xf numFmtId="0" fontId="23" fillId="21" borderId="72" xfId="0" applyFont="1" applyFill="1" applyBorder="1" applyAlignment="1">
      <alignment horizontal="center" vertical="top"/>
    </xf>
    <xf numFmtId="0" fontId="23" fillId="21" borderId="4" xfId="0" applyFont="1" applyFill="1" applyBorder="1" applyAlignment="1">
      <alignment vertical="top"/>
    </xf>
    <xf numFmtId="0" fontId="23" fillId="21" borderId="41" xfId="0" applyFont="1" applyFill="1" applyBorder="1" applyAlignment="1">
      <alignment vertical="top"/>
    </xf>
    <xf numFmtId="0" fontId="23" fillId="21" borderId="41" xfId="0" applyFont="1" applyFill="1" applyBorder="1" applyAlignment="1">
      <alignment vertical="top" wrapText="1"/>
    </xf>
    <xf numFmtId="0" fontId="26" fillId="20" borderId="41" xfId="0" applyFont="1" applyFill="1" applyBorder="1" applyAlignment="1">
      <alignment vertical="top"/>
    </xf>
    <xf numFmtId="1" fontId="23" fillId="22" borderId="41" xfId="0" applyNumberFormat="1" applyFont="1" applyFill="1" applyBorder="1" applyAlignment="1" applyProtection="1">
      <alignment horizontal="left" vertical="top" wrapText="1"/>
      <protection locked="0"/>
    </xf>
    <xf numFmtId="1" fontId="23" fillId="17" borderId="41" xfId="0" applyNumberFormat="1" applyFont="1" applyFill="1" applyBorder="1" applyAlignment="1" applyProtection="1">
      <alignment horizontal="left" vertical="top" wrapText="1"/>
      <protection locked="0"/>
    </xf>
    <xf numFmtId="0" fontId="23" fillId="21" borderId="23" xfId="0" applyFont="1" applyFill="1" applyBorder="1" applyAlignment="1">
      <alignment horizontal="left" vertical="top" wrapText="1"/>
    </xf>
    <xf numFmtId="0" fontId="23" fillId="20" borderId="5" xfId="0" applyFont="1" applyFill="1" applyBorder="1" applyAlignment="1">
      <alignment vertical="top"/>
    </xf>
    <xf numFmtId="1" fontId="23" fillId="22" borderId="41" xfId="0" applyNumberFormat="1" applyFont="1" applyFill="1" applyBorder="1" applyAlignment="1" applyProtection="1">
      <alignment horizontal="left" vertical="top"/>
      <protection locked="0"/>
    </xf>
    <xf numFmtId="1" fontId="23" fillId="17" borderId="41" xfId="0" applyNumberFormat="1" applyFont="1" applyFill="1" applyBorder="1" applyAlignment="1" applyProtection="1">
      <alignment horizontal="left" vertical="top"/>
      <protection locked="0"/>
    </xf>
    <xf numFmtId="0" fontId="23" fillId="21" borderId="23" xfId="0" applyFont="1" applyFill="1" applyBorder="1" applyAlignment="1">
      <alignment vertical="top" wrapText="1"/>
    </xf>
    <xf numFmtId="0" fontId="23" fillId="19" borderId="8" xfId="0" applyFont="1" applyFill="1" applyBorder="1"/>
    <xf numFmtId="0" fontId="23" fillId="21" borderId="14" xfId="0" applyFont="1" applyFill="1" applyBorder="1" applyAlignment="1">
      <alignment vertical="top"/>
    </xf>
    <xf numFmtId="0" fontId="26" fillId="20" borderId="14" xfId="0" applyFont="1" applyFill="1" applyBorder="1" applyAlignment="1">
      <alignment vertical="top"/>
    </xf>
    <xf numFmtId="1" fontId="23" fillId="22" borderId="14" xfId="0" applyNumberFormat="1" applyFont="1" applyFill="1" applyBorder="1" applyAlignment="1" applyProtection="1">
      <alignment horizontal="left" vertical="top"/>
      <protection locked="0"/>
    </xf>
    <xf numFmtId="1" fontId="23" fillId="17" borderId="14" xfId="0" applyNumberFormat="1" applyFont="1" applyFill="1" applyBorder="1" applyAlignment="1" applyProtection="1">
      <alignment horizontal="left" vertical="top"/>
      <protection locked="0"/>
    </xf>
    <xf numFmtId="0" fontId="23" fillId="21" borderId="14" xfId="0" applyFont="1" applyFill="1" applyBorder="1" applyAlignment="1">
      <alignment vertical="top" wrapText="1"/>
    </xf>
    <xf numFmtId="0" fontId="23" fillId="20" borderId="79" xfId="0" applyFont="1" applyFill="1" applyBorder="1" applyAlignment="1">
      <alignment vertical="top"/>
    </xf>
    <xf numFmtId="0" fontId="23" fillId="23" borderId="14" xfId="0" applyFont="1" applyFill="1" applyBorder="1" applyAlignment="1">
      <alignment vertical="top" wrapText="1"/>
    </xf>
    <xf numFmtId="0" fontId="23" fillId="23" borderId="43" xfId="0" applyFont="1" applyFill="1" applyBorder="1"/>
    <xf numFmtId="0" fontId="23" fillId="23" borderId="14" xfId="0" applyFont="1" applyFill="1" applyBorder="1"/>
    <xf numFmtId="0" fontId="26" fillId="20" borderId="14" xfId="0" applyFont="1" applyFill="1" applyBorder="1"/>
    <xf numFmtId="2" fontId="23" fillId="22" borderId="41" xfId="0" applyNumberFormat="1" applyFont="1" applyFill="1" applyBorder="1" applyAlignment="1">
      <alignment horizontal="left" vertical="top" wrapText="1"/>
    </xf>
    <xf numFmtId="2" fontId="23" fillId="17" borderId="41" xfId="0" applyNumberFormat="1" applyFont="1" applyFill="1" applyBorder="1" applyAlignment="1">
      <alignment horizontal="left" vertical="top" wrapText="1"/>
    </xf>
    <xf numFmtId="0" fontId="23" fillId="23" borderId="43" xfId="0" applyFont="1" applyFill="1" applyBorder="1" applyAlignment="1">
      <alignment vertical="top"/>
    </xf>
    <xf numFmtId="0" fontId="23" fillId="23" borderId="14" xfId="0" applyFont="1" applyFill="1" applyBorder="1" applyAlignment="1">
      <alignment vertical="top"/>
    </xf>
    <xf numFmtId="0" fontId="26" fillId="20" borderId="14" xfId="0" applyFont="1" applyFill="1" applyBorder="1" applyAlignment="1">
      <alignment vertical="top" wrapText="1"/>
    </xf>
    <xf numFmtId="2" fontId="23" fillId="22" borderId="14" xfId="0" applyNumberFormat="1" applyFont="1" applyFill="1" applyBorder="1" applyAlignment="1">
      <alignment horizontal="left" vertical="top" wrapText="1"/>
    </xf>
    <xf numFmtId="2" fontId="23" fillId="17" borderId="14" xfId="0" applyNumberFormat="1" applyFont="1" applyFill="1" applyBorder="1" applyAlignment="1">
      <alignment horizontal="left" vertical="top" wrapText="1"/>
    </xf>
    <xf numFmtId="0" fontId="26" fillId="20" borderId="4" xfId="0" applyFont="1" applyFill="1" applyBorder="1" applyAlignment="1">
      <alignment vertical="top" wrapText="1"/>
    </xf>
    <xf numFmtId="0" fontId="23" fillId="24" borderId="41" xfId="0" applyFont="1" applyFill="1" applyBorder="1" applyAlignment="1" applyProtection="1">
      <alignment horizontal="center" vertical="top" wrapText="1"/>
      <protection locked="0"/>
    </xf>
    <xf numFmtId="0" fontId="23" fillId="17" borderId="41" xfId="0" applyFont="1" applyFill="1" applyBorder="1" applyAlignment="1" applyProtection="1">
      <alignment horizontal="center" vertical="top" wrapText="1"/>
      <protection locked="0"/>
    </xf>
    <xf numFmtId="0" fontId="26" fillId="19" borderId="6" xfId="0" applyFont="1" applyFill="1" applyBorder="1" applyAlignment="1">
      <alignment vertical="top"/>
    </xf>
    <xf numFmtId="0" fontId="23" fillId="22" borderId="41" xfId="0" applyFont="1" applyFill="1" applyBorder="1" applyAlignment="1" applyProtection="1">
      <alignment horizontal="center" vertical="top"/>
      <protection locked="0"/>
    </xf>
    <xf numFmtId="0" fontId="23" fillId="17" borderId="41" xfId="0" applyFont="1" applyFill="1" applyBorder="1" applyAlignment="1" applyProtection="1">
      <alignment horizontal="center" vertical="top"/>
      <protection locked="0"/>
    </xf>
    <xf numFmtId="2" fontId="23" fillId="22" borderId="14" xfId="0" applyNumberFormat="1" applyFont="1" applyFill="1" applyBorder="1" applyAlignment="1" applyProtection="1">
      <alignment horizontal="left" vertical="top" wrapText="1"/>
      <protection locked="0"/>
    </xf>
    <xf numFmtId="2" fontId="23" fillId="17" borderId="14" xfId="0" applyNumberFormat="1" applyFont="1" applyFill="1" applyBorder="1" applyAlignment="1" applyProtection="1">
      <alignment horizontal="left" vertical="top" wrapText="1"/>
      <protection locked="0"/>
    </xf>
    <xf numFmtId="0" fontId="25" fillId="20" borderId="0" xfId="0" applyFont="1" applyFill="1" applyAlignment="1">
      <alignment vertical="top"/>
    </xf>
    <xf numFmtId="0" fontId="23" fillId="26" borderId="62" xfId="0" applyFont="1" applyFill="1" applyBorder="1" applyAlignment="1">
      <alignment horizontal="left"/>
    </xf>
    <xf numFmtId="0" fontId="25" fillId="20" borderId="0" xfId="0" applyFont="1" applyFill="1" applyBorder="1" applyAlignment="1">
      <alignment vertical="top"/>
    </xf>
    <xf numFmtId="0" fontId="23" fillId="26" borderId="62" xfId="0" applyFont="1" applyFill="1" applyBorder="1" applyAlignment="1">
      <alignment vertical="top"/>
    </xf>
    <xf numFmtId="0" fontId="23" fillId="26" borderId="80" xfId="0" applyFont="1" applyFill="1" applyBorder="1" applyAlignment="1">
      <alignment horizontal="left" vertical="top"/>
    </xf>
    <xf numFmtId="0" fontId="23" fillId="26" borderId="72" xfId="0" applyFont="1" applyFill="1" applyBorder="1" applyAlignment="1">
      <alignment vertical="top"/>
    </xf>
    <xf numFmtId="0" fontId="23" fillId="26" borderId="80" xfId="0" applyFont="1" applyFill="1" applyBorder="1" applyAlignment="1">
      <alignment vertical="top"/>
    </xf>
    <xf numFmtId="0" fontId="25" fillId="27" borderId="54" xfId="0" applyFont="1" applyFill="1" applyBorder="1" applyAlignment="1">
      <alignment wrapText="1"/>
    </xf>
    <xf numFmtId="0" fontId="23" fillId="27" borderId="51" xfId="0" applyFont="1" applyFill="1" applyBorder="1" applyAlignment="1">
      <alignment wrapText="1"/>
    </xf>
    <xf numFmtId="0" fontId="23" fillId="27" borderId="52" xfId="0" applyFont="1" applyFill="1" applyBorder="1" applyAlignment="1">
      <alignment wrapText="1"/>
    </xf>
    <xf numFmtId="0" fontId="23" fillId="19" borderId="15" xfId="0" applyFont="1" applyFill="1" applyBorder="1" applyAlignment="1">
      <alignment vertical="top"/>
    </xf>
    <xf numFmtId="2" fontId="23" fillId="19" borderId="15" xfId="0" applyNumberFormat="1" applyFont="1" applyFill="1" applyBorder="1" applyAlignment="1" applyProtection="1">
      <alignment horizontal="left" vertical="top"/>
      <protection locked="0"/>
    </xf>
    <xf numFmtId="0" fontId="25" fillId="27" borderId="55" xfId="0" applyFont="1" applyFill="1" applyBorder="1" applyAlignment="1">
      <alignment wrapText="1"/>
    </xf>
    <xf numFmtId="0" fontId="23" fillId="27" borderId="57" xfId="0" applyFont="1" applyFill="1" applyBorder="1" applyAlignment="1">
      <alignment wrapText="1"/>
    </xf>
    <xf numFmtId="0" fontId="26" fillId="20" borderId="57" xfId="0" applyFont="1" applyFill="1" applyBorder="1" applyAlignment="1">
      <alignment vertical="top"/>
    </xf>
    <xf numFmtId="2" fontId="23" fillId="22" borderId="57" xfId="0" applyNumberFormat="1" applyFont="1" applyFill="1" applyBorder="1" applyAlignment="1" applyProtection="1">
      <alignment horizontal="left" vertical="top"/>
      <protection locked="0"/>
    </xf>
    <xf numFmtId="2" fontId="23" fillId="17" borderId="57" xfId="0" applyNumberFormat="1" applyFont="1" applyFill="1" applyBorder="1" applyAlignment="1" applyProtection="1">
      <alignment horizontal="left" vertical="top"/>
      <protection locked="0"/>
    </xf>
    <xf numFmtId="0" fontId="23" fillId="27" borderId="13" xfId="0" applyFont="1" applyFill="1" applyBorder="1" applyAlignment="1">
      <alignment wrapText="1"/>
    </xf>
    <xf numFmtId="0" fontId="23" fillId="27" borderId="14" xfId="0" applyFont="1" applyFill="1" applyBorder="1" applyAlignment="1">
      <alignment wrapText="1"/>
    </xf>
    <xf numFmtId="2" fontId="23" fillId="22" borderId="14" xfId="0" applyNumberFormat="1" applyFont="1" applyFill="1" applyBorder="1" applyAlignment="1" applyProtection="1">
      <alignment horizontal="left" vertical="center"/>
      <protection locked="0"/>
    </xf>
    <xf numFmtId="2" fontId="23" fillId="17" borderId="14" xfId="0" applyNumberFormat="1" applyFont="1" applyFill="1" applyBorder="1" applyAlignment="1" applyProtection="1">
      <alignment horizontal="left" vertical="center"/>
      <protection locked="0"/>
    </xf>
    <xf numFmtId="0" fontId="23" fillId="27" borderId="44" xfId="0" applyFont="1" applyFill="1" applyBorder="1" applyAlignment="1">
      <alignment vertical="top" wrapText="1"/>
    </xf>
    <xf numFmtId="2" fontId="23" fillId="22" borderId="14" xfId="0" applyNumberFormat="1" applyFont="1" applyFill="1" applyBorder="1" applyAlignment="1" applyProtection="1">
      <alignment horizontal="left" vertical="top"/>
      <protection locked="0"/>
    </xf>
    <xf numFmtId="2" fontId="23" fillId="17" borderId="14" xfId="0" applyNumberFormat="1" applyFont="1" applyFill="1" applyBorder="1" applyAlignment="1" applyProtection="1">
      <alignment horizontal="left" vertical="top"/>
      <protection locked="0"/>
    </xf>
    <xf numFmtId="0" fontId="23" fillId="20" borderId="0" xfId="0" applyFont="1" applyFill="1" applyBorder="1" applyAlignment="1">
      <alignment vertical="top"/>
    </xf>
    <xf numFmtId="0" fontId="25" fillId="27" borderId="13" xfId="0" applyFont="1" applyFill="1" applyBorder="1" applyAlignment="1">
      <alignment wrapText="1"/>
    </xf>
    <xf numFmtId="2" fontId="23" fillId="22" borderId="41" xfId="0" applyNumberFormat="1" applyFont="1" applyFill="1" applyBorder="1" applyAlignment="1" applyProtection="1">
      <alignment horizontal="left" vertical="top"/>
      <protection locked="0"/>
    </xf>
    <xf numFmtId="2" fontId="23" fillId="17" borderId="41" xfId="0" applyNumberFormat="1" applyFont="1" applyFill="1" applyBorder="1" applyAlignment="1" applyProtection="1">
      <alignment horizontal="left" vertical="top"/>
      <protection locked="0"/>
    </xf>
    <xf numFmtId="0" fontId="23" fillId="17" borderId="0" xfId="0" applyFont="1" applyFill="1" applyBorder="1" applyAlignment="1">
      <alignment horizontal="left" vertical="top"/>
    </xf>
    <xf numFmtId="0" fontId="23" fillId="27" borderId="87" xfId="0" applyFont="1" applyFill="1" applyBorder="1" applyAlignment="1">
      <alignment wrapText="1"/>
    </xf>
    <xf numFmtId="0" fontId="23" fillId="27" borderId="46" xfId="0" applyFont="1" applyFill="1" applyBorder="1" applyAlignment="1">
      <alignment wrapText="1"/>
    </xf>
    <xf numFmtId="0" fontId="26" fillId="20" borderId="46" xfId="0" applyFont="1" applyFill="1" applyBorder="1" applyAlignment="1">
      <alignment vertical="top"/>
    </xf>
    <xf numFmtId="2" fontId="23" fillId="22" borderId="46" xfId="0" applyNumberFormat="1" applyFont="1" applyFill="1" applyBorder="1" applyAlignment="1" applyProtection="1">
      <alignment horizontal="left" vertical="top"/>
      <protection locked="0"/>
    </xf>
    <xf numFmtId="2" fontId="23" fillId="17" borderId="46" xfId="0" applyNumberFormat="1" applyFont="1" applyFill="1" applyBorder="1" applyAlignment="1" applyProtection="1">
      <alignment horizontal="left" vertical="top"/>
      <protection locked="0"/>
    </xf>
    <xf numFmtId="0" fontId="23" fillId="19" borderId="20" xfId="0" applyFont="1" applyFill="1" applyBorder="1"/>
    <xf numFmtId="0" fontId="26" fillId="20" borderId="0" xfId="0" applyFont="1" applyFill="1" applyBorder="1" applyAlignment="1">
      <alignment vertical="top"/>
    </xf>
    <xf numFmtId="2" fontId="23" fillId="20" borderId="0" xfId="0" applyNumberFormat="1" applyFont="1" applyFill="1" applyBorder="1" applyAlignment="1" applyProtection="1">
      <alignment horizontal="left" vertical="top" wrapText="1"/>
      <protection locked="0"/>
    </xf>
    <xf numFmtId="1" fontId="23" fillId="20" borderId="0" xfId="0" applyNumberFormat="1" applyFont="1" applyFill="1" applyBorder="1" applyAlignment="1">
      <alignment horizontal="right" vertical="top" wrapText="1"/>
    </xf>
    <xf numFmtId="0" fontId="25" fillId="28" borderId="54" xfId="0" applyFont="1" applyFill="1" applyBorder="1" applyAlignment="1">
      <alignment vertical="top"/>
    </xf>
    <xf numFmtId="0" fontId="23" fillId="28" borderId="51" xfId="0" applyFont="1" applyFill="1" applyBorder="1" applyAlignment="1">
      <alignment horizontal="left" vertical="top"/>
    </xf>
    <xf numFmtId="0" fontId="23" fillId="28" borderId="51" xfId="0" applyFont="1" applyFill="1" applyBorder="1" applyAlignment="1">
      <alignment vertical="top"/>
    </xf>
    <xf numFmtId="0" fontId="26" fillId="28" borderId="51" xfId="0" applyFont="1" applyFill="1" applyBorder="1" applyAlignment="1">
      <alignment vertical="top"/>
    </xf>
    <xf numFmtId="2" fontId="23" fillId="28" borderId="51" xfId="0" applyNumberFormat="1" applyFont="1" applyFill="1" applyBorder="1" applyAlignment="1" applyProtection="1">
      <alignment horizontal="left" vertical="top"/>
      <protection locked="0"/>
    </xf>
    <xf numFmtId="0" fontId="24" fillId="28" borderId="51" xfId="0" applyFont="1" applyFill="1" applyBorder="1" applyAlignment="1">
      <alignment vertical="top" wrapText="1"/>
    </xf>
    <xf numFmtId="0" fontId="23" fillId="20" borderId="54" xfId="0" applyFont="1" applyFill="1" applyBorder="1" applyAlignment="1">
      <alignment vertical="top"/>
    </xf>
    <xf numFmtId="0" fontId="23" fillId="20" borderId="15" xfId="0" applyFont="1" applyFill="1" applyBorder="1" applyAlignment="1">
      <alignment vertical="top"/>
    </xf>
    <xf numFmtId="0" fontId="23" fillId="20" borderId="0" xfId="0" applyFont="1" applyFill="1" applyAlignment="1">
      <alignment vertical="top" wrapText="1"/>
    </xf>
    <xf numFmtId="0" fontId="23" fillId="28" borderId="57" xfId="0" applyFont="1" applyFill="1" applyBorder="1" applyAlignment="1">
      <alignment vertical="top"/>
    </xf>
    <xf numFmtId="0" fontId="23" fillId="28" borderId="22" xfId="0" applyFont="1" applyFill="1" applyBorder="1" applyAlignment="1">
      <alignment vertical="top"/>
    </xf>
    <xf numFmtId="0" fontId="23" fillId="28" borderId="50" xfId="0" applyFont="1" applyFill="1" applyBorder="1" applyAlignment="1">
      <alignment vertical="top" wrapText="1"/>
    </xf>
    <xf numFmtId="0" fontId="23" fillId="28" borderId="48" xfId="0" applyFont="1" applyFill="1" applyBorder="1" applyAlignment="1">
      <alignment vertical="top"/>
    </xf>
    <xf numFmtId="0" fontId="23" fillId="28" borderId="14" xfId="0" applyFont="1" applyFill="1" applyBorder="1" applyAlignment="1">
      <alignment vertical="top" wrapText="1"/>
    </xf>
    <xf numFmtId="0" fontId="23" fillId="28" borderId="41" xfId="0" applyFont="1" applyFill="1" applyBorder="1" applyAlignment="1">
      <alignment vertical="top"/>
    </xf>
    <xf numFmtId="0" fontId="23" fillId="28" borderId="23" xfId="0" applyFont="1" applyFill="1" applyBorder="1" applyAlignment="1">
      <alignment vertical="top" wrapText="1"/>
    </xf>
    <xf numFmtId="0" fontId="23" fillId="28" borderId="47" xfId="0" applyFont="1" applyFill="1" applyBorder="1" applyAlignment="1">
      <alignment vertical="top"/>
    </xf>
    <xf numFmtId="0" fontId="23" fillId="28" borderId="14" xfId="0" applyFont="1" applyFill="1" applyBorder="1" applyAlignment="1">
      <alignment vertical="top"/>
    </xf>
    <xf numFmtId="0" fontId="23" fillId="28" borderId="44" xfId="0" applyFont="1" applyFill="1" applyBorder="1" applyAlignment="1">
      <alignment vertical="top"/>
    </xf>
    <xf numFmtId="0" fontId="26" fillId="17" borderId="14" xfId="0" applyFont="1" applyFill="1" applyBorder="1" applyAlignment="1">
      <alignment vertical="top"/>
    </xf>
    <xf numFmtId="0" fontId="23" fillId="29" borderId="47" xfId="0" applyFont="1" applyFill="1" applyBorder="1" applyAlignment="1">
      <alignment vertical="top"/>
    </xf>
    <xf numFmtId="0" fontId="23" fillId="28" borderId="23" xfId="0" applyFont="1" applyFill="1" applyBorder="1" applyAlignment="1">
      <alignment vertical="top"/>
    </xf>
    <xf numFmtId="0" fontId="26" fillId="17" borderId="41" xfId="0" applyFont="1" applyFill="1" applyBorder="1" applyAlignment="1">
      <alignment vertical="top"/>
    </xf>
    <xf numFmtId="0" fontId="23" fillId="29" borderId="87" xfId="0" applyFont="1" applyFill="1" applyBorder="1" applyAlignment="1">
      <alignment vertical="top"/>
    </xf>
    <xf numFmtId="0" fontId="23" fillId="29" borderId="46" xfId="0" applyFont="1" applyFill="1" applyBorder="1" applyAlignment="1">
      <alignment vertical="top"/>
    </xf>
    <xf numFmtId="0" fontId="23" fillId="29" borderId="46" xfId="0" applyFont="1" applyFill="1" applyBorder="1"/>
    <xf numFmtId="0" fontId="23" fillId="19" borderId="20" xfId="0" applyFont="1" applyFill="1" applyBorder="1" applyAlignment="1">
      <alignment wrapText="1"/>
    </xf>
    <xf numFmtId="0" fontId="25" fillId="30" borderId="54" xfId="0" applyFont="1" applyFill="1" applyBorder="1"/>
    <xf numFmtId="0" fontId="23" fillId="30" borderId="53" xfId="0" applyFont="1" applyFill="1" applyBorder="1"/>
    <xf numFmtId="0" fontId="23" fillId="30" borderId="51" xfId="0" applyFont="1" applyFill="1" applyBorder="1"/>
    <xf numFmtId="0" fontId="23" fillId="30" borderId="51" xfId="0" applyFont="1" applyFill="1" applyBorder="1" applyAlignment="1">
      <alignment vertical="top"/>
    </xf>
    <xf numFmtId="2" fontId="23" fillId="30" borderId="51" xfId="0" applyNumberFormat="1" applyFont="1" applyFill="1" applyBorder="1" applyAlignment="1" applyProtection="1">
      <alignment horizontal="left" vertical="top"/>
      <protection locked="0"/>
    </xf>
    <xf numFmtId="0" fontId="23" fillId="30" borderId="51" xfId="0" applyFont="1" applyFill="1" applyBorder="1" applyAlignment="1">
      <alignment wrapText="1"/>
    </xf>
    <xf numFmtId="0" fontId="23" fillId="19" borderId="10" xfId="0" applyFont="1" applyFill="1" applyBorder="1"/>
    <xf numFmtId="0" fontId="23" fillId="30" borderId="48" xfId="0" applyFont="1" applyFill="1" applyBorder="1" applyAlignment="1">
      <alignment vertical="top"/>
    </xf>
    <xf numFmtId="0" fontId="23" fillId="30" borderId="4" xfId="0" applyFont="1" applyFill="1" applyBorder="1" applyAlignment="1">
      <alignment vertical="top"/>
    </xf>
    <xf numFmtId="0" fontId="23" fillId="30" borderId="41" xfId="0" applyFont="1" applyFill="1" applyBorder="1" applyAlignment="1">
      <alignment vertical="top"/>
    </xf>
    <xf numFmtId="0" fontId="23" fillId="30" borderId="23" xfId="0" applyFont="1" applyFill="1" applyBorder="1" applyAlignment="1">
      <alignment wrapText="1"/>
    </xf>
    <xf numFmtId="0" fontId="23" fillId="30" borderId="23" xfId="0" applyFont="1" applyFill="1" applyBorder="1" applyAlignment="1">
      <alignment vertical="top" wrapText="1"/>
    </xf>
    <xf numFmtId="0" fontId="23" fillId="30" borderId="14" xfId="0" applyFont="1" applyFill="1" applyBorder="1" applyAlignment="1">
      <alignment wrapText="1"/>
    </xf>
    <xf numFmtId="0" fontId="23" fillId="30" borderId="87" xfId="0" applyFont="1" applyFill="1" applyBorder="1" applyAlignment="1">
      <alignment vertical="top"/>
    </xf>
    <xf numFmtId="0" fontId="23" fillId="30" borderId="46" xfId="0" applyFont="1" applyFill="1" applyBorder="1" applyAlignment="1">
      <alignment vertical="top"/>
    </xf>
    <xf numFmtId="0" fontId="25" fillId="31" borderId="54" xfId="0" applyFont="1" applyFill="1" applyBorder="1"/>
    <xf numFmtId="0" fontId="23" fillId="31" borderId="53" xfId="0" applyFont="1" applyFill="1" applyBorder="1"/>
    <xf numFmtId="0" fontId="23" fillId="31" borderId="51" xfId="0" applyFont="1" applyFill="1" applyBorder="1"/>
    <xf numFmtId="0" fontId="23" fillId="31" borderId="51" xfId="0" applyFont="1" applyFill="1" applyBorder="1" applyAlignment="1">
      <alignment vertical="top"/>
    </xf>
    <xf numFmtId="2" fontId="23" fillId="31" borderId="51" xfId="0" applyNumberFormat="1" applyFont="1" applyFill="1" applyBorder="1" applyAlignment="1" applyProtection="1">
      <alignment horizontal="left" vertical="top"/>
      <protection locked="0"/>
    </xf>
    <xf numFmtId="0" fontId="23" fillId="31" borderId="51" xfId="0" applyFont="1" applyFill="1" applyBorder="1" applyAlignment="1">
      <alignment wrapText="1"/>
    </xf>
    <xf numFmtId="0" fontId="23" fillId="31" borderId="88" xfId="0" applyFont="1" applyFill="1" applyBorder="1" applyAlignment="1">
      <alignment vertical="top"/>
    </xf>
    <xf numFmtId="0" fontId="23" fillId="31" borderId="57" xfId="0" applyFont="1" applyFill="1" applyBorder="1" applyAlignment="1">
      <alignment vertical="top"/>
    </xf>
    <xf numFmtId="0" fontId="23" fillId="31" borderId="22" xfId="0" applyFont="1" applyFill="1" applyBorder="1" applyAlignment="1">
      <alignment vertical="top"/>
    </xf>
    <xf numFmtId="0" fontId="23" fillId="31" borderId="22" xfId="0" applyFont="1" applyFill="1" applyBorder="1" applyAlignment="1">
      <alignment vertical="top" wrapText="1"/>
    </xf>
    <xf numFmtId="0" fontId="23" fillId="31" borderId="60" xfId="0" applyFont="1" applyFill="1" applyBorder="1" applyAlignment="1">
      <alignment vertical="top"/>
    </xf>
    <xf numFmtId="0" fontId="23" fillId="31" borderId="14" xfId="0" applyFont="1" applyFill="1" applyBorder="1" applyAlignment="1">
      <alignment vertical="top"/>
    </xf>
    <xf numFmtId="0" fontId="23" fillId="31" borderId="44" xfId="0" applyFont="1" applyFill="1" applyBorder="1" applyAlignment="1">
      <alignment vertical="top"/>
    </xf>
    <xf numFmtId="0" fontId="23" fillId="31" borderId="44" xfId="0" applyFont="1" applyFill="1" applyBorder="1" applyAlignment="1">
      <alignment vertical="top" wrapText="1"/>
    </xf>
    <xf numFmtId="0" fontId="23" fillId="31" borderId="13" xfId="0" applyFont="1" applyFill="1" applyBorder="1" applyAlignment="1">
      <alignment vertical="top"/>
    </xf>
    <xf numFmtId="0" fontId="23" fillId="31" borderId="58" xfId="0" applyFont="1" applyFill="1" applyBorder="1" applyAlignment="1">
      <alignment vertical="top"/>
    </xf>
    <xf numFmtId="0" fontId="23" fillId="31" borderId="46" xfId="0" applyFont="1" applyFill="1" applyBorder="1" applyAlignment="1">
      <alignment vertical="top"/>
    </xf>
    <xf numFmtId="0" fontId="23" fillId="31" borderId="26" xfId="0" applyFont="1" applyFill="1" applyBorder="1" applyAlignment="1">
      <alignment vertical="top"/>
    </xf>
    <xf numFmtId="0" fontId="23" fillId="31" borderId="26" xfId="0" applyFont="1" applyFill="1" applyBorder="1" applyAlignment="1">
      <alignment vertical="top" wrapText="1"/>
    </xf>
    <xf numFmtId="0" fontId="25" fillId="32" borderId="54" xfId="0" applyFont="1" applyFill="1" applyBorder="1"/>
    <xf numFmtId="0" fontId="23" fillId="32" borderId="53" xfId="0" applyFont="1" applyFill="1" applyBorder="1"/>
    <xf numFmtId="0" fontId="23" fillId="32" borderId="51" xfId="0" applyFont="1" applyFill="1" applyBorder="1"/>
    <xf numFmtId="0" fontId="23" fillId="32" borderId="51" xfId="0" applyFont="1" applyFill="1" applyBorder="1" applyAlignment="1">
      <alignment vertical="top"/>
    </xf>
    <xf numFmtId="2" fontId="23" fillId="32" borderId="51" xfId="0" applyNumberFormat="1" applyFont="1" applyFill="1" applyBorder="1" applyAlignment="1" applyProtection="1">
      <alignment horizontal="left" vertical="top"/>
      <protection locked="0"/>
    </xf>
    <xf numFmtId="0" fontId="23" fillId="32" borderId="51" xfId="0" applyFont="1" applyFill="1" applyBorder="1" applyAlignment="1">
      <alignment wrapText="1"/>
    </xf>
    <xf numFmtId="0" fontId="23" fillId="32" borderId="60" xfId="0" applyFont="1" applyFill="1" applyBorder="1" applyAlignment="1">
      <alignment vertical="top"/>
    </xf>
    <xf numFmtId="0" fontId="23" fillId="32" borderId="14" xfId="0" applyFont="1" applyFill="1" applyBorder="1" applyAlignment="1">
      <alignment vertical="top"/>
    </xf>
    <xf numFmtId="2" fontId="23" fillId="24" borderId="12" xfId="0" applyNumberFormat="1" applyFont="1" applyFill="1" applyBorder="1" applyAlignment="1" applyProtection="1">
      <alignment horizontal="left" vertical="top"/>
      <protection locked="0"/>
    </xf>
    <xf numFmtId="2" fontId="23" fillId="19" borderId="0" xfId="0" applyNumberFormat="1" applyFont="1" applyFill="1" applyAlignment="1">
      <alignment horizontal="left"/>
    </xf>
    <xf numFmtId="2" fontId="23" fillId="17" borderId="0" xfId="0" applyNumberFormat="1" applyFont="1" applyFill="1" applyAlignment="1">
      <alignment horizontal="left"/>
    </xf>
    <xf numFmtId="0" fontId="23" fillId="25" borderId="14" xfId="0" applyFont="1" applyFill="1" applyBorder="1" applyAlignment="1">
      <alignment vertical="top" wrapText="1"/>
    </xf>
    <xf numFmtId="0" fontId="2" fillId="13" borderId="14" xfId="0" applyFont="1" applyFill="1" applyBorder="1"/>
    <xf numFmtId="0" fontId="0" fillId="9" borderId="9" xfId="0" applyFill="1" applyBorder="1" applyAlignment="1">
      <alignment horizontal="center"/>
    </xf>
    <xf numFmtId="0" fontId="0" fillId="9" borderId="16" xfId="0" applyFill="1" applyBorder="1" applyAlignment="1">
      <alignment horizontal="center"/>
    </xf>
    <xf numFmtId="0" fontId="0" fillId="9" borderId="17" xfId="0" applyFill="1" applyBorder="1" applyAlignment="1">
      <alignment horizontal="center"/>
    </xf>
    <xf numFmtId="0" fontId="2" fillId="9" borderId="0" xfId="0" applyFont="1" applyFill="1" applyBorder="1" applyAlignment="1">
      <alignment horizontal="right"/>
    </xf>
    <xf numFmtId="0" fontId="0" fillId="9" borderId="19" xfId="0" applyFill="1" applyBorder="1" applyAlignment="1">
      <alignment horizontal="center"/>
    </xf>
    <xf numFmtId="0" fontId="0" fillId="9" borderId="21" xfId="0" applyFill="1" applyBorder="1" applyAlignment="1">
      <alignment horizontal="center"/>
    </xf>
    <xf numFmtId="0" fontId="0" fillId="10" borderId="6" xfId="0" applyFill="1" applyBorder="1" applyAlignment="1">
      <alignment horizontal="left"/>
    </xf>
    <xf numFmtId="0" fontId="0" fillId="10" borderId="8" xfId="0" applyFill="1" applyBorder="1"/>
    <xf numFmtId="0" fontId="0" fillId="10" borderId="0" xfId="0" applyFill="1" applyBorder="1" applyAlignment="1">
      <alignment horizontal="left"/>
    </xf>
    <xf numFmtId="0" fontId="0" fillId="10" borderId="2" xfId="0" applyFill="1" applyBorder="1" applyAlignment="1">
      <alignment horizontal="right"/>
    </xf>
    <xf numFmtId="0" fontId="2" fillId="10" borderId="8" xfId="0" applyFont="1" applyFill="1" applyBorder="1"/>
    <xf numFmtId="0" fontId="0" fillId="14" borderId="2" xfId="0" applyFill="1" applyBorder="1" applyAlignment="1">
      <alignment horizontal="right"/>
    </xf>
    <xf numFmtId="1" fontId="0" fillId="13" borderId="0" xfId="0" applyNumberFormat="1" applyFill="1" applyAlignment="1">
      <alignment horizontal="left" vertical="top"/>
    </xf>
    <xf numFmtId="0" fontId="2" fillId="0" borderId="0" xfId="0" applyNumberFormat="1" applyFont="1" applyAlignment="1">
      <alignment horizontal="left" vertical="top"/>
    </xf>
    <xf numFmtId="0" fontId="0" fillId="13" borderId="0" xfId="0" applyFill="1" applyAlignment="1">
      <alignment horizontal="left" vertical="top"/>
    </xf>
    <xf numFmtId="2" fontId="0" fillId="14" borderId="0" xfId="0" applyNumberFormat="1" applyFill="1" applyAlignment="1">
      <alignment horizontal="left" vertical="top"/>
    </xf>
    <xf numFmtId="166" fontId="0" fillId="14" borderId="0" xfId="0" applyNumberFormat="1" applyFill="1" applyAlignment="1">
      <alignment horizontal="left" vertical="top"/>
    </xf>
    <xf numFmtId="0" fontId="0" fillId="14" borderId="0" xfId="0" applyFill="1" applyAlignment="1">
      <alignment horizontal="left" vertical="top"/>
    </xf>
    <xf numFmtId="0" fontId="5" fillId="0" borderId="0" xfId="0" applyFont="1" applyAlignment="1">
      <alignment vertical="top" wrapText="1"/>
    </xf>
    <xf numFmtId="0" fontId="5" fillId="0" borderId="0" xfId="0" applyFont="1" applyAlignment="1">
      <alignment horizontal="left" vertical="top" wrapText="1"/>
    </xf>
    <xf numFmtId="2" fontId="5" fillId="14" borderId="0" xfId="0" applyNumberFormat="1" applyFont="1" applyFill="1" applyAlignment="1">
      <alignment horizontal="left" vertical="top"/>
    </xf>
    <xf numFmtId="0" fontId="5" fillId="13" borderId="0" xfId="0" applyFont="1" applyFill="1" applyAlignment="1">
      <alignment horizontal="left" vertical="top"/>
    </xf>
    <xf numFmtId="166" fontId="5" fillId="14" borderId="0" xfId="0" applyNumberFormat="1" applyFont="1" applyFill="1" applyAlignment="1">
      <alignment horizontal="left" vertical="top"/>
    </xf>
    <xf numFmtId="0" fontId="5" fillId="14" borderId="0" xfId="0" applyFont="1" applyFill="1" applyAlignment="1">
      <alignment horizontal="left" vertical="top"/>
    </xf>
    <xf numFmtId="2" fontId="0" fillId="13" borderId="0" xfId="0" applyNumberFormat="1" applyFill="1" applyAlignment="1">
      <alignment horizontal="left" vertical="top"/>
    </xf>
    <xf numFmtId="0" fontId="2" fillId="13" borderId="0" xfId="0" applyFont="1" applyFill="1" applyAlignment="1">
      <alignment horizontal="left" vertical="top"/>
    </xf>
    <xf numFmtId="2" fontId="2" fillId="0" borderId="0" xfId="0" applyNumberFormat="1" applyFont="1" applyAlignment="1">
      <alignment vertical="top"/>
    </xf>
    <xf numFmtId="166" fontId="5" fillId="0" borderId="0" xfId="0" applyNumberFormat="1" applyFont="1" applyFill="1" applyAlignment="1">
      <alignment horizontal="left" vertical="top"/>
    </xf>
    <xf numFmtId="166" fontId="5" fillId="0" borderId="0" xfId="0" applyNumberFormat="1" applyFont="1" applyAlignment="1">
      <alignment horizontal="left" vertical="top"/>
    </xf>
    <xf numFmtId="0" fontId="0" fillId="10" borderId="0" xfId="0" applyFill="1" applyAlignment="1">
      <alignment horizontal="left" vertical="top"/>
    </xf>
    <xf numFmtId="166" fontId="0" fillId="13" borderId="0" xfId="0" applyNumberFormat="1" applyFill="1" applyAlignment="1">
      <alignment horizontal="left" vertical="top"/>
    </xf>
    <xf numFmtId="2" fontId="0" fillId="10" borderId="0" xfId="0" applyNumberFormat="1" applyFill="1" applyAlignment="1">
      <alignment horizontal="left" vertical="top"/>
    </xf>
    <xf numFmtId="166" fontId="0" fillId="10" borderId="0" xfId="0" applyNumberFormat="1" applyFill="1" applyAlignment="1">
      <alignment horizontal="left" vertical="top"/>
    </xf>
    <xf numFmtId="1" fontId="0" fillId="10" borderId="0" xfId="0" applyNumberFormat="1" applyFill="1" applyAlignment="1">
      <alignment horizontal="left" vertical="top"/>
    </xf>
    <xf numFmtId="170" fontId="0" fillId="10" borderId="0" xfId="0" applyNumberFormat="1" applyFill="1" applyAlignment="1">
      <alignment horizontal="left" vertical="top"/>
    </xf>
    <xf numFmtId="1" fontId="0" fillId="14" borderId="0" xfId="0" applyNumberFormat="1" applyFill="1" applyAlignment="1">
      <alignment horizontal="left" vertical="top"/>
    </xf>
    <xf numFmtId="167" fontId="0" fillId="10" borderId="0" xfId="0" applyNumberFormat="1" applyFill="1" applyAlignment="1">
      <alignment horizontal="left" vertical="top"/>
    </xf>
    <xf numFmtId="169" fontId="0" fillId="14" borderId="0" xfId="0" applyNumberFormat="1" applyFill="1" applyAlignment="1">
      <alignment horizontal="left" vertical="top"/>
    </xf>
    <xf numFmtId="168" fontId="0" fillId="10" borderId="0" xfId="0" applyNumberFormat="1" applyFill="1" applyAlignment="1">
      <alignment horizontal="left" vertical="top"/>
    </xf>
    <xf numFmtId="165" fontId="0" fillId="14" borderId="0" xfId="0" applyNumberFormat="1" applyFill="1" applyAlignment="1">
      <alignment horizontal="left" vertical="top"/>
    </xf>
    <xf numFmtId="1" fontId="0" fillId="0" borderId="0" xfId="0" applyNumberFormat="1" applyAlignment="1">
      <alignment vertical="top"/>
    </xf>
    <xf numFmtId="0" fontId="2" fillId="0" borderId="0" xfId="0" applyFont="1" applyFill="1" applyBorder="1" applyAlignment="1">
      <alignment horizontal="left" vertical="top"/>
    </xf>
    <xf numFmtId="168" fontId="0" fillId="0" borderId="0" xfId="0" applyNumberFormat="1" applyFill="1" applyAlignment="1">
      <alignment horizontal="right" vertical="top"/>
    </xf>
    <xf numFmtId="1" fontId="0" fillId="0" borderId="0" xfId="0" applyNumberFormat="1" applyAlignment="1">
      <alignment horizontal="right" vertical="top"/>
    </xf>
    <xf numFmtId="1" fontId="3" fillId="14" borderId="0" xfId="0" applyNumberFormat="1" applyFont="1" applyFill="1" applyAlignment="1">
      <alignment horizontal="left" vertical="top"/>
    </xf>
    <xf numFmtId="169" fontId="3" fillId="14" borderId="0" xfId="0" applyNumberFormat="1" applyFont="1" applyFill="1" applyAlignment="1">
      <alignment horizontal="left" vertical="top"/>
    </xf>
    <xf numFmtId="2" fontId="2" fillId="3" borderId="14" xfId="0" applyNumberFormat="1" applyFont="1" applyFill="1" applyBorder="1"/>
    <xf numFmtId="0" fontId="30" fillId="4" borderId="6" xfId="0" applyFont="1" applyFill="1" applyBorder="1" applyAlignment="1">
      <alignment vertical="top"/>
    </xf>
    <xf numFmtId="0" fontId="31" fillId="4" borderId="1" xfId="0" applyFont="1" applyFill="1" applyBorder="1" applyAlignment="1">
      <alignment vertical="top" wrapText="1"/>
    </xf>
    <xf numFmtId="0" fontId="32" fillId="4" borderId="1" xfId="0" applyFont="1" applyFill="1" applyBorder="1" applyAlignment="1">
      <alignment vertical="top" wrapText="1"/>
    </xf>
    <xf numFmtId="0" fontId="31" fillId="4" borderId="1" xfId="0" applyFont="1" applyFill="1" applyBorder="1" applyAlignment="1">
      <alignment horizontal="center" vertical="top" wrapText="1"/>
    </xf>
    <xf numFmtId="0" fontId="33" fillId="4" borderId="1" xfId="0" applyFont="1" applyFill="1" applyBorder="1" applyAlignment="1">
      <alignment horizontal="center" vertical="top" wrapText="1"/>
    </xf>
    <xf numFmtId="0" fontId="31" fillId="4" borderId="4" xfId="0" applyFont="1" applyFill="1" applyBorder="1" applyAlignment="1">
      <alignment vertical="top" wrapText="1"/>
    </xf>
    <xf numFmtId="0" fontId="30" fillId="4" borderId="44" xfId="0" applyFont="1" applyFill="1" applyBorder="1" applyAlignment="1">
      <alignment vertical="top"/>
    </xf>
    <xf numFmtId="0" fontId="2" fillId="10" borderId="6" xfId="0" applyFont="1" applyFill="1" applyBorder="1"/>
    <xf numFmtId="0" fontId="2" fillId="10" borderId="4" xfId="0" applyFont="1" applyFill="1" applyBorder="1"/>
    <xf numFmtId="0" fontId="2" fillId="10" borderId="0" xfId="0" applyFont="1" applyFill="1" applyBorder="1"/>
    <xf numFmtId="0" fontId="2" fillId="10" borderId="2" xfId="0" applyFont="1" applyFill="1" applyBorder="1"/>
    <xf numFmtId="0" fontId="2" fillId="0" borderId="6" xfId="6" applyBorder="1"/>
    <xf numFmtId="0" fontId="2" fillId="0" borderId="0" xfId="6" applyFill="1" applyBorder="1"/>
    <xf numFmtId="2" fontId="2" fillId="14" borderId="0" xfId="0" applyNumberFormat="1" applyFont="1" applyFill="1" applyAlignment="1">
      <alignment horizontal="right"/>
    </xf>
    <xf numFmtId="0" fontId="2" fillId="5" borderId="0" xfId="6" applyFill="1"/>
    <xf numFmtId="0" fontId="2" fillId="0" borderId="0" xfId="6" applyFill="1" applyAlignment="1">
      <alignment vertical="top" wrapText="1"/>
    </xf>
    <xf numFmtId="0" fontId="2" fillId="0" borderId="0" xfId="6" applyAlignment="1">
      <alignment vertical="top" wrapText="1"/>
    </xf>
    <xf numFmtId="0" fontId="2" fillId="0" borderId="0" xfId="6" applyFill="1" applyAlignment="1">
      <alignment vertical="top"/>
    </xf>
    <xf numFmtId="1" fontId="2" fillId="14" borderId="0" xfId="0" applyNumberFormat="1" applyFont="1" applyFill="1" applyAlignment="1">
      <alignment horizontal="center"/>
    </xf>
    <xf numFmtId="1" fontId="3" fillId="14" borderId="0" xfId="0" applyNumberFormat="1" applyFont="1" applyFill="1" applyAlignment="1">
      <alignment horizontal="center"/>
    </xf>
    <xf numFmtId="0" fontId="0" fillId="4" borderId="1" xfId="0" applyFill="1" applyBorder="1" applyAlignment="1">
      <alignment vertical="top"/>
    </xf>
    <xf numFmtId="0" fontId="2" fillId="4" borderId="1" xfId="0" applyFont="1" applyFill="1" applyBorder="1" applyAlignment="1">
      <alignment vertical="top" wrapText="1"/>
    </xf>
    <xf numFmtId="0" fontId="9" fillId="4" borderId="1" xfId="0" applyFont="1" applyFill="1" applyBorder="1" applyAlignment="1">
      <alignment vertical="top" wrapText="1"/>
    </xf>
    <xf numFmtId="0" fontId="2" fillId="4" borderId="1" xfId="0" applyFont="1" applyFill="1" applyBorder="1" applyAlignment="1">
      <alignment horizontal="center" vertical="top" wrapText="1"/>
    </xf>
    <xf numFmtId="0" fontId="6" fillId="4" borderId="1" xfId="0" applyFont="1" applyFill="1" applyBorder="1" applyAlignment="1">
      <alignment horizontal="center" vertical="top" wrapText="1"/>
    </xf>
    <xf numFmtId="0" fontId="23" fillId="17" borderId="6" xfId="0" applyFont="1" applyFill="1" applyBorder="1" applyAlignment="1">
      <alignment vertical="top" wrapText="1"/>
    </xf>
    <xf numFmtId="0" fontId="23" fillId="17" borderId="6" xfId="0" applyFont="1" applyFill="1" applyBorder="1"/>
    <xf numFmtId="0" fontId="25" fillId="17" borderId="0" xfId="0" applyFont="1" applyFill="1" applyBorder="1" applyAlignment="1">
      <alignment vertical="top"/>
    </xf>
    <xf numFmtId="0" fontId="25" fillId="17" borderId="0" xfId="0" applyFont="1" applyFill="1" applyBorder="1" applyAlignment="1">
      <alignment vertical="top" wrapText="1"/>
    </xf>
    <xf numFmtId="2" fontId="0" fillId="10" borderId="2" xfId="0" applyNumberFormat="1" applyFill="1" applyBorder="1" applyAlignment="1">
      <alignment horizontal="right"/>
    </xf>
    <xf numFmtId="0" fontId="23" fillId="23" borderId="1" xfId="0" applyFont="1" applyFill="1" applyBorder="1" applyAlignment="1">
      <alignment vertical="top" wrapText="1"/>
    </xf>
    <xf numFmtId="0" fontId="23" fillId="25" borderId="1" xfId="0" applyFont="1" applyFill="1" applyBorder="1" applyAlignment="1">
      <alignment vertical="top" wrapText="1"/>
    </xf>
    <xf numFmtId="0" fontId="23" fillId="19" borderId="20" xfId="0" applyFont="1" applyFill="1" applyBorder="1" applyAlignment="1">
      <alignment vertical="top"/>
    </xf>
    <xf numFmtId="2" fontId="23" fillId="19" borderId="20" xfId="0" applyNumberFormat="1" applyFont="1" applyFill="1" applyBorder="1" applyAlignment="1" applyProtection="1">
      <alignment horizontal="left" vertical="top"/>
      <protection locked="0"/>
    </xf>
    <xf numFmtId="0" fontId="34" fillId="9" borderId="14" xfId="0" applyFont="1" applyFill="1" applyBorder="1" applyAlignment="1">
      <alignment horizontal="left" vertical="top"/>
    </xf>
    <xf numFmtId="170" fontId="4" fillId="5" borderId="14" xfId="0" applyNumberFormat="1" applyFont="1" applyFill="1" applyBorder="1" applyAlignment="1">
      <alignment horizontal="right"/>
    </xf>
    <xf numFmtId="0" fontId="23" fillId="25" borderId="44" xfId="0" applyFont="1" applyFill="1" applyBorder="1" applyAlignment="1">
      <alignment vertical="top" wrapText="1"/>
    </xf>
    <xf numFmtId="0" fontId="23" fillId="21" borderId="10" xfId="0" applyFont="1" applyFill="1" applyBorder="1" applyAlignment="1">
      <alignment vertical="top"/>
    </xf>
    <xf numFmtId="0" fontId="23" fillId="23" borderId="42" xfId="0" applyFont="1" applyFill="1" applyBorder="1" applyAlignment="1">
      <alignment vertical="top" wrapText="1"/>
    </xf>
    <xf numFmtId="0" fontId="33" fillId="4" borderId="6" xfId="0" applyFont="1" applyFill="1" applyBorder="1" applyAlignment="1">
      <alignment vertical="top"/>
    </xf>
    <xf numFmtId="0" fontId="31" fillId="4" borderId="5" xfId="0" applyFont="1" applyFill="1" applyBorder="1" applyAlignment="1">
      <alignment vertical="top"/>
    </xf>
    <xf numFmtId="0" fontId="31" fillId="4" borderId="5" xfId="0" applyFont="1" applyFill="1" applyBorder="1" applyAlignment="1">
      <alignment vertical="top" wrapText="1"/>
    </xf>
    <xf numFmtId="0" fontId="32" fillId="4" borderId="5" xfId="0" applyFont="1" applyFill="1" applyBorder="1" applyAlignment="1">
      <alignment vertical="top" wrapText="1"/>
    </xf>
    <xf numFmtId="0" fontId="31" fillId="4" borderId="5" xfId="0" applyFont="1" applyFill="1" applyBorder="1" applyAlignment="1">
      <alignment horizontal="center" vertical="top" wrapText="1"/>
    </xf>
    <xf numFmtId="0" fontId="23" fillId="23" borderId="51" xfId="0" applyFont="1" applyFill="1" applyBorder="1" applyAlignment="1">
      <alignment vertical="top" wrapText="1"/>
    </xf>
    <xf numFmtId="0" fontId="23" fillId="23" borderId="52" xfId="0" applyFont="1" applyFill="1" applyBorder="1" applyAlignment="1">
      <alignment vertical="top" wrapText="1"/>
    </xf>
    <xf numFmtId="0" fontId="35" fillId="23" borderId="54" xfId="0" applyFont="1" applyFill="1" applyBorder="1" applyAlignment="1">
      <alignment vertical="top" wrapText="1"/>
    </xf>
    <xf numFmtId="0" fontId="2" fillId="0" borderId="0" xfId="0" applyFont="1" applyFill="1" applyAlignment="1">
      <alignment horizontal="left" vertical="top"/>
    </xf>
    <xf numFmtId="1" fontId="0" fillId="0" borderId="0" xfId="0" applyNumberFormat="1" applyFill="1" applyAlignment="1">
      <alignment horizontal="left" vertical="top"/>
    </xf>
    <xf numFmtId="0" fontId="2" fillId="0" borderId="0" xfId="0" applyNumberFormat="1" applyFont="1" applyFill="1" applyAlignment="1">
      <alignment horizontal="left" vertical="top"/>
    </xf>
    <xf numFmtId="1" fontId="5" fillId="10" borderId="2" xfId="0" applyNumberFormat="1" applyFont="1" applyFill="1" applyBorder="1"/>
    <xf numFmtId="1" fontId="5" fillId="0" borderId="8" xfId="0" applyNumberFormat="1" applyFont="1" applyFill="1" applyBorder="1"/>
    <xf numFmtId="2" fontId="5" fillId="0" borderId="0" xfId="0" applyNumberFormat="1" applyFont="1" applyFill="1" applyBorder="1" applyAlignment="1">
      <alignment horizontal="right"/>
    </xf>
    <xf numFmtId="1" fontId="5" fillId="0" borderId="2" xfId="0" applyNumberFormat="1" applyFont="1" applyFill="1" applyBorder="1"/>
    <xf numFmtId="1" fontId="5" fillId="0" borderId="2" xfId="0" applyNumberFormat="1" applyFont="1" applyFill="1" applyBorder="1" applyAlignment="1">
      <alignment horizontal="right"/>
    </xf>
    <xf numFmtId="1" fontId="4" fillId="0" borderId="3" xfId="0" applyNumberFormat="1" applyFont="1" applyFill="1" applyBorder="1"/>
    <xf numFmtId="168" fontId="0" fillId="2" borderId="14" xfId="0" applyNumberFormat="1" applyFill="1" applyBorder="1"/>
    <xf numFmtId="0" fontId="0" fillId="6" borderId="0" xfId="0" applyFill="1" applyBorder="1" applyAlignment="1">
      <alignment horizontal="right"/>
    </xf>
    <xf numFmtId="0" fontId="0" fillId="9" borderId="18" xfId="0" applyFill="1" applyBorder="1" applyAlignment="1">
      <alignment horizontal="center"/>
    </xf>
    <xf numFmtId="0" fontId="2" fillId="9" borderId="0" xfId="0" applyFont="1" applyFill="1" applyBorder="1" applyAlignment="1">
      <alignment horizontal="right"/>
    </xf>
    <xf numFmtId="169" fontId="0" fillId="9" borderId="0" xfId="0" applyNumberFormat="1" applyFill="1" applyBorder="1"/>
    <xf numFmtId="0" fontId="31" fillId="34" borderId="14" xfId="0" applyFont="1" applyFill="1" applyBorder="1" applyAlignment="1">
      <alignment vertical="top" wrapText="1"/>
    </xf>
    <xf numFmtId="0" fontId="33" fillId="4" borderId="14" xfId="0" applyFont="1" applyFill="1" applyBorder="1" applyAlignment="1">
      <alignment horizontal="center" vertical="top" wrapText="1"/>
    </xf>
    <xf numFmtId="0" fontId="31" fillId="34" borderId="14" xfId="0" applyFont="1" applyFill="1" applyBorder="1" applyAlignment="1">
      <alignment vertical="top"/>
    </xf>
    <xf numFmtId="0" fontId="36" fillId="20" borderId="14" xfId="0" applyFont="1" applyFill="1" applyBorder="1"/>
    <xf numFmtId="0" fontId="37" fillId="4" borderId="14" xfId="0" applyFont="1" applyFill="1" applyBorder="1" applyAlignment="1">
      <alignment horizontal="left" vertical="top" wrapText="1"/>
    </xf>
    <xf numFmtId="0" fontId="31" fillId="10" borderId="14" xfId="0" applyFont="1" applyFill="1" applyBorder="1" applyAlignment="1">
      <alignment vertical="top" wrapText="1"/>
    </xf>
    <xf numFmtId="0" fontId="25" fillId="19" borderId="8" xfId="0" applyFont="1" applyFill="1" applyBorder="1" applyAlignment="1">
      <alignment horizontal="center" vertical="top" wrapText="1"/>
    </xf>
    <xf numFmtId="0" fontId="25" fillId="19" borderId="8" xfId="0" applyFont="1" applyFill="1" applyBorder="1" applyAlignment="1">
      <alignment horizontal="left" vertical="top" wrapText="1"/>
    </xf>
    <xf numFmtId="0" fontId="23" fillId="19" borderId="23" xfId="0" applyFont="1" applyFill="1" applyBorder="1" applyAlignment="1">
      <alignment horizontal="left" vertical="top" wrapText="1"/>
    </xf>
    <xf numFmtId="0" fontId="23" fillId="19" borderId="8" xfId="0" applyFont="1" applyFill="1" applyBorder="1" applyAlignment="1">
      <alignment horizontal="left" vertical="top" wrapText="1"/>
    </xf>
    <xf numFmtId="0" fontId="23" fillId="19" borderId="7" xfId="0" applyFont="1" applyFill="1" applyBorder="1" applyAlignment="1">
      <alignment horizontal="left" vertical="top" wrapText="1"/>
    </xf>
    <xf numFmtId="0" fontId="23" fillId="19" borderId="8" xfId="0" applyFont="1" applyFill="1" applyBorder="1" applyAlignment="1">
      <alignment vertical="top" wrapText="1"/>
    </xf>
    <xf numFmtId="0" fontId="23" fillId="19" borderId="7" xfId="0" applyFont="1" applyFill="1" applyBorder="1" applyAlignment="1">
      <alignment vertical="top" wrapText="1"/>
    </xf>
    <xf numFmtId="0" fontId="23" fillId="19" borderId="0" xfId="0" applyFont="1" applyFill="1" applyBorder="1" applyAlignment="1">
      <alignment vertical="top" wrapText="1"/>
    </xf>
    <xf numFmtId="0" fontId="23" fillId="19" borderId="0" xfId="0" applyFont="1" applyFill="1" applyBorder="1" applyAlignment="1">
      <alignment wrapText="1"/>
    </xf>
    <xf numFmtId="0" fontId="23" fillId="19" borderId="6" xfId="0" applyFont="1" applyFill="1" applyBorder="1" applyAlignment="1">
      <alignment vertical="top" wrapText="1"/>
    </xf>
    <xf numFmtId="0" fontId="23" fillId="19" borderId="1" xfId="0" applyFont="1" applyFill="1" applyBorder="1" applyAlignment="1">
      <alignment vertical="top" wrapText="1"/>
    </xf>
    <xf numFmtId="0" fontId="23" fillId="19" borderId="23" xfId="0" applyFont="1" applyFill="1" applyBorder="1" applyAlignment="1">
      <alignment vertical="top" wrapText="1"/>
    </xf>
    <xf numFmtId="0" fontId="23" fillId="19" borderId="5" xfId="0" applyFont="1" applyFill="1" applyBorder="1" applyAlignment="1">
      <alignment wrapText="1"/>
    </xf>
    <xf numFmtId="0" fontId="23" fillId="19" borderId="8" xfId="0" applyFont="1" applyFill="1" applyBorder="1" applyAlignment="1">
      <alignment wrapText="1"/>
    </xf>
    <xf numFmtId="1" fontId="23" fillId="19" borderId="8" xfId="0" applyNumberFormat="1" applyFont="1" applyFill="1" applyBorder="1" applyAlignment="1">
      <alignment horizontal="right" vertical="top" wrapText="1"/>
    </xf>
    <xf numFmtId="0" fontId="24" fillId="19" borderId="8" xfId="0" applyFont="1" applyFill="1" applyBorder="1" applyAlignment="1">
      <alignment vertical="top" wrapText="1"/>
    </xf>
    <xf numFmtId="0" fontId="23" fillId="18" borderId="62" xfId="0" applyFont="1" applyFill="1" applyBorder="1" applyAlignment="1">
      <alignment vertical="top" wrapText="1"/>
    </xf>
    <xf numFmtId="0" fontId="23" fillId="18" borderId="80" xfId="0" applyFont="1" applyFill="1" applyBorder="1" applyAlignment="1">
      <alignment vertical="top" wrapText="1"/>
    </xf>
    <xf numFmtId="0" fontId="25" fillId="19" borderId="0" xfId="0" applyFont="1" applyFill="1" applyBorder="1" applyAlignment="1">
      <alignment wrapText="1"/>
    </xf>
    <xf numFmtId="2" fontId="23" fillId="24" borderId="41" xfId="0" applyNumberFormat="1" applyFont="1" applyFill="1" applyBorder="1" applyAlignment="1">
      <alignment horizontal="left" vertical="top" wrapText="1"/>
    </xf>
    <xf numFmtId="0" fontId="31" fillId="35" borderId="14" xfId="0" applyFont="1" applyFill="1" applyBorder="1" applyAlignment="1">
      <alignment horizontal="center" vertical="top" wrapText="1"/>
    </xf>
    <xf numFmtId="169" fontId="0" fillId="13" borderId="14" xfId="0" applyNumberFormat="1" applyFill="1" applyBorder="1" applyAlignment="1">
      <alignment horizontal="center"/>
    </xf>
    <xf numFmtId="0" fontId="2" fillId="14" borderId="14" xfId="0" applyFont="1" applyFill="1" applyBorder="1"/>
    <xf numFmtId="0" fontId="23" fillId="17" borderId="44" xfId="0" applyFont="1" applyFill="1" applyBorder="1"/>
    <xf numFmtId="0" fontId="23" fillId="17" borderId="7" xfId="0" applyFont="1" applyFill="1" applyBorder="1"/>
    <xf numFmtId="0" fontId="23" fillId="17" borderId="5" xfId="0" applyFont="1" applyFill="1" applyBorder="1"/>
    <xf numFmtId="0" fontId="25" fillId="17" borderId="0" xfId="0" applyFont="1" applyFill="1"/>
    <xf numFmtId="0" fontId="23" fillId="18" borderId="94" xfId="0" applyFont="1" applyFill="1" applyBorder="1"/>
    <xf numFmtId="0" fontId="23" fillId="18" borderId="95" xfId="0" applyFont="1" applyFill="1" applyBorder="1"/>
    <xf numFmtId="0" fontId="23" fillId="18" borderId="95" xfId="0" applyFont="1" applyFill="1" applyBorder="1" applyAlignment="1">
      <alignment vertical="top"/>
    </xf>
    <xf numFmtId="0" fontId="23" fillId="18" borderId="96" xfId="0" applyFont="1" applyFill="1" applyBorder="1" applyAlignment="1">
      <alignment vertical="top"/>
    </xf>
    <xf numFmtId="0" fontId="23" fillId="17" borderId="5" xfId="0" applyFont="1" applyFill="1" applyBorder="1" applyAlignment="1">
      <alignment vertical="top" wrapText="1"/>
    </xf>
    <xf numFmtId="0" fontId="23" fillId="17" borderId="1" xfId="0" applyFont="1" applyFill="1" applyBorder="1"/>
    <xf numFmtId="0" fontId="2" fillId="4" borderId="7" xfId="0" applyFont="1" applyFill="1" applyBorder="1" applyAlignment="1">
      <alignment vertical="top" wrapText="1"/>
    </xf>
    <xf numFmtId="0" fontId="23" fillId="17" borderId="5" xfId="0" applyFont="1" applyFill="1" applyBorder="1" applyAlignment="1">
      <alignment vertical="top"/>
    </xf>
    <xf numFmtId="0" fontId="2" fillId="4" borderId="5" xfId="0" applyFont="1" applyFill="1" applyBorder="1" applyAlignment="1">
      <alignment vertical="top" wrapText="1"/>
    </xf>
    <xf numFmtId="0" fontId="23" fillId="19" borderId="7" xfId="0" applyFont="1" applyFill="1" applyBorder="1" applyAlignment="1">
      <alignment wrapText="1"/>
    </xf>
    <xf numFmtId="0" fontId="23" fillId="17" borderId="3" xfId="0" applyFont="1" applyFill="1" applyBorder="1" applyAlignment="1">
      <alignment vertical="top"/>
    </xf>
    <xf numFmtId="0" fontId="23" fillId="33" borderId="60" xfId="0" applyFont="1" applyFill="1" applyBorder="1" applyAlignment="1">
      <alignment vertical="top"/>
    </xf>
    <xf numFmtId="0" fontId="23" fillId="26" borderId="72" xfId="0" applyFont="1" applyFill="1" applyBorder="1" applyAlignment="1">
      <alignment horizontal="left"/>
    </xf>
    <xf numFmtId="0" fontId="23" fillId="26" borderId="80" xfId="0" applyFont="1" applyFill="1" applyBorder="1" applyAlignment="1">
      <alignment horizontal="left"/>
    </xf>
    <xf numFmtId="0" fontId="23" fillId="19" borderId="5" xfId="0" applyFont="1" applyFill="1" applyBorder="1" applyAlignment="1">
      <alignment vertical="top" wrapText="1"/>
    </xf>
    <xf numFmtId="1" fontId="23" fillId="19" borderId="0" xfId="0" applyNumberFormat="1" applyFont="1" applyFill="1" applyBorder="1" applyAlignment="1">
      <alignment horizontal="right" vertical="top" wrapText="1"/>
    </xf>
    <xf numFmtId="0" fontId="24" fillId="19" borderId="0" xfId="0" applyFont="1" applyFill="1" applyBorder="1" applyAlignment="1">
      <alignment vertical="top" wrapText="1"/>
    </xf>
    <xf numFmtId="0" fontId="29" fillId="19" borderId="0" xfId="0" applyFont="1" applyFill="1" applyBorder="1" applyAlignment="1">
      <alignment vertical="top" wrapText="1"/>
    </xf>
    <xf numFmtId="0" fontId="23" fillId="26" borderId="62" xfId="0" applyFont="1" applyFill="1" applyBorder="1" applyAlignment="1">
      <alignment horizontal="left" vertical="top"/>
    </xf>
    <xf numFmtId="0" fontId="23" fillId="19" borderId="73" xfId="0" applyFont="1" applyFill="1" applyBorder="1"/>
    <xf numFmtId="0" fontId="23" fillId="19" borderId="44" xfId="0" applyFont="1" applyFill="1" applyBorder="1" applyAlignment="1">
      <alignment vertical="top" wrapText="1"/>
    </xf>
    <xf numFmtId="0" fontId="23" fillId="19" borderId="74" xfId="0" applyFont="1" applyFill="1" applyBorder="1" applyAlignment="1">
      <alignment vertical="top" wrapText="1"/>
    </xf>
    <xf numFmtId="0" fontId="23" fillId="26" borderId="56" xfId="0" applyFont="1" applyFill="1" applyBorder="1" applyAlignment="1">
      <alignment wrapText="1"/>
    </xf>
    <xf numFmtId="0" fontId="25" fillId="19" borderId="0" xfId="0" applyFont="1" applyFill="1" applyBorder="1" applyAlignment="1">
      <alignment horizontal="center" vertical="top" wrapText="1"/>
    </xf>
    <xf numFmtId="0" fontId="25" fillId="19" borderId="0" xfId="0" applyFont="1" applyFill="1" applyBorder="1" applyAlignment="1">
      <alignment horizontal="left" vertical="top" wrapText="1"/>
    </xf>
    <xf numFmtId="0" fontId="23" fillId="19" borderId="6" xfId="0" applyFont="1" applyFill="1" applyBorder="1" applyAlignment="1">
      <alignment horizontal="left" vertical="top" wrapText="1"/>
    </xf>
    <xf numFmtId="0" fontId="23" fillId="19" borderId="0" xfId="0" applyFont="1" applyFill="1" applyBorder="1" applyAlignment="1">
      <alignment horizontal="left" vertical="top" wrapText="1"/>
    </xf>
    <xf numFmtId="0" fontId="23" fillId="19" borderId="5" xfId="0" applyFont="1" applyFill="1" applyBorder="1" applyAlignment="1">
      <alignment horizontal="left" vertical="top" wrapText="1"/>
    </xf>
    <xf numFmtId="0" fontId="23" fillId="20" borderId="6" xfId="0" applyFont="1" applyFill="1" applyBorder="1" applyAlignment="1">
      <alignment vertical="top"/>
    </xf>
    <xf numFmtId="0" fontId="23" fillId="19" borderId="45" xfId="0" applyFont="1" applyFill="1" applyBorder="1" applyAlignment="1">
      <alignment wrapText="1"/>
    </xf>
    <xf numFmtId="0" fontId="23" fillId="19" borderId="97" xfId="0" applyFont="1" applyFill="1" applyBorder="1" applyAlignment="1">
      <alignment wrapText="1"/>
    </xf>
    <xf numFmtId="0" fontId="23" fillId="26" borderId="57" xfId="0" applyFont="1" applyFill="1" applyBorder="1" applyAlignment="1">
      <alignment wrapText="1"/>
    </xf>
    <xf numFmtId="0" fontId="23" fillId="33" borderId="55" xfId="0" applyFont="1" applyFill="1" applyBorder="1"/>
    <xf numFmtId="0" fontId="23" fillId="33" borderId="57" xfId="0" applyFont="1" applyFill="1" applyBorder="1"/>
    <xf numFmtId="2" fontId="23" fillId="19" borderId="57" xfId="0" applyNumberFormat="1" applyFont="1" applyFill="1" applyBorder="1" applyAlignment="1" applyProtection="1">
      <alignment horizontal="left" vertical="top"/>
      <protection locked="0"/>
    </xf>
    <xf numFmtId="0" fontId="23" fillId="33" borderId="98" xfId="0" applyFont="1" applyFill="1" applyBorder="1" applyAlignment="1">
      <alignment wrapText="1"/>
    </xf>
    <xf numFmtId="0" fontId="23" fillId="32" borderId="61" xfId="0" applyFont="1" applyFill="1" applyBorder="1" applyAlignment="1">
      <alignment vertical="top" wrapText="1"/>
    </xf>
    <xf numFmtId="0" fontId="23" fillId="33" borderId="11" xfId="0" applyFont="1" applyFill="1" applyBorder="1"/>
    <xf numFmtId="0" fontId="23" fillId="33" borderId="12" xfId="0" applyFont="1" applyFill="1" applyBorder="1"/>
    <xf numFmtId="2" fontId="23" fillId="19" borderId="12" xfId="0" applyNumberFormat="1" applyFont="1" applyFill="1" applyBorder="1" applyAlignment="1" applyProtection="1">
      <alignment horizontal="left" vertical="top"/>
      <protection locked="0"/>
    </xf>
    <xf numFmtId="0" fontId="23" fillId="33" borderId="73" xfId="0" applyFont="1" applyFill="1" applyBorder="1" applyAlignment="1">
      <alignment wrapText="1"/>
    </xf>
    <xf numFmtId="2" fontId="23" fillId="24" borderId="14" xfId="0" applyNumberFormat="1" applyFont="1" applyFill="1" applyBorder="1" applyAlignment="1" applyProtection="1">
      <alignment horizontal="left" vertical="top"/>
      <protection locked="0"/>
    </xf>
    <xf numFmtId="2" fontId="23" fillId="24" borderId="57" xfId="0" applyNumberFormat="1" applyFont="1" applyFill="1" applyBorder="1" applyAlignment="1" applyProtection="1">
      <alignment horizontal="left" vertical="top"/>
      <protection locked="0"/>
    </xf>
    <xf numFmtId="0" fontId="36" fillId="19" borderId="57" xfId="0" applyFont="1" applyFill="1" applyBorder="1" applyAlignment="1">
      <alignment vertical="top"/>
    </xf>
    <xf numFmtId="0" fontId="36" fillId="19" borderId="12" xfId="0" applyFont="1" applyFill="1" applyBorder="1" applyAlignment="1">
      <alignment vertical="top"/>
    </xf>
    <xf numFmtId="0" fontId="5" fillId="10" borderId="23" xfId="6" applyFont="1" applyFill="1" applyBorder="1"/>
    <xf numFmtId="0" fontId="2" fillId="10" borderId="6" xfId="5" applyFont="1" applyFill="1" applyBorder="1"/>
    <xf numFmtId="0" fontId="2" fillId="10" borderId="4" xfId="5" applyFont="1" applyFill="1" applyBorder="1"/>
    <xf numFmtId="0" fontId="2" fillId="10" borderId="7" xfId="5" applyFont="1" applyFill="1" applyBorder="1"/>
    <xf numFmtId="0" fontId="2" fillId="10" borderId="5" xfId="5" applyFont="1" applyFill="1" applyBorder="1"/>
    <xf numFmtId="0" fontId="2" fillId="10" borderId="3" xfId="5" applyFont="1" applyFill="1" applyBorder="1"/>
    <xf numFmtId="0" fontId="5" fillId="10" borderId="23" xfId="5" applyFont="1" applyFill="1" applyBorder="1"/>
    <xf numFmtId="172" fontId="0" fillId="0" borderId="0" xfId="1" applyNumberFormat="1" applyFont="1" applyFill="1" applyBorder="1"/>
    <xf numFmtId="0" fontId="0" fillId="0" borderId="0" xfId="0" applyFont="1" applyFill="1" applyBorder="1"/>
    <xf numFmtId="172" fontId="3" fillId="0" borderId="0" xfId="1" applyNumberFormat="1" applyFont="1" applyFill="1" applyBorder="1"/>
    <xf numFmtId="0" fontId="0" fillId="8" borderId="2" xfId="0" applyFill="1" applyBorder="1" applyAlignment="1">
      <alignment horizontal="right"/>
    </xf>
    <xf numFmtId="2" fontId="0" fillId="8" borderId="2" xfId="0" applyNumberFormat="1" applyFill="1" applyBorder="1" applyAlignment="1">
      <alignment horizontal="right"/>
    </xf>
    <xf numFmtId="43" fontId="0" fillId="8" borderId="2" xfId="1" applyFont="1" applyFill="1" applyBorder="1" applyAlignment="1">
      <alignment horizontal="right"/>
    </xf>
    <xf numFmtId="2" fontId="0" fillId="10" borderId="0" xfId="0" applyNumberFormat="1" applyFill="1" applyBorder="1"/>
    <xf numFmtId="1" fontId="0" fillId="10" borderId="0" xfId="1" applyNumberFormat="1" applyFont="1" applyFill="1" applyBorder="1"/>
    <xf numFmtId="1" fontId="0" fillId="14" borderId="0" xfId="0" applyNumberFormat="1" applyFill="1"/>
    <xf numFmtId="1" fontId="3" fillId="14" borderId="0" xfId="0" applyNumberFormat="1" applyFont="1" applyFill="1"/>
    <xf numFmtId="2" fontId="0" fillId="14" borderId="0" xfId="0" applyNumberFormat="1" applyFill="1"/>
    <xf numFmtId="2" fontId="3" fillId="14" borderId="0" xfId="0" applyNumberFormat="1" applyFont="1" applyFill="1"/>
    <xf numFmtId="2" fontId="3" fillId="14" borderId="0" xfId="0" applyNumberFormat="1" applyFont="1" applyFill="1" applyAlignment="1">
      <alignment horizontal="center"/>
    </xf>
    <xf numFmtId="172" fontId="0" fillId="8" borderId="2" xfId="1" applyNumberFormat="1" applyFont="1" applyFill="1" applyBorder="1" applyAlignment="1">
      <alignment horizontal="right"/>
    </xf>
    <xf numFmtId="169" fontId="0" fillId="2" borderId="2" xfId="0" applyNumberFormat="1" applyFill="1" applyBorder="1"/>
    <xf numFmtId="169" fontId="0" fillId="14" borderId="2" xfId="1" applyNumberFormat="1" applyFont="1" applyFill="1" applyBorder="1"/>
    <xf numFmtId="175" fontId="0" fillId="14" borderId="2" xfId="1" applyNumberFormat="1" applyFont="1" applyFill="1" applyBorder="1"/>
    <xf numFmtId="2" fontId="2" fillId="0" borderId="0" xfId="0" applyNumberFormat="1" applyFont="1" applyFill="1"/>
    <xf numFmtId="1" fontId="0" fillId="10" borderId="0" xfId="0" applyNumberFormat="1" applyFill="1"/>
    <xf numFmtId="2" fontId="0" fillId="10" borderId="0" xfId="0" applyNumberFormat="1" applyFill="1"/>
    <xf numFmtId="169" fontId="0" fillId="14" borderId="2" xfId="0" applyNumberFormat="1" applyFill="1" applyBorder="1" applyAlignment="1">
      <alignment horizontal="right"/>
    </xf>
    <xf numFmtId="2" fontId="3" fillId="14" borderId="0" xfId="0" applyNumberFormat="1" applyFont="1" applyFill="1" applyBorder="1"/>
    <xf numFmtId="2" fontId="0" fillId="14" borderId="2" xfId="0" applyNumberFormat="1" applyFill="1" applyBorder="1"/>
    <xf numFmtId="2" fontId="0" fillId="10" borderId="0" xfId="0" applyNumberFormat="1" applyFill="1" applyBorder="1" applyAlignment="1">
      <alignment horizontal="center"/>
    </xf>
    <xf numFmtId="0" fontId="0" fillId="10" borderId="0" xfId="0" applyFill="1" applyBorder="1" applyAlignment="1">
      <alignment horizontal="center"/>
    </xf>
    <xf numFmtId="0" fontId="2" fillId="10" borderId="2" xfId="0" applyFont="1" applyFill="1" applyBorder="1" applyAlignment="1">
      <alignment horizontal="right"/>
    </xf>
    <xf numFmtId="1" fontId="4" fillId="10" borderId="0" xfId="0" applyNumberFormat="1" applyFont="1" applyFill="1" applyBorder="1" applyAlignment="1">
      <alignment horizontal="right"/>
    </xf>
    <xf numFmtId="0" fontId="2" fillId="6" borderId="2" xfId="0" applyFont="1" applyFill="1" applyBorder="1"/>
    <xf numFmtId="0" fontId="3" fillId="4" borderId="0" xfId="0" applyFont="1" applyFill="1" applyBorder="1" applyAlignment="1">
      <alignment horizontal="center"/>
    </xf>
    <xf numFmtId="1" fontId="4" fillId="9" borderId="0" xfId="0" applyNumberFormat="1" applyFont="1" applyFill="1" applyBorder="1" applyAlignment="1">
      <alignment horizontal="right"/>
    </xf>
    <xf numFmtId="0" fontId="23" fillId="36" borderId="48" xfId="0" applyFont="1" applyFill="1" applyBorder="1" applyAlignment="1">
      <alignment vertical="top"/>
    </xf>
    <xf numFmtId="0" fontId="36" fillId="19" borderId="14" xfId="0" applyFont="1" applyFill="1" applyBorder="1" applyAlignment="1">
      <alignment vertical="top"/>
    </xf>
    <xf numFmtId="0" fontId="23" fillId="36" borderId="14" xfId="0" applyFont="1" applyFill="1" applyBorder="1" applyAlignment="1">
      <alignment vertical="top" wrapText="1"/>
    </xf>
    <xf numFmtId="0" fontId="2" fillId="6" borderId="8" xfId="0" applyFont="1" applyFill="1" applyBorder="1" applyAlignment="1">
      <alignment horizontal="right"/>
    </xf>
    <xf numFmtId="0" fontId="4" fillId="6" borderId="0" xfId="0" applyFont="1" applyFill="1" applyBorder="1" applyAlignment="1">
      <alignment horizontal="right"/>
    </xf>
    <xf numFmtId="0" fontId="2" fillId="6" borderId="0" xfId="0" applyFont="1" applyFill="1" applyBorder="1" applyAlignment="1">
      <alignment horizontal="right"/>
    </xf>
    <xf numFmtId="169" fontId="23" fillId="22" borderId="41" xfId="0" applyNumberFormat="1" applyFont="1" applyFill="1" applyBorder="1" applyAlignment="1" applyProtection="1">
      <alignment horizontal="left" vertical="top"/>
      <protection locked="0"/>
    </xf>
    <xf numFmtId="169" fontId="23" fillId="17" borderId="41" xfId="0" applyNumberFormat="1" applyFont="1" applyFill="1" applyBorder="1" applyAlignment="1" applyProtection="1">
      <alignment horizontal="left" vertical="top"/>
      <protection locked="0"/>
    </xf>
    <xf numFmtId="0" fontId="23" fillId="36" borderId="14" xfId="0" applyFont="1" applyFill="1" applyBorder="1" applyAlignment="1">
      <alignment wrapText="1"/>
    </xf>
    <xf numFmtId="0" fontId="4" fillId="11" borderId="5" xfId="0" applyFont="1" applyFill="1" applyBorder="1"/>
    <xf numFmtId="0" fontId="23" fillId="30" borderId="14" xfId="0" applyFont="1" applyFill="1" applyBorder="1" applyAlignment="1">
      <alignment vertical="top"/>
    </xf>
    <xf numFmtId="0" fontId="23" fillId="30" borderId="46" xfId="0" applyFont="1" applyFill="1" applyBorder="1"/>
    <xf numFmtId="0" fontId="26" fillId="17" borderId="46" xfId="0" applyFont="1" applyFill="1" applyBorder="1" applyAlignment="1">
      <alignment vertical="top"/>
    </xf>
    <xf numFmtId="0" fontId="23" fillId="30" borderId="46" xfId="0" applyFont="1" applyFill="1" applyBorder="1" applyAlignment="1">
      <alignment wrapText="1"/>
    </xf>
    <xf numFmtId="168" fontId="0" fillId="14" borderId="14" xfId="0" applyNumberFormat="1" applyFill="1" applyBorder="1"/>
    <xf numFmtId="0" fontId="2" fillId="0" borderId="0" xfId="0" applyFont="1" applyFill="1" applyAlignment="1">
      <alignment vertical="top" wrapText="1"/>
    </xf>
    <xf numFmtId="0" fontId="2" fillId="0" borderId="2" xfId="0" applyFont="1" applyBorder="1"/>
    <xf numFmtId="0" fontId="2" fillId="0" borderId="0" xfId="0" applyFont="1" applyFill="1" applyAlignment="1">
      <alignment horizontal="left"/>
    </xf>
    <xf numFmtId="166" fontId="0" fillId="13" borderId="0" xfId="0" applyNumberFormat="1" applyFill="1"/>
    <xf numFmtId="165" fontId="0" fillId="13" borderId="0" xfId="0" applyNumberFormat="1" applyFill="1"/>
    <xf numFmtId="169" fontId="4" fillId="2" borderId="0" xfId="0" applyNumberFormat="1" applyFont="1" applyFill="1" applyAlignment="1">
      <alignment horizontal="right"/>
    </xf>
    <xf numFmtId="169" fontId="4" fillId="0" borderId="0" xfId="0" applyNumberFormat="1" applyFont="1" applyAlignment="1">
      <alignment horizontal="right"/>
    </xf>
    <xf numFmtId="164" fontId="0" fillId="13" borderId="0" xfId="0" applyNumberFormat="1" applyFill="1"/>
    <xf numFmtId="173" fontId="0" fillId="13" borderId="0" xfId="0" applyNumberFormat="1" applyFill="1"/>
    <xf numFmtId="0" fontId="3" fillId="4" borderId="0" xfId="0" applyFont="1" applyFill="1" applyBorder="1" applyAlignment="1">
      <alignment horizontal="center"/>
    </xf>
    <xf numFmtId="0" fontId="0" fillId="9" borderId="0" xfId="0" applyFill="1" applyBorder="1" applyAlignment="1">
      <alignment horizontal="right"/>
    </xf>
    <xf numFmtId="0" fontId="0" fillId="4" borderId="0" xfId="0" applyFill="1" applyBorder="1" applyAlignment="1">
      <alignment horizontal="center"/>
    </xf>
    <xf numFmtId="0" fontId="4" fillId="6" borderId="0" xfId="0" applyFont="1" applyFill="1" applyBorder="1" applyAlignment="1">
      <alignment horizontal="right"/>
    </xf>
    <xf numFmtId="0" fontId="0" fillId="6" borderId="0" xfId="0" applyFill="1" applyBorder="1" applyAlignment="1">
      <alignment horizontal="right"/>
    </xf>
    <xf numFmtId="0" fontId="4" fillId="4" borderId="0" xfId="0" applyFont="1" applyFill="1" applyBorder="1" applyAlignment="1">
      <alignment horizontal="right"/>
    </xf>
    <xf numFmtId="0" fontId="4" fillId="6" borderId="8" xfId="0" applyFont="1" applyFill="1" applyBorder="1" applyAlignment="1">
      <alignment horizontal="right"/>
    </xf>
    <xf numFmtId="0" fontId="2" fillId="6" borderId="0" xfId="0" applyFont="1" applyFill="1" applyBorder="1" applyAlignment="1">
      <alignment horizontal="right"/>
    </xf>
    <xf numFmtId="0" fontId="38" fillId="0" borderId="0" xfId="0" applyFont="1"/>
    <xf numFmtId="0" fontId="38" fillId="0" borderId="0" xfId="0" applyFont="1" applyAlignment="1">
      <alignment vertical="top"/>
    </xf>
    <xf numFmtId="169" fontId="23" fillId="22" borderId="14" xfId="0" applyNumberFormat="1" applyFont="1" applyFill="1" applyBorder="1" applyAlignment="1" applyProtection="1">
      <alignment horizontal="left" vertical="top"/>
      <protection locked="0"/>
    </xf>
    <xf numFmtId="169" fontId="23" fillId="17" borderId="14" xfId="0" applyNumberFormat="1" applyFont="1" applyFill="1" applyBorder="1" applyAlignment="1" applyProtection="1">
      <alignment horizontal="left" vertical="top"/>
      <protection locked="0"/>
    </xf>
    <xf numFmtId="170" fontId="23" fillId="22" borderId="14" xfId="0" applyNumberFormat="1" applyFont="1" applyFill="1" applyBorder="1" applyAlignment="1" applyProtection="1">
      <alignment horizontal="left" vertical="top"/>
      <protection locked="0"/>
    </xf>
    <xf numFmtId="170" fontId="23" fillId="17" borderId="14" xfId="0" applyNumberFormat="1" applyFont="1" applyFill="1" applyBorder="1" applyAlignment="1" applyProtection="1">
      <alignment horizontal="left" vertical="top"/>
      <protection locked="0"/>
    </xf>
    <xf numFmtId="168" fontId="2" fillId="14" borderId="14" xfId="0" applyNumberFormat="1" applyFont="1" applyFill="1" applyBorder="1"/>
    <xf numFmtId="0" fontId="4" fillId="13" borderId="14" xfId="0" applyFont="1" applyFill="1" applyBorder="1"/>
    <xf numFmtId="0" fontId="23" fillId="33" borderId="14" xfId="0" applyFont="1" applyFill="1" applyBorder="1" applyAlignment="1">
      <alignment vertical="top"/>
    </xf>
    <xf numFmtId="170" fontId="23" fillId="22" borderId="41" xfId="0" applyNumberFormat="1" applyFont="1" applyFill="1" applyBorder="1" applyAlignment="1" applyProtection="1">
      <alignment horizontal="left" vertical="top"/>
      <protection locked="0"/>
    </xf>
    <xf numFmtId="170" fontId="23" fillId="17" borderId="41" xfId="0" applyNumberFormat="1" applyFont="1" applyFill="1" applyBorder="1" applyAlignment="1" applyProtection="1">
      <alignment horizontal="left" vertical="top"/>
      <protection locked="0"/>
    </xf>
    <xf numFmtId="170" fontId="23" fillId="24" borderId="14" xfId="0" applyNumberFormat="1" applyFont="1" applyFill="1" applyBorder="1" applyAlignment="1" applyProtection="1">
      <alignment horizontal="left" vertical="top"/>
      <protection locked="0"/>
    </xf>
    <xf numFmtId="170" fontId="23" fillId="24" borderId="41" xfId="0" applyNumberFormat="1" applyFont="1" applyFill="1" applyBorder="1" applyAlignment="1" applyProtection="1">
      <alignment horizontal="left" vertical="top"/>
      <protection locked="0"/>
    </xf>
    <xf numFmtId="0" fontId="0" fillId="5" borderId="99" xfId="0" applyFill="1" applyBorder="1"/>
    <xf numFmtId="0" fontId="36" fillId="19" borderId="41" xfId="0" applyFont="1" applyFill="1" applyBorder="1" applyAlignment="1">
      <alignment vertical="top"/>
    </xf>
    <xf numFmtId="167" fontId="0" fillId="13" borderId="0" xfId="0" applyNumberFormat="1" applyFill="1"/>
    <xf numFmtId="170" fontId="0" fillId="13" borderId="0" xfId="0" applyNumberFormat="1" applyFill="1"/>
    <xf numFmtId="0" fontId="14" fillId="0" borderId="0" xfId="6" applyFont="1"/>
    <xf numFmtId="0" fontId="23" fillId="36" borderId="14" xfId="0" applyFont="1" applyFill="1" applyBorder="1" applyAlignment="1">
      <alignment vertical="top"/>
    </xf>
    <xf numFmtId="0" fontId="23" fillId="36" borderId="4" xfId="0" applyFont="1" applyFill="1" applyBorder="1" applyAlignment="1">
      <alignment vertical="top"/>
    </xf>
    <xf numFmtId="0" fontId="23" fillId="36" borderId="41" xfId="0" applyFont="1" applyFill="1" applyBorder="1" applyAlignment="1">
      <alignment vertical="top"/>
    </xf>
    <xf numFmtId="0" fontId="23" fillId="36" borderId="41" xfId="0" applyFont="1" applyFill="1" applyBorder="1" applyAlignment="1">
      <alignment vertical="top" wrapText="1"/>
    </xf>
    <xf numFmtId="174" fontId="0" fillId="13" borderId="0" xfId="0" applyNumberFormat="1" applyFill="1"/>
    <xf numFmtId="0" fontId="0" fillId="11" borderId="0" xfId="0" applyFill="1"/>
    <xf numFmtId="172" fontId="0" fillId="14" borderId="14" xfId="1" applyNumberFormat="1" applyFont="1" applyFill="1" applyBorder="1"/>
    <xf numFmtId="170" fontId="0" fillId="14" borderId="14" xfId="0" applyNumberFormat="1" applyFill="1" applyBorder="1"/>
    <xf numFmtId="170" fontId="4" fillId="5" borderId="14" xfId="0" applyNumberFormat="1" applyFont="1" applyFill="1" applyBorder="1"/>
    <xf numFmtId="1" fontId="23" fillId="22" borderId="57" xfId="0" applyNumberFormat="1" applyFont="1" applyFill="1" applyBorder="1" applyAlignment="1" applyProtection="1">
      <alignment horizontal="left" vertical="top"/>
      <protection locked="0"/>
    </xf>
    <xf numFmtId="1" fontId="23" fillId="17" borderId="57" xfId="0" applyNumberFormat="1" applyFont="1" applyFill="1" applyBorder="1" applyAlignment="1" applyProtection="1">
      <alignment horizontal="left" vertical="top"/>
      <protection locked="0"/>
    </xf>
    <xf numFmtId="167" fontId="23" fillId="22" borderId="14" xfId="0" applyNumberFormat="1" applyFont="1" applyFill="1" applyBorder="1" applyAlignment="1" applyProtection="1">
      <alignment horizontal="left" vertical="top"/>
      <protection locked="0"/>
    </xf>
    <xf numFmtId="167" fontId="23" fillId="17" borderId="14" xfId="0" applyNumberFormat="1" applyFont="1" applyFill="1" applyBorder="1" applyAlignment="1" applyProtection="1">
      <alignment horizontal="left" vertical="top"/>
      <protection locked="0"/>
    </xf>
    <xf numFmtId="0" fontId="4" fillId="8" borderId="23" xfId="0" applyFont="1" applyFill="1" applyBorder="1"/>
    <xf numFmtId="0" fontId="23" fillId="29" borderId="26" xfId="0" applyFont="1" applyFill="1" applyBorder="1" applyAlignment="1">
      <alignment vertical="top" wrapText="1"/>
    </xf>
    <xf numFmtId="0" fontId="2" fillId="10" borderId="44" xfId="0" applyFont="1" applyFill="1" applyBorder="1"/>
    <xf numFmtId="0" fontId="3" fillId="0" borderId="2" xfId="0" applyFont="1" applyFill="1" applyBorder="1"/>
    <xf numFmtId="2" fontId="2" fillId="4" borderId="60" xfId="0" applyNumberFormat="1" applyFont="1" applyFill="1" applyBorder="1"/>
    <xf numFmtId="0" fontId="0" fillId="9" borderId="0" xfId="0" applyFill="1" applyBorder="1" applyAlignment="1">
      <alignment horizontal="right"/>
    </xf>
    <xf numFmtId="0" fontId="2" fillId="9" borderId="0" xfId="0" applyFont="1" applyFill="1" applyBorder="1" applyAlignment="1">
      <alignment horizontal="right"/>
    </xf>
    <xf numFmtId="0" fontId="4" fillId="9" borderId="0" xfId="0" applyFont="1" applyFill="1" applyBorder="1" applyAlignment="1">
      <alignment horizontal="right"/>
    </xf>
    <xf numFmtId="0" fontId="23" fillId="29" borderId="55" xfId="0" applyFont="1" applyFill="1" applyBorder="1" applyAlignment="1">
      <alignment vertical="top"/>
    </xf>
    <xf numFmtId="0" fontId="23" fillId="29" borderId="25" xfId="0" applyFont="1" applyFill="1" applyBorder="1" applyAlignment="1">
      <alignment vertical="top"/>
    </xf>
    <xf numFmtId="0" fontId="23" fillId="29" borderId="45" xfId="0" applyFont="1" applyFill="1" applyBorder="1" applyAlignment="1">
      <alignment vertical="top"/>
    </xf>
    <xf numFmtId="0" fontId="2" fillId="9" borderId="0" xfId="0" applyFont="1" applyFill="1" applyBorder="1"/>
    <xf numFmtId="1" fontId="4" fillId="14" borderId="14" xfId="0" applyNumberFormat="1" applyFont="1" applyFill="1" applyBorder="1" applyAlignment="1">
      <alignment horizontal="right"/>
    </xf>
    <xf numFmtId="2" fontId="0" fillId="14" borderId="14" xfId="0" applyNumberFormat="1" applyFill="1" applyBorder="1"/>
    <xf numFmtId="0" fontId="0" fillId="9" borderId="0" xfId="0" applyFill="1" applyAlignment="1">
      <alignment horizontal="right"/>
    </xf>
    <xf numFmtId="0" fontId="2" fillId="9" borderId="17" xfId="0" applyFont="1" applyFill="1" applyBorder="1" applyAlignment="1">
      <alignment horizontal="right"/>
    </xf>
    <xf numFmtId="0" fontId="2" fillId="9" borderId="18" xfId="0" applyFont="1" applyFill="1" applyBorder="1"/>
    <xf numFmtId="0" fontId="2" fillId="11" borderId="2" xfId="0" applyFont="1" applyFill="1" applyBorder="1" applyAlignment="1">
      <alignment horizontal="left"/>
    </xf>
    <xf numFmtId="2" fontId="2" fillId="9" borderId="60" xfId="0" applyNumberFormat="1" applyFont="1" applyFill="1" applyBorder="1"/>
    <xf numFmtId="0" fontId="3" fillId="9" borderId="8" xfId="0" applyFont="1" applyFill="1" applyBorder="1"/>
    <xf numFmtId="0" fontId="6" fillId="9" borderId="44" xfId="0" applyFont="1" applyFill="1" applyBorder="1"/>
    <xf numFmtId="0" fontId="6" fillId="9" borderId="14" xfId="0" applyFont="1" applyFill="1" applyBorder="1"/>
    <xf numFmtId="0" fontId="6" fillId="9" borderId="1" xfId="0" applyFont="1" applyFill="1" applyBorder="1"/>
    <xf numFmtId="2" fontId="4" fillId="9" borderId="60" xfId="0" applyNumberFormat="1" applyFont="1" applyFill="1" applyBorder="1"/>
    <xf numFmtId="0" fontId="6" fillId="9" borderId="8" xfId="0" applyFont="1" applyFill="1" applyBorder="1"/>
    <xf numFmtId="0" fontId="2" fillId="9" borderId="8" xfId="0" applyFont="1" applyFill="1" applyBorder="1"/>
    <xf numFmtId="0" fontId="2" fillId="10" borderId="23" xfId="0" applyFont="1" applyFill="1" applyBorder="1"/>
    <xf numFmtId="1" fontId="0" fillId="10" borderId="4" xfId="0" applyNumberFormat="1" applyFill="1" applyBorder="1"/>
    <xf numFmtId="0" fontId="2" fillId="10" borderId="7" xfId="0" applyFont="1" applyFill="1" applyBorder="1"/>
    <xf numFmtId="1" fontId="0" fillId="10" borderId="3" xfId="0" applyNumberFormat="1" applyFill="1" applyBorder="1"/>
    <xf numFmtId="0" fontId="2" fillId="10" borderId="5" xfId="0" applyFont="1" applyFill="1" applyBorder="1"/>
    <xf numFmtId="2" fontId="0" fillId="10" borderId="3" xfId="0" applyNumberFormat="1" applyFill="1" applyBorder="1"/>
    <xf numFmtId="0" fontId="2" fillId="0" borderId="2" xfId="0" applyFont="1" applyFill="1" applyBorder="1"/>
    <xf numFmtId="2" fontId="4" fillId="9" borderId="11" xfId="0" applyNumberFormat="1" applyFont="1" applyFill="1" applyBorder="1"/>
    <xf numFmtId="0" fontId="3" fillId="0" borderId="8" xfId="0" applyFont="1" applyFill="1" applyBorder="1"/>
    <xf numFmtId="0" fontId="3" fillId="4" borderId="0" xfId="0" applyFont="1" applyFill="1" applyBorder="1" applyAlignment="1">
      <alignment horizontal="center"/>
    </xf>
    <xf numFmtId="0" fontId="0" fillId="6" borderId="0" xfId="0" applyFill="1" applyBorder="1" applyAlignment="1">
      <alignment horizontal="right"/>
    </xf>
    <xf numFmtId="0" fontId="0" fillId="11" borderId="8" xfId="0" applyFill="1" applyBorder="1" applyAlignment="1">
      <alignment horizontal="right"/>
    </xf>
    <xf numFmtId="0" fontId="33" fillId="4" borderId="74" xfId="0" applyFont="1" applyFill="1" applyBorder="1" applyAlignment="1">
      <alignment vertical="top"/>
    </xf>
    <xf numFmtId="0" fontId="33" fillId="4" borderId="74" xfId="0" applyFont="1" applyFill="1" applyBorder="1" applyAlignment="1">
      <alignment horizontal="center" vertical="top" wrapText="1"/>
    </xf>
    <xf numFmtId="0" fontId="31" fillId="4" borderId="25" xfId="0" applyFont="1" applyFill="1" applyBorder="1" applyAlignment="1">
      <alignment vertical="top" wrapText="1"/>
    </xf>
    <xf numFmtId="0" fontId="33" fillId="34" borderId="4" xfId="0" applyFont="1" applyFill="1" applyBorder="1" applyAlignment="1">
      <alignment vertical="top"/>
    </xf>
    <xf numFmtId="0" fontId="31" fillId="10" borderId="2" xfId="0" applyFont="1" applyFill="1" applyBorder="1" applyAlignment="1">
      <alignment vertical="top" wrapText="1"/>
    </xf>
    <xf numFmtId="0" fontId="25" fillId="9" borderId="0" xfId="0" applyFont="1" applyFill="1" applyAlignment="1">
      <alignment horizontal="center"/>
    </xf>
    <xf numFmtId="0" fontId="23" fillId="10" borderId="62" xfId="0" applyFont="1" applyFill="1" applyBorder="1" applyAlignment="1">
      <alignment horizontal="center" vertical="top" wrapText="1"/>
    </xf>
    <xf numFmtId="0" fontId="23" fillId="10" borderId="72" xfId="0" applyFont="1" applyFill="1" applyBorder="1" applyAlignment="1">
      <alignment horizontal="center" vertical="top" wrapText="1"/>
    </xf>
    <xf numFmtId="0" fontId="23" fillId="10" borderId="80" xfId="0" applyFont="1" applyFill="1" applyBorder="1" applyAlignment="1">
      <alignment horizontal="center" vertical="top" wrapText="1"/>
    </xf>
    <xf numFmtId="0" fontId="37" fillId="4" borderId="14" xfId="0" applyFont="1" applyFill="1" applyBorder="1" applyAlignment="1">
      <alignment horizontal="left" vertical="top"/>
    </xf>
    <xf numFmtId="0" fontId="31" fillId="35" borderId="14" xfId="0" applyFont="1" applyFill="1" applyBorder="1" applyAlignment="1">
      <alignment horizontal="center" vertical="top"/>
    </xf>
    <xf numFmtId="0" fontId="23" fillId="19" borderId="73" xfId="0" applyFont="1" applyFill="1" applyBorder="1" applyAlignment="1">
      <alignment vertical="top" wrapText="1"/>
    </xf>
    <xf numFmtId="0" fontId="23" fillId="37" borderId="48" xfId="0" applyFont="1" applyFill="1" applyBorder="1" applyAlignment="1">
      <alignment vertical="top"/>
    </xf>
    <xf numFmtId="0" fontId="23" fillId="37" borderId="4" xfId="0" applyFont="1" applyFill="1" applyBorder="1" applyAlignment="1">
      <alignment vertical="top"/>
    </xf>
    <xf numFmtId="0" fontId="23" fillId="37" borderId="41" xfId="0" applyFont="1" applyFill="1" applyBorder="1" applyAlignment="1">
      <alignment vertical="top"/>
    </xf>
    <xf numFmtId="0" fontId="26" fillId="4" borderId="41" xfId="0" applyFont="1" applyFill="1" applyBorder="1" applyAlignment="1">
      <alignment vertical="top"/>
    </xf>
    <xf numFmtId="1" fontId="23" fillId="0" borderId="41" xfId="0" applyNumberFormat="1" applyFont="1" applyFill="1" applyBorder="1" applyAlignment="1" applyProtection="1">
      <alignment horizontal="left" vertical="top"/>
      <protection locked="0"/>
    </xf>
    <xf numFmtId="2" fontId="23" fillId="0" borderId="41" xfId="0" applyNumberFormat="1" applyFont="1" applyFill="1" applyBorder="1" applyAlignment="1" applyProtection="1">
      <alignment horizontal="left" vertical="top"/>
      <protection locked="0"/>
    </xf>
    <xf numFmtId="0" fontId="23" fillId="37" borderId="41" xfId="0" applyFont="1" applyFill="1" applyBorder="1" applyAlignment="1">
      <alignment wrapText="1"/>
    </xf>
    <xf numFmtId="0" fontId="23" fillId="37" borderId="41" xfId="0" applyFont="1" applyFill="1" applyBorder="1" applyAlignment="1">
      <alignment horizontal="left" wrapText="1"/>
    </xf>
    <xf numFmtId="0" fontId="23" fillId="37" borderId="14" xfId="0" applyFont="1" applyFill="1" applyBorder="1" applyAlignment="1">
      <alignment wrapText="1"/>
    </xf>
    <xf numFmtId="170" fontId="23" fillId="0" borderId="41" xfId="0" applyNumberFormat="1" applyFont="1" applyFill="1" applyBorder="1" applyAlignment="1" applyProtection="1">
      <alignment horizontal="left" vertical="top"/>
      <protection locked="0"/>
    </xf>
    <xf numFmtId="0" fontId="23" fillId="38" borderId="60" xfId="0" applyFont="1" applyFill="1" applyBorder="1" applyAlignment="1">
      <alignment vertical="top"/>
    </xf>
    <xf numFmtId="0" fontId="23" fillId="38" borderId="14" xfId="0" applyFont="1" applyFill="1" applyBorder="1" applyAlignment="1">
      <alignment vertical="top"/>
    </xf>
    <xf numFmtId="0" fontId="26" fillId="4" borderId="14" xfId="0" applyFont="1" applyFill="1" applyBorder="1" applyAlignment="1">
      <alignment vertical="top"/>
    </xf>
    <xf numFmtId="1" fontId="23" fillId="0" borderId="14" xfId="0" applyNumberFormat="1" applyFont="1" applyFill="1" applyBorder="1" applyAlignment="1" applyProtection="1">
      <alignment horizontal="left" vertical="top"/>
      <protection locked="0"/>
    </xf>
    <xf numFmtId="0" fontId="23" fillId="38" borderId="61" xfId="0" applyFont="1" applyFill="1" applyBorder="1" applyAlignment="1">
      <alignment vertical="top" wrapText="1"/>
    </xf>
    <xf numFmtId="0" fontId="26" fillId="0" borderId="14" xfId="0" applyFont="1" applyFill="1" applyBorder="1" applyAlignment="1">
      <alignment vertical="top"/>
    </xf>
    <xf numFmtId="0" fontId="0" fillId="13" borderId="14" xfId="0" applyFill="1" applyBorder="1" applyAlignment="1">
      <alignment horizontal="center"/>
    </xf>
    <xf numFmtId="0" fontId="2" fillId="4" borderId="0" xfId="0" applyFont="1" applyFill="1" applyBorder="1" applyAlignment="1">
      <alignment horizontal="left"/>
    </xf>
    <xf numFmtId="0" fontId="2" fillId="13" borderId="14" xfId="0" applyFont="1" applyFill="1" applyBorder="1" applyAlignment="1">
      <alignment horizontal="right"/>
    </xf>
    <xf numFmtId="0" fontId="0" fillId="5" borderId="100" xfId="0" applyFill="1" applyBorder="1"/>
    <xf numFmtId="0" fontId="2" fillId="5" borderId="67" xfId="0" applyFont="1" applyFill="1" applyBorder="1"/>
    <xf numFmtId="0" fontId="22" fillId="5" borderId="64" xfId="0" applyFont="1" applyFill="1" applyBorder="1"/>
    <xf numFmtId="0" fontId="2" fillId="11" borderId="3" xfId="0" applyFont="1" applyFill="1" applyBorder="1" applyAlignment="1">
      <alignment horizontal="right"/>
    </xf>
    <xf numFmtId="3" fontId="0" fillId="13" borderId="14" xfId="0" applyNumberFormat="1" applyFill="1" applyBorder="1"/>
    <xf numFmtId="172" fontId="0" fillId="14" borderId="2" xfId="1" applyNumberFormat="1" applyFont="1" applyFill="1" applyBorder="1"/>
    <xf numFmtId="3" fontId="0" fillId="8" borderId="2" xfId="0" applyNumberFormat="1" applyFill="1" applyBorder="1"/>
    <xf numFmtId="170" fontId="0" fillId="8" borderId="2" xfId="0" applyNumberFormat="1" applyFill="1" applyBorder="1"/>
    <xf numFmtId="170" fontId="0" fillId="8" borderId="2" xfId="0" applyNumberFormat="1" applyFill="1" applyBorder="1" applyAlignment="1">
      <alignment horizontal="right"/>
    </xf>
    <xf numFmtId="170" fontId="0" fillId="14" borderId="2" xfId="0" applyNumberFormat="1" applyFill="1" applyBorder="1" applyAlignment="1">
      <alignment horizontal="right"/>
    </xf>
    <xf numFmtId="3" fontId="0" fillId="14" borderId="2" xfId="0" applyNumberFormat="1" applyFill="1" applyBorder="1"/>
    <xf numFmtId="0" fontId="2" fillId="0" borderId="0" xfId="0" applyFont="1" applyAlignment="1">
      <alignment horizontal="left"/>
    </xf>
    <xf numFmtId="165" fontId="0" fillId="3" borderId="0" xfId="0" applyNumberFormat="1" applyFill="1" applyAlignment="1">
      <alignment horizontal="right"/>
    </xf>
    <xf numFmtId="168" fontId="0" fillId="0" borderId="0" xfId="0" applyNumberFormat="1" applyFill="1" applyAlignment="1">
      <alignment horizontal="right"/>
    </xf>
    <xf numFmtId="173" fontId="0" fillId="0" borderId="0" xfId="0" applyNumberFormat="1" applyFill="1" applyAlignment="1">
      <alignment horizontal="right"/>
    </xf>
    <xf numFmtId="174" fontId="0" fillId="0" borderId="0" xfId="0" applyNumberFormat="1" applyFill="1" applyAlignment="1">
      <alignment horizontal="right"/>
    </xf>
    <xf numFmtId="167" fontId="0" fillId="14" borderId="0" xfId="0" applyNumberFormat="1" applyFill="1" applyAlignment="1">
      <alignment horizontal="right"/>
    </xf>
    <xf numFmtId="0" fontId="40" fillId="0" borderId="0" xfId="0" applyFont="1" applyAlignment="1">
      <alignment horizontal="left" vertical="center" readingOrder="1"/>
    </xf>
    <xf numFmtId="0" fontId="0" fillId="4" borderId="17" xfId="0" applyFill="1" applyBorder="1" applyAlignment="1">
      <alignment horizontal="center"/>
    </xf>
    <xf numFmtId="0" fontId="0" fillId="4" borderId="0" xfId="0" applyFill="1" applyBorder="1" applyAlignment="1">
      <alignment horizontal="center"/>
    </xf>
    <xf numFmtId="0" fontId="0" fillId="4" borderId="18" xfId="0" applyFill="1" applyBorder="1" applyAlignment="1">
      <alignment horizontal="center"/>
    </xf>
    <xf numFmtId="0" fontId="3" fillId="4" borderId="17" xfId="0" applyFont="1" applyFill="1" applyBorder="1" applyAlignment="1">
      <alignment horizontal="center"/>
    </xf>
    <xf numFmtId="0" fontId="3" fillId="4" borderId="0" xfId="0" applyFont="1" applyFill="1" applyBorder="1" applyAlignment="1">
      <alignment horizontal="center"/>
    </xf>
    <xf numFmtId="0" fontId="3" fillId="4" borderId="18" xfId="0" applyFont="1" applyFill="1" applyBorder="1" applyAlignment="1">
      <alignment horizontal="center"/>
    </xf>
    <xf numFmtId="0" fontId="3" fillId="9" borderId="17" xfId="0" applyFont="1" applyFill="1" applyBorder="1" applyAlignment="1">
      <alignment horizontal="center"/>
    </xf>
    <xf numFmtId="0" fontId="3" fillId="9" borderId="0" xfId="0" applyFont="1" applyFill="1" applyBorder="1" applyAlignment="1">
      <alignment horizontal="center"/>
    </xf>
    <xf numFmtId="0" fontId="3" fillId="9" borderId="18" xfId="0" applyFont="1" applyFill="1" applyBorder="1" applyAlignment="1">
      <alignment horizontal="center"/>
    </xf>
    <xf numFmtId="0" fontId="4" fillId="4" borderId="17" xfId="0" applyFont="1" applyFill="1" applyBorder="1" applyAlignment="1">
      <alignment horizontal="right"/>
    </xf>
    <xf numFmtId="0" fontId="0" fillId="9" borderId="0" xfId="0" applyFill="1" applyBorder="1" applyAlignment="1">
      <alignment horizontal="right"/>
    </xf>
    <xf numFmtId="0" fontId="0" fillId="4" borderId="2" xfId="0" applyFill="1" applyBorder="1" applyAlignment="1">
      <alignment horizontal="right"/>
    </xf>
    <xf numFmtId="0" fontId="2" fillId="6" borderId="8" xfId="0" applyFont="1" applyFill="1" applyBorder="1" applyAlignment="1">
      <alignment horizontal="right"/>
    </xf>
    <xf numFmtId="0" fontId="4" fillId="6" borderId="0" xfId="0" applyFont="1" applyFill="1" applyBorder="1" applyAlignment="1">
      <alignment horizontal="right"/>
    </xf>
    <xf numFmtId="0" fontId="0" fillId="6" borderId="0" xfId="0" applyFill="1" applyBorder="1" applyAlignment="1">
      <alignment horizontal="right"/>
    </xf>
    <xf numFmtId="0" fontId="0" fillId="6" borderId="2" xfId="0" applyFill="1" applyBorder="1" applyAlignment="1">
      <alignment horizontal="right"/>
    </xf>
    <xf numFmtId="0" fontId="4" fillId="4" borderId="0" xfId="0" applyFont="1" applyFill="1" applyBorder="1" applyAlignment="1">
      <alignment horizontal="right"/>
    </xf>
    <xf numFmtId="0" fontId="4" fillId="4" borderId="2" xfId="0" applyFont="1" applyFill="1" applyBorder="1" applyAlignment="1">
      <alignment horizontal="right"/>
    </xf>
    <xf numFmtId="0" fontId="0" fillId="4" borderId="17" xfId="0" applyFill="1" applyBorder="1" applyAlignment="1">
      <alignment horizontal="right"/>
    </xf>
    <xf numFmtId="0" fontId="0" fillId="4" borderId="0" xfId="0" applyFill="1" applyAlignment="1"/>
    <xf numFmtId="0" fontId="0" fillId="4" borderId="2" xfId="0" applyFill="1" applyBorder="1" applyAlignment="1"/>
    <xf numFmtId="0" fontId="0" fillId="0" borderId="0" xfId="0" applyBorder="1" applyAlignment="1">
      <alignment horizontal="center"/>
    </xf>
    <xf numFmtId="0" fontId="0" fillId="0" borderId="18" xfId="0" applyBorder="1" applyAlignment="1">
      <alignment horizontal="center"/>
    </xf>
    <xf numFmtId="0" fontId="0" fillId="11" borderId="8" xfId="0" applyFill="1" applyBorder="1" applyAlignment="1">
      <alignment horizontal="right"/>
    </xf>
    <xf numFmtId="0" fontId="0" fillId="11" borderId="2" xfId="0" applyFill="1" applyBorder="1" applyAlignment="1">
      <alignment horizontal="right"/>
    </xf>
    <xf numFmtId="0" fontId="2" fillId="4" borderId="17" xfId="0" applyFont="1" applyFill="1" applyBorder="1" applyAlignment="1">
      <alignment horizontal="right"/>
    </xf>
    <xf numFmtId="0" fontId="2" fillId="9" borderId="0" xfId="0" applyFont="1" applyFill="1" applyBorder="1" applyAlignment="1">
      <alignment horizontal="right"/>
    </xf>
    <xf numFmtId="0" fontId="2" fillId="9" borderId="2" xfId="0" applyFont="1" applyFill="1" applyBorder="1" applyAlignment="1">
      <alignment horizontal="right"/>
    </xf>
    <xf numFmtId="0" fontId="4" fillId="9" borderId="0" xfId="0" applyFont="1" applyFill="1" applyBorder="1" applyAlignment="1">
      <alignment horizontal="right"/>
    </xf>
    <xf numFmtId="0" fontId="2" fillId="6" borderId="0" xfId="0" applyFont="1" applyFill="1" applyBorder="1" applyAlignment="1">
      <alignment horizontal="right"/>
    </xf>
    <xf numFmtId="2" fontId="14" fillId="0" borderId="0" xfId="3" applyNumberFormat="1" applyFont="1" applyFill="1" applyAlignment="1">
      <alignment horizontal="center"/>
    </xf>
    <xf numFmtId="2" fontId="14" fillId="0" borderId="0" xfId="0" applyNumberFormat="1" applyFont="1" applyFill="1" applyAlignment="1">
      <alignment horizontal="center"/>
    </xf>
    <xf numFmtId="2" fontId="14" fillId="0" borderId="0" xfId="6" applyNumberFormat="1" applyFont="1" applyFill="1" applyAlignment="1">
      <alignment horizontal="center"/>
    </xf>
  </cellXfs>
  <cellStyles count="7">
    <cellStyle name="Comma" xfId="1" builtinId="3"/>
    <cellStyle name="Hyperlink" xfId="2" builtinId="8"/>
    <cellStyle name="Normal" xfId="0" builtinId="0"/>
    <cellStyle name="Normal 2" xfId="3"/>
    <cellStyle name="Normal 2 2" xfId="4"/>
    <cellStyle name="Normal 2 3" xfId="6"/>
    <cellStyle name="Normal 6" xf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6666"/>
      <rgbColor rgb="0099CCFF"/>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99FF99"/>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6666"/>
      <color rgb="FF99CCFF"/>
      <color rgb="FFFFFF99"/>
      <color rgb="FFCCFFCC"/>
      <color rgb="FF99FF99"/>
      <color rgb="FF92D050"/>
      <color rgb="FFFFCC66"/>
      <color rgb="FFB3BCCA"/>
      <color rgb="FFFF5050"/>
      <color rgb="FF6666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latin typeface="Arial" pitchFamily="34" charset="0"/>
                <a:cs typeface="Arial" pitchFamily="34" charset="0"/>
              </a:defRPr>
            </a:pPr>
            <a:r>
              <a:rPr lang="en-GB" sz="120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8.4963402469154722E-2"/>
          <c:y val="0.14314048581765329"/>
          <c:w val="0.89675797753802355"/>
          <c:h val="0.37269408891456518"/>
        </c:manualLayout>
      </c:layout>
      <c:barChart>
        <c:barDir val="bar"/>
        <c:grouping val="percentStacked"/>
        <c:varyColors val="0"/>
        <c:ser>
          <c:idx val="0"/>
          <c:order val="0"/>
          <c:tx>
            <c:strRef>
              <c:f>SummaryEtEnergy!$A$13</c:f>
              <c:strCache>
                <c:ptCount val="1"/>
                <c:pt idx="0">
                  <c:v>Cultivation</c:v>
                </c:pt>
              </c:strCache>
            </c:strRef>
          </c:tx>
          <c:spPr>
            <a:solidFill>
              <a:srgbClr val="336600"/>
            </a:solidFill>
            <a:ln>
              <a:solidFill>
                <a:schemeClr val="tx1"/>
              </a:solidFill>
            </a:ln>
          </c:spPr>
          <c:invertIfNegative val="0"/>
          <c:cat>
            <c:strRef>
              <c:f>(SummaryEtEnergy!$B$11,SummaryEtEnergy!$F$11)</c:f>
              <c:strCache>
                <c:ptCount val="2"/>
                <c:pt idx="0">
                  <c:v>Primary Energy Inputs</c:v>
                </c:pt>
                <c:pt idx="1">
                  <c:v>Total Greenhouse Gas Emissions</c:v>
                </c:pt>
              </c:strCache>
            </c:strRef>
          </c:cat>
          <c:val>
            <c:numRef>
              <c:f>(SummaryEtEnergy!$B$13,SummaryEtEnergy!$F$13)</c:f>
              <c:numCache>
                <c:formatCode>0</c:formatCode>
                <c:ptCount val="2"/>
                <c:pt idx="0">
                  <c:v>8309.899498278497</c:v>
                </c:pt>
                <c:pt idx="1">
                  <c:v>1032.8402446087837</c:v>
                </c:pt>
              </c:numCache>
            </c:numRef>
          </c:val>
        </c:ser>
        <c:ser>
          <c:idx val="4"/>
          <c:order val="1"/>
          <c:tx>
            <c:strRef>
              <c:f>SummaryEtEnergy!$A$14</c:f>
              <c:strCache>
                <c:ptCount val="1"/>
                <c:pt idx="0">
                  <c:v>Transport to Plant (Stage 1)</c:v>
                </c:pt>
              </c:strCache>
            </c:strRef>
          </c:tx>
          <c:spPr>
            <a:solidFill>
              <a:srgbClr val="000000"/>
            </a:solidFill>
            <a:ln>
              <a:solidFill>
                <a:schemeClr val="tx1"/>
              </a:solidFill>
            </a:ln>
          </c:spPr>
          <c:invertIfNegative val="0"/>
          <c:cat>
            <c:strRef>
              <c:f>(SummaryEtEnergy!$B$11,SummaryEtEnergy!$F$11)</c:f>
              <c:strCache>
                <c:ptCount val="2"/>
                <c:pt idx="0">
                  <c:v>Primary Energy Inputs</c:v>
                </c:pt>
                <c:pt idx="1">
                  <c:v>Total Greenhouse Gas Emissions</c:v>
                </c:pt>
              </c:strCache>
            </c:strRef>
          </c:cat>
          <c:val>
            <c:numRef>
              <c:f>(SummaryEtEnergy!$B$14,SummaryEtEnergy!$F$14)</c:f>
              <c:numCache>
                <c:formatCode>0</c:formatCode>
                <c:ptCount val="2"/>
                <c:pt idx="0">
                  <c:v>601.53586980511921</c:v>
                </c:pt>
                <c:pt idx="1">
                  <c:v>46.824942421527133</c:v>
                </c:pt>
              </c:numCache>
            </c:numRef>
          </c:val>
        </c:ser>
        <c:ser>
          <c:idx val="1"/>
          <c:order val="2"/>
          <c:tx>
            <c:strRef>
              <c:f>SummaryEtEnergy!$A$15</c:f>
              <c:strCache>
                <c:ptCount val="1"/>
                <c:pt idx="0">
                  <c:v>Transport to Plant (Stage 2)</c:v>
                </c:pt>
              </c:strCache>
            </c:strRef>
          </c:tx>
          <c:spPr>
            <a:solidFill>
              <a:srgbClr val="3B3B3B"/>
            </a:solidFill>
            <a:ln>
              <a:solidFill>
                <a:schemeClr val="tx1"/>
              </a:solidFill>
            </a:ln>
          </c:spPr>
          <c:invertIfNegative val="0"/>
          <c:val>
            <c:numRef>
              <c:f>(SummaryEtEnergy!$B$15,SummaryEtEnergy!$F$15)</c:f>
              <c:numCache>
                <c:formatCode>0</c:formatCode>
                <c:ptCount val="2"/>
                <c:pt idx="0">
                  <c:v>0</c:v>
                </c:pt>
                <c:pt idx="1">
                  <c:v>0</c:v>
                </c:pt>
              </c:numCache>
            </c:numRef>
          </c:val>
        </c:ser>
        <c:ser>
          <c:idx val="5"/>
          <c:order val="3"/>
          <c:tx>
            <c:strRef>
              <c:f>SummaryEtEnergy!$A$16</c:f>
              <c:strCache>
                <c:ptCount val="1"/>
                <c:pt idx="0">
                  <c:v>Biomass Milling</c:v>
                </c:pt>
              </c:strCache>
            </c:strRef>
          </c:tx>
          <c:spPr>
            <a:solidFill>
              <a:srgbClr val="641E1E"/>
            </a:solidFill>
            <a:ln>
              <a:solidFill>
                <a:schemeClr val="tx1"/>
              </a:solidFill>
            </a:ln>
          </c:spPr>
          <c:invertIfNegative val="0"/>
          <c:val>
            <c:numRef>
              <c:f>(SummaryEtEnergy!$B$16,SummaryEtEnergy!$F$16)</c:f>
              <c:numCache>
                <c:formatCode>0</c:formatCode>
                <c:ptCount val="2"/>
                <c:pt idx="0">
                  <c:v>0</c:v>
                </c:pt>
                <c:pt idx="1">
                  <c:v>0.55780798692669165</c:v>
                </c:pt>
              </c:numCache>
            </c:numRef>
          </c:val>
        </c:ser>
        <c:ser>
          <c:idx val="8"/>
          <c:order val="4"/>
          <c:tx>
            <c:strRef>
              <c:f>SummaryEtEnergy!$A$17</c:f>
              <c:strCache>
                <c:ptCount val="1"/>
                <c:pt idx="0">
                  <c:v>Pre-Treatment, Enzyme Production and Enzymatic Hydrolysis</c:v>
                </c:pt>
              </c:strCache>
            </c:strRef>
          </c:tx>
          <c:spPr>
            <a:solidFill>
              <a:srgbClr val="FFFFCC"/>
            </a:solidFill>
            <a:ln>
              <a:solidFill>
                <a:schemeClr val="tx1"/>
              </a:solidFill>
            </a:ln>
          </c:spPr>
          <c:invertIfNegative val="0"/>
          <c:val>
            <c:numRef>
              <c:f>(SummaryEtEnergy!$B$17,SummaryEtEnergy!$F$17)</c:f>
              <c:numCache>
                <c:formatCode>0</c:formatCode>
                <c:ptCount val="2"/>
                <c:pt idx="0">
                  <c:v>7672.8025191554007</c:v>
                </c:pt>
                <c:pt idx="1">
                  <c:v>539.27419031703187</c:v>
                </c:pt>
              </c:numCache>
            </c:numRef>
          </c:val>
        </c:ser>
        <c:ser>
          <c:idx val="6"/>
          <c:order val="5"/>
          <c:tx>
            <c:strRef>
              <c:f>SummaryEtEnergy!$A$18</c:f>
              <c:strCache>
                <c:ptCount val="1"/>
                <c:pt idx="0">
                  <c:v>Fermentation</c:v>
                </c:pt>
              </c:strCache>
            </c:strRef>
          </c:tx>
          <c:spPr>
            <a:solidFill>
              <a:srgbClr val="FF9900"/>
            </a:solidFill>
            <a:ln>
              <a:solidFill>
                <a:schemeClr val="tx1"/>
              </a:solidFill>
            </a:ln>
          </c:spPr>
          <c:invertIfNegative val="0"/>
          <c:val>
            <c:numRef>
              <c:f>(SummaryEtEnergy!$B$18,SummaryEtEnergy!$F$18)</c:f>
              <c:numCache>
                <c:formatCode>0</c:formatCode>
                <c:ptCount val="2"/>
                <c:pt idx="0">
                  <c:v>0</c:v>
                </c:pt>
                <c:pt idx="1">
                  <c:v>3.78804705882353E-2</c:v>
                </c:pt>
              </c:numCache>
            </c:numRef>
          </c:val>
        </c:ser>
        <c:ser>
          <c:idx val="2"/>
          <c:order val="6"/>
          <c:tx>
            <c:strRef>
              <c:f>SummaryEtEnergy!$A$19</c:f>
              <c:strCache>
                <c:ptCount val="1"/>
                <c:pt idx="0">
                  <c:v>Ethanol Recovery</c:v>
                </c:pt>
              </c:strCache>
            </c:strRef>
          </c:tx>
          <c:spPr>
            <a:ln>
              <a:solidFill>
                <a:sysClr val="windowText" lastClr="000000"/>
              </a:solidFill>
            </a:ln>
          </c:spPr>
          <c:invertIfNegative val="0"/>
          <c:val>
            <c:numRef>
              <c:f>(SummaryEtEnergy!$B$19,SummaryEtEnergy!$F$19)</c:f>
              <c:numCache>
                <c:formatCode>0</c:formatCode>
                <c:ptCount val="2"/>
                <c:pt idx="0">
                  <c:v>0</c:v>
                </c:pt>
                <c:pt idx="1">
                  <c:v>3.55524</c:v>
                </c:pt>
              </c:numCache>
            </c:numRef>
          </c:val>
        </c:ser>
        <c:ser>
          <c:idx val="9"/>
          <c:order val="7"/>
          <c:tx>
            <c:strRef>
              <c:f>SummaryEtEnergy!$A$20</c:f>
              <c:strCache>
                <c:ptCount val="1"/>
                <c:pt idx="0">
                  <c:v>Waste Solids Pressure Filtration</c:v>
                </c:pt>
              </c:strCache>
            </c:strRef>
          </c:tx>
          <c:spPr>
            <a:solidFill>
              <a:srgbClr val="CC6600"/>
            </a:solidFill>
            <a:ln>
              <a:solidFill>
                <a:schemeClr val="tx1"/>
              </a:solidFill>
            </a:ln>
          </c:spPr>
          <c:invertIfNegative val="0"/>
          <c:val>
            <c:numRef>
              <c:f>(SummaryEtEnergy!$B$20,SummaryEtEnergy!$F$20)</c:f>
              <c:numCache>
                <c:formatCode>0</c:formatCode>
                <c:ptCount val="2"/>
                <c:pt idx="0">
                  <c:v>0</c:v>
                </c:pt>
                <c:pt idx="1">
                  <c:v>0.36340338469579847</c:v>
                </c:pt>
              </c:numCache>
            </c:numRef>
          </c:val>
        </c:ser>
        <c:ser>
          <c:idx val="10"/>
          <c:order val="8"/>
          <c:tx>
            <c:strRef>
              <c:f>SummaryEtEnergy!$A$21</c:f>
              <c:strCache>
                <c:ptCount val="1"/>
                <c:pt idx="0">
                  <c:v>Waste Water Treatment (AD)</c:v>
                </c:pt>
              </c:strCache>
            </c:strRef>
          </c:tx>
          <c:spPr>
            <a:solidFill>
              <a:srgbClr val="3333FF"/>
            </a:solidFill>
            <a:ln>
              <a:solidFill>
                <a:schemeClr val="tx1"/>
              </a:solidFill>
            </a:ln>
          </c:spPr>
          <c:invertIfNegative val="0"/>
          <c:val>
            <c:numRef>
              <c:f>(SummaryEtEnergy!$B$21,SummaryEtEnergy!$F$21)</c:f>
              <c:numCache>
                <c:formatCode>0</c:formatCode>
                <c:ptCount val="2"/>
                <c:pt idx="0">
                  <c:v>1927.7999999999997</c:v>
                </c:pt>
                <c:pt idx="1">
                  <c:v>116.22989766705884</c:v>
                </c:pt>
              </c:numCache>
            </c:numRef>
          </c:val>
        </c:ser>
        <c:ser>
          <c:idx val="3"/>
          <c:order val="9"/>
          <c:tx>
            <c:strRef>
              <c:f>SummaryEtEnergy!$A$22</c:f>
              <c:strCache>
                <c:ptCount val="1"/>
                <c:pt idx="0">
                  <c:v>Biorefinery Utilities</c:v>
                </c:pt>
              </c:strCache>
            </c:strRef>
          </c:tx>
          <c:spPr>
            <a:solidFill>
              <a:srgbClr val="FF6666"/>
            </a:solidFill>
            <a:ln>
              <a:solidFill>
                <a:sysClr val="windowText" lastClr="000000"/>
              </a:solidFill>
            </a:ln>
          </c:spPr>
          <c:invertIfNegative val="0"/>
          <c:val>
            <c:numRef>
              <c:f>(SummaryEtEnergy!$B$22,SummaryEtEnergy!$F$22)</c:f>
              <c:numCache>
                <c:formatCode>0</c:formatCode>
                <c:ptCount val="2"/>
                <c:pt idx="0">
                  <c:v>0</c:v>
                </c:pt>
                <c:pt idx="1">
                  <c:v>0.47476856470588247</c:v>
                </c:pt>
              </c:numCache>
            </c:numRef>
          </c:val>
        </c:ser>
        <c:ser>
          <c:idx val="11"/>
          <c:order val="10"/>
          <c:tx>
            <c:strRef>
              <c:f>SummaryEtEnergy!$A$23</c:f>
              <c:strCache>
                <c:ptCount val="1"/>
                <c:pt idx="0">
                  <c:v>Carbon Dioxide Recovered (Credit)</c:v>
                </c:pt>
              </c:strCache>
            </c:strRef>
          </c:tx>
          <c:spPr>
            <a:solidFill>
              <a:srgbClr val="00FF00"/>
            </a:solidFill>
            <a:ln>
              <a:solidFill>
                <a:schemeClr val="tx1"/>
              </a:solidFill>
            </a:ln>
          </c:spPr>
          <c:invertIfNegative val="0"/>
          <c:val>
            <c:numRef>
              <c:f>(SummaryEtEnergy!$B$23,SummaryEtEnergy!$F$23)</c:f>
              <c:numCache>
                <c:formatCode>0</c:formatCode>
                <c:ptCount val="2"/>
                <c:pt idx="0">
                  <c:v>0</c:v>
                </c:pt>
                <c:pt idx="1">
                  <c:v>0</c:v>
                </c:pt>
              </c:numCache>
            </c:numRef>
          </c:val>
        </c:ser>
        <c:ser>
          <c:idx val="12"/>
          <c:order val="11"/>
          <c:tx>
            <c:strRef>
              <c:f>SummaryEtEnergy!$A$24</c:f>
              <c:strCache>
                <c:ptCount val="1"/>
                <c:pt idx="0">
                  <c:v>Electricity Sales (Credit)</c:v>
                </c:pt>
              </c:strCache>
            </c:strRef>
          </c:tx>
          <c:spPr>
            <a:solidFill>
              <a:srgbClr val="00FFFF"/>
            </a:solidFill>
            <a:ln>
              <a:solidFill>
                <a:schemeClr val="tx1"/>
              </a:solidFill>
            </a:ln>
          </c:spPr>
          <c:invertIfNegative val="0"/>
          <c:val>
            <c:numRef>
              <c:f>(SummaryEtEnergy!$B$24,SummaryEtEnergy!$F$24)</c:f>
              <c:numCache>
                <c:formatCode>0</c:formatCode>
                <c:ptCount val="2"/>
                <c:pt idx="0">
                  <c:v>0</c:v>
                </c:pt>
                <c:pt idx="1">
                  <c:v>-5.4832981013266133</c:v>
                </c:pt>
              </c:numCache>
            </c:numRef>
          </c:val>
        </c:ser>
        <c:ser>
          <c:idx val="13"/>
          <c:order val="12"/>
          <c:tx>
            <c:strRef>
              <c:f>SummaryEtEnergy!$A$25</c:f>
              <c:strCache>
                <c:ptCount val="1"/>
                <c:pt idx="0">
                  <c:v>Biorefinery Plant</c:v>
                </c:pt>
              </c:strCache>
            </c:strRef>
          </c:tx>
          <c:spPr>
            <a:solidFill>
              <a:srgbClr val="FF33CC"/>
            </a:solidFill>
            <a:ln>
              <a:solidFill>
                <a:schemeClr val="tx1"/>
              </a:solidFill>
            </a:ln>
          </c:spPr>
          <c:invertIfNegative val="0"/>
          <c:val>
            <c:numRef>
              <c:f>(SummaryEtEnergy!$B$25,SummaryEtEnergy!$F$25)</c:f>
              <c:numCache>
                <c:formatCode>0</c:formatCode>
                <c:ptCount val="2"/>
                <c:pt idx="0">
                  <c:v>0</c:v>
                </c:pt>
                <c:pt idx="1">
                  <c:v>0</c:v>
                </c:pt>
              </c:numCache>
            </c:numRef>
          </c:val>
        </c:ser>
        <c:ser>
          <c:idx val="14"/>
          <c:order val="13"/>
          <c:tx>
            <c:strRef>
              <c:f>SummaryEtEnergy!$A$26</c:f>
              <c:strCache>
                <c:ptCount val="1"/>
                <c:pt idx="0">
                  <c:v>Transport to Distribution Point (Stage 1)</c:v>
                </c:pt>
              </c:strCache>
            </c:strRef>
          </c:tx>
          <c:spPr>
            <a:solidFill>
              <a:srgbClr val="7F7F7F"/>
            </a:solidFill>
            <a:ln>
              <a:solidFill>
                <a:schemeClr val="tx1"/>
              </a:solidFill>
            </a:ln>
          </c:spPr>
          <c:invertIfNegative val="0"/>
          <c:val>
            <c:numRef>
              <c:f>(SummaryEtEnergy!$B$26,SummaryEtEnergy!$F$26)</c:f>
              <c:numCache>
                <c:formatCode>0</c:formatCode>
                <c:ptCount val="2"/>
                <c:pt idx="0">
                  <c:v>517.88672232212184</c:v>
                </c:pt>
                <c:pt idx="1">
                  <c:v>40.313499445117209</c:v>
                </c:pt>
              </c:numCache>
            </c:numRef>
          </c:val>
        </c:ser>
        <c:ser>
          <c:idx val="15"/>
          <c:order val="14"/>
          <c:tx>
            <c:strRef>
              <c:f>SummaryEtEnergy!$A$27</c:f>
              <c:strCache>
                <c:ptCount val="1"/>
                <c:pt idx="0">
                  <c:v>Transport to Distribution Point (Stage 2)</c:v>
                </c:pt>
              </c:strCache>
            </c:strRef>
          </c:tx>
          <c:spPr>
            <a:solidFill>
              <a:srgbClr val="B6B6C8"/>
            </a:solidFill>
            <a:ln>
              <a:solidFill>
                <a:schemeClr val="tx1"/>
              </a:solidFill>
            </a:ln>
          </c:spPr>
          <c:invertIfNegative val="0"/>
          <c:val>
            <c:numRef>
              <c:f>(SummaryEtEnergy!$B$27,SummaryEtEnergy!$F$27)</c:f>
              <c:numCache>
                <c:formatCode>0</c:formatCode>
                <c:ptCount val="2"/>
                <c:pt idx="0">
                  <c:v>0</c:v>
                </c:pt>
                <c:pt idx="1">
                  <c:v>0</c:v>
                </c:pt>
              </c:numCache>
            </c:numRef>
          </c:val>
        </c:ser>
        <c:ser>
          <c:idx val="16"/>
          <c:order val="15"/>
          <c:tx>
            <c:strRef>
              <c:f>SummaryEtEnergy!$A$28</c:f>
              <c:strCache>
                <c:ptCount val="1"/>
                <c:pt idx="0">
                  <c:v>Transport to Distribution Point (Stage 3)</c:v>
                </c:pt>
              </c:strCache>
            </c:strRef>
          </c:tx>
          <c:spPr>
            <a:solidFill>
              <a:srgbClr val="C9FAC8"/>
            </a:solidFill>
            <a:ln>
              <a:solidFill>
                <a:schemeClr val="tx1"/>
              </a:solidFill>
            </a:ln>
          </c:spPr>
          <c:invertIfNegative val="0"/>
          <c:val>
            <c:numRef>
              <c:f>(SummaryEtEnergy!$B$28,SummaryEtEnergy!$F$28)</c:f>
              <c:numCache>
                <c:formatCode>0</c:formatCode>
                <c:ptCount val="2"/>
                <c:pt idx="0">
                  <c:v>0</c:v>
                </c:pt>
                <c:pt idx="1">
                  <c:v>0</c:v>
                </c:pt>
              </c:numCache>
            </c:numRef>
          </c:val>
        </c:ser>
        <c:dLbls>
          <c:showLegendKey val="0"/>
          <c:showVal val="0"/>
          <c:showCatName val="0"/>
          <c:showSerName val="0"/>
          <c:showPercent val="0"/>
          <c:showBubbleSize val="0"/>
        </c:dLbls>
        <c:gapWidth val="75"/>
        <c:overlap val="100"/>
        <c:axId val="81074816"/>
        <c:axId val="81080704"/>
      </c:barChart>
      <c:catAx>
        <c:axId val="81074816"/>
        <c:scaling>
          <c:orientation val="minMax"/>
        </c:scaling>
        <c:delete val="0"/>
        <c:axPos val="l"/>
        <c:numFmt formatCode="0.00" sourceLinked="1"/>
        <c:majorTickMark val="none"/>
        <c:minorTickMark val="none"/>
        <c:tickLblPos val="nextTo"/>
        <c:crossAx val="81080704"/>
        <c:crosses val="autoZero"/>
        <c:auto val="1"/>
        <c:lblAlgn val="ctr"/>
        <c:lblOffset val="100"/>
        <c:noMultiLvlLbl val="0"/>
      </c:catAx>
      <c:valAx>
        <c:axId val="81080704"/>
        <c:scaling>
          <c:orientation val="minMax"/>
        </c:scaling>
        <c:delete val="0"/>
        <c:axPos val="b"/>
        <c:majorGridlines/>
        <c:numFmt formatCode="0%" sourceLinked="1"/>
        <c:majorTickMark val="none"/>
        <c:minorTickMark val="none"/>
        <c:tickLblPos val="nextTo"/>
        <c:spPr>
          <a:ln w="9525">
            <a:noFill/>
          </a:ln>
        </c:spPr>
        <c:crossAx val="81074816"/>
        <c:crosses val="autoZero"/>
        <c:crossBetween val="between"/>
      </c:valAx>
      <c:spPr>
        <a:ln>
          <a:solidFill>
            <a:schemeClr val="tx1"/>
          </a:solidFill>
        </a:ln>
      </c:spPr>
    </c:plotArea>
    <c:legend>
      <c:legendPos val="b"/>
      <c:layout>
        <c:manualLayout>
          <c:xMode val="edge"/>
          <c:yMode val="edge"/>
          <c:x val="8.3717160889336728E-2"/>
          <c:y val="0.61269783754908247"/>
          <c:w val="0.70016053566861625"/>
          <c:h val="0.34941125789776001"/>
        </c:manualLayout>
      </c:layout>
      <c:overlay val="0"/>
      <c:spPr>
        <a:ln>
          <a:solidFill>
            <a:sysClr val="windowText" lastClr="000000"/>
          </a:solidFill>
        </a:ln>
      </c:spPr>
    </c:legend>
    <c:plotVisOnly val="1"/>
    <c:dispBlanksAs val="gap"/>
    <c:showDLblsOverMax val="0"/>
  </c:chart>
  <c:printSettings>
    <c:headerFooter/>
    <c:pageMargins b="0.75000000000000644" l="0.70000000000000062" r="0.70000000000000062" t="0.75000000000000644"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latin typeface="Arial" pitchFamily="34" charset="0"/>
                <a:cs typeface="Arial" pitchFamily="34" charset="0"/>
              </a:defRPr>
            </a:pPr>
            <a:r>
              <a:rPr lang="en-GB" sz="120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8.4963402469154722E-2"/>
          <c:y val="0.14314048581765337"/>
          <c:w val="0.89675797753802378"/>
          <c:h val="0.37269408891456535"/>
        </c:manualLayout>
      </c:layout>
      <c:barChart>
        <c:barDir val="bar"/>
        <c:grouping val="percentStacked"/>
        <c:varyColors val="0"/>
        <c:ser>
          <c:idx val="0"/>
          <c:order val="0"/>
          <c:tx>
            <c:strRef>
              <c:f>SummaryEtPrice!$A$13</c:f>
              <c:strCache>
                <c:ptCount val="1"/>
                <c:pt idx="0">
                  <c:v>Cultivation</c:v>
                </c:pt>
              </c:strCache>
            </c:strRef>
          </c:tx>
          <c:spPr>
            <a:solidFill>
              <a:srgbClr val="336600"/>
            </a:solidFill>
            <a:ln>
              <a:solidFill>
                <a:schemeClr val="tx1"/>
              </a:solidFill>
            </a:ln>
          </c:spPr>
          <c:invertIfNegative val="0"/>
          <c:cat>
            <c:strRef>
              <c:f>(SummaryEtPrice!$B$11,SummaryEtPrice!$F$11)</c:f>
              <c:strCache>
                <c:ptCount val="2"/>
                <c:pt idx="0">
                  <c:v>Primary Energy Inputs</c:v>
                </c:pt>
                <c:pt idx="1">
                  <c:v>Total Greenhouse Gas Emissions</c:v>
                </c:pt>
              </c:strCache>
            </c:strRef>
          </c:cat>
          <c:val>
            <c:numRef>
              <c:f>(SummaryEtPrice!$B$13,SummaryEtPrice!$F$13)</c:f>
              <c:numCache>
                <c:formatCode>0</c:formatCode>
                <c:ptCount val="2"/>
                <c:pt idx="0">
                  <c:v>8309.899498278497</c:v>
                </c:pt>
                <c:pt idx="1">
                  <c:v>1032.8402446087837</c:v>
                </c:pt>
              </c:numCache>
            </c:numRef>
          </c:val>
        </c:ser>
        <c:ser>
          <c:idx val="4"/>
          <c:order val="1"/>
          <c:tx>
            <c:strRef>
              <c:f>SummaryEtPrice!$A$14</c:f>
              <c:strCache>
                <c:ptCount val="1"/>
                <c:pt idx="0">
                  <c:v>Transport to Plant (Stage 1)</c:v>
                </c:pt>
              </c:strCache>
            </c:strRef>
          </c:tx>
          <c:spPr>
            <a:solidFill>
              <a:srgbClr val="000000"/>
            </a:solidFill>
            <a:ln>
              <a:solidFill>
                <a:schemeClr val="tx1"/>
              </a:solidFill>
            </a:ln>
          </c:spPr>
          <c:invertIfNegative val="0"/>
          <c:cat>
            <c:strRef>
              <c:f>(SummaryEtPrice!$B$11,SummaryEtPrice!$F$11)</c:f>
              <c:strCache>
                <c:ptCount val="2"/>
                <c:pt idx="0">
                  <c:v>Primary Energy Inputs</c:v>
                </c:pt>
                <c:pt idx="1">
                  <c:v>Total Greenhouse Gas Emissions</c:v>
                </c:pt>
              </c:strCache>
            </c:strRef>
          </c:cat>
          <c:val>
            <c:numRef>
              <c:f>(SummaryEtPrice!$B$14,SummaryEtPrice!$F$14)</c:f>
              <c:numCache>
                <c:formatCode>0</c:formatCode>
                <c:ptCount val="2"/>
                <c:pt idx="0">
                  <c:v>601.53586980511921</c:v>
                </c:pt>
                <c:pt idx="1">
                  <c:v>46.824942421527133</c:v>
                </c:pt>
              </c:numCache>
            </c:numRef>
          </c:val>
        </c:ser>
        <c:ser>
          <c:idx val="1"/>
          <c:order val="2"/>
          <c:tx>
            <c:strRef>
              <c:f>SummaryEtPrice!$A$15</c:f>
              <c:strCache>
                <c:ptCount val="1"/>
                <c:pt idx="0">
                  <c:v>Transport to Plant (Stage 2)</c:v>
                </c:pt>
              </c:strCache>
            </c:strRef>
          </c:tx>
          <c:spPr>
            <a:solidFill>
              <a:srgbClr val="3B3B3B"/>
            </a:solidFill>
            <a:ln>
              <a:solidFill>
                <a:schemeClr val="tx1"/>
              </a:solidFill>
            </a:ln>
          </c:spPr>
          <c:invertIfNegative val="0"/>
          <c:val>
            <c:numRef>
              <c:f>(SummaryEtPrice!$B$15,SummaryEtPrice!$F$15)</c:f>
              <c:numCache>
                <c:formatCode>0</c:formatCode>
                <c:ptCount val="2"/>
                <c:pt idx="0">
                  <c:v>0</c:v>
                </c:pt>
                <c:pt idx="1">
                  <c:v>0</c:v>
                </c:pt>
              </c:numCache>
            </c:numRef>
          </c:val>
        </c:ser>
        <c:ser>
          <c:idx val="5"/>
          <c:order val="3"/>
          <c:tx>
            <c:strRef>
              <c:f>SummaryEtPrice!$A$16</c:f>
              <c:strCache>
                <c:ptCount val="1"/>
                <c:pt idx="0">
                  <c:v>Biomass Milling</c:v>
                </c:pt>
              </c:strCache>
            </c:strRef>
          </c:tx>
          <c:spPr>
            <a:solidFill>
              <a:srgbClr val="641E1E"/>
            </a:solidFill>
            <a:ln>
              <a:solidFill>
                <a:schemeClr val="tx1"/>
              </a:solidFill>
            </a:ln>
          </c:spPr>
          <c:invertIfNegative val="0"/>
          <c:val>
            <c:numRef>
              <c:f>(SummaryEtPrice!$B$16,SummaryEtPrice!$F$16)</c:f>
              <c:numCache>
                <c:formatCode>0</c:formatCode>
                <c:ptCount val="2"/>
                <c:pt idx="0">
                  <c:v>0</c:v>
                </c:pt>
                <c:pt idx="1">
                  <c:v>0.55780798692669165</c:v>
                </c:pt>
              </c:numCache>
            </c:numRef>
          </c:val>
        </c:ser>
        <c:ser>
          <c:idx val="8"/>
          <c:order val="4"/>
          <c:tx>
            <c:strRef>
              <c:f>SummaryEtPrice!$A$17</c:f>
              <c:strCache>
                <c:ptCount val="1"/>
                <c:pt idx="0">
                  <c:v>Pre-Treatment, Enzyme Production and Enzymatic Hydrolysis</c:v>
                </c:pt>
              </c:strCache>
            </c:strRef>
          </c:tx>
          <c:spPr>
            <a:solidFill>
              <a:srgbClr val="FFFFCC"/>
            </a:solidFill>
            <a:ln>
              <a:solidFill>
                <a:schemeClr val="tx1"/>
              </a:solidFill>
            </a:ln>
          </c:spPr>
          <c:invertIfNegative val="0"/>
          <c:val>
            <c:numRef>
              <c:f>(SummaryEtPrice!$B$17,SummaryEtPrice!$F$17)</c:f>
              <c:numCache>
                <c:formatCode>0</c:formatCode>
                <c:ptCount val="2"/>
                <c:pt idx="0">
                  <c:v>7672.8025191554007</c:v>
                </c:pt>
                <c:pt idx="1">
                  <c:v>539.27419031703187</c:v>
                </c:pt>
              </c:numCache>
            </c:numRef>
          </c:val>
        </c:ser>
        <c:ser>
          <c:idx val="6"/>
          <c:order val="5"/>
          <c:tx>
            <c:strRef>
              <c:f>SummaryEtPrice!$A$18</c:f>
              <c:strCache>
                <c:ptCount val="1"/>
                <c:pt idx="0">
                  <c:v>Fermentation</c:v>
                </c:pt>
              </c:strCache>
            </c:strRef>
          </c:tx>
          <c:spPr>
            <a:solidFill>
              <a:srgbClr val="FF9900"/>
            </a:solidFill>
            <a:ln>
              <a:solidFill>
                <a:schemeClr val="tx1"/>
              </a:solidFill>
            </a:ln>
          </c:spPr>
          <c:invertIfNegative val="0"/>
          <c:val>
            <c:numRef>
              <c:f>(SummaryEtPrice!$B$18,SummaryEtPrice!$F$18)</c:f>
              <c:numCache>
                <c:formatCode>0</c:formatCode>
                <c:ptCount val="2"/>
                <c:pt idx="0">
                  <c:v>0</c:v>
                </c:pt>
                <c:pt idx="1">
                  <c:v>3.78804705882353E-2</c:v>
                </c:pt>
              </c:numCache>
            </c:numRef>
          </c:val>
        </c:ser>
        <c:ser>
          <c:idx val="2"/>
          <c:order val="6"/>
          <c:tx>
            <c:strRef>
              <c:f>SummaryEtPrice!$A$19</c:f>
              <c:strCache>
                <c:ptCount val="1"/>
                <c:pt idx="0">
                  <c:v>Ethanol Recovery</c:v>
                </c:pt>
              </c:strCache>
            </c:strRef>
          </c:tx>
          <c:spPr>
            <a:ln>
              <a:solidFill>
                <a:sysClr val="windowText" lastClr="000000"/>
              </a:solidFill>
            </a:ln>
          </c:spPr>
          <c:invertIfNegative val="0"/>
          <c:val>
            <c:numRef>
              <c:f>(SummaryEtPrice!$B$19,SummaryEtPrice!$F$19)</c:f>
              <c:numCache>
                <c:formatCode>0</c:formatCode>
                <c:ptCount val="2"/>
                <c:pt idx="0">
                  <c:v>0</c:v>
                </c:pt>
                <c:pt idx="1">
                  <c:v>3.55524</c:v>
                </c:pt>
              </c:numCache>
            </c:numRef>
          </c:val>
        </c:ser>
        <c:ser>
          <c:idx val="9"/>
          <c:order val="7"/>
          <c:tx>
            <c:strRef>
              <c:f>SummaryEtPrice!$A$20</c:f>
              <c:strCache>
                <c:ptCount val="1"/>
                <c:pt idx="0">
                  <c:v>Waste Solids Pressure Filtration</c:v>
                </c:pt>
              </c:strCache>
            </c:strRef>
          </c:tx>
          <c:spPr>
            <a:solidFill>
              <a:srgbClr val="CC6600"/>
            </a:solidFill>
            <a:ln>
              <a:solidFill>
                <a:schemeClr val="tx1"/>
              </a:solidFill>
            </a:ln>
          </c:spPr>
          <c:invertIfNegative val="0"/>
          <c:val>
            <c:numRef>
              <c:f>(SummaryEtPrice!$B$20,SummaryEtPrice!$F$20)</c:f>
              <c:numCache>
                <c:formatCode>0</c:formatCode>
                <c:ptCount val="2"/>
                <c:pt idx="0">
                  <c:v>0</c:v>
                </c:pt>
                <c:pt idx="1">
                  <c:v>0.36340338469579847</c:v>
                </c:pt>
              </c:numCache>
            </c:numRef>
          </c:val>
        </c:ser>
        <c:ser>
          <c:idx val="10"/>
          <c:order val="8"/>
          <c:tx>
            <c:strRef>
              <c:f>SummaryEtPrice!$A$21</c:f>
              <c:strCache>
                <c:ptCount val="1"/>
                <c:pt idx="0">
                  <c:v>Waste Water Treatment (AD)</c:v>
                </c:pt>
              </c:strCache>
            </c:strRef>
          </c:tx>
          <c:spPr>
            <a:solidFill>
              <a:srgbClr val="3333FF"/>
            </a:solidFill>
            <a:ln>
              <a:solidFill>
                <a:schemeClr val="tx1"/>
              </a:solidFill>
            </a:ln>
          </c:spPr>
          <c:invertIfNegative val="0"/>
          <c:val>
            <c:numRef>
              <c:f>(SummaryEtPrice!$B$21,SummaryEtPrice!$F$21)</c:f>
              <c:numCache>
                <c:formatCode>0</c:formatCode>
                <c:ptCount val="2"/>
                <c:pt idx="0">
                  <c:v>1927.7999999999997</c:v>
                </c:pt>
                <c:pt idx="1">
                  <c:v>116.22989766705884</c:v>
                </c:pt>
              </c:numCache>
            </c:numRef>
          </c:val>
        </c:ser>
        <c:ser>
          <c:idx val="3"/>
          <c:order val="9"/>
          <c:tx>
            <c:strRef>
              <c:f>SummaryEtPrice!$A$22</c:f>
              <c:strCache>
                <c:ptCount val="1"/>
                <c:pt idx="0">
                  <c:v>Biorefinery Utilities</c:v>
                </c:pt>
              </c:strCache>
            </c:strRef>
          </c:tx>
          <c:spPr>
            <a:solidFill>
              <a:srgbClr val="FF6666"/>
            </a:solidFill>
            <a:ln>
              <a:solidFill>
                <a:sysClr val="windowText" lastClr="000000"/>
              </a:solidFill>
            </a:ln>
          </c:spPr>
          <c:invertIfNegative val="0"/>
          <c:val>
            <c:numRef>
              <c:f>(SummaryEtPrice!$B$22,SummaryEtPrice!$F$22)</c:f>
              <c:numCache>
                <c:formatCode>0</c:formatCode>
                <c:ptCount val="2"/>
                <c:pt idx="0">
                  <c:v>0</c:v>
                </c:pt>
                <c:pt idx="1">
                  <c:v>0.47476856470588247</c:v>
                </c:pt>
              </c:numCache>
            </c:numRef>
          </c:val>
        </c:ser>
        <c:ser>
          <c:idx val="12"/>
          <c:order val="10"/>
          <c:tx>
            <c:strRef>
              <c:f>SummaryEtPrice!$A$23</c:f>
              <c:strCache>
                <c:ptCount val="1"/>
                <c:pt idx="0">
                  <c:v>Electricity Sales (Credit)</c:v>
                </c:pt>
              </c:strCache>
            </c:strRef>
          </c:tx>
          <c:spPr>
            <a:solidFill>
              <a:srgbClr val="00FFFF"/>
            </a:solidFill>
            <a:ln>
              <a:solidFill>
                <a:schemeClr val="tx1"/>
              </a:solidFill>
            </a:ln>
          </c:spPr>
          <c:invertIfNegative val="0"/>
          <c:val>
            <c:numRef>
              <c:f>(SummaryEtPrice!$B$23,SummaryEtPrice!$F$23)</c:f>
              <c:numCache>
                <c:formatCode>0</c:formatCode>
                <c:ptCount val="2"/>
                <c:pt idx="0">
                  <c:v>0</c:v>
                </c:pt>
                <c:pt idx="1">
                  <c:v>-5.4832981013266133</c:v>
                </c:pt>
              </c:numCache>
            </c:numRef>
          </c:val>
        </c:ser>
        <c:ser>
          <c:idx val="13"/>
          <c:order val="11"/>
          <c:tx>
            <c:strRef>
              <c:f>SummaryEtPrice!$A$24</c:f>
              <c:strCache>
                <c:ptCount val="1"/>
                <c:pt idx="0">
                  <c:v>Biorefinery Plant</c:v>
                </c:pt>
              </c:strCache>
            </c:strRef>
          </c:tx>
          <c:spPr>
            <a:solidFill>
              <a:srgbClr val="FF33CC"/>
            </a:solidFill>
            <a:ln>
              <a:solidFill>
                <a:schemeClr val="tx1"/>
              </a:solidFill>
            </a:ln>
          </c:spPr>
          <c:invertIfNegative val="0"/>
          <c:val>
            <c:numRef>
              <c:f>(SummaryEtPrice!$B$24,SummaryEtPrice!$F$24)</c:f>
              <c:numCache>
                <c:formatCode>0</c:formatCode>
                <c:ptCount val="2"/>
                <c:pt idx="0">
                  <c:v>0</c:v>
                </c:pt>
                <c:pt idx="1">
                  <c:v>0</c:v>
                </c:pt>
              </c:numCache>
            </c:numRef>
          </c:val>
        </c:ser>
        <c:ser>
          <c:idx val="14"/>
          <c:order val="12"/>
          <c:tx>
            <c:strRef>
              <c:f>SummaryEtPrice!$A$25</c:f>
              <c:strCache>
                <c:ptCount val="1"/>
                <c:pt idx="0">
                  <c:v>Transport to Distribution Point (Stage 1)</c:v>
                </c:pt>
              </c:strCache>
            </c:strRef>
          </c:tx>
          <c:spPr>
            <a:solidFill>
              <a:srgbClr val="7F7F7F"/>
            </a:solidFill>
            <a:ln>
              <a:solidFill>
                <a:schemeClr val="tx1"/>
              </a:solidFill>
            </a:ln>
          </c:spPr>
          <c:invertIfNegative val="0"/>
          <c:val>
            <c:numRef>
              <c:f>(SummaryEtPrice!$B$25,SummaryEtPrice!$F$25)</c:f>
              <c:numCache>
                <c:formatCode>0</c:formatCode>
                <c:ptCount val="2"/>
                <c:pt idx="0">
                  <c:v>517.88672232212184</c:v>
                </c:pt>
                <c:pt idx="1">
                  <c:v>40.313499445117209</c:v>
                </c:pt>
              </c:numCache>
            </c:numRef>
          </c:val>
        </c:ser>
        <c:ser>
          <c:idx val="15"/>
          <c:order val="13"/>
          <c:tx>
            <c:strRef>
              <c:f>SummaryEtPrice!$A$26</c:f>
              <c:strCache>
                <c:ptCount val="1"/>
                <c:pt idx="0">
                  <c:v>Transport to Distribution Point (Stage 2)</c:v>
                </c:pt>
              </c:strCache>
            </c:strRef>
          </c:tx>
          <c:spPr>
            <a:solidFill>
              <a:srgbClr val="B6B6C8"/>
            </a:solidFill>
            <a:ln>
              <a:solidFill>
                <a:schemeClr val="tx1"/>
              </a:solidFill>
            </a:ln>
          </c:spPr>
          <c:invertIfNegative val="0"/>
          <c:val>
            <c:numRef>
              <c:f>(SummaryEtPrice!$B$26,SummaryEtPrice!$F$26)</c:f>
              <c:numCache>
                <c:formatCode>0</c:formatCode>
                <c:ptCount val="2"/>
                <c:pt idx="0">
                  <c:v>0</c:v>
                </c:pt>
                <c:pt idx="1">
                  <c:v>0</c:v>
                </c:pt>
              </c:numCache>
            </c:numRef>
          </c:val>
        </c:ser>
        <c:ser>
          <c:idx val="16"/>
          <c:order val="14"/>
          <c:tx>
            <c:strRef>
              <c:f>SummaryEtPrice!$A$27</c:f>
              <c:strCache>
                <c:ptCount val="1"/>
                <c:pt idx="0">
                  <c:v>Transport to Distribution Point (Stage 3)</c:v>
                </c:pt>
              </c:strCache>
            </c:strRef>
          </c:tx>
          <c:spPr>
            <a:solidFill>
              <a:srgbClr val="C9FAC8"/>
            </a:solidFill>
            <a:ln>
              <a:solidFill>
                <a:schemeClr val="tx1"/>
              </a:solidFill>
            </a:ln>
          </c:spPr>
          <c:invertIfNegative val="0"/>
          <c:val>
            <c:numRef>
              <c:f>(SummaryEtPrice!$B$27,SummaryEtPrice!$F$27)</c:f>
              <c:numCache>
                <c:formatCode>0</c:formatCode>
                <c:ptCount val="2"/>
                <c:pt idx="0">
                  <c:v>0</c:v>
                </c:pt>
                <c:pt idx="1">
                  <c:v>0</c:v>
                </c:pt>
              </c:numCache>
            </c:numRef>
          </c:val>
        </c:ser>
        <c:dLbls>
          <c:showLegendKey val="0"/>
          <c:showVal val="0"/>
          <c:showCatName val="0"/>
          <c:showSerName val="0"/>
          <c:showPercent val="0"/>
          <c:showBubbleSize val="0"/>
        </c:dLbls>
        <c:gapWidth val="75"/>
        <c:overlap val="100"/>
        <c:axId val="82503552"/>
        <c:axId val="82505088"/>
      </c:barChart>
      <c:catAx>
        <c:axId val="82503552"/>
        <c:scaling>
          <c:orientation val="minMax"/>
        </c:scaling>
        <c:delete val="0"/>
        <c:axPos val="l"/>
        <c:numFmt formatCode="0.00" sourceLinked="1"/>
        <c:majorTickMark val="none"/>
        <c:minorTickMark val="none"/>
        <c:tickLblPos val="nextTo"/>
        <c:crossAx val="82505088"/>
        <c:crosses val="autoZero"/>
        <c:auto val="1"/>
        <c:lblAlgn val="ctr"/>
        <c:lblOffset val="100"/>
        <c:noMultiLvlLbl val="0"/>
      </c:catAx>
      <c:valAx>
        <c:axId val="82505088"/>
        <c:scaling>
          <c:orientation val="minMax"/>
        </c:scaling>
        <c:delete val="0"/>
        <c:axPos val="b"/>
        <c:majorGridlines/>
        <c:numFmt formatCode="0%" sourceLinked="1"/>
        <c:majorTickMark val="none"/>
        <c:minorTickMark val="none"/>
        <c:tickLblPos val="nextTo"/>
        <c:spPr>
          <a:ln w="9525">
            <a:noFill/>
          </a:ln>
        </c:spPr>
        <c:crossAx val="82503552"/>
        <c:crosses val="autoZero"/>
        <c:crossBetween val="between"/>
      </c:valAx>
      <c:spPr>
        <a:ln>
          <a:solidFill>
            <a:schemeClr val="tx1"/>
          </a:solidFill>
        </a:ln>
      </c:spPr>
    </c:plotArea>
    <c:legend>
      <c:legendPos val="b"/>
      <c:layout>
        <c:manualLayout>
          <c:xMode val="edge"/>
          <c:yMode val="edge"/>
          <c:x val="8.5196540607035506E-2"/>
          <c:y val="0.61269783754908325"/>
          <c:w val="0.70666472477032882"/>
          <c:h val="0.29033175909970865"/>
        </c:manualLayout>
      </c:layout>
      <c:overlay val="0"/>
      <c:spPr>
        <a:ln>
          <a:solidFill>
            <a:sysClr val="windowText" lastClr="000000"/>
          </a:solidFill>
        </a:ln>
      </c:spPr>
    </c:legend>
    <c:plotVisOnly val="1"/>
    <c:dispBlanksAs val="gap"/>
    <c:showDLblsOverMax val="0"/>
  </c:chart>
  <c:printSettings>
    <c:headerFooter/>
    <c:pageMargins b="0.75000000000000666" l="0.70000000000000062" r="0.70000000000000062" t="0.75000000000000666"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latin typeface="Arial" pitchFamily="34" charset="0"/>
                <a:cs typeface="Arial" pitchFamily="34" charset="0"/>
              </a:defRPr>
            </a:pPr>
            <a:r>
              <a:rPr lang="en-GB" sz="1200">
                <a:latin typeface="Arial" pitchFamily="34" charset="0"/>
                <a:cs typeface="Arial" pitchFamily="34" charset="0"/>
              </a:rPr>
              <a:t>Primary Energy Inputs and Total Greenhouse Gas Emissions by Process Contribution</a:t>
            </a:r>
          </a:p>
        </c:rich>
      </c:tx>
      <c:overlay val="0"/>
    </c:title>
    <c:autoTitleDeleted val="0"/>
    <c:plotArea>
      <c:layout>
        <c:manualLayout>
          <c:layoutTarget val="inner"/>
          <c:xMode val="edge"/>
          <c:yMode val="edge"/>
          <c:x val="8.4963402469154722E-2"/>
          <c:y val="0.14314048581765346"/>
          <c:w val="0.896757977538024"/>
          <c:h val="0.37269408891456546"/>
        </c:manualLayout>
      </c:layout>
      <c:barChart>
        <c:barDir val="bar"/>
        <c:grouping val="percentStacked"/>
        <c:varyColors val="0"/>
        <c:ser>
          <c:idx val="0"/>
          <c:order val="0"/>
          <c:tx>
            <c:strRef>
              <c:f>SummaryEtMass!$A$13</c:f>
              <c:strCache>
                <c:ptCount val="1"/>
                <c:pt idx="0">
                  <c:v>Cultivation</c:v>
                </c:pt>
              </c:strCache>
            </c:strRef>
          </c:tx>
          <c:spPr>
            <a:solidFill>
              <a:srgbClr val="336600"/>
            </a:solidFill>
            <a:ln>
              <a:solidFill>
                <a:schemeClr val="tx1"/>
              </a:solidFill>
            </a:ln>
          </c:spPr>
          <c:invertIfNegative val="0"/>
          <c:cat>
            <c:strRef>
              <c:f>(SummaryEtMass!$B$11,SummaryEtMass!$F$11)</c:f>
              <c:strCache>
                <c:ptCount val="2"/>
                <c:pt idx="0">
                  <c:v>Primary Energy Inputs</c:v>
                </c:pt>
                <c:pt idx="1">
                  <c:v>Total Greenhouse Gas Emissions</c:v>
                </c:pt>
              </c:strCache>
            </c:strRef>
          </c:cat>
          <c:val>
            <c:numRef>
              <c:f>(SummaryEtMass!$B$13,SummaryEtMass!$F$13)</c:f>
              <c:numCache>
                <c:formatCode>0</c:formatCode>
                <c:ptCount val="2"/>
                <c:pt idx="0">
                  <c:v>8309.899498278497</c:v>
                </c:pt>
                <c:pt idx="1">
                  <c:v>1032.8402446087837</c:v>
                </c:pt>
              </c:numCache>
            </c:numRef>
          </c:val>
        </c:ser>
        <c:ser>
          <c:idx val="4"/>
          <c:order val="1"/>
          <c:tx>
            <c:strRef>
              <c:f>SummaryEtMass!$A$14</c:f>
              <c:strCache>
                <c:ptCount val="1"/>
                <c:pt idx="0">
                  <c:v>Transport to Plant (Stage 1)</c:v>
                </c:pt>
              </c:strCache>
            </c:strRef>
          </c:tx>
          <c:spPr>
            <a:solidFill>
              <a:srgbClr val="000000"/>
            </a:solidFill>
            <a:ln>
              <a:solidFill>
                <a:schemeClr val="tx1"/>
              </a:solidFill>
            </a:ln>
          </c:spPr>
          <c:invertIfNegative val="0"/>
          <c:cat>
            <c:strRef>
              <c:f>(SummaryEtMass!$B$11,SummaryEtMass!$F$11)</c:f>
              <c:strCache>
                <c:ptCount val="2"/>
                <c:pt idx="0">
                  <c:v>Primary Energy Inputs</c:v>
                </c:pt>
                <c:pt idx="1">
                  <c:v>Total Greenhouse Gas Emissions</c:v>
                </c:pt>
              </c:strCache>
            </c:strRef>
          </c:cat>
          <c:val>
            <c:numRef>
              <c:f>(SummaryEtMass!$B$14,SummaryEtMass!$F$14)</c:f>
              <c:numCache>
                <c:formatCode>0</c:formatCode>
                <c:ptCount val="2"/>
                <c:pt idx="0">
                  <c:v>601.53586980511921</c:v>
                </c:pt>
                <c:pt idx="1">
                  <c:v>46.824942421527133</c:v>
                </c:pt>
              </c:numCache>
            </c:numRef>
          </c:val>
        </c:ser>
        <c:ser>
          <c:idx val="1"/>
          <c:order val="2"/>
          <c:tx>
            <c:strRef>
              <c:f>SummaryEtMass!$A$15</c:f>
              <c:strCache>
                <c:ptCount val="1"/>
                <c:pt idx="0">
                  <c:v>Transport to Plant (Stage 2)</c:v>
                </c:pt>
              </c:strCache>
            </c:strRef>
          </c:tx>
          <c:spPr>
            <a:solidFill>
              <a:srgbClr val="3B3B3B"/>
            </a:solidFill>
            <a:ln>
              <a:solidFill>
                <a:schemeClr val="tx1"/>
              </a:solidFill>
            </a:ln>
          </c:spPr>
          <c:invertIfNegative val="0"/>
          <c:val>
            <c:numRef>
              <c:f>(SummaryEtMass!$B$15,SummaryEtMass!$F$15)</c:f>
              <c:numCache>
                <c:formatCode>0</c:formatCode>
                <c:ptCount val="2"/>
                <c:pt idx="0">
                  <c:v>0</c:v>
                </c:pt>
                <c:pt idx="1">
                  <c:v>0</c:v>
                </c:pt>
              </c:numCache>
            </c:numRef>
          </c:val>
        </c:ser>
        <c:ser>
          <c:idx val="5"/>
          <c:order val="3"/>
          <c:tx>
            <c:strRef>
              <c:f>SummaryEtMass!$A$16</c:f>
              <c:strCache>
                <c:ptCount val="1"/>
                <c:pt idx="0">
                  <c:v>Biomass Milling</c:v>
                </c:pt>
              </c:strCache>
            </c:strRef>
          </c:tx>
          <c:spPr>
            <a:solidFill>
              <a:srgbClr val="641E1E"/>
            </a:solidFill>
            <a:ln>
              <a:solidFill>
                <a:schemeClr val="tx1"/>
              </a:solidFill>
            </a:ln>
          </c:spPr>
          <c:invertIfNegative val="0"/>
          <c:val>
            <c:numRef>
              <c:f>(SummaryEtMass!$B$16,SummaryEtMass!$F$16)</c:f>
              <c:numCache>
                <c:formatCode>0</c:formatCode>
                <c:ptCount val="2"/>
                <c:pt idx="0">
                  <c:v>0</c:v>
                </c:pt>
                <c:pt idx="1">
                  <c:v>0.55780798692669165</c:v>
                </c:pt>
              </c:numCache>
            </c:numRef>
          </c:val>
        </c:ser>
        <c:ser>
          <c:idx val="8"/>
          <c:order val="4"/>
          <c:tx>
            <c:strRef>
              <c:f>SummaryEtMass!$A$17</c:f>
              <c:strCache>
                <c:ptCount val="1"/>
                <c:pt idx="0">
                  <c:v>Pre-Treatment, Enzyme Production and Enzymatic Hydrolysis</c:v>
                </c:pt>
              </c:strCache>
            </c:strRef>
          </c:tx>
          <c:spPr>
            <a:solidFill>
              <a:srgbClr val="FFFFCC"/>
            </a:solidFill>
            <a:ln>
              <a:solidFill>
                <a:schemeClr val="tx1"/>
              </a:solidFill>
            </a:ln>
          </c:spPr>
          <c:invertIfNegative val="0"/>
          <c:val>
            <c:numRef>
              <c:f>(SummaryEtMass!$B$17,SummaryEtMass!$F$17)</c:f>
              <c:numCache>
                <c:formatCode>0</c:formatCode>
                <c:ptCount val="2"/>
                <c:pt idx="0">
                  <c:v>7672.8025191554007</c:v>
                </c:pt>
                <c:pt idx="1">
                  <c:v>539.27419031703187</c:v>
                </c:pt>
              </c:numCache>
            </c:numRef>
          </c:val>
        </c:ser>
        <c:ser>
          <c:idx val="6"/>
          <c:order val="5"/>
          <c:tx>
            <c:strRef>
              <c:f>SummaryEtMass!$A$18</c:f>
              <c:strCache>
                <c:ptCount val="1"/>
                <c:pt idx="0">
                  <c:v>Fermentation</c:v>
                </c:pt>
              </c:strCache>
            </c:strRef>
          </c:tx>
          <c:spPr>
            <a:solidFill>
              <a:srgbClr val="FF9900"/>
            </a:solidFill>
            <a:ln>
              <a:solidFill>
                <a:schemeClr val="tx1"/>
              </a:solidFill>
            </a:ln>
          </c:spPr>
          <c:invertIfNegative val="0"/>
          <c:val>
            <c:numRef>
              <c:f>(SummaryEtMass!$B$18,SummaryEtMass!$F$18)</c:f>
              <c:numCache>
                <c:formatCode>0</c:formatCode>
                <c:ptCount val="2"/>
                <c:pt idx="0">
                  <c:v>0</c:v>
                </c:pt>
                <c:pt idx="1">
                  <c:v>3.78804705882353E-2</c:v>
                </c:pt>
              </c:numCache>
            </c:numRef>
          </c:val>
        </c:ser>
        <c:ser>
          <c:idx val="2"/>
          <c:order val="6"/>
          <c:tx>
            <c:strRef>
              <c:f>SummaryEtMass!$A$19</c:f>
              <c:strCache>
                <c:ptCount val="1"/>
                <c:pt idx="0">
                  <c:v>Ethanol Recovery</c:v>
                </c:pt>
              </c:strCache>
            </c:strRef>
          </c:tx>
          <c:spPr>
            <a:ln>
              <a:solidFill>
                <a:sysClr val="windowText" lastClr="000000"/>
              </a:solidFill>
            </a:ln>
          </c:spPr>
          <c:invertIfNegative val="0"/>
          <c:val>
            <c:numRef>
              <c:f>(SummaryEtMass!$B$19,SummaryEtMass!$F$19)</c:f>
              <c:numCache>
                <c:formatCode>0</c:formatCode>
                <c:ptCount val="2"/>
                <c:pt idx="0">
                  <c:v>0</c:v>
                </c:pt>
                <c:pt idx="1">
                  <c:v>3.55524</c:v>
                </c:pt>
              </c:numCache>
            </c:numRef>
          </c:val>
        </c:ser>
        <c:ser>
          <c:idx val="9"/>
          <c:order val="7"/>
          <c:tx>
            <c:strRef>
              <c:f>SummaryEtMass!$A$20</c:f>
              <c:strCache>
                <c:ptCount val="1"/>
                <c:pt idx="0">
                  <c:v>Waste Solids Pressure Filtration</c:v>
                </c:pt>
              </c:strCache>
            </c:strRef>
          </c:tx>
          <c:spPr>
            <a:solidFill>
              <a:srgbClr val="CC6600"/>
            </a:solidFill>
            <a:ln>
              <a:solidFill>
                <a:schemeClr val="tx1"/>
              </a:solidFill>
            </a:ln>
          </c:spPr>
          <c:invertIfNegative val="0"/>
          <c:val>
            <c:numRef>
              <c:f>(SummaryEtMass!$B$20,SummaryEtMass!$F$20)</c:f>
              <c:numCache>
                <c:formatCode>0</c:formatCode>
                <c:ptCount val="2"/>
                <c:pt idx="0">
                  <c:v>0</c:v>
                </c:pt>
                <c:pt idx="1">
                  <c:v>0.36340338469579847</c:v>
                </c:pt>
              </c:numCache>
            </c:numRef>
          </c:val>
        </c:ser>
        <c:ser>
          <c:idx val="10"/>
          <c:order val="8"/>
          <c:tx>
            <c:strRef>
              <c:f>SummaryEtMass!$A$21</c:f>
              <c:strCache>
                <c:ptCount val="1"/>
                <c:pt idx="0">
                  <c:v>Waste Water Treatment (AD)</c:v>
                </c:pt>
              </c:strCache>
            </c:strRef>
          </c:tx>
          <c:spPr>
            <a:solidFill>
              <a:srgbClr val="3333FF"/>
            </a:solidFill>
            <a:ln>
              <a:solidFill>
                <a:schemeClr val="tx1"/>
              </a:solidFill>
            </a:ln>
          </c:spPr>
          <c:invertIfNegative val="0"/>
          <c:val>
            <c:numRef>
              <c:f>(SummaryEtMass!$B$21,SummaryEtMass!$F$21)</c:f>
              <c:numCache>
                <c:formatCode>0</c:formatCode>
                <c:ptCount val="2"/>
                <c:pt idx="0">
                  <c:v>1927.7999999999997</c:v>
                </c:pt>
                <c:pt idx="1">
                  <c:v>116.22989766705884</c:v>
                </c:pt>
              </c:numCache>
            </c:numRef>
          </c:val>
        </c:ser>
        <c:ser>
          <c:idx val="3"/>
          <c:order val="9"/>
          <c:tx>
            <c:strRef>
              <c:f>SummaryEtMass!$A$22</c:f>
              <c:strCache>
                <c:ptCount val="1"/>
                <c:pt idx="0">
                  <c:v>Biorefinery Utilities</c:v>
                </c:pt>
              </c:strCache>
            </c:strRef>
          </c:tx>
          <c:spPr>
            <a:solidFill>
              <a:srgbClr val="FF6666"/>
            </a:solidFill>
            <a:ln>
              <a:solidFill>
                <a:sysClr val="windowText" lastClr="000000"/>
              </a:solidFill>
            </a:ln>
          </c:spPr>
          <c:invertIfNegative val="0"/>
          <c:val>
            <c:numRef>
              <c:f>(SummaryEtMass!$B$22,SummaryEtMass!$F$22)</c:f>
              <c:numCache>
                <c:formatCode>0</c:formatCode>
                <c:ptCount val="2"/>
                <c:pt idx="0">
                  <c:v>0</c:v>
                </c:pt>
                <c:pt idx="1">
                  <c:v>0.47476856470588247</c:v>
                </c:pt>
              </c:numCache>
            </c:numRef>
          </c:val>
        </c:ser>
        <c:ser>
          <c:idx val="12"/>
          <c:order val="10"/>
          <c:tx>
            <c:strRef>
              <c:f>SummaryEtMass!$A$23</c:f>
              <c:strCache>
                <c:ptCount val="1"/>
                <c:pt idx="0">
                  <c:v>Electricity Sales (Credit)</c:v>
                </c:pt>
              </c:strCache>
            </c:strRef>
          </c:tx>
          <c:spPr>
            <a:solidFill>
              <a:srgbClr val="00FFFF"/>
            </a:solidFill>
            <a:ln>
              <a:solidFill>
                <a:schemeClr val="tx1"/>
              </a:solidFill>
            </a:ln>
          </c:spPr>
          <c:invertIfNegative val="0"/>
          <c:val>
            <c:numRef>
              <c:f>(SummaryEtMass!$B$23,SummaryEtMass!$F$23)</c:f>
              <c:numCache>
                <c:formatCode>0</c:formatCode>
                <c:ptCount val="2"/>
                <c:pt idx="0">
                  <c:v>0</c:v>
                </c:pt>
                <c:pt idx="1">
                  <c:v>-5.4832981013266133</c:v>
                </c:pt>
              </c:numCache>
            </c:numRef>
          </c:val>
        </c:ser>
        <c:ser>
          <c:idx val="13"/>
          <c:order val="11"/>
          <c:tx>
            <c:strRef>
              <c:f>SummaryEtMass!$A$24</c:f>
              <c:strCache>
                <c:ptCount val="1"/>
                <c:pt idx="0">
                  <c:v>Biorefinery Plant</c:v>
                </c:pt>
              </c:strCache>
            </c:strRef>
          </c:tx>
          <c:spPr>
            <a:solidFill>
              <a:srgbClr val="FF33CC"/>
            </a:solidFill>
            <a:ln>
              <a:solidFill>
                <a:schemeClr val="tx1"/>
              </a:solidFill>
            </a:ln>
          </c:spPr>
          <c:invertIfNegative val="0"/>
          <c:val>
            <c:numRef>
              <c:f>(SummaryEtMass!$B$24,SummaryEtMass!$F$24)</c:f>
              <c:numCache>
                <c:formatCode>0</c:formatCode>
                <c:ptCount val="2"/>
                <c:pt idx="0">
                  <c:v>0</c:v>
                </c:pt>
                <c:pt idx="1">
                  <c:v>0</c:v>
                </c:pt>
              </c:numCache>
            </c:numRef>
          </c:val>
        </c:ser>
        <c:ser>
          <c:idx val="14"/>
          <c:order val="12"/>
          <c:tx>
            <c:strRef>
              <c:f>SummaryEtMass!$A$25</c:f>
              <c:strCache>
                <c:ptCount val="1"/>
                <c:pt idx="0">
                  <c:v>Transport to Distribution Point (Stage 1)</c:v>
                </c:pt>
              </c:strCache>
            </c:strRef>
          </c:tx>
          <c:spPr>
            <a:solidFill>
              <a:srgbClr val="7F7F7F"/>
            </a:solidFill>
            <a:ln>
              <a:solidFill>
                <a:schemeClr val="tx1"/>
              </a:solidFill>
            </a:ln>
          </c:spPr>
          <c:invertIfNegative val="0"/>
          <c:val>
            <c:numRef>
              <c:f>(SummaryEtMass!$B$25,SummaryEtMass!$F$25)</c:f>
              <c:numCache>
                <c:formatCode>0</c:formatCode>
                <c:ptCount val="2"/>
                <c:pt idx="0">
                  <c:v>517.88672232212184</c:v>
                </c:pt>
                <c:pt idx="1">
                  <c:v>40.313499445117209</c:v>
                </c:pt>
              </c:numCache>
            </c:numRef>
          </c:val>
        </c:ser>
        <c:ser>
          <c:idx val="15"/>
          <c:order val="13"/>
          <c:tx>
            <c:strRef>
              <c:f>SummaryEtMass!$A$26</c:f>
              <c:strCache>
                <c:ptCount val="1"/>
                <c:pt idx="0">
                  <c:v>Transport to Distribution Point (Stage 2)</c:v>
                </c:pt>
              </c:strCache>
            </c:strRef>
          </c:tx>
          <c:spPr>
            <a:solidFill>
              <a:srgbClr val="B6B6C8"/>
            </a:solidFill>
            <a:ln>
              <a:solidFill>
                <a:schemeClr val="tx1"/>
              </a:solidFill>
            </a:ln>
          </c:spPr>
          <c:invertIfNegative val="0"/>
          <c:val>
            <c:numRef>
              <c:f>(SummaryEtMass!$B$26,SummaryEtMass!$F$26)</c:f>
              <c:numCache>
                <c:formatCode>0</c:formatCode>
                <c:ptCount val="2"/>
                <c:pt idx="0">
                  <c:v>0</c:v>
                </c:pt>
                <c:pt idx="1">
                  <c:v>0</c:v>
                </c:pt>
              </c:numCache>
            </c:numRef>
          </c:val>
        </c:ser>
        <c:ser>
          <c:idx val="16"/>
          <c:order val="14"/>
          <c:tx>
            <c:strRef>
              <c:f>SummaryEtMass!$A$27</c:f>
              <c:strCache>
                <c:ptCount val="1"/>
                <c:pt idx="0">
                  <c:v>Transport to Distribution Point (Stage 3)</c:v>
                </c:pt>
              </c:strCache>
            </c:strRef>
          </c:tx>
          <c:spPr>
            <a:solidFill>
              <a:srgbClr val="C9FAC8"/>
            </a:solidFill>
            <a:ln>
              <a:solidFill>
                <a:schemeClr val="tx1"/>
              </a:solidFill>
            </a:ln>
          </c:spPr>
          <c:invertIfNegative val="0"/>
          <c:val>
            <c:numRef>
              <c:f>(SummaryEtMass!$B$27,SummaryEtMass!$F$27)</c:f>
              <c:numCache>
                <c:formatCode>0</c:formatCode>
                <c:ptCount val="2"/>
                <c:pt idx="0">
                  <c:v>0</c:v>
                </c:pt>
                <c:pt idx="1">
                  <c:v>0</c:v>
                </c:pt>
              </c:numCache>
            </c:numRef>
          </c:val>
        </c:ser>
        <c:dLbls>
          <c:showLegendKey val="0"/>
          <c:showVal val="0"/>
          <c:showCatName val="0"/>
          <c:showSerName val="0"/>
          <c:showPercent val="0"/>
          <c:showBubbleSize val="0"/>
        </c:dLbls>
        <c:gapWidth val="75"/>
        <c:overlap val="100"/>
        <c:axId val="93862528"/>
        <c:axId val="93864320"/>
      </c:barChart>
      <c:catAx>
        <c:axId val="93862528"/>
        <c:scaling>
          <c:orientation val="minMax"/>
        </c:scaling>
        <c:delete val="0"/>
        <c:axPos val="l"/>
        <c:numFmt formatCode="0.00" sourceLinked="1"/>
        <c:majorTickMark val="none"/>
        <c:minorTickMark val="none"/>
        <c:tickLblPos val="nextTo"/>
        <c:crossAx val="93864320"/>
        <c:crosses val="autoZero"/>
        <c:auto val="1"/>
        <c:lblAlgn val="ctr"/>
        <c:lblOffset val="100"/>
        <c:noMultiLvlLbl val="0"/>
      </c:catAx>
      <c:valAx>
        <c:axId val="93864320"/>
        <c:scaling>
          <c:orientation val="minMax"/>
        </c:scaling>
        <c:delete val="0"/>
        <c:axPos val="b"/>
        <c:majorGridlines/>
        <c:numFmt formatCode="0%" sourceLinked="1"/>
        <c:majorTickMark val="none"/>
        <c:minorTickMark val="none"/>
        <c:tickLblPos val="nextTo"/>
        <c:spPr>
          <a:ln w="9525">
            <a:noFill/>
          </a:ln>
        </c:spPr>
        <c:crossAx val="93862528"/>
        <c:crosses val="autoZero"/>
        <c:crossBetween val="between"/>
      </c:valAx>
      <c:spPr>
        <a:ln>
          <a:solidFill>
            <a:schemeClr val="tx1"/>
          </a:solidFill>
        </a:ln>
      </c:spPr>
    </c:plotArea>
    <c:legend>
      <c:legendPos val="b"/>
      <c:layout>
        <c:manualLayout>
          <c:xMode val="edge"/>
          <c:yMode val="edge"/>
          <c:x val="8.2948590842130493E-2"/>
          <c:y val="0.61269783754908402"/>
          <c:w val="0.69251182581391657"/>
          <c:h val="0.29033175909970865"/>
        </c:manualLayout>
      </c:layout>
      <c:overlay val="0"/>
      <c:spPr>
        <a:ln>
          <a:solidFill>
            <a:sysClr val="windowText" lastClr="000000"/>
          </a:solidFill>
        </a:ln>
      </c:spPr>
    </c:legend>
    <c:plotVisOnly val="1"/>
    <c:dispBlanksAs val="gap"/>
    <c:showDLblsOverMax val="0"/>
  </c:chart>
  <c:printSettings>
    <c:headerFooter/>
    <c:pageMargins b="0.75000000000000688" l="0.70000000000000062" r="0.70000000000000062" t="0.75000000000000688"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a:pPr>
            <a:r>
              <a:rPr lang="en-US" sz="1200" b="1" i="0" baseline="0">
                <a:latin typeface="Arial" pitchFamily="34" charset="0"/>
                <a:cs typeface="Arial" pitchFamily="34" charset="0"/>
              </a:rPr>
              <a:t>Total Greenhouse Gas Emissions by Process Contribution</a:t>
            </a:r>
          </a:p>
        </c:rich>
      </c:tx>
      <c:overlay val="0"/>
    </c:title>
    <c:autoTitleDeleted val="0"/>
    <c:plotArea>
      <c:layout>
        <c:manualLayout>
          <c:layoutTarget val="inner"/>
          <c:xMode val="edge"/>
          <c:yMode val="edge"/>
          <c:x val="3.4589402772664611E-2"/>
          <c:y val="0.14314048581765329"/>
          <c:w val="0.94713196440116998"/>
          <c:h val="0.31091802713850414"/>
        </c:manualLayout>
      </c:layout>
      <c:barChart>
        <c:barDir val="bar"/>
        <c:grouping val="percentStacked"/>
        <c:varyColors val="0"/>
        <c:ser>
          <c:idx val="0"/>
          <c:order val="0"/>
          <c:tx>
            <c:strRef>
              <c:f>SummaryEtSubstitution!$A$13</c:f>
              <c:strCache>
                <c:ptCount val="1"/>
                <c:pt idx="0">
                  <c:v>Cultivation</c:v>
                </c:pt>
              </c:strCache>
            </c:strRef>
          </c:tx>
          <c:spPr>
            <a:solidFill>
              <a:srgbClr val="CC3300"/>
            </a:solidFill>
            <a:ln>
              <a:solidFill>
                <a:schemeClr val="tx1"/>
              </a:solidFill>
            </a:ln>
          </c:spPr>
          <c:invertIfNegative val="0"/>
          <c:cat>
            <c:strRef>
              <c:f>(SummaryEtSubstitution!$B$11,SummaryEtSubstitution!$F$11)</c:f>
              <c:strCache>
                <c:ptCount val="2"/>
                <c:pt idx="0">
                  <c:v>Primary Energy Inputs</c:v>
                </c:pt>
                <c:pt idx="1">
                  <c:v>Total Greenhouse Gas Emissions</c:v>
                </c:pt>
              </c:strCache>
            </c:strRef>
          </c:cat>
          <c:val>
            <c:numRef>
              <c:f>SummaryEtSubstitution!$F$13</c:f>
              <c:numCache>
                <c:formatCode>0</c:formatCode>
                <c:ptCount val="1"/>
                <c:pt idx="0">
                  <c:v>1032.8402446087837</c:v>
                </c:pt>
              </c:numCache>
            </c:numRef>
          </c:val>
        </c:ser>
        <c:ser>
          <c:idx val="4"/>
          <c:order val="1"/>
          <c:tx>
            <c:strRef>
              <c:f>SummaryEtSubstitution!$A$14</c:f>
              <c:strCache>
                <c:ptCount val="1"/>
                <c:pt idx="0">
                  <c:v>Transport to Plant (Stage 1)</c:v>
                </c:pt>
              </c:strCache>
            </c:strRef>
          </c:tx>
          <c:spPr>
            <a:solidFill>
              <a:srgbClr val="DDDDDD"/>
            </a:solidFill>
            <a:ln>
              <a:solidFill>
                <a:schemeClr val="tx1"/>
              </a:solidFill>
            </a:ln>
          </c:spPr>
          <c:invertIfNegative val="0"/>
          <c:cat>
            <c:strRef>
              <c:f>(SummaryEtSubstitution!$B$11,SummaryEtSubstitution!$F$11)</c:f>
              <c:strCache>
                <c:ptCount val="2"/>
                <c:pt idx="0">
                  <c:v>Primary Energy Inputs</c:v>
                </c:pt>
                <c:pt idx="1">
                  <c:v>Total Greenhouse Gas Emissions</c:v>
                </c:pt>
              </c:strCache>
            </c:strRef>
          </c:cat>
          <c:val>
            <c:numRef>
              <c:f>SummaryEtSubstitution!$F$14</c:f>
              <c:numCache>
                <c:formatCode>0</c:formatCode>
                <c:ptCount val="1"/>
                <c:pt idx="0">
                  <c:v>46.824942421527133</c:v>
                </c:pt>
              </c:numCache>
            </c:numRef>
          </c:val>
        </c:ser>
        <c:ser>
          <c:idx val="1"/>
          <c:order val="2"/>
          <c:tx>
            <c:strRef>
              <c:f>SummaryEtSubstitution!$A$15</c:f>
              <c:strCache>
                <c:ptCount val="1"/>
                <c:pt idx="0">
                  <c:v>Transport to Plant (Stage 2)</c:v>
                </c:pt>
              </c:strCache>
            </c:strRef>
          </c:tx>
          <c:spPr>
            <a:solidFill>
              <a:srgbClr val="000000"/>
            </a:solidFill>
            <a:ln>
              <a:solidFill>
                <a:schemeClr val="tx1"/>
              </a:solidFill>
            </a:ln>
          </c:spPr>
          <c:invertIfNegative val="0"/>
          <c:val>
            <c:numRef>
              <c:f>SummaryEtSubstitution!$F$15</c:f>
              <c:numCache>
                <c:formatCode>0</c:formatCode>
                <c:ptCount val="1"/>
                <c:pt idx="0">
                  <c:v>0</c:v>
                </c:pt>
              </c:numCache>
            </c:numRef>
          </c:val>
        </c:ser>
        <c:ser>
          <c:idx val="2"/>
          <c:order val="3"/>
          <c:tx>
            <c:strRef>
              <c:f>SummaryEtSubstitution!$A$16</c:f>
              <c:strCache>
                <c:ptCount val="1"/>
                <c:pt idx="0">
                  <c:v>Biomass Milling</c:v>
                </c:pt>
              </c:strCache>
            </c:strRef>
          </c:tx>
          <c:spPr>
            <a:solidFill>
              <a:srgbClr val="FF0000"/>
            </a:solidFill>
            <a:ln>
              <a:solidFill>
                <a:schemeClr val="tx1"/>
              </a:solidFill>
            </a:ln>
          </c:spPr>
          <c:invertIfNegative val="0"/>
          <c:val>
            <c:numRef>
              <c:f>SummaryEtSubstitution!$F$16</c:f>
              <c:numCache>
                <c:formatCode>0</c:formatCode>
                <c:ptCount val="1"/>
                <c:pt idx="0">
                  <c:v>0.55780798692669165</c:v>
                </c:pt>
              </c:numCache>
            </c:numRef>
          </c:val>
        </c:ser>
        <c:ser>
          <c:idx val="8"/>
          <c:order val="4"/>
          <c:tx>
            <c:strRef>
              <c:f>SummaryEtSubstitution!$A$17</c:f>
              <c:strCache>
                <c:ptCount val="1"/>
                <c:pt idx="0">
                  <c:v>Pre-Treatment, Enzyme Production and Enzymatic Hydrolysis</c:v>
                </c:pt>
              </c:strCache>
            </c:strRef>
          </c:tx>
          <c:spPr>
            <a:solidFill>
              <a:srgbClr val="99CC00"/>
            </a:solidFill>
            <a:ln>
              <a:solidFill>
                <a:schemeClr val="tx1"/>
              </a:solidFill>
            </a:ln>
          </c:spPr>
          <c:invertIfNegative val="0"/>
          <c:val>
            <c:numRef>
              <c:f>SummaryEtSubstitution!$F$17</c:f>
              <c:numCache>
                <c:formatCode>0</c:formatCode>
                <c:ptCount val="1"/>
                <c:pt idx="0">
                  <c:v>539.27419031703187</c:v>
                </c:pt>
              </c:numCache>
            </c:numRef>
          </c:val>
        </c:ser>
        <c:ser>
          <c:idx val="6"/>
          <c:order val="5"/>
          <c:tx>
            <c:strRef>
              <c:f>SummaryEtSubstitution!$A$18</c:f>
              <c:strCache>
                <c:ptCount val="1"/>
                <c:pt idx="0">
                  <c:v>Fermentation</c:v>
                </c:pt>
              </c:strCache>
            </c:strRef>
          </c:tx>
          <c:spPr>
            <a:solidFill>
              <a:srgbClr val="FF3300"/>
            </a:solidFill>
            <a:ln>
              <a:solidFill>
                <a:schemeClr val="tx1"/>
              </a:solidFill>
            </a:ln>
          </c:spPr>
          <c:invertIfNegative val="0"/>
          <c:val>
            <c:numRef>
              <c:f>SummaryEtSubstitution!$F$18</c:f>
              <c:numCache>
                <c:formatCode>0</c:formatCode>
                <c:ptCount val="1"/>
                <c:pt idx="0">
                  <c:v>3.78804705882353E-2</c:v>
                </c:pt>
              </c:numCache>
            </c:numRef>
          </c:val>
        </c:ser>
        <c:ser>
          <c:idx val="7"/>
          <c:order val="6"/>
          <c:tx>
            <c:strRef>
              <c:f>SummaryEtSubstitution!$A$19</c:f>
              <c:strCache>
                <c:ptCount val="1"/>
                <c:pt idx="0">
                  <c:v>Ethanol Recovery</c:v>
                </c:pt>
              </c:strCache>
            </c:strRef>
          </c:tx>
          <c:spPr>
            <a:solidFill>
              <a:srgbClr val="FFFF00"/>
            </a:solidFill>
            <a:ln>
              <a:solidFill>
                <a:schemeClr val="tx1"/>
              </a:solidFill>
            </a:ln>
          </c:spPr>
          <c:invertIfNegative val="0"/>
          <c:val>
            <c:numRef>
              <c:f>SummaryEtSubstitution!$F$19</c:f>
              <c:numCache>
                <c:formatCode>0</c:formatCode>
                <c:ptCount val="1"/>
                <c:pt idx="0">
                  <c:v>3.55524</c:v>
                </c:pt>
              </c:numCache>
            </c:numRef>
          </c:val>
        </c:ser>
        <c:ser>
          <c:idx val="9"/>
          <c:order val="7"/>
          <c:tx>
            <c:strRef>
              <c:f>SummaryEtSubstitution!$A$20</c:f>
              <c:strCache>
                <c:ptCount val="1"/>
                <c:pt idx="0">
                  <c:v>Waste Solids Pressure Filtration</c:v>
                </c:pt>
              </c:strCache>
            </c:strRef>
          </c:tx>
          <c:spPr>
            <a:solidFill>
              <a:srgbClr val="00FF00"/>
            </a:solidFill>
            <a:ln>
              <a:solidFill>
                <a:schemeClr val="tx1"/>
              </a:solidFill>
            </a:ln>
          </c:spPr>
          <c:invertIfNegative val="0"/>
          <c:val>
            <c:numRef>
              <c:f>SummaryEtSubstitution!$F$20</c:f>
              <c:numCache>
                <c:formatCode>0</c:formatCode>
                <c:ptCount val="1"/>
                <c:pt idx="0">
                  <c:v>0.36340338469579847</c:v>
                </c:pt>
              </c:numCache>
            </c:numRef>
          </c:val>
        </c:ser>
        <c:ser>
          <c:idx val="10"/>
          <c:order val="8"/>
          <c:tx>
            <c:strRef>
              <c:f>SummaryEtSubstitution!$A$21</c:f>
              <c:strCache>
                <c:ptCount val="1"/>
                <c:pt idx="0">
                  <c:v>Waste Water Treatment (AD)</c:v>
                </c:pt>
              </c:strCache>
            </c:strRef>
          </c:tx>
          <c:spPr>
            <a:solidFill>
              <a:srgbClr val="006600"/>
            </a:solidFill>
            <a:ln>
              <a:solidFill>
                <a:schemeClr val="tx1"/>
              </a:solidFill>
            </a:ln>
          </c:spPr>
          <c:invertIfNegative val="0"/>
          <c:val>
            <c:numRef>
              <c:f>SummaryEtSubstitution!$F$21</c:f>
              <c:numCache>
                <c:formatCode>0</c:formatCode>
                <c:ptCount val="1"/>
                <c:pt idx="0">
                  <c:v>116.22989766705884</c:v>
                </c:pt>
              </c:numCache>
            </c:numRef>
          </c:val>
        </c:ser>
        <c:ser>
          <c:idx val="5"/>
          <c:order val="9"/>
          <c:tx>
            <c:strRef>
              <c:f>SummaryEtSubstitution!$A$22</c:f>
              <c:strCache>
                <c:ptCount val="1"/>
                <c:pt idx="0">
                  <c:v>Biorefinery Utilities</c:v>
                </c:pt>
              </c:strCache>
            </c:strRef>
          </c:tx>
          <c:spPr>
            <a:solidFill>
              <a:srgbClr val="FF6666"/>
            </a:solidFill>
            <a:ln>
              <a:solidFill>
                <a:sysClr val="windowText" lastClr="000000"/>
              </a:solidFill>
            </a:ln>
          </c:spPr>
          <c:invertIfNegative val="0"/>
          <c:val>
            <c:numRef>
              <c:f>SummaryEtSubstitution!$F$22</c:f>
              <c:numCache>
                <c:formatCode>0</c:formatCode>
                <c:ptCount val="1"/>
                <c:pt idx="0">
                  <c:v>0.47476856470588247</c:v>
                </c:pt>
              </c:numCache>
            </c:numRef>
          </c:val>
        </c:ser>
        <c:ser>
          <c:idx val="12"/>
          <c:order val="10"/>
          <c:tx>
            <c:strRef>
              <c:f>SummaryEtSubstitution!$A$23</c:f>
              <c:strCache>
                <c:ptCount val="1"/>
                <c:pt idx="0">
                  <c:v>Electricity Sales (Credit)</c:v>
                </c:pt>
              </c:strCache>
            </c:strRef>
          </c:tx>
          <c:spPr>
            <a:solidFill>
              <a:srgbClr val="0033CC"/>
            </a:solidFill>
            <a:ln>
              <a:solidFill>
                <a:schemeClr val="tx1"/>
              </a:solidFill>
            </a:ln>
          </c:spPr>
          <c:invertIfNegative val="0"/>
          <c:val>
            <c:numRef>
              <c:f>SummaryEtSubstitution!$F$23</c:f>
              <c:numCache>
                <c:formatCode>0</c:formatCode>
                <c:ptCount val="1"/>
                <c:pt idx="0">
                  <c:v>-5.4832981013266133</c:v>
                </c:pt>
              </c:numCache>
            </c:numRef>
          </c:val>
        </c:ser>
        <c:ser>
          <c:idx val="11"/>
          <c:order val="11"/>
          <c:tx>
            <c:strRef>
              <c:f>SummaryEtSubstitution!$A$24</c:f>
              <c:strCache>
                <c:ptCount val="1"/>
                <c:pt idx="0">
                  <c:v>Co-Product Substitution Credits</c:v>
                </c:pt>
              </c:strCache>
            </c:strRef>
          </c:tx>
          <c:spPr>
            <a:solidFill>
              <a:srgbClr val="996633"/>
            </a:solidFill>
            <a:ln>
              <a:solidFill>
                <a:schemeClr val="tx1"/>
              </a:solidFill>
            </a:ln>
          </c:spPr>
          <c:invertIfNegative val="0"/>
          <c:val>
            <c:numRef>
              <c:f>SummaryEtSubstitution!$F$24</c:f>
              <c:numCache>
                <c:formatCode>0</c:formatCode>
                <c:ptCount val="1"/>
                <c:pt idx="0">
                  <c:v>0</c:v>
                </c:pt>
              </c:numCache>
            </c:numRef>
          </c:val>
        </c:ser>
        <c:ser>
          <c:idx val="13"/>
          <c:order val="12"/>
          <c:tx>
            <c:strRef>
              <c:f>SummaryEtSubstitution!$A$25</c:f>
              <c:strCache>
                <c:ptCount val="1"/>
                <c:pt idx="0">
                  <c:v>Biorefinery Plant</c:v>
                </c:pt>
              </c:strCache>
            </c:strRef>
          </c:tx>
          <c:spPr>
            <a:solidFill>
              <a:schemeClr val="bg1">
                <a:lumMod val="85000"/>
              </a:schemeClr>
            </a:solidFill>
            <a:ln>
              <a:solidFill>
                <a:schemeClr val="tx1"/>
              </a:solidFill>
            </a:ln>
          </c:spPr>
          <c:invertIfNegative val="0"/>
          <c:val>
            <c:numRef>
              <c:f>SummaryEtSubstitution!$F$25</c:f>
              <c:numCache>
                <c:formatCode>0</c:formatCode>
                <c:ptCount val="1"/>
                <c:pt idx="0">
                  <c:v>0</c:v>
                </c:pt>
              </c:numCache>
            </c:numRef>
          </c:val>
        </c:ser>
        <c:ser>
          <c:idx val="14"/>
          <c:order val="13"/>
          <c:tx>
            <c:strRef>
              <c:f>SummaryEtSubstitution!$A$26</c:f>
              <c:strCache>
                <c:ptCount val="1"/>
                <c:pt idx="0">
                  <c:v>Transport to Distribution Point (Stage 1)</c:v>
                </c:pt>
              </c:strCache>
            </c:strRef>
          </c:tx>
          <c:spPr>
            <a:solidFill>
              <a:srgbClr val="666699"/>
            </a:solidFill>
            <a:ln>
              <a:solidFill>
                <a:schemeClr val="tx1"/>
              </a:solidFill>
            </a:ln>
          </c:spPr>
          <c:invertIfNegative val="0"/>
          <c:val>
            <c:numRef>
              <c:f>SummaryEtSubstitution!$F$26</c:f>
              <c:numCache>
                <c:formatCode>0</c:formatCode>
                <c:ptCount val="1"/>
                <c:pt idx="0">
                  <c:v>40.313499445117209</c:v>
                </c:pt>
              </c:numCache>
            </c:numRef>
          </c:val>
        </c:ser>
        <c:ser>
          <c:idx val="15"/>
          <c:order val="14"/>
          <c:tx>
            <c:strRef>
              <c:f>SummaryEtSubstitution!$A$27</c:f>
              <c:strCache>
                <c:ptCount val="1"/>
                <c:pt idx="0">
                  <c:v>Transport to Distribution Point (Stage 2)</c:v>
                </c:pt>
              </c:strCache>
            </c:strRef>
          </c:tx>
          <c:spPr>
            <a:solidFill>
              <a:srgbClr val="9900FF"/>
            </a:solidFill>
            <a:ln>
              <a:solidFill>
                <a:schemeClr val="tx1"/>
              </a:solidFill>
            </a:ln>
          </c:spPr>
          <c:invertIfNegative val="0"/>
          <c:val>
            <c:numRef>
              <c:f>SummaryEtSubstitution!$F$27</c:f>
              <c:numCache>
                <c:formatCode>0</c:formatCode>
                <c:ptCount val="1"/>
                <c:pt idx="0">
                  <c:v>0</c:v>
                </c:pt>
              </c:numCache>
            </c:numRef>
          </c:val>
        </c:ser>
        <c:ser>
          <c:idx val="16"/>
          <c:order val="15"/>
          <c:tx>
            <c:strRef>
              <c:f>SummaryEtSubstitution!$A$28</c:f>
              <c:strCache>
                <c:ptCount val="1"/>
                <c:pt idx="0">
                  <c:v>Transport to Distribution Point (Stage 3)</c:v>
                </c:pt>
              </c:strCache>
            </c:strRef>
          </c:tx>
          <c:spPr>
            <a:solidFill>
              <a:srgbClr val="660066"/>
            </a:solidFill>
            <a:ln>
              <a:solidFill>
                <a:schemeClr val="tx1"/>
              </a:solidFill>
            </a:ln>
          </c:spPr>
          <c:invertIfNegative val="0"/>
          <c:val>
            <c:numRef>
              <c:f>SummaryEtSubstitution!$F$28</c:f>
              <c:numCache>
                <c:formatCode>0</c:formatCode>
                <c:ptCount val="1"/>
                <c:pt idx="0">
                  <c:v>0</c:v>
                </c:pt>
              </c:numCache>
            </c:numRef>
          </c:val>
        </c:ser>
        <c:dLbls>
          <c:showLegendKey val="0"/>
          <c:showVal val="0"/>
          <c:showCatName val="0"/>
          <c:showSerName val="0"/>
          <c:showPercent val="0"/>
          <c:showBubbleSize val="0"/>
        </c:dLbls>
        <c:gapWidth val="75"/>
        <c:overlap val="100"/>
        <c:axId val="121611008"/>
        <c:axId val="121612544"/>
      </c:barChart>
      <c:catAx>
        <c:axId val="121611008"/>
        <c:scaling>
          <c:orientation val="minMax"/>
        </c:scaling>
        <c:delete val="1"/>
        <c:axPos val="l"/>
        <c:numFmt formatCode="0.00" sourceLinked="1"/>
        <c:majorTickMark val="none"/>
        <c:minorTickMark val="none"/>
        <c:tickLblPos val="none"/>
        <c:crossAx val="121612544"/>
        <c:crosses val="autoZero"/>
        <c:auto val="1"/>
        <c:lblAlgn val="ctr"/>
        <c:lblOffset val="100"/>
        <c:noMultiLvlLbl val="0"/>
      </c:catAx>
      <c:valAx>
        <c:axId val="121612544"/>
        <c:scaling>
          <c:orientation val="minMax"/>
        </c:scaling>
        <c:delete val="0"/>
        <c:axPos val="b"/>
        <c:majorGridlines/>
        <c:numFmt formatCode="0%" sourceLinked="1"/>
        <c:majorTickMark val="none"/>
        <c:minorTickMark val="none"/>
        <c:tickLblPos val="nextTo"/>
        <c:spPr>
          <a:ln w="9525">
            <a:noFill/>
          </a:ln>
        </c:spPr>
        <c:crossAx val="121611008"/>
        <c:crosses val="autoZero"/>
        <c:crossBetween val="between"/>
      </c:valAx>
      <c:spPr>
        <a:ln>
          <a:solidFill>
            <a:schemeClr val="tx1"/>
          </a:solidFill>
        </a:ln>
      </c:spPr>
    </c:plotArea>
    <c:legend>
      <c:legendPos val="b"/>
      <c:layout>
        <c:manualLayout>
          <c:xMode val="edge"/>
          <c:yMode val="edge"/>
          <c:x val="1.3374654057984553E-2"/>
          <c:y val="0.61906059039918093"/>
          <c:w val="0.73855128303136852"/>
          <c:h val="0.32535581637201033"/>
        </c:manualLayout>
      </c:layout>
      <c:overlay val="0"/>
    </c:legend>
    <c:plotVisOnly val="1"/>
    <c:dispBlanksAs val="gap"/>
    <c:showDLblsOverMax val="0"/>
  </c:chart>
  <c:printSettings>
    <c:headerFooter/>
    <c:pageMargins b="0.75000000000000644" l="0.70000000000000062" r="0.70000000000000062" t="0.75000000000000644"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245110</xdr:colOff>
      <xdr:row>21</xdr:row>
      <xdr:rowOff>64770</xdr:rowOff>
    </xdr:to>
    <xdr:pic>
      <xdr:nvPicPr>
        <xdr:cNvPr id="2" name="Picture 1" descr="http://www.york.ac.uk/org/cnap/SUNLIBB/members/downloads/SUNLIBB_logo%20RGB%20300dpi.jpg"/>
        <xdr:cNvPicPr/>
      </xdr:nvPicPr>
      <xdr:blipFill>
        <a:blip xmlns:r="http://schemas.openxmlformats.org/officeDocument/2006/relationships" r:embed="rId1" cstate="print"/>
        <a:srcRect/>
        <a:stretch>
          <a:fillRect/>
        </a:stretch>
      </xdr:blipFill>
      <xdr:spPr bwMode="auto">
        <a:xfrm>
          <a:off x="0" y="0"/>
          <a:ext cx="5731510" cy="346519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873125</xdr:colOff>
      <xdr:row>30</xdr:row>
      <xdr:rowOff>30390</xdr:rowOff>
    </xdr:from>
    <xdr:to>
      <xdr:col>6</xdr:col>
      <xdr:colOff>718005</xdr:colOff>
      <xdr:row>53</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873125</xdr:colOff>
      <xdr:row>29</xdr:row>
      <xdr:rowOff>30390</xdr:rowOff>
    </xdr:from>
    <xdr:to>
      <xdr:col>6</xdr:col>
      <xdr:colOff>718005</xdr:colOff>
      <xdr:row>52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873125</xdr:colOff>
      <xdr:row>29</xdr:row>
      <xdr:rowOff>30390</xdr:rowOff>
    </xdr:from>
    <xdr:to>
      <xdr:col>6</xdr:col>
      <xdr:colOff>718005</xdr:colOff>
      <xdr:row>52</xdr:row>
      <xdr:rowOff>66675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828675</xdr:colOff>
      <xdr:row>30</xdr:row>
      <xdr:rowOff>19050</xdr:rowOff>
    </xdr:from>
    <xdr:to>
      <xdr:col>5</xdr:col>
      <xdr:colOff>1647825</xdr:colOff>
      <xdr:row>55</xdr:row>
      <xdr:rowOff>9525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3.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4.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Metro">
  <a:themeElements>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Elements>
  <a:objectDefaults/>
  <a:extraClrSchemeLst/>
</a:theme>
</file>

<file path=xl/theme/themeOverride1.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theme/themeOverride2.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theme/themeOverride3.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theme/themeOverride4.xml><?xml version="1.0" encoding="utf-8"?>
<a:themeOverride xmlns:a="http://schemas.openxmlformats.org/drawingml/2006/main">
  <a:clrScheme name="Custom 1">
    <a:dk1>
      <a:sysClr val="windowText" lastClr="000000"/>
    </a:dk1>
    <a:lt1>
      <a:sysClr val="window" lastClr="FFFFFF"/>
    </a:lt1>
    <a:dk2>
      <a:srgbClr val="4E5B6F"/>
    </a:dk2>
    <a:lt2>
      <a:srgbClr val="D6ECFF"/>
    </a:lt2>
    <a:accent1>
      <a:srgbClr val="336600"/>
    </a:accent1>
    <a:accent2>
      <a:srgbClr val="78AF1E"/>
    </a:accent2>
    <a:accent3>
      <a:srgbClr val="000000"/>
    </a:accent3>
    <a:accent4>
      <a:srgbClr val="606060"/>
    </a:accent4>
    <a:accent5>
      <a:srgbClr val="641E1E"/>
    </a:accent5>
    <a:accent6>
      <a:srgbClr val="FFFFCC"/>
    </a:accent6>
    <a:hlink>
      <a:srgbClr val="EB8803"/>
    </a:hlink>
    <a:folHlink>
      <a:srgbClr val="5F7791"/>
    </a:folHlink>
  </a:clrScheme>
  <a:fontScheme name="Custom 1">
    <a:majorFont>
      <a:latin typeface="Trebuchet MS"/>
      <a:ea typeface=""/>
      <a:cs typeface=""/>
    </a:majorFont>
    <a:minorFont>
      <a:latin typeface="Trebuchet MS"/>
      <a:ea typeface=""/>
      <a:cs typeface=""/>
    </a:minorFont>
  </a:fontScheme>
  <a:fmtScheme name="Metro">
    <a:fillStyleLst>
      <a:solidFill>
        <a:schemeClr val="phClr"/>
      </a:solidFill>
      <a:gradFill rotWithShape="1">
        <a:gsLst>
          <a:gs pos="0">
            <a:schemeClr val="phClr">
              <a:tint val="25000"/>
              <a:satMod val="125000"/>
            </a:schemeClr>
          </a:gs>
          <a:gs pos="40000">
            <a:schemeClr val="phClr">
              <a:tint val="55000"/>
              <a:satMod val="130000"/>
            </a:schemeClr>
          </a:gs>
          <a:gs pos="50000">
            <a:schemeClr val="phClr">
              <a:tint val="59000"/>
              <a:satMod val="130000"/>
            </a:schemeClr>
          </a:gs>
          <a:gs pos="65000">
            <a:schemeClr val="phClr">
              <a:tint val="55000"/>
              <a:satMod val="130000"/>
            </a:schemeClr>
          </a:gs>
          <a:gs pos="100000">
            <a:schemeClr val="phClr">
              <a:tint val="20000"/>
              <a:satMod val="125000"/>
            </a:schemeClr>
          </a:gs>
        </a:gsLst>
        <a:lin ang="5400000" scaled="0"/>
      </a:gradFill>
      <a:gradFill rotWithShape="1">
        <a:gsLst>
          <a:gs pos="0">
            <a:schemeClr val="phClr">
              <a:tint val="48000"/>
              <a:satMod val="138000"/>
            </a:schemeClr>
          </a:gs>
          <a:gs pos="25000">
            <a:schemeClr val="phClr">
              <a:tint val="85000"/>
            </a:schemeClr>
          </a:gs>
          <a:gs pos="40000">
            <a:schemeClr val="phClr">
              <a:tint val="92000"/>
            </a:schemeClr>
          </a:gs>
          <a:gs pos="50000">
            <a:schemeClr val="phClr">
              <a:tint val="93000"/>
            </a:schemeClr>
          </a:gs>
          <a:gs pos="60000">
            <a:schemeClr val="phClr">
              <a:tint val="92000"/>
            </a:schemeClr>
          </a:gs>
          <a:gs pos="75000">
            <a:schemeClr val="phClr">
              <a:tint val="83000"/>
              <a:satMod val="108000"/>
            </a:schemeClr>
          </a:gs>
          <a:gs pos="100000">
            <a:schemeClr val="phClr">
              <a:tint val="48000"/>
              <a:satMod val="150000"/>
            </a:schemeClr>
          </a:gs>
        </a:gsLst>
        <a:lin ang="5400000" scaled="0"/>
      </a:gradFill>
    </a:fillStyleLst>
    <a:lnStyleLst>
      <a:ln w="12000" cap="flat" cmpd="sng" algn="ctr">
        <a:solidFill>
          <a:schemeClr val="phClr"/>
        </a:solidFill>
        <a:prstDash val="solid"/>
      </a:ln>
      <a:ln w="19050" cap="flat" cmpd="sng" algn="ctr">
        <a:solidFill>
          <a:schemeClr val="phClr"/>
        </a:solidFill>
        <a:prstDash val="solid"/>
      </a:ln>
      <a:ln w="38100" cap="flat" cmpd="sng" algn="ctr">
        <a:solidFill>
          <a:schemeClr val="phClr"/>
        </a:solidFill>
        <a:prstDash val="solid"/>
      </a:ln>
    </a:lnStyleLst>
    <a:effectStyleLst>
      <a:effectStyle>
        <a:effectLst>
          <a:glow rad="63500">
            <a:schemeClr val="phClr">
              <a:alpha val="45000"/>
              <a:satMod val="120000"/>
            </a:schemeClr>
          </a:glow>
        </a:effectLst>
      </a:effectStyle>
      <a:effectStyle>
        <a:effectLst>
          <a:glow rad="63500">
            <a:schemeClr val="phClr">
              <a:alpha val="45000"/>
              <a:satMod val="120000"/>
            </a:schemeClr>
          </a:glow>
        </a:effectLst>
        <a:scene3d>
          <a:camera prst="orthographicFront" fov="0">
            <a:rot lat="0" lon="0" rev="0"/>
          </a:camera>
          <a:lightRig rig="brightRoom" dir="tl">
            <a:rot lat="0" lon="0" rev="8700000"/>
          </a:lightRig>
        </a:scene3d>
        <a:sp3d>
          <a:bevelT w="0" h="0"/>
          <a:contourClr>
            <a:schemeClr val="phClr">
              <a:tint val="70000"/>
            </a:schemeClr>
          </a:contourClr>
        </a:sp3d>
      </a:effectStyle>
      <a:effectStyle>
        <a:effectLst>
          <a:glow rad="101500">
            <a:schemeClr val="phClr">
              <a:alpha val="42000"/>
              <a:satMod val="120000"/>
            </a:schemeClr>
          </a:glow>
        </a:effectLst>
        <a:scene3d>
          <a:camera prst="orthographicFront" fov="0">
            <a:rot lat="0" lon="0" rev="0"/>
          </a:camera>
          <a:lightRig rig="glow" dir="t">
            <a:rot lat="0" lon="0" rev="4800000"/>
          </a:lightRig>
        </a:scene3d>
        <a:sp3d prstMaterial="powder">
          <a:bevelT w="50800" h="50800"/>
          <a:contourClr>
            <a:schemeClr val="phClr"/>
          </a:contourClr>
        </a:sp3d>
      </a:effectStyle>
    </a:effectStyleLst>
    <a:bgFillStyleLst>
      <a:solidFill>
        <a:schemeClr val="phClr"/>
      </a:solidFill>
      <a:gradFill rotWithShape="1">
        <a:gsLst>
          <a:gs pos="0">
            <a:schemeClr val="bg1">
              <a:shade val="100000"/>
              <a:satMod val="150000"/>
            </a:schemeClr>
          </a:gs>
          <a:gs pos="65000">
            <a:schemeClr val="bg1">
              <a:shade val="90000"/>
              <a:satMod val="375000"/>
            </a:schemeClr>
          </a:gs>
          <a:gs pos="100000">
            <a:schemeClr val="phClr">
              <a:tint val="88000"/>
              <a:satMod val="400000"/>
            </a:schemeClr>
          </a:gs>
        </a:gsLst>
        <a:lin ang="5400000" scaled="0"/>
      </a:gradFill>
      <a:blipFill>
        <a:blip xmlns:r="http://schemas.openxmlformats.org/officeDocument/2006/relationships" r:embed="rId1">
          <a:duotone>
            <a:schemeClr val="phClr">
              <a:shade val="40000"/>
              <a:satMod val="180000"/>
            </a:schemeClr>
            <a:schemeClr val="phClr">
              <a:tint val="90000"/>
              <a:satMod val="200000"/>
            </a:schemeClr>
          </a:duotone>
        </a:blip>
        <a:tile tx="0" ty="0" sx="80000" sy="80000" flip="none" algn="tl"/>
      </a:blip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29.bin"/><Relationship Id="rId3" Type="http://schemas.openxmlformats.org/officeDocument/2006/relationships/hyperlink" Target="http://www.xe.com/ucc/%20accessed%2016/05/11" TargetMode="External"/><Relationship Id="rId7" Type="http://schemas.openxmlformats.org/officeDocument/2006/relationships/hyperlink" Target="http://www.ipcc.ch/ipccreports/assessment-reports.php" TargetMode="External"/><Relationship Id="rId2" Type="http://schemas.openxmlformats.org/officeDocument/2006/relationships/hyperlink" Target="http://www.ipcc.ch/ipccreports/assessment-reports.php" TargetMode="External"/><Relationship Id="rId1" Type="http://schemas.openxmlformats.org/officeDocument/2006/relationships/hyperlink" Target="http://www.ipcc.ch/ipccreports/assessment-reports.php" TargetMode="External"/><Relationship Id="rId6" Type="http://schemas.openxmlformats.org/officeDocument/2006/relationships/hyperlink" Target="http://www.renewablefuelsagency.gov.uk/carboncalculator%20-%20Default%20values%20accessed%2009/05/11" TargetMode="External"/><Relationship Id="rId5" Type="http://schemas.openxmlformats.org/officeDocument/2006/relationships/hyperlink" Target="http://www.inflationdata.com/inflation/Inflation_Calculators/Inflation_Rate_Calculator.asp" TargetMode="External"/><Relationship Id="rId4" Type="http://schemas.openxmlformats.org/officeDocument/2006/relationships/hyperlink" Target="http://en.wikipedia.org/wiki/Heat_of_combustion%20accessed%2016/05/11"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tabSelected="1" topLeftCell="A34" workbookViewId="0">
      <selection activeCell="A50" sqref="A50"/>
    </sheetView>
  </sheetViews>
  <sheetFormatPr defaultRowHeight="13.2" x14ac:dyDescent="0.25"/>
  <sheetData>
    <row r="1" spans="1:26" x14ac:dyDescent="0.25">
      <c r="A1" s="219"/>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x14ac:dyDescent="0.2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row>
    <row r="3" spans="1:26" x14ac:dyDescent="0.25">
      <c r="A3" s="219"/>
      <c r="B3" s="219"/>
      <c r="C3" s="219"/>
      <c r="D3" s="219"/>
      <c r="E3" s="219"/>
      <c r="F3" s="219"/>
      <c r="G3" s="219"/>
      <c r="H3" s="219"/>
      <c r="I3" s="219"/>
      <c r="J3" s="219"/>
      <c r="K3" s="219"/>
      <c r="L3" s="219"/>
      <c r="M3" s="219"/>
      <c r="N3" s="219"/>
      <c r="O3" s="219"/>
      <c r="P3" s="219"/>
      <c r="Q3" s="219"/>
      <c r="R3" s="219"/>
      <c r="S3" s="219"/>
      <c r="T3" s="219"/>
      <c r="U3" s="219"/>
      <c r="V3" s="219"/>
      <c r="W3" s="219"/>
      <c r="X3" s="219"/>
      <c r="Y3" s="219"/>
      <c r="Z3" s="219"/>
    </row>
    <row r="4" spans="1:26" x14ac:dyDescent="0.2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row>
    <row r="5" spans="1:26" x14ac:dyDescent="0.25">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row>
    <row r="6" spans="1:26"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row>
    <row r="7" spans="1:26"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row>
    <row r="8" spans="1:26" x14ac:dyDescent="0.25">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row>
    <row r="9" spans="1:26" x14ac:dyDescent="0.25">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row>
    <row r="10" spans="1:26" x14ac:dyDescent="0.25">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row>
    <row r="11" spans="1:26" x14ac:dyDescent="0.25">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row>
    <row r="12" spans="1:26" x14ac:dyDescent="0.25">
      <c r="A12" s="219"/>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row>
    <row r="13" spans="1:26" x14ac:dyDescent="0.25">
      <c r="A13" s="219"/>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row>
    <row r="14" spans="1:26" x14ac:dyDescent="0.25">
      <c r="A14" s="219"/>
      <c r="B14" s="219"/>
      <c r="C14" s="219"/>
      <c r="D14" s="219"/>
      <c r="E14" s="219"/>
      <c r="F14" s="219"/>
      <c r="G14" s="219"/>
      <c r="H14" s="219"/>
      <c r="I14" s="219"/>
      <c r="J14" s="219"/>
      <c r="K14" s="219"/>
      <c r="L14" s="219"/>
      <c r="M14" s="219"/>
      <c r="N14" s="219"/>
      <c r="O14" s="219"/>
      <c r="P14" s="219"/>
      <c r="Q14" s="219"/>
      <c r="R14" s="219"/>
      <c r="S14" s="219"/>
      <c r="T14" s="219"/>
      <c r="U14" s="219"/>
      <c r="V14" s="219"/>
      <c r="W14" s="219"/>
      <c r="X14" s="219"/>
      <c r="Y14" s="219"/>
      <c r="Z14" s="219"/>
    </row>
    <row r="15" spans="1:26" x14ac:dyDescent="0.25">
      <c r="A15" s="219"/>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row>
    <row r="16" spans="1:26" x14ac:dyDescent="0.25">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row>
    <row r="17" spans="1:26" x14ac:dyDescent="0.25">
      <c r="A17" s="219"/>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row>
    <row r="18" spans="1:26" x14ac:dyDescent="0.25">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row>
    <row r="19" spans="1:26" x14ac:dyDescent="0.25">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row>
    <row r="20" spans="1:26" x14ac:dyDescent="0.25">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row>
    <row r="21" spans="1:26" x14ac:dyDescent="0.25">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row>
    <row r="22" spans="1:26" x14ac:dyDescent="0.25">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row>
    <row r="23" spans="1:26" x14ac:dyDescent="0.25">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row>
    <row r="24" spans="1:26" x14ac:dyDescent="0.25">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row>
    <row r="25" spans="1:26" x14ac:dyDescent="0.25">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row>
    <row r="26" spans="1:26" x14ac:dyDescent="0.25">
      <c r="A26" s="817" t="s">
        <v>948</v>
      </c>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row>
    <row r="27" spans="1:26" x14ac:dyDescent="0.25">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row>
    <row r="28" spans="1:26" x14ac:dyDescent="0.25">
      <c r="A28" s="818" t="s">
        <v>949</v>
      </c>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row>
    <row r="29" spans="1:26" x14ac:dyDescent="0.25">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row>
    <row r="30" spans="1:26" x14ac:dyDescent="0.25">
      <c r="A30" s="817" t="s">
        <v>950</v>
      </c>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row>
    <row r="31" spans="1:26" x14ac:dyDescent="0.25">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row>
    <row r="32" spans="1:26" x14ac:dyDescent="0.25">
      <c r="A32" s="844" t="s">
        <v>2127</v>
      </c>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row>
    <row r="33" spans="1:26" x14ac:dyDescent="0.25">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row>
    <row r="34" spans="1:26" x14ac:dyDescent="0.25">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row>
    <row r="35" spans="1:26" x14ac:dyDescent="0.25">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row>
    <row r="36" spans="1:26" x14ac:dyDescent="0.25">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row>
    <row r="37" spans="1:26" x14ac:dyDescent="0.25">
      <c r="A37" s="817" t="s">
        <v>1178</v>
      </c>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row>
    <row r="38" spans="1:26" x14ac:dyDescent="0.25">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row>
    <row r="39" spans="1:26" x14ac:dyDescent="0.25">
      <c r="A39" s="817" t="s">
        <v>1596</v>
      </c>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row>
    <row r="40" spans="1:26" x14ac:dyDescent="0.25">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row>
    <row r="41" spans="1:26" x14ac:dyDescent="0.25">
      <c r="A41" s="817" t="s">
        <v>1529</v>
      </c>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row>
    <row r="42" spans="1:26" x14ac:dyDescent="0.25">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row>
    <row r="43" spans="1:26" x14ac:dyDescent="0.25">
      <c r="A43" s="817" t="s">
        <v>951</v>
      </c>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row>
    <row r="44" spans="1:26" x14ac:dyDescent="0.25">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row>
    <row r="45" spans="1:26" x14ac:dyDescent="0.25">
      <c r="A45" s="844" t="s">
        <v>2124</v>
      </c>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row>
    <row r="46" spans="1:26" x14ac:dyDescent="0.25">
      <c r="A46" s="844" t="s">
        <v>2123</v>
      </c>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row>
    <row r="47" spans="1:26" x14ac:dyDescent="0.25">
      <c r="A47" s="817" t="s">
        <v>2122</v>
      </c>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row>
    <row r="48" spans="1:26"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row>
    <row r="49" spans="1:26" x14ac:dyDescent="0.25">
      <c r="A49" s="844" t="s">
        <v>2128</v>
      </c>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row>
    <row r="50" spans="1:26" x14ac:dyDescent="0.25">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row>
    <row r="51" spans="1:26" x14ac:dyDescent="0.25">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row>
    <row r="52" spans="1:26" x14ac:dyDescent="0.25">
      <c r="A52" s="1579" t="s">
        <v>2125</v>
      </c>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row>
    <row r="53" spans="1:26" x14ac:dyDescent="0.25">
      <c r="A53" s="1579" t="s">
        <v>2126</v>
      </c>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row>
    <row r="54" spans="1:26"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row>
    <row r="55" spans="1:26" x14ac:dyDescent="0.2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row>
    <row r="56" spans="1:26" x14ac:dyDescent="0.25">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row>
    <row r="57" spans="1:26" x14ac:dyDescent="0.2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x14ac:dyDescent="0.2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x14ac:dyDescent="0.2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x14ac:dyDescent="0.25">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x14ac:dyDescent="0.2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x14ac:dyDescent="0.25">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x14ac:dyDescent="0.2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x14ac:dyDescent="0.25">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x14ac:dyDescent="0.25">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x14ac:dyDescent="0.2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x14ac:dyDescent="0.2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x14ac:dyDescent="0.25">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x14ac:dyDescent="0.25">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x14ac:dyDescent="0.25">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x14ac:dyDescent="0.25">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x14ac:dyDescent="0.25">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x14ac:dyDescent="0.25">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x14ac:dyDescent="0.25">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x14ac:dyDescent="0.25">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x14ac:dyDescent="0.25">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x14ac:dyDescent="0.25">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x14ac:dyDescent="0.25">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x14ac:dyDescent="0.25">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x14ac:dyDescent="0.25">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x14ac:dyDescent="0.25">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x14ac:dyDescent="0.25">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x14ac:dyDescent="0.25">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x14ac:dyDescent="0.25">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x14ac:dyDescent="0.25">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x14ac:dyDescent="0.25">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x14ac:dyDescent="0.25">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x14ac:dyDescent="0.25">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x14ac:dyDescent="0.25">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x14ac:dyDescent="0.25">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x14ac:dyDescent="0.25">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x14ac:dyDescent="0.25">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x14ac:dyDescent="0.25">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x14ac:dyDescent="0.25">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x14ac:dyDescent="0.25">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sheetData>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411"/>
  <sheetViews>
    <sheetView zoomScaleNormal="100" workbookViewId="0"/>
  </sheetViews>
  <sheetFormatPr defaultRowHeight="13.2" x14ac:dyDescent="0.25"/>
  <cols>
    <col min="1" max="1" width="120.5546875" customWidth="1"/>
    <col min="2" max="2" width="23.6640625" style="29" customWidth="1"/>
    <col min="3" max="3" width="18.6640625" style="23" customWidth="1"/>
    <col min="4" max="4" width="19.5546875" style="23" customWidth="1"/>
    <col min="5" max="5" width="25.88671875" style="29" customWidth="1"/>
    <col min="6" max="6" width="25.109375" style="23" customWidth="1"/>
    <col min="7" max="7" width="25.5546875" style="15" customWidth="1"/>
    <col min="8" max="8" width="79.109375" customWidth="1"/>
    <col min="9" max="9" width="25" style="23" customWidth="1"/>
    <col min="10" max="10" width="28.6640625" style="15" customWidth="1"/>
    <col min="11" max="11" width="28" customWidth="1"/>
    <col min="12" max="12" width="29.88671875" style="23" customWidth="1"/>
    <col min="13" max="13" width="30.44140625" style="15" customWidth="1"/>
    <col min="14" max="14" width="24.88671875" customWidth="1"/>
    <col min="15" max="15" width="9.109375" style="23"/>
    <col min="16" max="16" width="29.44140625" style="15" customWidth="1"/>
  </cols>
  <sheetData>
    <row r="1" spans="1:16" x14ac:dyDescent="0.25">
      <c r="A1" s="90" t="s">
        <v>1579</v>
      </c>
      <c r="B1" s="80"/>
      <c r="C1" s="366"/>
      <c r="D1" s="80"/>
      <c r="E1" s="80"/>
      <c r="F1" s="80"/>
      <c r="G1" s="80"/>
      <c r="H1" s="33"/>
      <c r="I1" s="80"/>
      <c r="J1" s="80"/>
      <c r="K1" s="80"/>
      <c r="L1" s="80"/>
      <c r="M1" s="80"/>
      <c r="N1" s="33"/>
      <c r="O1" s="80"/>
      <c r="P1" s="367"/>
    </row>
    <row r="2" spans="1:16" x14ac:dyDescent="0.25">
      <c r="A2" s="80"/>
      <c r="B2" s="80"/>
      <c r="C2" s="366"/>
      <c r="D2" s="80"/>
      <c r="E2" s="80"/>
      <c r="F2" s="80"/>
      <c r="G2" s="80"/>
      <c r="H2" s="33"/>
      <c r="I2" s="80"/>
      <c r="J2" s="80"/>
      <c r="K2" s="80"/>
      <c r="L2" s="80"/>
      <c r="M2" s="80"/>
      <c r="N2" s="33"/>
      <c r="O2" s="80"/>
      <c r="P2" s="367"/>
    </row>
    <row r="3" spans="1:16" x14ac:dyDescent="0.25">
      <c r="A3" s="34" t="str">
        <f>SummaryEtPrice!A3</f>
        <v>Produced by Onesmus Mwabonje, Charlotte Hatto and Nigel Mortimer, North Energy Associates Ltd., on 2 November 2014 for the SUNLIBB Project</v>
      </c>
      <c r="B3" s="80"/>
      <c r="C3" s="366"/>
      <c r="D3" s="80"/>
      <c r="E3" s="80"/>
      <c r="F3" s="80"/>
      <c r="G3" s="80"/>
      <c r="H3" s="33"/>
      <c r="I3" s="80"/>
      <c r="J3" s="80"/>
      <c r="K3" s="80"/>
      <c r="L3" s="80"/>
      <c r="M3" s="80"/>
      <c r="N3" s="33"/>
      <c r="O3" s="80"/>
      <c r="P3" s="367"/>
    </row>
    <row r="4" spans="1:16" x14ac:dyDescent="0.25">
      <c r="A4" s="80"/>
      <c r="B4" s="80"/>
      <c r="C4" s="366"/>
      <c r="D4" s="80"/>
      <c r="E4" s="80"/>
      <c r="F4" s="80"/>
      <c r="G4" s="80"/>
      <c r="H4" s="33"/>
      <c r="I4" s="80"/>
      <c r="J4" s="80"/>
      <c r="K4" s="80"/>
      <c r="L4" s="80"/>
      <c r="M4" s="80"/>
      <c r="N4" s="33"/>
      <c r="O4" s="80"/>
      <c r="P4" s="367"/>
    </row>
    <row r="5" spans="1:16" x14ac:dyDescent="0.25">
      <c r="A5" s="80" t="s">
        <v>240</v>
      </c>
      <c r="B5" s="918" t="s">
        <v>1576</v>
      </c>
      <c r="C5" s="366"/>
      <c r="D5" s="80"/>
      <c r="E5" s="80"/>
      <c r="F5" s="80"/>
      <c r="G5" s="80"/>
      <c r="H5" s="33"/>
      <c r="I5" s="80"/>
      <c r="J5" s="80"/>
      <c r="K5" s="80"/>
      <c r="L5" s="80"/>
      <c r="M5" s="80"/>
      <c r="N5" s="33"/>
      <c r="O5" s="80"/>
      <c r="P5" s="367"/>
    </row>
    <row r="6" spans="1:16" x14ac:dyDescent="0.25">
      <c r="A6" s="80" t="s">
        <v>243</v>
      </c>
      <c r="B6" s="226" t="s">
        <v>441</v>
      </c>
      <c r="C6" s="366"/>
      <c r="D6" s="80"/>
      <c r="E6" s="80"/>
      <c r="F6" s="80"/>
      <c r="G6" s="80"/>
      <c r="H6" s="33"/>
      <c r="I6" s="80"/>
      <c r="J6" s="80"/>
      <c r="K6" s="80"/>
      <c r="L6" s="80"/>
      <c r="M6" s="80"/>
      <c r="N6" s="33"/>
      <c r="O6" s="80"/>
      <c r="P6" s="367"/>
    </row>
    <row r="7" spans="1:16" x14ac:dyDescent="0.25">
      <c r="A7" s="80" t="s">
        <v>241</v>
      </c>
      <c r="B7" s="918" t="s">
        <v>1115</v>
      </c>
      <c r="C7" s="366"/>
      <c r="D7" s="80"/>
      <c r="E7" s="80"/>
      <c r="F7" s="80"/>
      <c r="G7" s="80"/>
      <c r="H7" s="33"/>
      <c r="I7" s="80"/>
      <c r="J7" s="80"/>
      <c r="K7" s="80"/>
      <c r="L7" s="80"/>
      <c r="M7" s="80"/>
      <c r="N7" s="33"/>
      <c r="O7" s="80"/>
      <c r="P7" s="367"/>
    </row>
    <row r="8" spans="1:16" x14ac:dyDescent="0.25">
      <c r="A8" s="80" t="s">
        <v>242</v>
      </c>
      <c r="B8" s="350">
        <v>2010</v>
      </c>
      <c r="C8" s="366"/>
      <c r="D8" s="80"/>
      <c r="E8" s="80"/>
      <c r="F8" s="80"/>
      <c r="G8" s="80"/>
      <c r="H8" s="33"/>
      <c r="I8" s="80"/>
      <c r="J8" s="80"/>
      <c r="K8" s="80"/>
      <c r="L8" s="80"/>
      <c r="M8" s="80"/>
      <c r="N8" s="33"/>
      <c r="O8" s="80"/>
      <c r="P8" s="367"/>
    </row>
    <row r="9" spans="1:16" x14ac:dyDescent="0.25">
      <c r="A9" s="80"/>
      <c r="B9" s="80"/>
      <c r="C9" s="366"/>
      <c r="D9" s="80"/>
      <c r="E9" s="80"/>
      <c r="F9" s="80"/>
      <c r="G9" s="80"/>
      <c r="H9" s="33"/>
      <c r="I9" s="80"/>
      <c r="J9" s="80"/>
      <c r="K9" s="80"/>
      <c r="L9" s="80"/>
      <c r="M9" s="80"/>
      <c r="N9" s="33"/>
      <c r="O9" s="80"/>
      <c r="P9" s="367"/>
    </row>
    <row r="10" spans="1:16" ht="13.8" thickBot="1" x14ac:dyDescent="0.3">
      <c r="A10" s="32" t="s">
        <v>418</v>
      </c>
      <c r="B10" s="80"/>
      <c r="C10" s="366"/>
      <c r="D10" s="80"/>
      <c r="E10" s="80"/>
      <c r="F10" s="80"/>
      <c r="G10" s="80"/>
      <c r="H10" s="32" t="s">
        <v>158</v>
      </c>
      <c r="I10" s="80"/>
      <c r="J10" s="366"/>
      <c r="K10" s="68"/>
      <c r="L10" s="68"/>
      <c r="M10" s="68"/>
      <c r="N10" s="33"/>
      <c r="O10" s="80"/>
      <c r="P10" s="367"/>
    </row>
    <row r="11" spans="1:16" ht="30.75" customHeight="1" x14ac:dyDescent="0.25">
      <c r="A11" s="35" t="s">
        <v>38</v>
      </c>
      <c r="B11" s="36" t="s">
        <v>899</v>
      </c>
      <c r="C11" s="369" t="s">
        <v>22</v>
      </c>
      <c r="D11" s="36" t="s">
        <v>23</v>
      </c>
      <c r="E11" s="36" t="s">
        <v>24</v>
      </c>
      <c r="F11" s="368" t="s">
        <v>25</v>
      </c>
      <c r="G11" s="367"/>
      <c r="H11" s="35" t="s">
        <v>38</v>
      </c>
      <c r="I11" s="370" t="s">
        <v>899</v>
      </c>
      <c r="J11" s="36" t="s">
        <v>22</v>
      </c>
      <c r="K11" s="370" t="s">
        <v>23</v>
      </c>
      <c r="L11" s="370" t="s">
        <v>24</v>
      </c>
      <c r="M11" s="791" t="s">
        <v>25</v>
      </c>
      <c r="N11" s="80"/>
      <c r="O11" s="80"/>
      <c r="P11" s="367"/>
    </row>
    <row r="12" spans="1:16" ht="17.25" customHeight="1" x14ac:dyDescent="0.25">
      <c r="A12" s="37"/>
      <c r="B12" s="38" t="s">
        <v>442</v>
      </c>
      <c r="C12" s="38" t="s">
        <v>1681</v>
      </c>
      <c r="D12" s="38" t="s">
        <v>1681</v>
      </c>
      <c r="E12" s="38" t="s">
        <v>1681</v>
      </c>
      <c r="F12" s="502" t="s">
        <v>1681</v>
      </c>
      <c r="G12" s="367"/>
      <c r="H12" s="37"/>
      <c r="I12" s="371" t="s">
        <v>1682</v>
      </c>
      <c r="J12" s="38" t="s">
        <v>1683</v>
      </c>
      <c r="K12" s="38" t="s">
        <v>1683</v>
      </c>
      <c r="L12" s="38" t="s">
        <v>1683</v>
      </c>
      <c r="M12" s="502" t="s">
        <v>1683</v>
      </c>
      <c r="N12" s="80"/>
      <c r="O12" s="80"/>
      <c r="P12" s="367"/>
    </row>
    <row r="13" spans="1:16" x14ac:dyDescent="0.25">
      <c r="A13" s="412" t="s">
        <v>40</v>
      </c>
      <c r="B13" s="372">
        <f>B106</f>
        <v>8309.899498278497</v>
      </c>
      <c r="C13" s="372">
        <f>E106</f>
        <v>522.75174180388285</v>
      </c>
      <c r="D13" s="373">
        <f>GlobalWarmingPotentials!$B$11*H106</f>
        <v>17.290514540541231</v>
      </c>
      <c r="E13" s="372">
        <f>GlobalWarmingPotentials!$C$11*K106</f>
        <v>492.79798826435962</v>
      </c>
      <c r="F13" s="374">
        <f t="shared" ref="F13:F28" si="0">SUM(C13:E13)</f>
        <v>1032.8402446087837</v>
      </c>
      <c r="G13" s="375"/>
      <c r="H13" s="412" t="s">
        <v>40</v>
      </c>
      <c r="I13" s="372">
        <f>D106</f>
        <v>488.63429742730733</v>
      </c>
      <c r="J13" s="372">
        <f>G106</f>
        <v>28.318118318326512</v>
      </c>
      <c r="K13" s="373">
        <f>GlobalWarmingPotentials!$B$11*J106</f>
        <v>1.7218725116867057</v>
      </c>
      <c r="L13" s="377">
        <f>GlobalWarmingPotentials!$C$11*M106</f>
        <v>41.24810847845022</v>
      </c>
      <c r="M13" s="413">
        <f t="shared" ref="M13:M28" si="1">SUM(J13:L13)</f>
        <v>71.288099308463444</v>
      </c>
      <c r="N13" s="33"/>
      <c r="O13" s="80"/>
      <c r="P13" s="367"/>
    </row>
    <row r="14" spans="1:16" x14ac:dyDescent="0.25">
      <c r="A14" s="412" t="s">
        <v>852</v>
      </c>
      <c r="B14" s="372">
        <f>B140</f>
        <v>601.53586980511921</v>
      </c>
      <c r="C14" s="372">
        <f>E140</f>
        <v>43.167066146313303</v>
      </c>
      <c r="D14" s="373">
        <f>GlobalWarmingPotentials!$B$11*H140</f>
        <v>0.20630493950445838</v>
      </c>
      <c r="E14" s="372">
        <f>GlobalWarmingPotentials!$C$11*K140</f>
        <v>3.4515713357093745</v>
      </c>
      <c r="F14" s="374">
        <f t="shared" si="0"/>
        <v>46.824942421527133</v>
      </c>
      <c r="G14" s="375"/>
      <c r="H14" s="412" t="s">
        <v>852</v>
      </c>
      <c r="I14" s="372">
        <f>D140</f>
        <v>28.272185880840603</v>
      </c>
      <c r="J14" s="372">
        <f>G140</f>
        <v>2.0288521088767251</v>
      </c>
      <c r="K14" s="373">
        <f>GlobalWarmingPotentials!$B$11*J140</f>
        <v>9.6963321567095449E-3</v>
      </c>
      <c r="L14" s="372">
        <f>GlobalWarmingPotentials!$C$11*M140</f>
        <v>0.16222385277834056</v>
      </c>
      <c r="M14" s="374">
        <f t="shared" si="1"/>
        <v>2.2007722938117751</v>
      </c>
      <c r="N14" s="33"/>
      <c r="O14" s="80"/>
      <c r="P14" s="367"/>
    </row>
    <row r="15" spans="1:16" x14ac:dyDescent="0.25">
      <c r="A15" s="412" t="s">
        <v>853</v>
      </c>
      <c r="B15" s="372">
        <f>B174</f>
        <v>0</v>
      </c>
      <c r="C15" s="372">
        <f>E174</f>
        <v>0</v>
      </c>
      <c r="D15" s="373">
        <f>GlobalWarmingPotentials!$B$11*H174</f>
        <v>0</v>
      </c>
      <c r="E15" s="372">
        <f>GlobalWarmingPotentials!$C$11*K174</f>
        <v>0</v>
      </c>
      <c r="F15" s="374">
        <f>SUM(C15:E15)</f>
        <v>0</v>
      </c>
      <c r="G15" s="375"/>
      <c r="H15" s="412" t="s">
        <v>853</v>
      </c>
      <c r="I15" s="372">
        <f>D174</f>
        <v>0</v>
      </c>
      <c r="J15" s="372">
        <f>G174</f>
        <v>0</v>
      </c>
      <c r="K15" s="373">
        <f>GlobalWarmingPotentials!$B$11*J174</f>
        <v>0</v>
      </c>
      <c r="L15" s="372">
        <f>GlobalWarmingPotentials!$C$11*M174</f>
        <v>0</v>
      </c>
      <c r="M15" s="374">
        <f t="shared" si="1"/>
        <v>0</v>
      </c>
      <c r="N15" s="33"/>
      <c r="O15" s="80"/>
      <c r="P15" s="367"/>
    </row>
    <row r="16" spans="1:16" x14ac:dyDescent="0.25">
      <c r="A16" s="1511" t="s">
        <v>1779</v>
      </c>
      <c r="B16" s="372">
        <f>B180</f>
        <v>0</v>
      </c>
      <c r="C16" s="372">
        <f>E180</f>
        <v>0</v>
      </c>
      <c r="D16" s="373">
        <f>GlobalWarmingPotentials!$B$11*H180</f>
        <v>0.11475477369690439</v>
      </c>
      <c r="E16" s="372">
        <f>GlobalWarmingPotentials!$C$11*K180</f>
        <v>0.4430532132297873</v>
      </c>
      <c r="F16" s="374">
        <f>SUM(C16:E16)</f>
        <v>0.55780798692669165</v>
      </c>
      <c r="G16" s="375"/>
      <c r="H16" s="1511" t="s">
        <v>1779</v>
      </c>
      <c r="I16" s="372"/>
      <c r="J16" s="372"/>
      <c r="K16" s="373"/>
      <c r="L16" s="372"/>
      <c r="M16" s="374"/>
      <c r="N16" s="33"/>
      <c r="O16" s="80"/>
      <c r="P16" s="367"/>
    </row>
    <row r="17" spans="1:16" x14ac:dyDescent="0.25">
      <c r="A17" s="1511" t="s">
        <v>1917</v>
      </c>
      <c r="B17" s="376">
        <f>B197</f>
        <v>7672.8025191554007</v>
      </c>
      <c r="C17" s="376">
        <f>E197</f>
        <v>485.14931842733705</v>
      </c>
      <c r="D17" s="373">
        <f>GlobalWarmingPotentials!$B$11*H197</f>
        <v>16.114622607186242</v>
      </c>
      <c r="E17" s="372">
        <f>GlobalWarmingPotentials!$C$11*K197</f>
        <v>38.01024928250856</v>
      </c>
      <c r="F17" s="374">
        <f>SUM(C17:E17)</f>
        <v>539.27419031703187</v>
      </c>
      <c r="G17" s="375"/>
      <c r="H17" s="1511" t="s">
        <v>1917</v>
      </c>
      <c r="I17" s="376">
        <f>D197</f>
        <v>732.66079238041505</v>
      </c>
      <c r="J17" s="376">
        <f>G197</f>
        <v>46.039485184534769</v>
      </c>
      <c r="K17" s="373">
        <f>GlobalWarmingPotentials!$B$11*J197</f>
        <v>1.6317635915191515</v>
      </c>
      <c r="L17" s="372">
        <f>GlobalWarmingPotentials!$C$11*M197</f>
        <v>0.18885232489165812</v>
      </c>
      <c r="M17" s="374">
        <f>SUM(J17:L17)</f>
        <v>47.860101100945577</v>
      </c>
      <c r="N17" s="33"/>
      <c r="O17" s="80"/>
      <c r="P17" s="367"/>
    </row>
    <row r="18" spans="1:16" x14ac:dyDescent="0.25">
      <c r="A18" s="1516" t="s">
        <v>405</v>
      </c>
      <c r="B18" s="376">
        <f>B204</f>
        <v>0</v>
      </c>
      <c r="C18" s="376">
        <f>E204</f>
        <v>0</v>
      </c>
      <c r="D18" s="373">
        <f>GlobalWarmingPotentials!$B$11*H204</f>
        <v>7.7929411764705902E-3</v>
      </c>
      <c r="E18" s="372">
        <f>GlobalWarmingPotentials!$C$11*K204</f>
        <v>3.0087529411764707E-2</v>
      </c>
      <c r="F18" s="374">
        <f t="shared" si="0"/>
        <v>3.78804705882353E-2</v>
      </c>
      <c r="G18" s="375"/>
      <c r="H18" s="1516" t="s">
        <v>405</v>
      </c>
      <c r="I18" s="376">
        <f>D204</f>
        <v>0</v>
      </c>
      <c r="J18" s="376">
        <f>G204</f>
        <v>0</v>
      </c>
      <c r="K18" s="373">
        <f>GlobalWarmingPotentials!$B$11*J204</f>
        <v>0</v>
      </c>
      <c r="L18" s="372">
        <f>GlobalWarmingPotentials!$C$11*M204</f>
        <v>0</v>
      </c>
      <c r="M18" s="374">
        <f t="shared" si="1"/>
        <v>0</v>
      </c>
      <c r="N18" s="33"/>
      <c r="O18" s="80"/>
      <c r="P18" s="367"/>
    </row>
    <row r="19" spans="1:16" x14ac:dyDescent="0.25">
      <c r="A19" s="1511" t="s">
        <v>1984</v>
      </c>
      <c r="B19" s="376">
        <f>B211</f>
        <v>0</v>
      </c>
      <c r="C19" s="376">
        <f>E211</f>
        <v>0</v>
      </c>
      <c r="D19" s="373">
        <f>GlobalWarmingPotentials!$B$11*H211</f>
        <v>0.73139999999999983</v>
      </c>
      <c r="E19" s="372">
        <f>GlobalWarmingPotentials!$C$11*K211</f>
        <v>2.8238400000000001</v>
      </c>
      <c r="F19" s="374">
        <f t="shared" si="0"/>
        <v>3.55524</v>
      </c>
      <c r="G19" s="375"/>
      <c r="H19" s="1511" t="s">
        <v>1984</v>
      </c>
      <c r="I19" s="376">
        <f>D211</f>
        <v>0</v>
      </c>
      <c r="J19" s="376">
        <f>G211</f>
        <v>0</v>
      </c>
      <c r="K19" s="373">
        <f>GlobalWarmingPotentials!$B$11*J211</f>
        <v>0</v>
      </c>
      <c r="L19" s="372">
        <f>GlobalWarmingPotentials!$C$11*M211</f>
        <v>0</v>
      </c>
      <c r="M19" s="374">
        <f t="shared" si="1"/>
        <v>0</v>
      </c>
      <c r="N19" s="33"/>
      <c r="O19" s="80"/>
      <c r="P19" s="367"/>
    </row>
    <row r="20" spans="1:16" x14ac:dyDescent="0.25">
      <c r="A20" s="1511" t="s">
        <v>2009</v>
      </c>
      <c r="B20" s="376">
        <f>B218</f>
        <v>0</v>
      </c>
      <c r="C20" s="376">
        <f>E218</f>
        <v>0</v>
      </c>
      <c r="D20" s="373">
        <f>GlobalWarmingPotentials!$B$11*H218</f>
        <v>7.4760982540280546E-2</v>
      </c>
      <c r="E20" s="372">
        <f>GlobalWarmingPotentials!$C$11*K218</f>
        <v>0.2886424021555179</v>
      </c>
      <c r="F20" s="374">
        <f t="shared" si="0"/>
        <v>0.36340338469579847</v>
      </c>
      <c r="G20" s="375"/>
      <c r="H20" s="1511" t="s">
        <v>2009</v>
      </c>
      <c r="I20" s="376">
        <f>D218</f>
        <v>0</v>
      </c>
      <c r="J20" s="376">
        <f>G218</f>
        <v>0</v>
      </c>
      <c r="K20" s="373">
        <f>GlobalWarmingPotentials!$B$11*J218</f>
        <v>0</v>
      </c>
      <c r="L20" s="372">
        <f>GlobalWarmingPotentials!$C$11*M218</f>
        <v>0</v>
      </c>
      <c r="M20" s="374">
        <f t="shared" si="1"/>
        <v>0</v>
      </c>
      <c r="N20" s="33"/>
      <c r="O20" s="80"/>
      <c r="P20" s="367"/>
    </row>
    <row r="21" spans="1:16" x14ac:dyDescent="0.25">
      <c r="A21" s="1516" t="s">
        <v>873</v>
      </c>
      <c r="B21" s="376">
        <f>B225</f>
        <v>1927.7999999999997</v>
      </c>
      <c r="C21" s="376">
        <f>E225</f>
        <v>107.9568</v>
      </c>
      <c r="D21" s="373">
        <f>GlobalWarmingPotentials!$B$11*H225</f>
        <v>7.4248549941176458</v>
      </c>
      <c r="E21" s="372">
        <f>GlobalWarmingPotentials!$C$11*K225</f>
        <v>0.8482426729411765</v>
      </c>
      <c r="F21" s="374">
        <f t="shared" si="0"/>
        <v>116.22989766705884</v>
      </c>
      <c r="G21" s="375"/>
      <c r="H21" s="378" t="s">
        <v>873</v>
      </c>
      <c r="I21" s="376">
        <f>D225</f>
        <v>289.16999999999996</v>
      </c>
      <c r="J21" s="376">
        <f>G225</f>
        <v>16.386299999999999</v>
      </c>
      <c r="K21" s="373">
        <f>GlobalWarmingPotentials!$B$11*J225</f>
        <v>1.0863152999999999</v>
      </c>
      <c r="L21" s="372">
        <f>GlobalWarmingPotentials!$C$11*M225</f>
        <v>0</v>
      </c>
      <c r="M21" s="374">
        <f t="shared" si="1"/>
        <v>17.472615299999998</v>
      </c>
      <c r="N21" s="33"/>
      <c r="O21" s="80"/>
      <c r="P21" s="367"/>
    </row>
    <row r="22" spans="1:16" x14ac:dyDescent="0.25">
      <c r="A22" s="1511" t="s">
        <v>2018</v>
      </c>
      <c r="B22" s="376">
        <f>B231</f>
        <v>0</v>
      </c>
      <c r="C22" s="376">
        <f>E231</f>
        <v>0</v>
      </c>
      <c r="D22" s="373">
        <f>GlobalWarmingPotentials!$B$11*H231</f>
        <v>9.767152941176474E-2</v>
      </c>
      <c r="E22" s="372">
        <f>GlobalWarmingPotentials!$C$11*K231</f>
        <v>0.3770970352941177</v>
      </c>
      <c r="F22" s="374">
        <f t="shared" si="0"/>
        <v>0.47476856470588247</v>
      </c>
      <c r="G22" s="375"/>
      <c r="H22" s="1497" t="s">
        <v>2018</v>
      </c>
      <c r="I22" s="376">
        <f>D231</f>
        <v>0</v>
      </c>
      <c r="J22" s="376">
        <f>G231</f>
        <v>0</v>
      </c>
      <c r="K22" s="373">
        <f>GlobalWarmingPotentials!$B$11*J231</f>
        <v>0</v>
      </c>
      <c r="L22" s="372">
        <f>GlobalWarmingPotentials!$C$11*M231</f>
        <v>0</v>
      </c>
      <c r="M22" s="374">
        <f t="shared" si="1"/>
        <v>0</v>
      </c>
      <c r="N22" s="33"/>
      <c r="O22" s="80"/>
      <c r="P22" s="367"/>
    </row>
    <row r="23" spans="1:16" x14ac:dyDescent="0.25">
      <c r="A23" s="1516" t="s">
        <v>869</v>
      </c>
      <c r="B23" s="376">
        <f>B237</f>
        <v>0</v>
      </c>
      <c r="C23" s="376">
        <f>E237</f>
        <v>0</v>
      </c>
      <c r="D23" s="373">
        <f>GlobalWarmingPotentials!$B$11*H237</f>
        <v>-1.1280488043874071</v>
      </c>
      <c r="E23" s="372">
        <f>GlobalWarmingPotentials!$C$11*K237</f>
        <v>-4.3552492969392063</v>
      </c>
      <c r="F23" s="374">
        <f t="shared" si="0"/>
        <v>-5.4832981013266133</v>
      </c>
      <c r="G23" s="375"/>
      <c r="H23" s="378" t="s">
        <v>869</v>
      </c>
      <c r="I23" s="376">
        <f>D237</f>
        <v>0</v>
      </c>
      <c r="J23" s="376">
        <f>G237</f>
        <v>0</v>
      </c>
      <c r="K23" s="373">
        <f>GlobalWarmingPotentials!$B$11*J237</f>
        <v>0</v>
      </c>
      <c r="L23" s="372">
        <f>GlobalWarmingPotentials!$C$11*M237</f>
        <v>0</v>
      </c>
      <c r="M23" s="374">
        <f t="shared" si="1"/>
        <v>0</v>
      </c>
      <c r="N23" s="33"/>
      <c r="O23" s="80"/>
      <c r="P23" s="367"/>
    </row>
    <row r="24" spans="1:16" x14ac:dyDescent="0.25">
      <c r="A24" s="412" t="s">
        <v>946</v>
      </c>
      <c r="B24" s="376">
        <f>B246</f>
        <v>0</v>
      </c>
      <c r="C24" s="376">
        <f>E246</f>
        <v>0</v>
      </c>
      <c r="D24" s="373">
        <f>GlobalWarmingPotentials!$B$11*H246</f>
        <v>0</v>
      </c>
      <c r="E24" s="372">
        <f>GlobalWarmingPotentials!$C$11*K246</f>
        <v>0</v>
      </c>
      <c r="F24" s="374">
        <f>N246</f>
        <v>0</v>
      </c>
      <c r="G24" s="375"/>
      <c r="H24" s="412" t="s">
        <v>946</v>
      </c>
      <c r="I24" s="376">
        <f>D246</f>
        <v>0</v>
      </c>
      <c r="J24" s="376">
        <f>G246</f>
        <v>0</v>
      </c>
      <c r="K24" s="373">
        <f>GlobalWarmingPotentials!$B$11*J246</f>
        <v>0</v>
      </c>
      <c r="L24" s="372">
        <f>GlobalWarmingPotentials!$C$11*M246</f>
        <v>0</v>
      </c>
      <c r="M24" s="374">
        <f>P246</f>
        <v>0</v>
      </c>
      <c r="N24" s="33"/>
      <c r="O24" s="80"/>
      <c r="P24" s="367"/>
    </row>
    <row r="25" spans="1:16" x14ac:dyDescent="0.25">
      <c r="A25" s="412" t="s">
        <v>855</v>
      </c>
      <c r="B25" s="376">
        <f>B357</f>
        <v>0</v>
      </c>
      <c r="C25" s="376">
        <f>E357</f>
        <v>0</v>
      </c>
      <c r="D25" s="373">
        <f>GlobalWarmingPotentials!$B$11*H357</f>
        <v>0</v>
      </c>
      <c r="E25" s="372">
        <f>GlobalWarmingPotentials!$C$11*K357</f>
        <v>0</v>
      </c>
      <c r="F25" s="374">
        <f t="shared" si="0"/>
        <v>0</v>
      </c>
      <c r="G25" s="375"/>
      <c r="H25" s="412" t="s">
        <v>855</v>
      </c>
      <c r="I25" s="376">
        <f>D357</f>
        <v>0</v>
      </c>
      <c r="J25" s="376">
        <f>G357</f>
        <v>0</v>
      </c>
      <c r="K25" s="373">
        <f>GlobalWarmingPotentials!$B$11*J357</f>
        <v>0</v>
      </c>
      <c r="L25" s="372">
        <f>GlobalWarmingPotentials!$C$11*M357</f>
        <v>0</v>
      </c>
      <c r="M25" s="374">
        <f t="shared" si="1"/>
        <v>0</v>
      </c>
      <c r="N25" s="33"/>
      <c r="O25" s="80"/>
      <c r="P25" s="367"/>
    </row>
    <row r="26" spans="1:16" x14ac:dyDescent="0.25">
      <c r="A26" s="412" t="s">
        <v>874</v>
      </c>
      <c r="B26" s="376">
        <f>B281</f>
        <v>517.88672232212184</v>
      </c>
      <c r="C26" s="376">
        <f>E281</f>
        <v>37.164284826471004</v>
      </c>
      <c r="D26" s="373">
        <f>GlobalWarmingPotentials!$B$11*H281</f>
        <v>0.1776163222875497</v>
      </c>
      <c r="E26" s="372">
        <f>GlobalWarmingPotentials!$C$11*K281</f>
        <v>2.9715982963586582</v>
      </c>
      <c r="F26" s="374">
        <f t="shared" si="0"/>
        <v>40.313499445117209</v>
      </c>
      <c r="G26" s="375"/>
      <c r="H26" s="412" t="s">
        <v>874</v>
      </c>
      <c r="I26" s="376">
        <f>D281</f>
        <v>24.34067594913973</v>
      </c>
      <c r="J26" s="376">
        <f>G281</f>
        <v>1.7467213868441371</v>
      </c>
      <c r="K26" s="373">
        <f>GlobalWarmingPotentials!$B$11*J281</f>
        <v>8.3479671475148367E-3</v>
      </c>
      <c r="L26" s="372">
        <f>GlobalWarmingPotentials!$C$11*M281</f>
        <v>0.13966511992885694</v>
      </c>
      <c r="M26" s="374">
        <f t="shared" si="1"/>
        <v>1.894734473920509</v>
      </c>
      <c r="N26" s="33"/>
      <c r="O26" s="80"/>
      <c r="P26" s="367"/>
    </row>
    <row r="27" spans="1:16" x14ac:dyDescent="0.25">
      <c r="A27" s="412" t="s">
        <v>877</v>
      </c>
      <c r="B27" s="787">
        <f>B315</f>
        <v>0</v>
      </c>
      <c r="C27" s="787">
        <f>E315</f>
        <v>0</v>
      </c>
      <c r="D27" s="376">
        <f>GlobalWarmingPotentials!$B$11*H315</f>
        <v>0</v>
      </c>
      <c r="E27" s="376">
        <f>GlobalWarmingPotentials!$C$11*K315</f>
        <v>0</v>
      </c>
      <c r="F27" s="792">
        <f t="shared" si="0"/>
        <v>0</v>
      </c>
      <c r="G27" s="788"/>
      <c r="H27" s="412" t="s">
        <v>877</v>
      </c>
      <c r="I27" s="787">
        <f>D315</f>
        <v>0</v>
      </c>
      <c r="J27" s="787">
        <f>G315</f>
        <v>0</v>
      </c>
      <c r="K27" s="376">
        <f>GlobalWarmingPotentials!$B$11*J315</f>
        <v>0</v>
      </c>
      <c r="L27" s="376">
        <f>GlobalWarmingPotentials!$C$11*M315</f>
        <v>0</v>
      </c>
      <c r="M27" s="792">
        <f t="shared" si="1"/>
        <v>0</v>
      </c>
      <c r="N27" s="33"/>
      <c r="O27" s="80"/>
      <c r="P27" s="367"/>
    </row>
    <row r="28" spans="1:16" x14ac:dyDescent="0.25">
      <c r="A28" s="412" t="s">
        <v>878</v>
      </c>
      <c r="B28" s="787">
        <f>B349</f>
        <v>0</v>
      </c>
      <c r="C28" s="787">
        <f>E349</f>
        <v>0</v>
      </c>
      <c r="D28" s="376">
        <f>GlobalWarmingPotentials!$B$11*H349</f>
        <v>0</v>
      </c>
      <c r="E28" s="376">
        <f>GlobalWarmingPotentials!$C$11*K349</f>
        <v>0</v>
      </c>
      <c r="F28" s="792">
        <f t="shared" si="0"/>
        <v>0</v>
      </c>
      <c r="G28" s="788"/>
      <c r="H28" s="412" t="s">
        <v>878</v>
      </c>
      <c r="I28" s="787">
        <f>D349</f>
        <v>0</v>
      </c>
      <c r="J28" s="787">
        <f>G349</f>
        <v>0</v>
      </c>
      <c r="K28" s="376">
        <f>GlobalWarmingPotentials!$B$11*J349</f>
        <v>0</v>
      </c>
      <c r="L28" s="376">
        <f>GlobalWarmingPotentials!$C$11*M349</f>
        <v>0</v>
      </c>
      <c r="M28" s="792">
        <f t="shared" si="1"/>
        <v>0</v>
      </c>
      <c r="N28" s="33"/>
      <c r="O28" s="80"/>
      <c r="P28" s="367"/>
    </row>
    <row r="29" spans="1:16" ht="13.8" thickBot="1" x14ac:dyDescent="0.3">
      <c r="A29" s="379" t="s">
        <v>369</v>
      </c>
      <c r="B29" s="816" t="s">
        <v>947</v>
      </c>
      <c r="C29" s="816" t="s">
        <v>947</v>
      </c>
      <c r="D29" s="816" t="s">
        <v>947</v>
      </c>
      <c r="E29" s="816" t="s">
        <v>947</v>
      </c>
      <c r="F29" s="790">
        <f>SUM(F13:F28)</f>
        <v>1774.988576765109</v>
      </c>
      <c r="G29" s="789"/>
      <c r="H29" s="379" t="s">
        <v>369</v>
      </c>
      <c r="I29" s="816" t="s">
        <v>947</v>
      </c>
      <c r="J29" s="816" t="s">
        <v>947</v>
      </c>
      <c r="K29" s="816" t="s">
        <v>947</v>
      </c>
      <c r="L29" s="816" t="s">
        <v>947</v>
      </c>
      <c r="M29" s="790">
        <f>SQRT(SUMSQ(M13:M28))</f>
        <v>87.671592224869187</v>
      </c>
      <c r="N29" s="80"/>
      <c r="O29" s="80"/>
      <c r="P29" s="367"/>
    </row>
    <row r="30" spans="1:16" x14ac:dyDescent="0.25">
      <c r="A30" s="33"/>
      <c r="B30" s="80"/>
      <c r="C30" s="366"/>
      <c r="D30" s="80"/>
      <c r="E30" s="80"/>
      <c r="F30" s="80"/>
      <c r="G30" s="80"/>
      <c r="H30" s="58"/>
      <c r="I30" s="80"/>
      <c r="J30" s="80"/>
      <c r="K30" s="58"/>
      <c r="L30" s="58"/>
      <c r="M30" s="58"/>
      <c r="N30" s="33"/>
      <c r="O30" s="80"/>
      <c r="P30" s="367"/>
    </row>
    <row r="31" spans="1:16" x14ac:dyDescent="0.25">
      <c r="A31" s="33"/>
      <c r="B31" s="80"/>
      <c r="C31" s="366"/>
      <c r="D31" s="80"/>
      <c r="E31" s="80"/>
      <c r="F31" s="80"/>
      <c r="G31" s="80"/>
      <c r="H31" s="80"/>
      <c r="I31" s="80"/>
      <c r="J31" s="80"/>
      <c r="K31" s="80"/>
      <c r="L31" s="80"/>
      <c r="M31" s="80"/>
      <c r="N31" s="33"/>
      <c r="O31" s="80"/>
      <c r="P31" s="367"/>
    </row>
    <row r="32" spans="1:16" x14ac:dyDescent="0.25">
      <c r="A32" s="33"/>
      <c r="B32" s="80"/>
      <c r="C32" s="366"/>
      <c r="D32" s="80"/>
      <c r="E32" s="80"/>
      <c r="F32" s="80"/>
      <c r="G32" s="80"/>
      <c r="H32" s="80"/>
      <c r="I32" s="80"/>
      <c r="J32" s="80"/>
      <c r="K32" s="80"/>
      <c r="L32" s="80"/>
      <c r="M32" s="80"/>
      <c r="N32" s="33"/>
      <c r="O32" s="80"/>
      <c r="P32" s="367"/>
    </row>
    <row r="33" spans="1:16" x14ac:dyDescent="0.25">
      <c r="A33" s="33"/>
      <c r="B33" s="80"/>
      <c r="C33" s="366"/>
      <c r="D33" s="80"/>
      <c r="E33" s="80"/>
      <c r="F33" s="80"/>
      <c r="G33" s="80"/>
      <c r="H33" s="80"/>
      <c r="I33" s="80"/>
      <c r="J33" s="80"/>
      <c r="K33" s="80"/>
      <c r="L33" s="80"/>
      <c r="M33" s="80"/>
      <c r="N33" s="33"/>
      <c r="O33" s="80"/>
      <c r="P33" s="367"/>
    </row>
    <row r="34" spans="1:16" x14ac:dyDescent="0.25">
      <c r="A34" s="33"/>
      <c r="B34" s="80"/>
      <c r="C34" s="366"/>
      <c r="D34" s="80"/>
      <c r="E34" s="80"/>
      <c r="F34" s="80"/>
      <c r="G34" s="80"/>
      <c r="H34" s="80"/>
      <c r="I34" s="80"/>
      <c r="J34" s="80"/>
      <c r="K34" s="80"/>
      <c r="L34" s="80"/>
      <c r="M34" s="80"/>
      <c r="N34" s="33"/>
      <c r="O34" s="80"/>
      <c r="P34" s="367"/>
    </row>
    <row r="35" spans="1:16" x14ac:dyDescent="0.25">
      <c r="A35" s="33"/>
      <c r="B35" s="80"/>
      <c r="C35" s="366"/>
      <c r="D35" s="80"/>
      <c r="E35" s="80"/>
      <c r="F35" s="80"/>
      <c r="G35" s="80"/>
      <c r="H35" s="80"/>
      <c r="I35" s="80"/>
      <c r="J35" s="80"/>
      <c r="K35" s="80"/>
      <c r="L35" s="80"/>
      <c r="M35" s="80"/>
      <c r="N35" s="33"/>
      <c r="O35" s="80"/>
      <c r="P35" s="367"/>
    </row>
    <row r="36" spans="1:16" x14ac:dyDescent="0.25">
      <c r="A36" s="33"/>
      <c r="B36" s="80"/>
      <c r="C36" s="366"/>
      <c r="D36" s="80"/>
      <c r="E36" s="80"/>
      <c r="F36" s="80"/>
      <c r="G36" s="80"/>
      <c r="H36" s="80"/>
      <c r="I36" s="80"/>
      <c r="J36" s="80"/>
      <c r="K36" s="80"/>
      <c r="L36" s="80"/>
      <c r="M36" s="80"/>
      <c r="N36" s="33"/>
      <c r="O36" s="80"/>
      <c r="P36" s="367"/>
    </row>
    <row r="37" spans="1:16" x14ac:dyDescent="0.25">
      <c r="A37" s="33"/>
      <c r="B37" s="80"/>
      <c r="C37" s="366"/>
      <c r="D37" s="80"/>
      <c r="E37" s="80"/>
      <c r="F37" s="80"/>
      <c r="G37" s="80"/>
      <c r="H37" s="80"/>
      <c r="I37" s="80"/>
      <c r="J37" s="80"/>
      <c r="K37" s="80"/>
      <c r="L37" s="80"/>
      <c r="M37" s="80"/>
      <c r="N37" s="33"/>
      <c r="O37" s="80"/>
      <c r="P37" s="367"/>
    </row>
    <row r="38" spans="1:16" x14ac:dyDescent="0.25">
      <c r="A38" s="33"/>
      <c r="B38" s="80"/>
      <c r="C38" s="366"/>
      <c r="D38" s="80"/>
      <c r="E38" s="80"/>
      <c r="F38" s="80"/>
      <c r="G38" s="80"/>
      <c r="H38" s="80"/>
      <c r="I38" s="80"/>
      <c r="J38" s="80"/>
      <c r="K38" s="80"/>
      <c r="L38" s="80"/>
      <c r="M38" s="80"/>
      <c r="N38" s="33"/>
      <c r="O38" s="80"/>
      <c r="P38" s="367"/>
    </row>
    <row r="39" spans="1:16" x14ac:dyDescent="0.25">
      <c r="A39" s="33"/>
      <c r="B39" s="80"/>
      <c r="C39" s="366"/>
      <c r="D39" s="80"/>
      <c r="E39" s="80"/>
      <c r="F39" s="80"/>
      <c r="G39" s="80"/>
      <c r="H39" s="80"/>
      <c r="I39" s="80"/>
      <c r="J39" s="80"/>
      <c r="K39" s="80"/>
      <c r="L39" s="80"/>
      <c r="M39" s="80"/>
      <c r="N39" s="33"/>
      <c r="O39" s="80"/>
      <c r="P39" s="367"/>
    </row>
    <row r="40" spans="1:16" x14ac:dyDescent="0.25">
      <c r="A40" s="33"/>
      <c r="B40" s="80"/>
      <c r="C40" s="366"/>
      <c r="D40" s="80"/>
      <c r="E40" s="80"/>
      <c r="F40" s="80"/>
      <c r="G40" s="80"/>
      <c r="H40" s="80"/>
      <c r="I40" s="80"/>
      <c r="J40" s="80"/>
      <c r="K40" s="80"/>
      <c r="L40" s="80"/>
      <c r="M40" s="80"/>
      <c r="N40" s="33"/>
      <c r="O40" s="80"/>
      <c r="P40" s="367"/>
    </row>
    <row r="41" spans="1:16" x14ac:dyDescent="0.25">
      <c r="A41" s="33"/>
      <c r="B41" s="80"/>
      <c r="C41" s="366"/>
      <c r="D41" s="80"/>
      <c r="E41" s="80"/>
      <c r="F41" s="80"/>
      <c r="G41" s="80"/>
      <c r="H41" s="80"/>
      <c r="I41" s="80"/>
      <c r="J41" s="80"/>
      <c r="K41" s="80"/>
      <c r="L41" s="80"/>
      <c r="M41" s="80"/>
      <c r="N41" s="33"/>
      <c r="O41" s="80"/>
      <c r="P41" s="367"/>
    </row>
    <row r="42" spans="1:16" x14ac:dyDescent="0.25">
      <c r="A42" s="33"/>
      <c r="B42" s="80"/>
      <c r="C42" s="366"/>
      <c r="D42" s="80"/>
      <c r="E42" s="80"/>
      <c r="F42" s="80"/>
      <c r="G42" s="80"/>
      <c r="H42" s="80"/>
      <c r="I42" s="80"/>
      <c r="J42" s="80"/>
      <c r="K42" s="80"/>
      <c r="L42" s="80"/>
      <c r="M42" s="80"/>
      <c r="N42" s="33"/>
      <c r="O42" s="80"/>
      <c r="P42" s="367"/>
    </row>
    <row r="43" spans="1:16" x14ac:dyDescent="0.25">
      <c r="A43" s="33"/>
      <c r="B43" s="80"/>
      <c r="C43" s="366"/>
      <c r="D43" s="80"/>
      <c r="E43" s="80"/>
      <c r="F43" s="80"/>
      <c r="G43" s="80"/>
      <c r="H43" s="80"/>
      <c r="I43" s="80"/>
      <c r="J43" s="80"/>
      <c r="K43" s="80"/>
      <c r="L43" s="80"/>
      <c r="M43" s="80"/>
      <c r="N43" s="33"/>
      <c r="O43" s="80"/>
      <c r="P43" s="367"/>
    </row>
    <row r="44" spans="1:16" x14ac:dyDescent="0.25">
      <c r="A44" s="33"/>
      <c r="B44" s="80"/>
      <c r="C44" s="366"/>
      <c r="D44" s="80"/>
      <c r="E44" s="80"/>
      <c r="F44" s="80"/>
      <c r="G44" s="80"/>
      <c r="H44" s="80"/>
      <c r="I44" s="80"/>
      <c r="J44" s="80"/>
      <c r="K44" s="80"/>
      <c r="L44" s="80"/>
      <c r="M44" s="80"/>
      <c r="N44" s="33"/>
      <c r="O44" s="80"/>
      <c r="P44" s="367"/>
    </row>
    <row r="45" spans="1:16" x14ac:dyDescent="0.25">
      <c r="A45" s="33"/>
      <c r="B45" s="80"/>
      <c r="C45" s="366"/>
      <c r="D45" s="80"/>
      <c r="E45" s="80"/>
      <c r="F45" s="80"/>
      <c r="G45" s="80"/>
      <c r="H45" s="80"/>
      <c r="I45" s="80"/>
      <c r="J45" s="80"/>
      <c r="K45" s="80"/>
      <c r="L45" s="80"/>
      <c r="M45" s="80"/>
      <c r="N45" s="33"/>
      <c r="O45" s="80"/>
      <c r="P45" s="367"/>
    </row>
    <row r="46" spans="1:16" x14ac:dyDescent="0.25">
      <c r="A46" s="33"/>
      <c r="B46" s="80"/>
      <c r="C46" s="366"/>
      <c r="D46" s="80"/>
      <c r="E46" s="80"/>
      <c r="F46" s="80"/>
      <c r="G46" s="80"/>
      <c r="H46" s="80"/>
      <c r="I46" s="80"/>
      <c r="J46" s="80"/>
      <c r="K46" s="80"/>
      <c r="L46" s="80"/>
      <c r="M46" s="80"/>
      <c r="N46" s="33"/>
      <c r="O46" s="80"/>
      <c r="P46" s="80"/>
    </row>
    <row r="47" spans="1:16" x14ac:dyDescent="0.25">
      <c r="A47" s="33"/>
      <c r="B47" s="80"/>
      <c r="C47" s="366"/>
      <c r="D47" s="80"/>
      <c r="E47" s="80"/>
      <c r="F47" s="80"/>
      <c r="G47" s="80"/>
      <c r="H47" s="80"/>
      <c r="I47" s="80"/>
      <c r="J47" s="80"/>
      <c r="K47" s="80"/>
      <c r="L47" s="80"/>
      <c r="M47" s="80"/>
      <c r="N47" s="33"/>
      <c r="O47" s="80"/>
      <c r="P47" s="80"/>
    </row>
    <row r="48" spans="1:16" x14ac:dyDescent="0.25">
      <c r="A48" s="33"/>
      <c r="B48" s="80"/>
      <c r="C48" s="366"/>
      <c r="D48" s="80"/>
      <c r="E48" s="80"/>
      <c r="F48" s="80"/>
      <c r="G48" s="80"/>
      <c r="H48" s="80"/>
      <c r="I48" s="80"/>
      <c r="J48" s="80"/>
      <c r="K48" s="80"/>
      <c r="L48" s="80"/>
      <c r="M48" s="80"/>
      <c r="N48" s="33"/>
      <c r="O48" s="80"/>
      <c r="P48" s="80"/>
    </row>
    <row r="49" spans="1:16" x14ac:dyDescent="0.25">
      <c r="A49" s="33"/>
      <c r="B49" s="80"/>
      <c r="C49" s="366"/>
      <c r="D49" s="80"/>
      <c r="E49" s="80"/>
      <c r="F49" s="80"/>
      <c r="G49" s="80"/>
      <c r="H49" s="80"/>
      <c r="I49" s="80"/>
      <c r="J49" s="80"/>
      <c r="K49" s="80"/>
      <c r="L49" s="80"/>
      <c r="M49" s="80"/>
      <c r="N49" s="33"/>
      <c r="O49" s="80"/>
      <c r="P49" s="80"/>
    </row>
    <row r="50" spans="1:16" x14ac:dyDescent="0.25">
      <c r="A50" s="33"/>
      <c r="B50" s="80"/>
      <c r="C50" s="366"/>
      <c r="D50" s="80"/>
      <c r="E50" s="80"/>
      <c r="F50" s="80"/>
      <c r="G50" s="80"/>
      <c r="H50" s="80"/>
      <c r="I50" s="80"/>
      <c r="J50" s="80"/>
      <c r="K50" s="80"/>
      <c r="L50" s="80"/>
      <c r="M50" s="80"/>
      <c r="N50" s="33"/>
      <c r="O50" s="80"/>
      <c r="P50" s="80"/>
    </row>
    <row r="51" spans="1:16" x14ac:dyDescent="0.25">
      <c r="A51" s="33"/>
      <c r="B51" s="80"/>
      <c r="C51" s="366"/>
      <c r="D51" s="80"/>
      <c r="E51" s="80"/>
      <c r="F51" s="80"/>
      <c r="G51" s="80"/>
      <c r="H51" s="80"/>
      <c r="I51" s="80"/>
      <c r="J51" s="80"/>
      <c r="K51" s="80"/>
      <c r="L51" s="80"/>
      <c r="M51" s="80"/>
      <c r="N51" s="33"/>
      <c r="O51" s="80"/>
      <c r="P51" s="80"/>
    </row>
    <row r="52" spans="1:16" x14ac:dyDescent="0.25">
      <c r="A52" s="33"/>
      <c r="B52" s="80"/>
      <c r="C52" s="366"/>
      <c r="D52" s="80"/>
      <c r="E52" s="80"/>
      <c r="F52" s="80"/>
      <c r="G52" s="80"/>
      <c r="H52" s="80"/>
      <c r="I52" s="80"/>
      <c r="J52" s="80"/>
      <c r="K52" s="80"/>
      <c r="L52" s="80"/>
      <c r="M52" s="80"/>
      <c r="N52" s="33"/>
      <c r="O52" s="80"/>
      <c r="P52" s="80"/>
    </row>
    <row r="53" spans="1:16" x14ac:dyDescent="0.25">
      <c r="A53" s="33"/>
      <c r="B53" s="80"/>
      <c r="C53" s="366"/>
      <c r="D53" s="80"/>
      <c r="E53" s="80"/>
      <c r="F53" s="80"/>
      <c r="G53" s="80"/>
      <c r="H53" s="80"/>
      <c r="I53" s="80"/>
      <c r="J53" s="80"/>
      <c r="K53" s="80"/>
      <c r="L53" s="80"/>
      <c r="M53" s="80"/>
      <c r="N53" s="33"/>
      <c r="O53" s="80"/>
      <c r="P53" s="80"/>
    </row>
    <row r="54" spans="1:16" x14ac:dyDescent="0.25">
      <c r="A54" s="33"/>
      <c r="B54" s="80"/>
      <c r="C54" s="366"/>
      <c r="D54" s="80"/>
      <c r="E54" s="80"/>
      <c r="F54" s="80"/>
      <c r="G54" s="80"/>
      <c r="H54" s="80"/>
      <c r="I54" s="80"/>
      <c r="J54" s="80"/>
      <c r="K54" s="80"/>
      <c r="L54" s="80"/>
      <c r="M54" s="80"/>
      <c r="N54" s="33"/>
      <c r="O54" s="80"/>
      <c r="P54" s="80"/>
    </row>
    <row r="55" spans="1:16" x14ac:dyDescent="0.25">
      <c r="A55" s="33"/>
      <c r="B55" s="80"/>
      <c r="C55" s="366"/>
      <c r="D55" s="80"/>
      <c r="E55" s="80"/>
      <c r="F55" s="80"/>
      <c r="G55" s="80"/>
      <c r="H55" s="80"/>
      <c r="I55" s="80"/>
      <c r="J55" s="80"/>
      <c r="K55" s="80"/>
      <c r="L55" s="80"/>
      <c r="M55" s="80"/>
      <c r="N55" s="33"/>
      <c r="O55" s="80"/>
      <c r="P55" s="367"/>
    </row>
    <row r="56" spans="1:16" x14ac:dyDescent="0.25">
      <c r="A56" s="32" t="s">
        <v>43</v>
      </c>
      <c r="B56" s="90"/>
      <c r="C56" s="90"/>
      <c r="D56" s="90"/>
      <c r="E56" s="90"/>
      <c r="F56" s="90"/>
      <c r="G56" s="90"/>
      <c r="H56" s="90"/>
      <c r="I56" s="90"/>
      <c r="J56" s="381"/>
      <c r="K56" s="90"/>
      <c r="L56" s="90"/>
      <c r="M56" s="381"/>
      <c r="N56" s="32"/>
      <c r="O56" s="90"/>
      <c r="P56" s="382"/>
    </row>
    <row r="57" spans="1:16" x14ac:dyDescent="0.25">
      <c r="A57" s="39"/>
      <c r="B57" s="39"/>
      <c r="C57" s="39"/>
      <c r="D57" s="39"/>
      <c r="E57" s="39"/>
      <c r="F57" s="39"/>
      <c r="G57" s="39"/>
      <c r="H57" s="39"/>
      <c r="I57" s="39"/>
      <c r="J57" s="40"/>
      <c r="K57" s="39"/>
      <c r="L57" s="39"/>
      <c r="M57" s="40"/>
      <c r="N57" s="39"/>
      <c r="O57" s="39"/>
      <c r="P57" s="383"/>
    </row>
    <row r="58" spans="1:16" x14ac:dyDescent="0.25">
      <c r="A58" s="21" t="s">
        <v>245</v>
      </c>
      <c r="B58" s="28" t="s">
        <v>21</v>
      </c>
      <c r="C58" s="22"/>
      <c r="D58" s="21"/>
      <c r="E58" s="28" t="s">
        <v>22</v>
      </c>
      <c r="F58" s="22"/>
      <c r="G58" s="18"/>
      <c r="H58" s="6" t="s">
        <v>23</v>
      </c>
      <c r="I58" s="22"/>
      <c r="J58" s="18"/>
      <c r="K58" s="6" t="s">
        <v>24</v>
      </c>
      <c r="L58" s="22"/>
      <c r="M58" s="18"/>
      <c r="N58" s="6" t="s">
        <v>25</v>
      </c>
      <c r="O58" s="22"/>
      <c r="P58" s="18"/>
    </row>
    <row r="59" spans="1:16" x14ac:dyDescent="0.25">
      <c r="A59" s="22"/>
    </row>
    <row r="60" spans="1:16" x14ac:dyDescent="0.25">
      <c r="A60" s="20"/>
      <c r="B60" s="27" t="s">
        <v>1684</v>
      </c>
      <c r="C60" s="20" t="s">
        <v>20</v>
      </c>
      <c r="D60" s="20" t="s">
        <v>1685</v>
      </c>
      <c r="E60" s="27" t="s">
        <v>1686</v>
      </c>
      <c r="F60" s="20" t="s">
        <v>20</v>
      </c>
      <c r="G60" s="19" t="s">
        <v>1687</v>
      </c>
      <c r="H60" s="27" t="s">
        <v>1688</v>
      </c>
      <c r="I60" s="20" t="s">
        <v>20</v>
      </c>
      <c r="J60" s="19" t="s">
        <v>1689</v>
      </c>
      <c r="K60" s="27" t="s">
        <v>1690</v>
      </c>
      <c r="L60" s="20" t="s">
        <v>20</v>
      </c>
      <c r="M60" s="19" t="s">
        <v>1691</v>
      </c>
      <c r="N60" s="27" t="s">
        <v>1692</v>
      </c>
      <c r="O60" s="20" t="s">
        <v>20</v>
      </c>
      <c r="P60" s="19" t="s">
        <v>1693</v>
      </c>
    </row>
    <row r="61" spans="1:16" x14ac:dyDescent="0.25">
      <c r="A61" s="384" t="s">
        <v>19</v>
      </c>
    </row>
    <row r="62" spans="1:16" x14ac:dyDescent="0.25">
      <c r="A62" s="852" t="str">
        <f>Cultivation!A43</f>
        <v>MAIN LAND USE</v>
      </c>
    </row>
    <row r="63" spans="1:16" x14ac:dyDescent="0.25">
      <c r="A63" s="852" t="str">
        <f>Cultivation!A44</f>
        <v xml:space="preserve"> - Diesel Fuel</v>
      </c>
      <c r="B63" s="711">
        <f>(Unitflowchart!$S$15*Cultivation!J44)/Unitflowchart!$S$357</f>
        <v>3335.5910597487418</v>
      </c>
      <c r="C63" s="25">
        <f>(B63/B$359)*100</f>
        <v>17.528135965777039</v>
      </c>
      <c r="D63" s="145">
        <f>(Unitflowchart!$S$15*Cultivation!K44)/Unitflowchart!$S$357</f>
        <v>0</v>
      </c>
      <c r="E63" s="711">
        <f>(Unitflowchart!$S$15*Cultivation!P44)/Unitflowchart!$S$357</f>
        <v>239.36673960918276</v>
      </c>
      <c r="F63" s="25">
        <f>(E63/E$359)*100</f>
        <v>20.010775667191663</v>
      </c>
      <c r="G63" s="145">
        <f>(Unitflowchart!$S$15*Cultivation!Q44)/Unitflowchart!$S$357</f>
        <v>0</v>
      </c>
      <c r="H63" s="711">
        <f>(Unitflowchart!$S$15*Cultivation!V44)/Unitflowchart!$S$357</f>
        <v>4.9738543295414606E-2</v>
      </c>
      <c r="I63" s="25">
        <f>(H63/H$359)*100</f>
        <v>2.7892195476957502</v>
      </c>
      <c r="J63" s="145">
        <f>(Unitflowchart!$S$15*Cultivation!W44)/Unitflowchart!$S$357</f>
        <v>0</v>
      </c>
      <c r="K63" s="711">
        <f>(Unitflowchart!$S$15*Cultivation!AB44)/Unitflowchart!$S$357</f>
        <v>6.4660106284038982E-2</v>
      </c>
      <c r="L63" s="25">
        <f>(K63/K$359)*100</f>
        <v>3.5620760112175383</v>
      </c>
      <c r="M63" s="145">
        <f>(Unitflowchart!$S$15*Cultivation!AC44)/Unitflowchart!$S$357</f>
        <v>0</v>
      </c>
      <c r="N63" s="711">
        <f>E63+(GlobalWarmingPotentials!$B$11*H63)+(GlobalWarmingPotentials!$C$11*K63)</f>
        <v>259.65011756505282</v>
      </c>
      <c r="O63" s="25">
        <f>(N63/N$359)*100</f>
        <v>14.632183551638473</v>
      </c>
      <c r="P63" s="736">
        <f>SQRT((G63^2)+((GlobalWarmingPotentials!$B$11*J63)^2)+((GlobalWarmingPotentials!$C$11*M63)^2))</f>
        <v>0</v>
      </c>
    </row>
    <row r="64" spans="1:16" s="838" customFormat="1" x14ac:dyDescent="0.25">
      <c r="A64" s="852"/>
      <c r="B64" s="713"/>
      <c r="C64" s="863"/>
      <c r="D64" s="719"/>
      <c r="E64" s="713"/>
      <c r="F64" s="863"/>
      <c r="G64" s="719"/>
      <c r="H64" s="713"/>
      <c r="I64" s="863"/>
      <c r="J64" s="719"/>
      <c r="K64" s="713"/>
      <c r="L64" s="863"/>
      <c r="M64" s="719"/>
      <c r="N64" s="713"/>
      <c r="O64" s="863"/>
      <c r="P64" s="738"/>
    </row>
    <row r="65" spans="1:16" s="5" customFormat="1" x14ac:dyDescent="0.25">
      <c r="A65" s="866" t="str">
        <f>Cultivation!A46</f>
        <v>Sub-Totals for Fuel</v>
      </c>
      <c r="B65" s="870">
        <f>(Unitflowchart!$S$15*Cultivation!J46)/Unitflowchart!$S$357</f>
        <v>3335.5910597487418</v>
      </c>
      <c r="C65" s="868">
        <f>(B65/B$359)*100</f>
        <v>17.528135965777039</v>
      </c>
      <c r="D65" s="869">
        <f>(Unitflowchart!$S$15*Cultivation!K46)/Unitflowchart!$S$357</f>
        <v>0</v>
      </c>
      <c r="E65" s="870">
        <f>(Unitflowchart!$S$15*Cultivation!P46)/Unitflowchart!$S$357</f>
        <v>239.36673960918276</v>
      </c>
      <c r="F65" s="868">
        <f>(E65/E$359)*100</f>
        <v>20.010775667191663</v>
      </c>
      <c r="G65" s="869">
        <f>(Unitflowchart!$S$15*Cultivation!Q46)/Unitflowchart!$S$357</f>
        <v>0</v>
      </c>
      <c r="H65" s="870">
        <f>(Unitflowchart!$S$15*Cultivation!V46)/Unitflowchart!$S$357</f>
        <v>4.9738543295414606E-2</v>
      </c>
      <c r="I65" s="868">
        <f>(H65/H$359)*100</f>
        <v>2.7892195476957502</v>
      </c>
      <c r="J65" s="869">
        <f>(Unitflowchart!$S$15*Cultivation!W46)/Unitflowchart!$S$357</f>
        <v>0</v>
      </c>
      <c r="K65" s="870">
        <f>(Unitflowchart!$S$15*Cultivation!AB46)/Unitflowchart!$S$357</f>
        <v>6.4660106284038982E-2</v>
      </c>
      <c r="L65" s="868">
        <f>(K65/K$359)*100</f>
        <v>3.5620760112175383</v>
      </c>
      <c r="M65" s="869">
        <f>(Unitflowchart!$S$15*Cultivation!AC46)/Unitflowchart!$S$357</f>
        <v>0</v>
      </c>
      <c r="N65" s="870">
        <f>E65+(GlobalWarmingPotentials!$B$11*H65)+(GlobalWarmingPotentials!$C$11*K65)</f>
        <v>259.65011756505282</v>
      </c>
      <c r="O65" s="868">
        <f>(N65/N$359)*100</f>
        <v>14.632183551638473</v>
      </c>
      <c r="P65" s="895">
        <f>SQRT((G65^2)+((GlobalWarmingPotentials!$B$11*J65)^2)+((GlobalWarmingPotentials!$C$11*M65)^2))</f>
        <v>0</v>
      </c>
    </row>
    <row r="66" spans="1:16" s="42" customFormat="1" x14ac:dyDescent="0.25">
      <c r="A66" s="852"/>
      <c r="B66" s="713"/>
      <c r="C66" s="863"/>
      <c r="D66" s="719"/>
      <c r="E66" s="713"/>
      <c r="F66" s="863"/>
      <c r="G66" s="719"/>
      <c r="H66" s="713"/>
      <c r="I66" s="863"/>
      <c r="J66" s="719"/>
      <c r="K66" s="713"/>
      <c r="L66" s="863"/>
      <c r="M66" s="719"/>
      <c r="N66" s="713"/>
      <c r="O66" s="863"/>
      <c r="P66" s="738"/>
    </row>
    <row r="67" spans="1:16" x14ac:dyDescent="0.25">
      <c r="A67" s="852" t="str">
        <f>Cultivation!A48</f>
        <v>Machinery:</v>
      </c>
      <c r="B67" s="711">
        <f>(Unitflowchart!$S$15*Cultivation!J48)/Unitflowchart!$S$357</f>
        <v>0</v>
      </c>
      <c r="C67" s="25">
        <f t="shared" ref="C67:C75" si="2">(B67/B$359)*100</f>
        <v>0</v>
      </c>
      <c r="D67" s="145">
        <f>(Unitflowchart!$S$15*Cultivation!K48)/Unitflowchart!$S$357</f>
        <v>0</v>
      </c>
      <c r="E67" s="711">
        <f>(Unitflowchart!$S$15*Cultivation!P48)/Unitflowchart!$S$357</f>
        <v>0</v>
      </c>
      <c r="F67" s="25">
        <f t="shared" ref="F67:F75" si="3">(E67/E$359)*100</f>
        <v>0</v>
      </c>
      <c r="G67" s="145">
        <f>(Unitflowchart!$S$15*Cultivation!Q48)/Unitflowchart!$S$357</f>
        <v>0</v>
      </c>
      <c r="H67" s="711">
        <f>(Unitflowchart!$S$15*Cultivation!V48)/Unitflowchart!$S$357</f>
        <v>0</v>
      </c>
      <c r="I67" s="25">
        <f t="shared" ref="I67:I75" si="4">(H67/H$359)*100</f>
        <v>0</v>
      </c>
      <c r="J67" s="145">
        <f>(Unitflowchart!$S$15*Cultivation!W48)/Unitflowchart!$S$357</f>
        <v>0</v>
      </c>
      <c r="K67" s="711">
        <f>(Unitflowchart!$S$15*Cultivation!AB48)/Unitflowchart!$S$357</f>
        <v>0</v>
      </c>
      <c r="L67" s="25">
        <f t="shared" ref="L67:L75" si="5">(K67/K$359)*100</f>
        <v>0</v>
      </c>
      <c r="M67" s="145">
        <f>(Unitflowchart!$S$15*Cultivation!AC48)/Unitflowchart!$S$357</f>
        <v>0</v>
      </c>
      <c r="N67" s="711">
        <f>E67+(GlobalWarmingPotentials!$B$11*H67)+(GlobalWarmingPotentials!$C$11*K67)</f>
        <v>0</v>
      </c>
      <c r="O67" s="25">
        <f t="shared" ref="O67:O75" si="6">(N67/N$359)*100</f>
        <v>0</v>
      </c>
      <c r="P67" s="736">
        <f>SQRT((G67^2)+((GlobalWarmingPotentials!$B$11*J67)^2)+((GlobalWarmingPotentials!$C$11*M67)^2))</f>
        <v>0</v>
      </c>
    </row>
    <row r="68" spans="1:16" x14ac:dyDescent="0.25">
      <c r="A68" s="852" t="str">
        <f>Cultivation!A49</f>
        <v xml:space="preserve"> - sub soiling</v>
      </c>
      <c r="B68" s="711">
        <f>(Unitflowchart!$S$15*Cultivation!J49)/Unitflowchart!$S$357</f>
        <v>0</v>
      </c>
      <c r="C68" s="25">
        <f t="shared" si="2"/>
        <v>0</v>
      </c>
      <c r="D68" s="145">
        <f>(Unitflowchart!$S$15*Cultivation!K49)/Unitflowchart!$S$357</f>
        <v>0</v>
      </c>
      <c r="E68" s="711">
        <f>(Unitflowchart!$S$15*Cultivation!P49)/Unitflowchart!$S$357</f>
        <v>0</v>
      </c>
      <c r="F68" s="25">
        <f t="shared" si="3"/>
        <v>0</v>
      </c>
      <c r="G68" s="145">
        <f>(Unitflowchart!$S$15*Cultivation!Q49)/Unitflowchart!$S$357</f>
        <v>0</v>
      </c>
      <c r="H68" s="711">
        <f>(Unitflowchart!$S$15*Cultivation!V49)/Unitflowchart!$S$357</f>
        <v>0</v>
      </c>
      <c r="I68" s="25">
        <f t="shared" si="4"/>
        <v>0</v>
      </c>
      <c r="J68" s="145">
        <f>(Unitflowchart!$S$15*Cultivation!W49)/Unitflowchart!$S$357</f>
        <v>0</v>
      </c>
      <c r="K68" s="711">
        <f>(Unitflowchart!$S$15*Cultivation!AB49)/Unitflowchart!$S$357</f>
        <v>0</v>
      </c>
      <c r="L68" s="25">
        <f t="shared" si="5"/>
        <v>0</v>
      </c>
      <c r="M68" s="145">
        <f>(Unitflowchart!$S$15*Cultivation!AC49)/Unitflowchart!$S$357</f>
        <v>0</v>
      </c>
      <c r="N68" s="711">
        <f>E68+(GlobalWarmingPotentials!$B$11*H68)+(GlobalWarmingPotentials!$C$11*K68)</f>
        <v>0</v>
      </c>
      <c r="O68" s="25">
        <f t="shared" si="6"/>
        <v>0</v>
      </c>
      <c r="P68" s="736">
        <f>SQRT((G68^2)+((GlobalWarmingPotentials!$B$11*J68)^2)+((GlobalWarmingPotentials!$C$11*M68)^2))</f>
        <v>0</v>
      </c>
    </row>
    <row r="69" spans="1:16" x14ac:dyDescent="0.25">
      <c r="A69" s="852" t="str">
        <f>Cultivation!A50</f>
        <v xml:space="preserve"> - ploughing</v>
      </c>
      <c r="B69" s="711">
        <f>(Unitflowchart!$S$15*Cultivation!J50)/Unitflowchart!$S$357</f>
        <v>0</v>
      </c>
      <c r="C69" s="25">
        <f t="shared" si="2"/>
        <v>0</v>
      </c>
      <c r="D69" s="145">
        <f>(Unitflowchart!$S$15*Cultivation!K50)/Unitflowchart!$S$357</f>
        <v>0</v>
      </c>
      <c r="E69" s="711">
        <f>(Unitflowchart!$S$15*Cultivation!P50)/Unitflowchart!$S$357</f>
        <v>0</v>
      </c>
      <c r="F69" s="25">
        <f t="shared" si="3"/>
        <v>0</v>
      </c>
      <c r="G69" s="145">
        <f>(Unitflowchart!$S$15*Cultivation!Q50)/Unitflowchart!$S$357</f>
        <v>0</v>
      </c>
      <c r="H69" s="711">
        <f>(Unitflowchart!$S$15*Cultivation!V50)/Unitflowchart!$S$357</f>
        <v>0</v>
      </c>
      <c r="I69" s="25">
        <f t="shared" si="4"/>
        <v>0</v>
      </c>
      <c r="J69" s="145">
        <f>(Unitflowchart!$S$15*Cultivation!W50)/Unitflowchart!$S$357</f>
        <v>0</v>
      </c>
      <c r="K69" s="711">
        <f>(Unitflowchart!$S$15*Cultivation!AB50)/Unitflowchart!$S$357</f>
        <v>0</v>
      </c>
      <c r="L69" s="25">
        <f t="shared" si="5"/>
        <v>0</v>
      </c>
      <c r="M69" s="145">
        <f>(Unitflowchart!$S$15*Cultivation!AC50)/Unitflowchart!$S$357</f>
        <v>0</v>
      </c>
      <c r="N69" s="711">
        <f>E69+(GlobalWarmingPotentials!$B$11*H69)+(GlobalWarmingPotentials!$C$11*K69)</f>
        <v>0</v>
      </c>
      <c r="O69" s="25">
        <f t="shared" si="6"/>
        <v>0</v>
      </c>
      <c r="P69" s="736">
        <f>SQRT((G69^2)+((GlobalWarmingPotentials!$B$11*J69)^2)+((GlobalWarmingPotentials!$C$11*M69)^2))</f>
        <v>0</v>
      </c>
    </row>
    <row r="70" spans="1:16" x14ac:dyDescent="0.25">
      <c r="A70" s="852" t="str">
        <f>Cultivation!A51</f>
        <v xml:space="preserve"> - harrowing (with power harrow)</v>
      </c>
      <c r="B70" s="711">
        <f>(Unitflowchart!$S$15*Cultivation!J51)/Unitflowchart!$S$357</f>
        <v>0</v>
      </c>
      <c r="C70" s="25">
        <f t="shared" si="2"/>
        <v>0</v>
      </c>
      <c r="D70" s="145">
        <f>(Unitflowchart!$S$15*Cultivation!K51)/Unitflowchart!$S$357</f>
        <v>0</v>
      </c>
      <c r="E70" s="711">
        <f>(Unitflowchart!$S$15*Cultivation!P51)/Unitflowchart!$S$357</f>
        <v>0</v>
      </c>
      <c r="F70" s="25">
        <f t="shared" si="3"/>
        <v>0</v>
      </c>
      <c r="G70" s="145">
        <f>(Unitflowchart!$S$15*Cultivation!Q51)/Unitflowchart!$S$357</f>
        <v>0</v>
      </c>
      <c r="H70" s="711">
        <f>(Unitflowchart!$S$15*Cultivation!V51)/Unitflowchart!$S$357</f>
        <v>0</v>
      </c>
      <c r="I70" s="25">
        <f t="shared" si="4"/>
        <v>0</v>
      </c>
      <c r="J70" s="145">
        <f>(Unitflowchart!$S$15*Cultivation!W51)/Unitflowchart!$S$357</f>
        <v>0</v>
      </c>
      <c r="K70" s="711">
        <f>(Unitflowchart!$S$15*Cultivation!AB51)/Unitflowchart!$S$357</f>
        <v>0</v>
      </c>
      <c r="L70" s="25">
        <f t="shared" si="5"/>
        <v>0</v>
      </c>
      <c r="M70" s="145">
        <f>(Unitflowchart!$S$15*Cultivation!AC51)/Unitflowchart!$S$357</f>
        <v>0</v>
      </c>
      <c r="N70" s="711">
        <f>E70+(GlobalWarmingPotentials!$B$11*H70)+(GlobalWarmingPotentials!$C$11*K70)</f>
        <v>0</v>
      </c>
      <c r="O70" s="25">
        <f t="shared" si="6"/>
        <v>0</v>
      </c>
      <c r="P70" s="736">
        <f>SQRT((G70^2)+((GlobalWarmingPotentials!$B$11*J70)^2)+((GlobalWarmingPotentials!$C$11*M70)^2))</f>
        <v>0</v>
      </c>
    </row>
    <row r="71" spans="1:16" x14ac:dyDescent="0.25">
      <c r="A71" s="852" t="str">
        <f>Cultivation!A52</f>
        <v xml:space="preserve"> - drilling (with power harrow)</v>
      </c>
      <c r="B71" s="711">
        <f>(Unitflowchart!$S$15*Cultivation!J52)/Unitflowchart!$S$357</f>
        <v>0</v>
      </c>
      <c r="C71" s="25">
        <f t="shared" si="2"/>
        <v>0</v>
      </c>
      <c r="D71" s="145">
        <f>(Unitflowchart!$S$15*Cultivation!K52)/Unitflowchart!$S$357</f>
        <v>0</v>
      </c>
      <c r="E71" s="711">
        <f>(Unitflowchart!$S$15*Cultivation!P52)/Unitflowchart!$S$357</f>
        <v>0</v>
      </c>
      <c r="F71" s="25">
        <f t="shared" si="3"/>
        <v>0</v>
      </c>
      <c r="G71" s="145">
        <f>(Unitflowchart!$S$15*Cultivation!Q52)/Unitflowchart!$S$357</f>
        <v>0</v>
      </c>
      <c r="H71" s="711">
        <f>(Unitflowchart!$S$15*Cultivation!V52)/Unitflowchart!$S$357</f>
        <v>0</v>
      </c>
      <c r="I71" s="25">
        <f t="shared" si="4"/>
        <v>0</v>
      </c>
      <c r="J71" s="145">
        <f>(Unitflowchart!$S$15*Cultivation!W52)/Unitflowchart!$S$357</f>
        <v>0</v>
      </c>
      <c r="K71" s="711">
        <f>(Unitflowchart!$S$15*Cultivation!AB52)/Unitflowchart!$S$357</f>
        <v>0</v>
      </c>
      <c r="L71" s="25">
        <f t="shared" si="5"/>
        <v>0</v>
      </c>
      <c r="M71" s="145">
        <f>(Unitflowchart!$S$15*Cultivation!AC52)/Unitflowchart!$S$357</f>
        <v>0</v>
      </c>
      <c r="N71" s="711">
        <f>E71+(GlobalWarmingPotentials!$B$11*H71)+(GlobalWarmingPotentials!$C$11*K71)</f>
        <v>0</v>
      </c>
      <c r="O71" s="25">
        <f t="shared" si="6"/>
        <v>0</v>
      </c>
      <c r="P71" s="736">
        <f>SQRT((G71^2)+((GlobalWarmingPotentials!$B$11*J71)^2)+((GlobalWarmingPotentials!$C$11*M71)^2))</f>
        <v>0</v>
      </c>
    </row>
    <row r="72" spans="1:16" x14ac:dyDescent="0.25">
      <c r="A72" s="852" t="str">
        <f>Cultivation!A53</f>
        <v xml:space="preserve"> - FYM application</v>
      </c>
      <c r="B72" s="711">
        <f>(Unitflowchart!$S$15*Cultivation!J53)/Unitflowchart!$S$357</f>
        <v>0</v>
      </c>
      <c r="C72" s="25">
        <f t="shared" si="2"/>
        <v>0</v>
      </c>
      <c r="D72" s="145">
        <f>(Unitflowchart!$S$15*Cultivation!K53)/Unitflowchart!$S$357</f>
        <v>0</v>
      </c>
      <c r="E72" s="711">
        <f>(Unitflowchart!$S$15*Cultivation!P53)/Unitflowchart!$S$357</f>
        <v>0</v>
      </c>
      <c r="F72" s="25">
        <f t="shared" si="3"/>
        <v>0</v>
      </c>
      <c r="G72" s="145">
        <f>(Unitflowchart!$S$15*Cultivation!Q53)/Unitflowchart!$S$357</f>
        <v>0</v>
      </c>
      <c r="H72" s="711">
        <f>(Unitflowchart!$S$15*Cultivation!V53)/Unitflowchart!$S$357</f>
        <v>0</v>
      </c>
      <c r="I72" s="25">
        <f t="shared" si="4"/>
        <v>0</v>
      </c>
      <c r="J72" s="145">
        <f>(Unitflowchart!$S$15*Cultivation!W53)/Unitflowchart!$S$357</f>
        <v>0</v>
      </c>
      <c r="K72" s="711">
        <f>(Unitflowchart!$S$15*Cultivation!AB53)/Unitflowchart!$S$357</f>
        <v>0</v>
      </c>
      <c r="L72" s="25">
        <f t="shared" si="5"/>
        <v>0</v>
      </c>
      <c r="M72" s="145">
        <f>(Unitflowchart!$S$15*Cultivation!AC53)/Unitflowchart!$S$357</f>
        <v>0</v>
      </c>
      <c r="N72" s="711">
        <f>E72+(GlobalWarmingPotentials!$B$11*H72)+(GlobalWarmingPotentials!$C$11*K72)</f>
        <v>0</v>
      </c>
      <c r="O72" s="25">
        <f t="shared" si="6"/>
        <v>0</v>
      </c>
      <c r="P72" s="736">
        <f>SQRT((G72^2)+((GlobalWarmingPotentials!$B$11*J72)^2)+((GlobalWarmingPotentials!$C$11*M72)^2))</f>
        <v>0</v>
      </c>
    </row>
    <row r="73" spans="1:16" s="42" customFormat="1" x14ac:dyDescent="0.25">
      <c r="A73" s="852" t="str">
        <f>Cultivation!A54</f>
        <v xml:space="preserve"> - fertiliser application</v>
      </c>
      <c r="B73" s="711">
        <f>(Unitflowchart!$S$15*Cultivation!J54)/Unitflowchart!$S$357</f>
        <v>0</v>
      </c>
      <c r="C73" s="25">
        <f t="shared" si="2"/>
        <v>0</v>
      </c>
      <c r="D73" s="145">
        <f>(Unitflowchart!$S$15*Cultivation!K54)/Unitflowchart!$S$357</f>
        <v>0</v>
      </c>
      <c r="E73" s="711">
        <f>(Unitflowchart!$S$15*Cultivation!P54)/Unitflowchart!$S$357</f>
        <v>0</v>
      </c>
      <c r="F73" s="25">
        <f t="shared" si="3"/>
        <v>0</v>
      </c>
      <c r="G73" s="145">
        <f>(Unitflowchart!$S$15*Cultivation!Q54)/Unitflowchart!$S$357</f>
        <v>0</v>
      </c>
      <c r="H73" s="711">
        <f>(Unitflowchart!$S$15*Cultivation!V54)/Unitflowchart!$S$357</f>
        <v>0</v>
      </c>
      <c r="I73" s="25">
        <f t="shared" si="4"/>
        <v>0</v>
      </c>
      <c r="J73" s="145">
        <f>(Unitflowchart!$S$15*Cultivation!W54)/Unitflowchart!$S$357</f>
        <v>0</v>
      </c>
      <c r="K73" s="711">
        <f>(Unitflowchart!$S$15*Cultivation!AB54)/Unitflowchart!$S$357</f>
        <v>0</v>
      </c>
      <c r="L73" s="25">
        <f t="shared" si="5"/>
        <v>0</v>
      </c>
      <c r="M73" s="145">
        <f>(Unitflowchart!$S$15*Cultivation!AC54)/Unitflowchart!$S$357</f>
        <v>0</v>
      </c>
      <c r="N73" s="711">
        <f>E73+(GlobalWarmingPotentials!$B$11*H73)+(GlobalWarmingPotentials!$C$11*K73)</f>
        <v>0</v>
      </c>
      <c r="O73" s="25">
        <f t="shared" si="6"/>
        <v>0</v>
      </c>
      <c r="P73" s="736">
        <f>SQRT((G73^2)+((GlobalWarmingPotentials!$B$11*J73)^2)+((GlobalWarmingPotentials!$C$11*M73)^2))</f>
        <v>0</v>
      </c>
    </row>
    <row r="74" spans="1:16" s="5" customFormat="1" x14ac:dyDescent="0.25">
      <c r="A74" s="852" t="str">
        <f>Cultivation!A55</f>
        <v xml:space="preserve"> - applying pesticides, herbicides and fungicides</v>
      </c>
      <c r="B74" s="711">
        <f>(Unitflowchart!$S$15*Cultivation!J55)/Unitflowchart!$S$357</f>
        <v>0</v>
      </c>
      <c r="C74" s="25">
        <f t="shared" si="2"/>
        <v>0</v>
      </c>
      <c r="D74" s="145">
        <f>(Unitflowchart!$S$15*Cultivation!K55)/Unitflowchart!$S$357</f>
        <v>0</v>
      </c>
      <c r="E74" s="711">
        <f>(Unitflowchart!$S$15*Cultivation!P55)/Unitflowchart!$S$357</f>
        <v>0</v>
      </c>
      <c r="F74" s="25">
        <f t="shared" si="3"/>
        <v>0</v>
      </c>
      <c r="G74" s="145">
        <f>(Unitflowchart!$S$15*Cultivation!Q55)/Unitflowchart!$S$357</f>
        <v>0</v>
      </c>
      <c r="H74" s="711">
        <f>(Unitflowchart!$S$15*Cultivation!V55)/Unitflowchart!$S$357</f>
        <v>0</v>
      </c>
      <c r="I74" s="25">
        <f t="shared" si="4"/>
        <v>0</v>
      </c>
      <c r="J74" s="145">
        <f>(Unitflowchart!$S$15*Cultivation!W55)/Unitflowchart!$S$357</f>
        <v>0</v>
      </c>
      <c r="K74" s="711">
        <f>(Unitflowchart!$S$15*Cultivation!AB55)/Unitflowchart!$S$357</f>
        <v>0</v>
      </c>
      <c r="L74" s="25">
        <f t="shared" si="5"/>
        <v>0</v>
      </c>
      <c r="M74" s="145">
        <f>(Unitflowchart!$S$15*Cultivation!AC55)/Unitflowchart!$S$357</f>
        <v>0</v>
      </c>
      <c r="N74" s="711">
        <f>E74+(GlobalWarmingPotentials!$B$11*H74)+(GlobalWarmingPotentials!$C$11*K74)</f>
        <v>0</v>
      </c>
      <c r="O74" s="25">
        <f t="shared" si="6"/>
        <v>0</v>
      </c>
      <c r="P74" s="736">
        <f>SQRT((G74^2)+((GlobalWarmingPotentials!$B$11*J74)^2)+((GlobalWarmingPotentials!$C$11*M74)^2))</f>
        <v>0</v>
      </c>
    </row>
    <row r="75" spans="1:16" s="42" customFormat="1" x14ac:dyDescent="0.25">
      <c r="A75" s="852" t="str">
        <f>Cultivation!A56</f>
        <v xml:space="preserve"> - maize harvesting </v>
      </c>
      <c r="B75" s="711">
        <f>(Unitflowchart!$S$15*Cultivation!J56)/Unitflowchart!$S$357</f>
        <v>0</v>
      </c>
      <c r="C75" s="25">
        <f t="shared" si="2"/>
        <v>0</v>
      </c>
      <c r="D75" s="145">
        <f>(Unitflowchart!$S$15*Cultivation!K56)/Unitflowchart!$S$357</f>
        <v>0</v>
      </c>
      <c r="E75" s="711">
        <f>(Unitflowchart!$S$15*Cultivation!P56)/Unitflowchart!$S$357</f>
        <v>0</v>
      </c>
      <c r="F75" s="25">
        <f t="shared" si="3"/>
        <v>0</v>
      </c>
      <c r="G75" s="145">
        <f>(Unitflowchart!$S$15*Cultivation!Q56)/Unitflowchart!$S$357</f>
        <v>0</v>
      </c>
      <c r="H75" s="711">
        <f>(Unitflowchart!$S$15*Cultivation!V56)/Unitflowchart!$S$357</f>
        <v>0</v>
      </c>
      <c r="I75" s="25">
        <f t="shared" si="4"/>
        <v>0</v>
      </c>
      <c r="J75" s="145">
        <f>(Unitflowchart!$S$15*Cultivation!W56)/Unitflowchart!$S$357</f>
        <v>0</v>
      </c>
      <c r="K75" s="711">
        <f>(Unitflowchart!$S$15*Cultivation!AB56)/Unitflowchart!$S$357</f>
        <v>0</v>
      </c>
      <c r="L75" s="25">
        <f t="shared" si="5"/>
        <v>0</v>
      </c>
      <c r="M75" s="145">
        <f>(Unitflowchart!$S$15*Cultivation!AC56)/Unitflowchart!$S$357</f>
        <v>0</v>
      </c>
      <c r="N75" s="711">
        <f>E75+(GlobalWarmingPotentials!$B$11*H75)+(GlobalWarmingPotentials!$C$11*K75)</f>
        <v>0</v>
      </c>
      <c r="O75" s="25">
        <f t="shared" si="6"/>
        <v>0</v>
      </c>
      <c r="P75" s="736">
        <f>SQRT((G75^2)+((GlobalWarmingPotentials!$B$11*J75)^2)+((GlobalWarmingPotentials!$C$11*M75)^2))</f>
        <v>0</v>
      </c>
    </row>
    <row r="76" spans="1:16" s="42" customFormat="1" x14ac:dyDescent="0.25">
      <c r="A76" s="852"/>
      <c r="B76" s="713"/>
      <c r="C76" s="863"/>
      <c r="D76" s="719"/>
      <c r="E76" s="713"/>
      <c r="F76" s="863"/>
      <c r="G76" s="719"/>
      <c r="H76" s="713"/>
      <c r="I76" s="863"/>
      <c r="J76" s="719"/>
      <c r="K76" s="713"/>
      <c r="L76" s="863"/>
      <c r="M76" s="719"/>
      <c r="N76" s="713"/>
      <c r="O76" s="863"/>
      <c r="P76" s="738"/>
    </row>
    <row r="77" spans="1:16" s="5" customFormat="1" x14ac:dyDescent="0.25">
      <c r="A77" s="866" t="str">
        <f>Cultivation!A58</f>
        <v>Sub-Totals for Machinery</v>
      </c>
      <c r="B77" s="870">
        <f>(Unitflowchart!$S$15*Cultivation!J58)/Unitflowchart!$S$357</f>
        <v>0</v>
      </c>
      <c r="C77" s="868">
        <f>(B77/B$359)*100</f>
        <v>0</v>
      </c>
      <c r="D77" s="869">
        <f>(Unitflowchart!$S$15*Cultivation!K58)/Unitflowchart!$S$357</f>
        <v>0</v>
      </c>
      <c r="E77" s="870">
        <f>(Unitflowchart!$S$15*Cultivation!P58)/Unitflowchart!$S$357</f>
        <v>0</v>
      </c>
      <c r="F77" s="868">
        <f>(E77/E$359)*100</f>
        <v>0</v>
      </c>
      <c r="G77" s="869">
        <f>(Unitflowchart!$S$15*Cultivation!Q58)/Unitflowchart!$S$357</f>
        <v>0</v>
      </c>
      <c r="H77" s="870">
        <f>(Unitflowchart!$S$15*Cultivation!V58)/Unitflowchart!$S$357</f>
        <v>0</v>
      </c>
      <c r="I77" s="868">
        <f>(H77/H$359)*100</f>
        <v>0</v>
      </c>
      <c r="J77" s="869">
        <f>(Unitflowchart!$S$15*Cultivation!W58)/Unitflowchart!$S$357</f>
        <v>0</v>
      </c>
      <c r="K77" s="870">
        <f>(Unitflowchart!$S$15*Cultivation!AB58)/Unitflowchart!$S$357</f>
        <v>0</v>
      </c>
      <c r="L77" s="868">
        <f>(K77/K$359)*100</f>
        <v>0</v>
      </c>
      <c r="M77" s="869">
        <f>(Unitflowchart!$S$15*Cultivation!AC58)/Unitflowchart!$S$357</f>
        <v>0</v>
      </c>
      <c r="N77" s="870">
        <f>E77+(GlobalWarmingPotentials!$B$11*H77)+(GlobalWarmingPotentials!$C$11*K77)</f>
        <v>0</v>
      </c>
      <c r="O77" s="868">
        <f>(N77/N$359)*100</f>
        <v>0</v>
      </c>
      <c r="P77" s="895">
        <f>SQRT((G77^2)+((GlobalWarmingPotentials!$B$11*J77)^2)+((GlobalWarmingPotentials!$C$11*M77)^2))</f>
        <v>0</v>
      </c>
    </row>
    <row r="78" spans="1:16" s="42" customFormat="1" x14ac:dyDescent="0.25">
      <c r="A78" s="852"/>
      <c r="B78" s="713"/>
      <c r="C78" s="863"/>
      <c r="D78" s="719"/>
      <c r="E78" s="713"/>
      <c r="F78" s="863"/>
      <c r="G78" s="719"/>
      <c r="H78" s="713"/>
      <c r="I78" s="863"/>
      <c r="J78" s="719"/>
      <c r="K78" s="713"/>
      <c r="L78" s="863"/>
      <c r="M78" s="719"/>
      <c r="N78" s="713"/>
      <c r="O78" s="863"/>
      <c r="P78" s="738"/>
    </row>
    <row r="79" spans="1:16" x14ac:dyDescent="0.25">
      <c r="A79" s="852" t="str">
        <f>Cultivation!A60</f>
        <v>Maintenance:</v>
      </c>
      <c r="B79" s="711">
        <f>(Unitflowchart!$S$15*Cultivation!J60)/Unitflowchart!$S$357</f>
        <v>0</v>
      </c>
      <c r="C79" s="25">
        <f t="shared" ref="C79:C87" si="7">(B79/B$359)*100</f>
        <v>0</v>
      </c>
      <c r="D79" s="145">
        <f>(Unitflowchart!$S$15*Cultivation!K60)/Unitflowchart!$S$357</f>
        <v>0</v>
      </c>
      <c r="E79" s="711">
        <f>(Unitflowchart!$S$15*Cultivation!P60)/Unitflowchart!$S$357</f>
        <v>0</v>
      </c>
      <c r="F79" s="25">
        <f t="shared" ref="F79:F87" si="8">(E79/E$359)*100</f>
        <v>0</v>
      </c>
      <c r="G79" s="145">
        <f>(Unitflowchart!$S$15*Cultivation!Q60)/Unitflowchart!$S$357</f>
        <v>0</v>
      </c>
      <c r="H79" s="711">
        <f>(Unitflowchart!$S$15*Cultivation!V60)/Unitflowchart!$S$357</f>
        <v>0</v>
      </c>
      <c r="I79" s="25">
        <f t="shared" ref="I79:I87" si="9">(H79/H$359)*100</f>
        <v>0</v>
      </c>
      <c r="J79" s="145">
        <f>(Unitflowchart!$S$15*Cultivation!W60)/Unitflowchart!$S$357</f>
        <v>0</v>
      </c>
      <c r="K79" s="711">
        <f>(Unitflowchart!$S$15*Cultivation!AB60)/Unitflowchart!$S$357</f>
        <v>0</v>
      </c>
      <c r="L79" s="25">
        <f t="shared" ref="L79:L87" si="10">(K79/K$359)*100</f>
        <v>0</v>
      </c>
      <c r="M79" s="145">
        <f>(Unitflowchart!$S$15*Cultivation!AC60)/Unitflowchart!$S$357</f>
        <v>0</v>
      </c>
      <c r="N79" s="711">
        <f>E79+(GlobalWarmingPotentials!$B$11*H79)+(GlobalWarmingPotentials!$C$11*K79)</f>
        <v>0</v>
      </c>
      <c r="O79" s="25">
        <f t="shared" ref="O79:O87" si="11">(N79/N$359)*100</f>
        <v>0</v>
      </c>
      <c r="P79" s="736">
        <f>SQRT((G79^2)+((GlobalWarmingPotentials!$B$11*J79)^2)+((GlobalWarmingPotentials!$C$11*M79)^2))</f>
        <v>0</v>
      </c>
    </row>
    <row r="80" spans="1:16" x14ac:dyDescent="0.25">
      <c r="A80" s="852" t="str">
        <f>Cultivation!A61</f>
        <v xml:space="preserve"> - sub soiling</v>
      </c>
      <c r="B80" s="711">
        <f>(Unitflowchart!$S$15*Cultivation!J61)/Unitflowchart!$S$357</f>
        <v>0</v>
      </c>
      <c r="C80" s="25">
        <f t="shared" si="7"/>
        <v>0</v>
      </c>
      <c r="D80" s="145">
        <f>(Unitflowchart!$S$15*Cultivation!K61)/Unitflowchart!$S$357</f>
        <v>0</v>
      </c>
      <c r="E80" s="711">
        <f>(Unitflowchart!$S$15*Cultivation!P61)/Unitflowchart!$S$357</f>
        <v>0</v>
      </c>
      <c r="F80" s="25">
        <f t="shared" si="8"/>
        <v>0</v>
      </c>
      <c r="G80" s="145">
        <f>(Unitflowchart!$S$15*Cultivation!Q61)/Unitflowchart!$S$357</f>
        <v>0</v>
      </c>
      <c r="H80" s="711">
        <f>(Unitflowchart!$S$15*Cultivation!V61)/Unitflowchart!$S$357</f>
        <v>0</v>
      </c>
      <c r="I80" s="25">
        <f t="shared" si="9"/>
        <v>0</v>
      </c>
      <c r="J80" s="145">
        <f>(Unitflowchart!$S$15*Cultivation!W61)/Unitflowchart!$S$357</f>
        <v>0</v>
      </c>
      <c r="K80" s="711">
        <f>(Unitflowchart!$S$15*Cultivation!AB61)/Unitflowchart!$S$357</f>
        <v>0</v>
      </c>
      <c r="L80" s="25">
        <f t="shared" si="10"/>
        <v>0</v>
      </c>
      <c r="M80" s="145">
        <f>(Unitflowchart!$S$15*Cultivation!AC61)/Unitflowchart!$S$357</f>
        <v>0</v>
      </c>
      <c r="N80" s="711">
        <f>E80+(GlobalWarmingPotentials!$B$11*H80)+(GlobalWarmingPotentials!$C$11*K80)</f>
        <v>0</v>
      </c>
      <c r="O80" s="25">
        <f t="shared" si="11"/>
        <v>0</v>
      </c>
      <c r="P80" s="736">
        <f>SQRT((G80^2)+((GlobalWarmingPotentials!$B$11*J80)^2)+((GlobalWarmingPotentials!$C$11*M80)^2))</f>
        <v>0</v>
      </c>
    </row>
    <row r="81" spans="1:16" x14ac:dyDescent="0.25">
      <c r="A81" s="852" t="str">
        <f>Cultivation!A62</f>
        <v xml:space="preserve"> - ploughing</v>
      </c>
      <c r="B81" s="711">
        <f>(Unitflowchart!$S$15*Cultivation!J62)/Unitflowchart!$S$357</f>
        <v>0</v>
      </c>
      <c r="C81" s="25">
        <f t="shared" si="7"/>
        <v>0</v>
      </c>
      <c r="D81" s="145">
        <f>(Unitflowchart!$S$15*Cultivation!K62)/Unitflowchart!$S$357</f>
        <v>0</v>
      </c>
      <c r="E81" s="711">
        <f>(Unitflowchart!$S$15*Cultivation!P62)/Unitflowchart!$S$357</f>
        <v>0</v>
      </c>
      <c r="F81" s="25">
        <f t="shared" si="8"/>
        <v>0</v>
      </c>
      <c r="G81" s="145">
        <f>(Unitflowchart!$S$15*Cultivation!Q62)/Unitflowchart!$S$357</f>
        <v>0</v>
      </c>
      <c r="H81" s="711">
        <f>(Unitflowchart!$S$15*Cultivation!V62)/Unitflowchart!$S$357</f>
        <v>0</v>
      </c>
      <c r="I81" s="25">
        <f t="shared" si="9"/>
        <v>0</v>
      </c>
      <c r="J81" s="145">
        <f>(Unitflowchart!$S$15*Cultivation!W62)/Unitflowchart!$S$357</f>
        <v>0</v>
      </c>
      <c r="K81" s="711">
        <f>(Unitflowchart!$S$15*Cultivation!AB62)/Unitflowchart!$S$357</f>
        <v>0</v>
      </c>
      <c r="L81" s="25">
        <f t="shared" si="10"/>
        <v>0</v>
      </c>
      <c r="M81" s="145">
        <f>(Unitflowchart!$S$15*Cultivation!AC62)/Unitflowchart!$S$357</f>
        <v>0</v>
      </c>
      <c r="N81" s="711">
        <f>E81+(GlobalWarmingPotentials!$B$11*H81)+(GlobalWarmingPotentials!$C$11*K81)</f>
        <v>0</v>
      </c>
      <c r="O81" s="25">
        <f t="shared" si="11"/>
        <v>0</v>
      </c>
      <c r="P81" s="736">
        <f>SQRT((G81^2)+((GlobalWarmingPotentials!$B$11*J81)^2)+((GlobalWarmingPotentials!$C$11*M81)^2))</f>
        <v>0</v>
      </c>
    </row>
    <row r="82" spans="1:16" x14ac:dyDescent="0.25">
      <c r="A82" s="852" t="str">
        <f>Cultivation!A63</f>
        <v xml:space="preserve"> - harrowing (with power harrow)</v>
      </c>
      <c r="B82" s="711">
        <f>(Unitflowchart!$S$15*Cultivation!J63)/Unitflowchart!$S$357</f>
        <v>0</v>
      </c>
      <c r="C82" s="25">
        <f t="shared" si="7"/>
        <v>0</v>
      </c>
      <c r="D82" s="145">
        <f>(Unitflowchart!$S$15*Cultivation!K63)/Unitflowchart!$S$357</f>
        <v>0</v>
      </c>
      <c r="E82" s="711">
        <f>(Unitflowchart!$S$15*Cultivation!P63)/Unitflowchart!$S$357</f>
        <v>0</v>
      </c>
      <c r="F82" s="25">
        <f t="shared" si="8"/>
        <v>0</v>
      </c>
      <c r="G82" s="145">
        <f>(Unitflowchart!$S$15*Cultivation!Q63)/Unitflowchart!$S$357</f>
        <v>0</v>
      </c>
      <c r="H82" s="711">
        <f>(Unitflowchart!$S$15*Cultivation!V63)/Unitflowchart!$S$357</f>
        <v>0</v>
      </c>
      <c r="I82" s="25">
        <f t="shared" si="9"/>
        <v>0</v>
      </c>
      <c r="J82" s="145">
        <f>(Unitflowchart!$S$15*Cultivation!W63)/Unitflowchart!$S$357</f>
        <v>0</v>
      </c>
      <c r="K82" s="711">
        <f>(Unitflowchart!$S$15*Cultivation!AB63)/Unitflowchart!$S$357</f>
        <v>0</v>
      </c>
      <c r="L82" s="25">
        <f t="shared" si="10"/>
        <v>0</v>
      </c>
      <c r="M82" s="145">
        <f>(Unitflowchart!$S$15*Cultivation!AC63)/Unitflowchart!$S$357</f>
        <v>0</v>
      </c>
      <c r="N82" s="711">
        <f>E82+(GlobalWarmingPotentials!$B$11*H82)+(GlobalWarmingPotentials!$C$11*K82)</f>
        <v>0</v>
      </c>
      <c r="O82" s="25">
        <f t="shared" si="11"/>
        <v>0</v>
      </c>
      <c r="P82" s="736">
        <f>SQRT((G82^2)+((GlobalWarmingPotentials!$B$11*J82)^2)+((GlobalWarmingPotentials!$C$11*M82)^2))</f>
        <v>0</v>
      </c>
    </row>
    <row r="83" spans="1:16" x14ac:dyDescent="0.25">
      <c r="A83" s="852" t="str">
        <f>Cultivation!A64</f>
        <v xml:space="preserve"> - drilling (with power harrow)</v>
      </c>
      <c r="B83" s="711">
        <f>(Unitflowchart!$S$15*Cultivation!J64)/Unitflowchart!$S$357</f>
        <v>0</v>
      </c>
      <c r="C83" s="25">
        <f t="shared" si="7"/>
        <v>0</v>
      </c>
      <c r="D83" s="145">
        <f>(Unitflowchart!$S$15*Cultivation!K64)/Unitflowchart!$S$357</f>
        <v>0</v>
      </c>
      <c r="E83" s="711">
        <f>(Unitflowchart!$S$15*Cultivation!P64)/Unitflowchart!$S$357</f>
        <v>0</v>
      </c>
      <c r="F83" s="25">
        <f t="shared" si="8"/>
        <v>0</v>
      </c>
      <c r="G83" s="145">
        <f>(Unitflowchart!$S$15*Cultivation!Q64)/Unitflowchart!$S$357</f>
        <v>0</v>
      </c>
      <c r="H83" s="711">
        <f>(Unitflowchart!$S$15*Cultivation!V64)/Unitflowchart!$S$357</f>
        <v>0</v>
      </c>
      <c r="I83" s="25">
        <f t="shared" si="9"/>
        <v>0</v>
      </c>
      <c r="J83" s="145">
        <f>(Unitflowchart!$S$15*Cultivation!W64)/Unitflowchart!$S$357</f>
        <v>0</v>
      </c>
      <c r="K83" s="711">
        <f>(Unitflowchart!$S$15*Cultivation!AB64)/Unitflowchart!$S$357</f>
        <v>0</v>
      </c>
      <c r="L83" s="25">
        <f t="shared" si="10"/>
        <v>0</v>
      </c>
      <c r="M83" s="145">
        <f>(Unitflowchart!$S$15*Cultivation!AC64)/Unitflowchart!$S$357</f>
        <v>0</v>
      </c>
      <c r="N83" s="711">
        <f>E83+(GlobalWarmingPotentials!$B$11*H83)+(GlobalWarmingPotentials!$C$11*K83)</f>
        <v>0</v>
      </c>
      <c r="O83" s="25">
        <f t="shared" si="11"/>
        <v>0</v>
      </c>
      <c r="P83" s="736">
        <f>SQRT((G83^2)+((GlobalWarmingPotentials!$B$11*J83)^2)+((GlobalWarmingPotentials!$C$11*M83)^2))</f>
        <v>0</v>
      </c>
    </row>
    <row r="84" spans="1:16" x14ac:dyDescent="0.25">
      <c r="A84" s="852" t="str">
        <f>Cultivation!A65</f>
        <v xml:space="preserve"> - FYM/slurry application</v>
      </c>
      <c r="B84" s="711">
        <f>(Unitflowchart!$S$15*Cultivation!J65)/Unitflowchart!$S$357</f>
        <v>0</v>
      </c>
      <c r="C84" s="25">
        <f t="shared" si="7"/>
        <v>0</v>
      </c>
      <c r="D84" s="145">
        <f>(Unitflowchart!$S$15*Cultivation!K65)/Unitflowchart!$S$357</f>
        <v>0</v>
      </c>
      <c r="E84" s="711">
        <f>(Unitflowchart!$S$15*Cultivation!P65)/Unitflowchart!$S$357</f>
        <v>0</v>
      </c>
      <c r="F84" s="25">
        <f t="shared" si="8"/>
        <v>0</v>
      </c>
      <c r="G84" s="145">
        <f>(Unitflowchart!$S$15*Cultivation!Q65)/Unitflowchart!$S$357</f>
        <v>0</v>
      </c>
      <c r="H84" s="711">
        <f>(Unitflowchart!$S$15*Cultivation!V65)/Unitflowchart!$S$357</f>
        <v>0</v>
      </c>
      <c r="I84" s="25">
        <f t="shared" si="9"/>
        <v>0</v>
      </c>
      <c r="J84" s="145">
        <f>(Unitflowchart!$S$15*Cultivation!W65)/Unitflowchart!$S$357</f>
        <v>0</v>
      </c>
      <c r="K84" s="711">
        <f>(Unitflowchart!$S$15*Cultivation!AB65)/Unitflowchart!$S$357</f>
        <v>0</v>
      </c>
      <c r="L84" s="25">
        <f t="shared" si="10"/>
        <v>0</v>
      </c>
      <c r="M84" s="145">
        <f>(Unitflowchart!$S$15*Cultivation!AC65)/Unitflowchart!$S$357</f>
        <v>0</v>
      </c>
      <c r="N84" s="711">
        <f>E84+(GlobalWarmingPotentials!$B$11*H84)+(GlobalWarmingPotentials!$C$11*K84)</f>
        <v>0</v>
      </c>
      <c r="O84" s="25">
        <f t="shared" si="11"/>
        <v>0</v>
      </c>
      <c r="P84" s="736">
        <f>SQRT((G84^2)+((GlobalWarmingPotentials!$B$11*J84)^2)+((GlobalWarmingPotentials!$C$11*M84)^2))</f>
        <v>0</v>
      </c>
    </row>
    <row r="85" spans="1:16" x14ac:dyDescent="0.25">
      <c r="A85" s="852" t="str">
        <f>Cultivation!A66</f>
        <v xml:space="preserve"> - fertiliser application</v>
      </c>
      <c r="B85" s="711">
        <f>(Unitflowchart!$S$15*Cultivation!J66)/Unitflowchart!$S$357</f>
        <v>0</v>
      </c>
      <c r="C85" s="25">
        <f t="shared" si="7"/>
        <v>0</v>
      </c>
      <c r="D85" s="145">
        <f>(Unitflowchart!$S$15*Cultivation!K66)/Unitflowchart!$S$357</f>
        <v>0</v>
      </c>
      <c r="E85" s="711">
        <f>(Unitflowchart!$S$15*Cultivation!P66)/Unitflowchart!$S$357</f>
        <v>0</v>
      </c>
      <c r="F85" s="25">
        <f t="shared" si="8"/>
        <v>0</v>
      </c>
      <c r="G85" s="145">
        <f>(Unitflowchart!$S$15*Cultivation!Q66)/Unitflowchart!$S$357</f>
        <v>0</v>
      </c>
      <c r="H85" s="711">
        <f>(Unitflowchart!$S$15*Cultivation!V66)/Unitflowchart!$S$357</f>
        <v>0</v>
      </c>
      <c r="I85" s="25">
        <f t="shared" si="9"/>
        <v>0</v>
      </c>
      <c r="J85" s="145">
        <f>(Unitflowchart!$S$15*Cultivation!W66)/Unitflowchart!$S$357</f>
        <v>0</v>
      </c>
      <c r="K85" s="711">
        <f>(Unitflowchart!$S$15*Cultivation!AB66)/Unitflowchart!$S$357</f>
        <v>0</v>
      </c>
      <c r="L85" s="25">
        <f t="shared" si="10"/>
        <v>0</v>
      </c>
      <c r="M85" s="145">
        <f>(Unitflowchart!$S$15*Cultivation!AC66)/Unitflowchart!$S$357</f>
        <v>0</v>
      </c>
      <c r="N85" s="711">
        <f>E85+(GlobalWarmingPotentials!$B$11*H85)+(GlobalWarmingPotentials!$C$11*K85)</f>
        <v>0</v>
      </c>
      <c r="O85" s="25">
        <f t="shared" si="11"/>
        <v>0</v>
      </c>
      <c r="P85" s="736">
        <f>SQRT((G85^2)+((GlobalWarmingPotentials!$B$11*J85)^2)+((GlobalWarmingPotentials!$C$11*M85)^2))</f>
        <v>0</v>
      </c>
    </row>
    <row r="86" spans="1:16" s="42" customFormat="1" x14ac:dyDescent="0.25">
      <c r="A86" s="852" t="str">
        <f>Cultivation!A67</f>
        <v xml:space="preserve"> - applying pesticides, herbicides and fungicides</v>
      </c>
      <c r="B86" s="711">
        <f>(Unitflowchart!$S$15*Cultivation!J67)/Unitflowchart!$S$357</f>
        <v>0</v>
      </c>
      <c r="C86" s="25">
        <f t="shared" si="7"/>
        <v>0</v>
      </c>
      <c r="D86" s="145">
        <f>(Unitflowchart!$S$15*Cultivation!K67)/Unitflowchart!$S$357</f>
        <v>0</v>
      </c>
      <c r="E86" s="711">
        <f>(Unitflowchart!$S$15*Cultivation!P67)/Unitflowchart!$S$357</f>
        <v>0</v>
      </c>
      <c r="F86" s="25">
        <f t="shared" si="8"/>
        <v>0</v>
      </c>
      <c r="G86" s="145">
        <f>(Unitflowchart!$S$15*Cultivation!Q67)/Unitflowchart!$S$357</f>
        <v>0</v>
      </c>
      <c r="H86" s="711">
        <f>(Unitflowchart!$S$15*Cultivation!V67)/Unitflowchart!$S$357</f>
        <v>0</v>
      </c>
      <c r="I86" s="25">
        <f t="shared" si="9"/>
        <v>0</v>
      </c>
      <c r="J86" s="145">
        <f>(Unitflowchart!$S$15*Cultivation!W67)/Unitflowchart!$S$357</f>
        <v>0</v>
      </c>
      <c r="K86" s="711">
        <f>(Unitflowchart!$S$15*Cultivation!AB67)/Unitflowchart!$S$357</f>
        <v>0</v>
      </c>
      <c r="L86" s="25">
        <f t="shared" si="10"/>
        <v>0</v>
      </c>
      <c r="M86" s="145">
        <f>(Unitflowchart!$S$15*Cultivation!AC67)/Unitflowchart!$S$357</f>
        <v>0</v>
      </c>
      <c r="N86" s="711">
        <f>E86+(GlobalWarmingPotentials!$B$11*H86)+(GlobalWarmingPotentials!$C$11*K86)</f>
        <v>0</v>
      </c>
      <c r="O86" s="25">
        <f t="shared" si="11"/>
        <v>0</v>
      </c>
      <c r="P86" s="736">
        <f>SQRT((G86^2)+((GlobalWarmingPotentials!$B$11*J86)^2)+((GlobalWarmingPotentials!$C$11*M86)^2))</f>
        <v>0</v>
      </c>
    </row>
    <row r="87" spans="1:16" s="5" customFormat="1" x14ac:dyDescent="0.25">
      <c r="A87" s="852" t="str">
        <f>Cultivation!A68</f>
        <v xml:space="preserve"> - maize harvesting </v>
      </c>
      <c r="B87" s="711">
        <f>(Unitflowchart!$S$15*Cultivation!J68)/Unitflowchart!$S$357</f>
        <v>0</v>
      </c>
      <c r="C87" s="25">
        <f t="shared" si="7"/>
        <v>0</v>
      </c>
      <c r="D87" s="145">
        <f>(Unitflowchart!$S$15*Cultivation!K68)/Unitflowchart!$S$357</f>
        <v>0</v>
      </c>
      <c r="E87" s="711">
        <f>(Unitflowchart!$S$15*Cultivation!P68)/Unitflowchart!$S$357</f>
        <v>0</v>
      </c>
      <c r="F87" s="25">
        <f t="shared" si="8"/>
        <v>0</v>
      </c>
      <c r="G87" s="145">
        <f>(Unitflowchart!$S$15*Cultivation!Q68)/Unitflowchart!$S$357</f>
        <v>0</v>
      </c>
      <c r="H87" s="711">
        <f>(Unitflowchart!$S$15*Cultivation!V68)/Unitflowchart!$S$357</f>
        <v>0</v>
      </c>
      <c r="I87" s="25">
        <f t="shared" si="9"/>
        <v>0</v>
      </c>
      <c r="J87" s="145">
        <f>(Unitflowchart!$S$15*Cultivation!W68)/Unitflowchart!$S$357</f>
        <v>0</v>
      </c>
      <c r="K87" s="711">
        <f>(Unitflowchart!$S$15*Cultivation!AB68)/Unitflowchart!$S$357</f>
        <v>0</v>
      </c>
      <c r="L87" s="25">
        <f t="shared" si="10"/>
        <v>0</v>
      </c>
      <c r="M87" s="145">
        <f>(Unitflowchart!$S$15*Cultivation!AC68)/Unitflowchart!$S$357</f>
        <v>0</v>
      </c>
      <c r="N87" s="711">
        <f>E87+(GlobalWarmingPotentials!$B$11*H87)+(GlobalWarmingPotentials!$C$11*K87)</f>
        <v>0</v>
      </c>
      <c r="O87" s="25">
        <f t="shared" si="11"/>
        <v>0</v>
      </c>
      <c r="P87" s="736">
        <f>SQRT((G87^2)+((GlobalWarmingPotentials!$B$11*J87)^2)+((GlobalWarmingPotentials!$C$11*M87)^2))</f>
        <v>0</v>
      </c>
    </row>
    <row r="88" spans="1:16" s="838" customFormat="1" x14ac:dyDescent="0.25">
      <c r="A88" s="852"/>
      <c r="B88" s="713"/>
      <c r="C88" s="863"/>
      <c r="D88" s="719"/>
      <c r="E88" s="713"/>
      <c r="F88" s="863"/>
      <c r="G88" s="719"/>
      <c r="H88" s="713"/>
      <c r="I88" s="863"/>
      <c r="J88" s="719"/>
      <c r="K88" s="713"/>
      <c r="L88" s="863"/>
      <c r="M88" s="719"/>
      <c r="N88" s="713"/>
      <c r="O88" s="863"/>
      <c r="P88" s="738"/>
    </row>
    <row r="89" spans="1:16" s="5" customFormat="1" x14ac:dyDescent="0.25">
      <c r="A89" s="866" t="str">
        <f>Cultivation!A70</f>
        <v>Sub-Totals for Maintenance</v>
      </c>
      <c r="B89" s="870">
        <f>(Unitflowchart!$S$15*Cultivation!J70)/Unitflowchart!$S$357</f>
        <v>0</v>
      </c>
      <c r="C89" s="868">
        <f>(B89/B$359)*100</f>
        <v>0</v>
      </c>
      <c r="D89" s="869">
        <f>(Unitflowchart!$S$15*Cultivation!K70)/Unitflowchart!$S$357</f>
        <v>0</v>
      </c>
      <c r="E89" s="870">
        <f>(Unitflowchart!$S$15*Cultivation!P70)/Unitflowchart!$S$357</f>
        <v>0</v>
      </c>
      <c r="F89" s="868">
        <f>(E89/E$359)*100</f>
        <v>0</v>
      </c>
      <c r="G89" s="869">
        <f>(Unitflowchart!$S$15*Cultivation!Q70)/Unitflowchart!$S$357</f>
        <v>0</v>
      </c>
      <c r="H89" s="870">
        <f>(Unitflowchart!$S$15*Cultivation!V70)/Unitflowchart!$S$357</f>
        <v>0</v>
      </c>
      <c r="I89" s="868">
        <f>(H89/H$359)*100</f>
        <v>0</v>
      </c>
      <c r="J89" s="869">
        <f>(Unitflowchart!$S$15*Cultivation!W70)/Unitflowchart!$S$357</f>
        <v>0</v>
      </c>
      <c r="K89" s="870">
        <f>(Unitflowchart!$S$15*Cultivation!AB70)/Unitflowchart!$S$357</f>
        <v>0</v>
      </c>
      <c r="L89" s="868">
        <f>(K89/K$359)*100</f>
        <v>0</v>
      </c>
      <c r="M89" s="869">
        <f>(Unitflowchart!$S$15*Cultivation!AC70)/Unitflowchart!$S$357</f>
        <v>0</v>
      </c>
      <c r="N89" s="870">
        <f>E89+(GlobalWarmingPotentials!$B$11*H89)+(GlobalWarmingPotentials!$C$11*K89)</f>
        <v>0</v>
      </c>
      <c r="O89" s="868">
        <f>(N89/N$359)*100</f>
        <v>0</v>
      </c>
      <c r="P89" s="895">
        <f>SQRT((G89^2)+((GlobalWarmingPotentials!$B$11*J89)^2)+((GlobalWarmingPotentials!$C$11*M89)^2))</f>
        <v>0</v>
      </c>
    </row>
    <row r="90" spans="1:16" s="838" customFormat="1" x14ac:dyDescent="0.25">
      <c r="A90" s="852"/>
      <c r="B90" s="713"/>
      <c r="C90" s="863"/>
      <c r="D90" s="719"/>
      <c r="E90" s="713"/>
      <c r="F90" s="863"/>
      <c r="G90" s="719"/>
      <c r="H90" s="713"/>
      <c r="I90" s="863"/>
      <c r="J90" s="719"/>
      <c r="K90" s="713"/>
      <c r="L90" s="863"/>
      <c r="M90" s="719"/>
      <c r="N90" s="713"/>
      <c r="O90" s="863"/>
      <c r="P90" s="738"/>
    </row>
    <row r="91" spans="1:16" x14ac:dyDescent="0.25">
      <c r="A91" s="852" t="str">
        <f>Cultivation!A72</f>
        <v xml:space="preserve"> - Seeds</v>
      </c>
      <c r="B91" s="711">
        <f>(Unitflowchart!$S$15*Cultivation!J72)/Unitflowchart!$S$357</f>
        <v>88.698699709296875</v>
      </c>
      <c r="C91" s="25">
        <f t="shared" ref="C91:C97" si="12">(B91/B$359)*100</f>
        <v>0.46610116187602918</v>
      </c>
      <c r="D91" s="145">
        <f>(Unitflowchart!$S$15*Cultivation!K72)/Unitflowchart!$S$357</f>
        <v>0</v>
      </c>
      <c r="E91" s="711">
        <f>(Unitflowchart!$S$15*Cultivation!P72)/Unitflowchart!$S$357</f>
        <v>6.3651443407417156</v>
      </c>
      <c r="F91" s="25">
        <f t="shared" ref="F91:F97" si="13">(E91/E$359)*100</f>
        <v>0.53211852114390723</v>
      </c>
      <c r="G91" s="145">
        <f>(Unitflowchart!$S$15*Cultivation!Q72)/Unitflowchart!$S$357</f>
        <v>0</v>
      </c>
      <c r="H91" s="711">
        <f>(Unitflowchart!$S$15*Cultivation!V72)/Unitflowchart!$S$357</f>
        <v>1.3226273954787978E-3</v>
      </c>
      <c r="I91" s="25">
        <f t="shared" ref="I91:I97" si="14">(H91/H$359)*100</f>
        <v>7.4169807585166628E-2</v>
      </c>
      <c r="J91" s="145">
        <f>(Unitflowchart!$S$15*Cultivation!W72)/Unitflowchart!$S$357</f>
        <v>0</v>
      </c>
      <c r="K91" s="711">
        <f>(Unitflowchart!$S$15*Cultivation!AB72)/Unitflowchart!$S$357</f>
        <v>1.7194156141224371E-3</v>
      </c>
      <c r="L91" s="25">
        <f t="shared" ref="L91:L97" si="15">(K91/K$359)*100</f>
        <v>9.4721296706099786E-2</v>
      </c>
      <c r="M91" s="145">
        <f>(Unitflowchart!$S$15*Cultivation!AC72)/Unitflowchart!$S$357</f>
        <v>0</v>
      </c>
      <c r="N91" s="711">
        <f>E91+(GlobalWarmingPotentials!$B$11*H91)+(GlobalWarmingPotentials!$C$11*K91)</f>
        <v>6.9045117926179698</v>
      </c>
      <c r="O91" s="25">
        <f t="shared" ref="O91:O97" si="16">(N91/N$359)*100</f>
        <v>0.38909315671203926</v>
      </c>
      <c r="P91" s="736">
        <f>SQRT((G91^2)+((GlobalWarmingPotentials!$B$11*J91)^2)+((GlobalWarmingPotentials!$C$11*M91)^2))</f>
        <v>0</v>
      </c>
    </row>
    <row r="92" spans="1:16" x14ac:dyDescent="0.25">
      <c r="A92" s="852" t="str">
        <f>Cultivation!A73</f>
        <v xml:space="preserve"> - Farm Yard Manure</v>
      </c>
      <c r="B92" s="711">
        <f>(Unitflowchart!$S$15*Cultivation!J73)/Unitflowchart!$S$357</f>
        <v>0</v>
      </c>
      <c r="C92" s="25">
        <f t="shared" si="12"/>
        <v>0</v>
      </c>
      <c r="D92" s="145">
        <f>(Unitflowchart!$S$15*Cultivation!K73)/Unitflowchart!$S$357</f>
        <v>0</v>
      </c>
      <c r="E92" s="711">
        <f>(Unitflowchart!$S$15*Cultivation!P73)/Unitflowchart!$S$357</f>
        <v>0</v>
      </c>
      <c r="F92" s="25">
        <f t="shared" si="13"/>
        <v>0</v>
      </c>
      <c r="G92" s="145">
        <f>(Unitflowchart!$S$15*Cultivation!Q73)/Unitflowchart!$S$357</f>
        <v>0</v>
      </c>
      <c r="H92" s="711">
        <f>(Unitflowchart!$S$15*Cultivation!V73)/Unitflowchart!$S$357</f>
        <v>0</v>
      </c>
      <c r="I92" s="25">
        <f t="shared" si="14"/>
        <v>0</v>
      </c>
      <c r="J92" s="145">
        <f>(Unitflowchart!$S$15*Cultivation!W73)/Unitflowchart!$S$357</f>
        <v>0</v>
      </c>
      <c r="K92" s="711">
        <f>(Unitflowchart!$S$15*Cultivation!AB73)/Unitflowchart!$S$357</f>
        <v>0</v>
      </c>
      <c r="L92" s="25">
        <f t="shared" si="15"/>
        <v>0</v>
      </c>
      <c r="M92" s="145">
        <f>(Unitflowchart!$S$15*Cultivation!AC73)/Unitflowchart!$S$357</f>
        <v>0</v>
      </c>
      <c r="N92" s="711">
        <f>E92+(GlobalWarmingPotentials!$B$11*H92)+(GlobalWarmingPotentials!$C$11*K92)</f>
        <v>0</v>
      </c>
      <c r="O92" s="25">
        <f t="shared" si="16"/>
        <v>0</v>
      </c>
      <c r="P92" s="736">
        <f>SQRT((G92^2)+((GlobalWarmingPotentials!$B$11*J92)^2)+((GlobalWarmingPotentials!$C$11*M92)^2))</f>
        <v>0</v>
      </c>
    </row>
    <row r="93" spans="1:16" x14ac:dyDescent="0.25">
      <c r="A93" s="852" t="str">
        <f>Cultivation!A74</f>
        <v xml:space="preserve"> - N Fertiliser</v>
      </c>
      <c r="B93" s="711">
        <f>(Unitflowchart!$S$15*Cultivation!J74)/Unitflowchart!$S$357</f>
        <v>2972.8326016496312</v>
      </c>
      <c r="C93" s="25">
        <f t="shared" si="12"/>
        <v>15.621883232033412</v>
      </c>
      <c r="D93" s="145">
        <f>(Unitflowchart!$S$15*Cultivation!K74)/Unitflowchart!$S$357</f>
        <v>445.92489024744469</v>
      </c>
      <c r="E93" s="711">
        <f>(Unitflowchart!$S$15*Cultivation!P74)/Unitflowchart!$S$357</f>
        <v>174.13366964162716</v>
      </c>
      <c r="F93" s="25">
        <f t="shared" si="13"/>
        <v>14.557368350309385</v>
      </c>
      <c r="G93" s="145">
        <f>(Unitflowchart!$S$15*Cultivation!Q74)/Unitflowchart!$S$357</f>
        <v>26.120050446244072</v>
      </c>
      <c r="H93" s="711">
        <f>(Unitflowchart!$S$15*Cultivation!V74)/Unitflowchart!$S$357</f>
        <v>0.46153226140610526</v>
      </c>
      <c r="I93" s="25">
        <f t="shared" si="14"/>
        <v>25.881634646200247</v>
      </c>
      <c r="J93" s="145">
        <f>(Unitflowchart!$S$15*Cultivation!W74)/Unitflowchart!$S$357</f>
        <v>6.92298392109158E-2</v>
      </c>
      <c r="K93" s="711">
        <f>(Unitflowchart!$S$15*Cultivation!AB74)/Unitflowchart!$S$357</f>
        <v>0.92901018801550983</v>
      </c>
      <c r="L93" s="25">
        <f t="shared" si="15"/>
        <v>51.178463740379009</v>
      </c>
      <c r="M93" s="145">
        <f>(Unitflowchart!$S$15*Cultivation!AC74)/Unitflowchart!$S$357</f>
        <v>0.13935152820232646</v>
      </c>
      <c r="N93" s="711">
        <f>E93+(GlobalWarmingPotentials!$B$11*H93)+(GlobalWarmingPotentials!$C$11*K93)</f>
        <v>459.73592730655849</v>
      </c>
      <c r="O93" s="25">
        <f t="shared" si="16"/>
        <v>25.90771202692375</v>
      </c>
      <c r="P93" s="736">
        <f>SQRT((G93^2)+((GlobalWarmingPotentials!$B$11*J93)^2)+((GlobalWarmingPotentials!$C$11*M93)^2))</f>
        <v>48.84868712130919</v>
      </c>
    </row>
    <row r="94" spans="1:16" x14ac:dyDescent="0.25">
      <c r="A94" s="852" t="str">
        <f>Cultivation!A75</f>
        <v xml:space="preserve"> - P Fertiliser</v>
      </c>
      <c r="B94" s="711">
        <f>(Unitflowchart!$S$15*Cultivation!J75)/Unitflowchart!$S$357</f>
        <v>696.2415242405126</v>
      </c>
      <c r="C94" s="25">
        <f t="shared" si="12"/>
        <v>3.6586667500022698</v>
      </c>
      <c r="D94" s="145">
        <f>(Unitflowchart!$S$15*Cultivation!K75)/Unitflowchart!$S$357</f>
        <v>104.43622863607689</v>
      </c>
      <c r="E94" s="711">
        <f>(Unitflowchart!$S$15*Cultivation!P75)/Unitflowchart!$S$357</f>
        <v>37.043971577055778</v>
      </c>
      <c r="F94" s="25">
        <f t="shared" si="13"/>
        <v>3.0968321090080551</v>
      </c>
      <c r="G94" s="145">
        <f>(Unitflowchart!$S$15*Cultivation!Q75)/Unitflowchart!$S$357</f>
        <v>5.5565957365583669</v>
      </c>
      <c r="H94" s="711">
        <f>(Unitflowchart!$S$15*Cultivation!V75)/Unitflowchart!$S$357</f>
        <v>4.7383648522959967E-2</v>
      </c>
      <c r="I94" s="25">
        <f t="shared" si="14"/>
        <v>2.6571626337430141</v>
      </c>
      <c r="J94" s="145">
        <f>(Unitflowchart!$S$15*Cultivation!W75)/Unitflowchart!$S$357</f>
        <v>7.1075472784439941E-3</v>
      </c>
      <c r="K94" s="711">
        <f>(Unitflowchart!$S$15*Cultivation!AB75)/Unitflowchart!$S$357</f>
        <v>0</v>
      </c>
      <c r="L94" s="25">
        <f t="shared" si="15"/>
        <v>0</v>
      </c>
      <c r="M94" s="145">
        <f>(Unitflowchart!$S$15*Cultivation!AC75)/Unitflowchart!$S$357</f>
        <v>0</v>
      </c>
      <c r="N94" s="711">
        <f>E94+(GlobalWarmingPotentials!$B$11*H94)+(GlobalWarmingPotentials!$C$11*K94)</f>
        <v>38.133795493083859</v>
      </c>
      <c r="O94" s="25">
        <f t="shared" si="16"/>
        <v>2.148971471332572</v>
      </c>
      <c r="P94" s="736">
        <f>SQRT((G94^2)+((GlobalWarmingPotentials!$B$11*J94)^2)+((GlobalWarmingPotentials!$C$11*M94)^2))</f>
        <v>5.5589998914658585</v>
      </c>
    </row>
    <row r="95" spans="1:16" x14ac:dyDescent="0.25">
      <c r="A95" s="852" t="str">
        <f>Cultivation!A76</f>
        <v xml:space="preserve"> - K Fertiliser</v>
      </c>
      <c r="B95" s="711">
        <f>(Unitflowchart!$S$15*Cultivation!J76)/Unitflowchart!$S$357</f>
        <v>1132.3120249380445</v>
      </c>
      <c r="C95" s="25">
        <f t="shared" si="12"/>
        <v>5.950165584834429</v>
      </c>
      <c r="D95" s="145">
        <f>(Unitflowchart!$S$15*Cultivation!K76)/Unitflowchart!$S$357</f>
        <v>169.84680374070669</v>
      </c>
      <c r="E95" s="711">
        <f>(Unitflowchart!$S$15*Cultivation!P76)/Unitflowchart!$S$357</f>
        <v>62.739842853008923</v>
      </c>
      <c r="F95" s="25">
        <f t="shared" si="13"/>
        <v>5.2449764857734493</v>
      </c>
      <c r="G95" s="145">
        <f>(Unitflowchart!$S$15*Cultivation!Q76)/Unitflowchart!$S$357</f>
        <v>9.4109764279513382</v>
      </c>
      <c r="H95" s="711">
        <f>(Unitflowchart!$S$15*Cultivation!V76)/Unitflowchart!$S$357</f>
        <v>0.18377404277044884</v>
      </c>
      <c r="I95" s="25">
        <f t="shared" si="14"/>
        <v>10.305612478636181</v>
      </c>
      <c r="J95" s="145">
        <f>(Unitflowchart!$S$15*Cultivation!W76)/Unitflowchart!$S$357</f>
        <v>2.7566106415567324E-2</v>
      </c>
      <c r="K95" s="711">
        <f>(Unitflowchart!$S$15*Cultivation!AB76)/Unitflowchart!$S$357</f>
        <v>1.4389335578818007E-3</v>
      </c>
      <c r="L95" s="25">
        <f t="shared" si="15"/>
        <v>7.9269753837875948E-2</v>
      </c>
      <c r="M95" s="145">
        <f>(Unitflowchart!$S$15*Cultivation!AC76)/Unitflowchart!$S$357</f>
        <v>2.1584003368227013E-4</v>
      </c>
      <c r="N95" s="711">
        <f>E95+(GlobalWarmingPotentials!$B$11*H95)+(GlobalWarmingPotentials!$C$11*K95)</f>
        <v>67.392570169862253</v>
      </c>
      <c r="O95" s="25">
        <f t="shared" si="16"/>
        <v>3.7978047766338561</v>
      </c>
      <c r="P95" s="736">
        <f>SQRT((G95^2)+((GlobalWarmingPotentials!$B$11*J95)^2)+((GlobalWarmingPotentials!$C$11*M95)^2))</f>
        <v>9.4325256964914974</v>
      </c>
    </row>
    <row r="96" spans="1:16" x14ac:dyDescent="0.25">
      <c r="A96" s="852" t="str">
        <f>Cultivation!A77</f>
        <v xml:space="preserve"> - Crop Protection Chemicals</v>
      </c>
      <c r="B96" s="711">
        <f>(Unitflowchart!$S$15*Cultivation!J77)/Unitflowchart!$S$357</f>
        <v>84.223587992269856</v>
      </c>
      <c r="C96" s="25">
        <f t="shared" si="12"/>
        <v>0.44258497981622946</v>
      </c>
      <c r="D96" s="145">
        <f>(Unitflowchart!$S$15*Cultivation!K77)/Unitflowchart!$S$357</f>
        <v>12.633538198840476</v>
      </c>
      <c r="E96" s="711">
        <f>(Unitflowchart!$S$15*Cultivation!P77)/Unitflowchart!$S$357</f>
        <v>3.1023737822665134</v>
      </c>
      <c r="F96" s="25">
        <f t="shared" si="13"/>
        <v>0.25935477039989946</v>
      </c>
      <c r="G96" s="145">
        <f>(Unitflowchart!$S$15*Cultivation!Q77)/Unitflowchart!$S$357</f>
        <v>0.46535606733997709</v>
      </c>
      <c r="H96" s="711">
        <f>(Unitflowchart!$S$15*Cultivation!V77)/Unitflowchart!$S$357</f>
        <v>8.0103783722546423E-3</v>
      </c>
      <c r="I96" s="25">
        <f t="shared" si="14"/>
        <v>0.44920302164120046</v>
      </c>
      <c r="J96" s="145">
        <f>(Unitflowchart!$S$15*Cultivation!W77)/Unitflowchart!$S$357</f>
        <v>1.2015567558381962E-3</v>
      </c>
      <c r="K96" s="711">
        <f>(Unitflowchart!$S$15*Cultivation!AB77)/Unitflowchart!$S$357</f>
        <v>5.2762163328811177E-4</v>
      </c>
      <c r="L96" s="25">
        <f t="shared" si="15"/>
        <v>2.9066273950726973E-2</v>
      </c>
      <c r="M96" s="145">
        <f>(Unitflowchart!$S$15*Cultivation!AC77)/Unitflowchart!$S$357</f>
        <v>7.9143244993216751E-5</v>
      </c>
      <c r="N96" s="711">
        <f>E96+(GlobalWarmingPotentials!$B$11*H96)+(GlobalWarmingPotentials!$C$11*K96)</f>
        <v>3.4427884882816513</v>
      </c>
      <c r="O96" s="25">
        <f t="shared" si="16"/>
        <v>0.19401305711862024</v>
      </c>
      <c r="P96" s="736">
        <f>SQRT((G96^2)+((GlobalWarmingPotentials!$B$11*J96)^2)+((GlobalWarmingPotentials!$C$11*M96)^2))</f>
        <v>0.46676418392009938</v>
      </c>
    </row>
    <row r="97" spans="1:16" x14ac:dyDescent="0.25">
      <c r="A97" s="852" t="str">
        <f>Cultivation!A78</f>
        <v xml:space="preserve"> - Lime</v>
      </c>
      <c r="B97" s="711">
        <f>(Unitflowchart!$S$15*Cultivation!J78)/Unitflowchart!$S$357</f>
        <v>0</v>
      </c>
      <c r="C97" s="25">
        <f t="shared" si="12"/>
        <v>0</v>
      </c>
      <c r="D97" s="145">
        <f>(Unitflowchart!$S$15*Cultivation!K78)/Unitflowchart!$S$357</f>
        <v>0</v>
      </c>
      <c r="E97" s="711">
        <f>(Unitflowchart!$S$15*Cultivation!P78)/Unitflowchart!$S$357</f>
        <v>0</v>
      </c>
      <c r="F97" s="25">
        <f t="shared" si="13"/>
        <v>0</v>
      </c>
      <c r="G97" s="145">
        <f>(Unitflowchart!$S$15*Cultivation!Q78)/Unitflowchart!$S$357</f>
        <v>0</v>
      </c>
      <c r="H97" s="711">
        <f>(Unitflowchart!$S$15*Cultivation!V78)/Unitflowchart!$S$357</f>
        <v>0</v>
      </c>
      <c r="I97" s="25">
        <f t="shared" si="14"/>
        <v>0</v>
      </c>
      <c r="J97" s="145">
        <f>(Unitflowchart!$S$15*Cultivation!W78)/Unitflowchart!$S$357</f>
        <v>0</v>
      </c>
      <c r="K97" s="711">
        <f>(Unitflowchart!$S$15*Cultivation!AB78)/Unitflowchart!$S$357</f>
        <v>0</v>
      </c>
      <c r="L97" s="25">
        <f t="shared" si="15"/>
        <v>0</v>
      </c>
      <c r="M97" s="145">
        <f>(Unitflowchart!$S$15*Cultivation!AC78)/Unitflowchart!$S$357</f>
        <v>0</v>
      </c>
      <c r="N97" s="711">
        <f>E97+(GlobalWarmingPotentials!$B$11*H97)+(GlobalWarmingPotentials!$C$11*K97)</f>
        <v>0</v>
      </c>
      <c r="O97" s="25">
        <f t="shared" si="16"/>
        <v>0</v>
      </c>
      <c r="P97" s="736">
        <f>SQRT((G97^2)+((GlobalWarmingPotentials!$B$11*J97)^2)+((GlobalWarmingPotentials!$C$11*M97)^2))</f>
        <v>0</v>
      </c>
    </row>
    <row r="98" spans="1:16" s="42" customFormat="1" x14ac:dyDescent="0.25">
      <c r="A98" s="852"/>
      <c r="B98" s="713"/>
      <c r="C98" s="863"/>
      <c r="D98" s="719"/>
      <c r="E98" s="713"/>
      <c r="F98" s="863"/>
      <c r="G98" s="719"/>
      <c r="H98" s="713"/>
      <c r="I98" s="863"/>
      <c r="J98" s="719"/>
      <c r="K98" s="713"/>
      <c r="L98" s="863"/>
      <c r="M98" s="719"/>
      <c r="N98" s="713"/>
      <c r="O98" s="863"/>
      <c r="P98" s="738"/>
    </row>
    <row r="99" spans="1:16" s="42" customFormat="1" x14ac:dyDescent="0.25">
      <c r="A99" s="852" t="str">
        <f>Cultivation!A80</f>
        <v xml:space="preserve"> - Emissions from Soil (N Fertiliser)</v>
      </c>
      <c r="B99" s="711">
        <f>(Unitflowchart!$S$15*Cultivation!J80)/Unitflowchart!$S$357</f>
        <v>0</v>
      </c>
      <c r="C99" s="25">
        <f t="shared" ref="C99:C104" si="17">(B99/B$359)*100</f>
        <v>0</v>
      </c>
      <c r="D99" s="145">
        <f>(Unitflowchart!$S$15*Cultivation!K80)/Unitflowchart!$S$357</f>
        <v>0</v>
      </c>
      <c r="E99" s="711">
        <f>(Unitflowchart!$S$15*Cultivation!P80)/Unitflowchart!$S$357</f>
        <v>0</v>
      </c>
      <c r="F99" s="25">
        <f t="shared" ref="F99:F104" si="18">(E99/E$359)*100</f>
        <v>0</v>
      </c>
      <c r="G99" s="145">
        <f>(Unitflowchart!$S$15*Cultivation!Q80)/Unitflowchart!$S$357</f>
        <v>0</v>
      </c>
      <c r="H99" s="711">
        <f>(Unitflowchart!$S$15*Cultivation!V80)/Unitflowchart!$S$357</f>
        <v>0</v>
      </c>
      <c r="I99" s="25">
        <f t="shared" ref="I99:I104" si="19">(H99/H$359)*100</f>
        <v>0</v>
      </c>
      <c r="J99" s="145">
        <f>(Unitflowchart!$S$15*Cultivation!W80)/Unitflowchart!$S$357</f>
        <v>0</v>
      </c>
      <c r="K99" s="711">
        <f>(Unitflowchart!$S$15*Cultivation!AB80)/Unitflowchart!$S$357</f>
        <v>0.43822635485828387</v>
      </c>
      <c r="L99" s="25">
        <f t="shared" ref="L99:L104" si="20">(K99/K$359)*100</f>
        <v>24.14155614385869</v>
      </c>
      <c r="M99" s="145">
        <f>(Unitflowchart!$S$15*Cultivation!AC80)/Unitflowchart!$S$357</f>
        <v>0</v>
      </c>
      <c r="N99" s="711">
        <f>E99+(GlobalWarmingPotentials!$B$11*H99)+(GlobalWarmingPotentials!$C$11*K99)</f>
        <v>129.71500103805204</v>
      </c>
      <c r="O99" s="25">
        <f t="shared" ref="O99:O104" si="21">(N99/N$359)*100</f>
        <v>7.3098896406785698</v>
      </c>
      <c r="P99" s="736">
        <f>SQRT((G99^2)+((GlobalWarmingPotentials!$B$11*J99)^2)+((GlobalWarmingPotentials!$C$11*M99)^2))</f>
        <v>0</v>
      </c>
    </row>
    <row r="100" spans="1:16" s="5" customFormat="1" x14ac:dyDescent="0.25">
      <c r="A100" s="852" t="str">
        <f>Cultivation!A81</f>
        <v xml:space="preserve"> - Carbon Dioxide Emissions from Soil (Lime)</v>
      </c>
      <c r="B100" s="711">
        <f>(Unitflowchart!$S$15*Cultivation!J81)/Unitflowchart!$S$357</f>
        <v>0</v>
      </c>
      <c r="C100" s="25">
        <f t="shared" si="17"/>
        <v>0</v>
      </c>
      <c r="D100" s="145">
        <f>(Unitflowchart!$S$15*Cultivation!K81)/Unitflowchart!$S$357</f>
        <v>0</v>
      </c>
      <c r="E100" s="711">
        <f>(Unitflowchart!$S$15*Cultivation!P81)/Unitflowchart!$S$357</f>
        <v>0</v>
      </c>
      <c r="F100" s="25">
        <f t="shared" si="18"/>
        <v>0</v>
      </c>
      <c r="G100" s="145">
        <f>(Unitflowchart!$S$15*Cultivation!Q81)/Unitflowchart!$S$357</f>
        <v>0</v>
      </c>
      <c r="H100" s="711">
        <f>(Unitflowchart!$S$15*Cultivation!V81)/Unitflowchart!$S$357</f>
        <v>0</v>
      </c>
      <c r="I100" s="25">
        <f t="shared" si="19"/>
        <v>0</v>
      </c>
      <c r="J100" s="145">
        <f>(Unitflowchart!$S$15*Cultivation!W81)/Unitflowchart!$S$357</f>
        <v>0</v>
      </c>
      <c r="K100" s="711">
        <f>(Unitflowchart!$S$15*Cultivation!AB81)/Unitflowchart!$S$357</f>
        <v>0</v>
      </c>
      <c r="L100" s="25">
        <f t="shared" si="20"/>
        <v>0</v>
      </c>
      <c r="M100" s="145">
        <f>(Unitflowchart!$S$15*Cultivation!AC81)/Unitflowchart!$S$357</f>
        <v>0</v>
      </c>
      <c r="N100" s="711">
        <f>E100+(GlobalWarmingPotentials!$B$11*H100)+(GlobalWarmingPotentials!$C$11*K100)</f>
        <v>0</v>
      </c>
      <c r="O100" s="25">
        <f t="shared" si="21"/>
        <v>0</v>
      </c>
      <c r="P100" s="736">
        <f>SQRT((G100^2)+((GlobalWarmingPotentials!$B$11*J100)^2)+((GlobalWarmingPotentials!$C$11*M100)^2))</f>
        <v>0</v>
      </c>
    </row>
    <row r="101" spans="1:16" s="838" customFormat="1" x14ac:dyDescent="0.25">
      <c r="A101" s="852" t="str">
        <f>Cultivation!A82</f>
        <v xml:space="preserve"> - Nitrous Oxide Emissions from Soil (Crop Residues)</v>
      </c>
      <c r="B101" s="711">
        <f>(Unitflowchart!$S$15*Cultivation!J82)/Unitflowchart!$S$357</f>
        <v>0</v>
      </c>
      <c r="C101" s="25">
        <f t="shared" si="17"/>
        <v>0</v>
      </c>
      <c r="D101" s="145">
        <f>(Unitflowchart!$S$15*Cultivation!K82)/Unitflowchart!$S$357</f>
        <v>0</v>
      </c>
      <c r="E101" s="711">
        <f>(Unitflowchart!$S$15*Cultivation!P82)/Unitflowchart!$S$357</f>
        <v>0</v>
      </c>
      <c r="F101" s="25">
        <f t="shared" si="18"/>
        <v>0</v>
      </c>
      <c r="G101" s="145">
        <f>(Unitflowchart!$S$15*Cultivation!Q82)/Unitflowchart!$S$357</f>
        <v>0</v>
      </c>
      <c r="H101" s="711">
        <f>(Unitflowchart!$S$15*Cultivation!V82)/Unitflowchart!$S$357</f>
        <v>0</v>
      </c>
      <c r="I101" s="25">
        <f t="shared" si="19"/>
        <v>0</v>
      </c>
      <c r="J101" s="145">
        <f>(Unitflowchart!$S$15*Cultivation!W82)/Unitflowchart!$S$357</f>
        <v>0</v>
      </c>
      <c r="K101" s="711">
        <f>(Unitflowchart!$S$15*Cultivation!AB82)/Unitflowchart!$S$357</f>
        <v>0.22927544849754938</v>
      </c>
      <c r="L101" s="25">
        <f t="shared" si="20"/>
        <v>12.630609845685642</v>
      </c>
      <c r="M101" s="145">
        <f>(Unitflowchart!$S$15*Cultivation!AC82)/Unitflowchart!$S$357</f>
        <v>0</v>
      </c>
      <c r="N101" s="711">
        <f>E101+(GlobalWarmingPotentials!$B$11*H101)+(GlobalWarmingPotentials!$C$11*K101)</f>
        <v>67.865532755274614</v>
      </c>
      <c r="O101" s="25">
        <f t="shared" si="21"/>
        <v>3.8244578566621263</v>
      </c>
      <c r="P101" s="736">
        <f>SQRT((G101^2)+((GlobalWarmingPotentials!$B$11*J101)^2)+((GlobalWarmingPotentials!$C$11*M101)^2))</f>
        <v>0</v>
      </c>
    </row>
    <row r="102" spans="1:16" s="5" customFormat="1" x14ac:dyDescent="0.25">
      <c r="A102" s="852" t="str">
        <f>Cultivation!A83</f>
        <v xml:space="preserve"> - Carbon Dioxide Sequestration in Soil (Crop Residues)</v>
      </c>
      <c r="B102" s="711">
        <f>(Unitflowchart!$S$15*Cultivation!J83)/Unitflowchart!$S$357</f>
        <v>0</v>
      </c>
      <c r="C102" s="25">
        <f t="shared" si="17"/>
        <v>0</v>
      </c>
      <c r="D102" s="145">
        <f>(Unitflowchart!$S$15*Cultivation!K83)/Unitflowchart!$S$357</f>
        <v>0</v>
      </c>
      <c r="E102" s="711">
        <f>(Unitflowchart!$S$15*Cultivation!P83)/Unitflowchart!$S$357</f>
        <v>0</v>
      </c>
      <c r="F102" s="25">
        <f t="shared" si="18"/>
        <v>0</v>
      </c>
      <c r="G102" s="145">
        <f>(Unitflowchart!$S$15*Cultivation!Q83)/Unitflowchart!$S$357</f>
        <v>0</v>
      </c>
      <c r="H102" s="711">
        <f>(Unitflowchart!$S$15*Cultivation!V83)/Unitflowchart!$S$357</f>
        <v>0</v>
      </c>
      <c r="I102" s="25">
        <f t="shared" si="19"/>
        <v>0</v>
      </c>
      <c r="J102" s="145">
        <f>(Unitflowchart!$S$15*Cultivation!W83)/Unitflowchart!$S$357</f>
        <v>0</v>
      </c>
      <c r="K102" s="711">
        <f>(Unitflowchart!$S$15*Cultivation!AB83)/Unitflowchart!$S$357</f>
        <v>0</v>
      </c>
      <c r="L102" s="25">
        <f t="shared" si="20"/>
        <v>0</v>
      </c>
      <c r="M102" s="145">
        <f>(Unitflowchart!$S$15*Cultivation!AC83)/Unitflowchart!$S$357</f>
        <v>0</v>
      </c>
      <c r="N102" s="711">
        <f>E102+(GlobalWarmingPotentials!$B$11*H102)+(GlobalWarmingPotentials!$C$11*K102)</f>
        <v>0</v>
      </c>
      <c r="O102" s="25">
        <f t="shared" si="21"/>
        <v>0</v>
      </c>
      <c r="P102" s="736">
        <f>SQRT((G102^2)+((GlobalWarmingPotentials!$B$11*J102)^2)+((GlobalWarmingPotentials!$C$11*M102)^2))</f>
        <v>0</v>
      </c>
    </row>
    <row r="103" spans="1:16" s="5" customFormat="1" x14ac:dyDescent="0.25">
      <c r="A103" s="852" t="str">
        <f>Cultivation!A84</f>
        <v xml:space="preserve"> - Nitrous Oxide Emissions from Soil (Organic Manure)</v>
      </c>
      <c r="B103" s="711">
        <f>(Unitflowchart!$S$15*Cultivation!J84)/Unitflowchart!$S$357</f>
        <v>0</v>
      </c>
      <c r="C103" s="25">
        <f t="shared" si="17"/>
        <v>0</v>
      </c>
      <c r="D103" s="145">
        <f>(Unitflowchart!$S$15*Cultivation!K84)/Unitflowchart!$S$357</f>
        <v>0</v>
      </c>
      <c r="E103" s="711">
        <f>(Unitflowchart!$S$15*Cultivation!P84)/Unitflowchart!$S$357</f>
        <v>0</v>
      </c>
      <c r="F103" s="25">
        <f t="shared" si="18"/>
        <v>0</v>
      </c>
      <c r="G103" s="145">
        <f>(Unitflowchart!$S$15*Cultivation!Q84)/Unitflowchart!$S$357</f>
        <v>0</v>
      </c>
      <c r="H103" s="711">
        <f>(Unitflowchart!$S$15*Cultivation!V84)/Unitflowchart!$S$357</f>
        <v>0</v>
      </c>
      <c r="I103" s="25">
        <f t="shared" si="19"/>
        <v>0</v>
      </c>
      <c r="J103" s="145">
        <f>(Unitflowchart!$S$15*Cultivation!W84)/Unitflowchart!$S$357</f>
        <v>0</v>
      </c>
      <c r="K103" s="711">
        <f>(Unitflowchart!$S$15*Cultivation!AB84)/Unitflowchart!$S$357</f>
        <v>0</v>
      </c>
      <c r="L103" s="25">
        <f t="shared" si="20"/>
        <v>0</v>
      </c>
      <c r="M103" s="145">
        <f>(Unitflowchart!$S$15*Cultivation!AC84)/Unitflowchart!$S$357</f>
        <v>0</v>
      </c>
      <c r="N103" s="711">
        <f>E103+(GlobalWarmingPotentials!$B$11*H103)+(GlobalWarmingPotentials!$C$11*K103)</f>
        <v>0</v>
      </c>
      <c r="O103" s="25">
        <f t="shared" si="21"/>
        <v>0</v>
      </c>
      <c r="P103" s="736">
        <f>SQRT((G103^2)+((GlobalWarmingPotentials!$B$11*J103)^2)+((GlobalWarmingPotentials!$C$11*M103)^2))</f>
        <v>0</v>
      </c>
    </row>
    <row r="104" spans="1:16" s="5" customFormat="1" x14ac:dyDescent="0.25">
      <c r="A104" s="852" t="str">
        <f>Cultivation!A85</f>
        <v xml:space="preserve"> - Carbon Dioxide Sequestration in Soil (Organic Manure)</v>
      </c>
      <c r="B104" s="711">
        <f>(Unitflowchart!$S$15*Cultivation!J85)/Unitflowchart!$S$357</f>
        <v>0</v>
      </c>
      <c r="C104" s="25">
        <f t="shared" si="17"/>
        <v>0</v>
      </c>
      <c r="D104" s="145">
        <f>(Unitflowchart!$S$15*Cultivation!K85)/Unitflowchart!$S$357</f>
        <v>0</v>
      </c>
      <c r="E104" s="711">
        <f>(Unitflowchart!$S$15*Cultivation!P85)/Unitflowchart!$S$357</f>
        <v>0</v>
      </c>
      <c r="F104" s="25">
        <f t="shared" si="18"/>
        <v>0</v>
      </c>
      <c r="G104" s="145">
        <f>(Unitflowchart!$S$15*Cultivation!Q85)/Unitflowchart!$S$357</f>
        <v>0</v>
      </c>
      <c r="H104" s="711">
        <f>(Unitflowchart!$S$15*Cultivation!V85)/Unitflowchart!$S$357</f>
        <v>0</v>
      </c>
      <c r="I104" s="25">
        <f t="shared" si="19"/>
        <v>0</v>
      </c>
      <c r="J104" s="145">
        <f>(Unitflowchart!$S$15*Cultivation!W85)/Unitflowchart!$S$357</f>
        <v>0</v>
      </c>
      <c r="K104" s="711">
        <f>(Unitflowchart!$S$15*Cultivation!AB85)/Unitflowchart!$S$357</f>
        <v>0</v>
      </c>
      <c r="L104" s="25">
        <f t="shared" si="20"/>
        <v>0</v>
      </c>
      <c r="M104" s="145">
        <f>(Unitflowchart!$S$15*Cultivation!AC85)/Unitflowchart!$S$357</f>
        <v>0</v>
      </c>
      <c r="N104" s="711">
        <f>E104+(GlobalWarmingPotentials!$B$11*H104)+(GlobalWarmingPotentials!$C$11*K104)</f>
        <v>0</v>
      </c>
      <c r="O104" s="25">
        <f t="shared" si="21"/>
        <v>0</v>
      </c>
      <c r="P104" s="736">
        <f>SQRT((G104^2)+((GlobalWarmingPotentials!$B$11*J104)^2)+((GlobalWarmingPotentials!$C$11*M104)^2))</f>
        <v>0</v>
      </c>
    </row>
    <row r="105" spans="1:16" s="838" customFormat="1" x14ac:dyDescent="0.25">
      <c r="A105" s="852"/>
      <c r="B105" s="713"/>
      <c r="C105" s="863"/>
      <c r="D105" s="719"/>
      <c r="E105" s="713"/>
      <c r="F105" s="863"/>
      <c r="G105" s="719"/>
      <c r="H105" s="713"/>
      <c r="I105" s="863"/>
      <c r="J105" s="719"/>
      <c r="K105" s="713"/>
      <c r="L105" s="863"/>
      <c r="M105" s="719"/>
      <c r="N105" s="713"/>
      <c r="O105" s="863"/>
      <c r="P105" s="738"/>
    </row>
    <row r="106" spans="1:16" s="6" customFormat="1" x14ac:dyDescent="0.25">
      <c r="A106" s="214" t="s">
        <v>26</v>
      </c>
      <c r="B106" s="714">
        <f>(Unitflowchart!$S$15*Cultivation!J87)/Unitflowchart!$S$357</f>
        <v>8309.899498278497</v>
      </c>
      <c r="C106" s="14">
        <f>(B106/B$359)*100</f>
        <v>43.667537674339414</v>
      </c>
      <c r="D106" s="722">
        <f>(Unitflowchart!$S$15*Cultivation!K87)/Unitflowchart!$S$357</f>
        <v>488.63429742730733</v>
      </c>
      <c r="E106" s="714">
        <f>(Unitflowchart!$S$15*Cultivation!P87)/Unitflowchart!$S$357</f>
        <v>522.75174180388285</v>
      </c>
      <c r="F106" s="14">
        <f>(E106/E$359)*100</f>
        <v>43.701425903826355</v>
      </c>
      <c r="G106" s="722">
        <f>(Unitflowchart!$S$15*Cultivation!Q87)/Unitflowchart!$S$357</f>
        <v>28.318118318326512</v>
      </c>
      <c r="H106" s="211">
        <f>(Unitflowchart!$S$15*Cultivation!V87)/Unitflowchart!$S$357</f>
        <v>0.75176150176266221</v>
      </c>
      <c r="I106" s="14">
        <f>(H106/H$359)*100</f>
        <v>42.157002135501571</v>
      </c>
      <c r="J106" s="212">
        <f>(Unitflowchart!$S$15*Cultivation!W87)/Unitflowchart!$S$357</f>
        <v>7.4864022247248072E-2</v>
      </c>
      <c r="K106" s="211">
        <f>(Unitflowchart!$S$15*Cultivation!AB87)/Unitflowchart!$S$357</f>
        <v>1.6648580684606744</v>
      </c>
      <c r="L106" s="14">
        <f>(K106/K$359)*100</f>
        <v>91.715763065635585</v>
      </c>
      <c r="M106" s="212">
        <f>(Unitflowchart!$S$15*Cultivation!AC87)/Unitflowchart!$S$357</f>
        <v>0.13935171783260208</v>
      </c>
      <c r="N106" s="714">
        <f>E106+(GlobalWarmingPotentials!$B$11*H106)+(GlobalWarmingPotentials!$C$11*K106)</f>
        <v>1032.8402446087837</v>
      </c>
      <c r="O106" s="14">
        <f>(N106/N$359)*100</f>
        <v>58.204125537700001</v>
      </c>
      <c r="P106" s="739">
        <f>SQRT((G106^2)+((GlobalWarmingPotentials!$B$11*J106)^2)+((GlobalWarmingPotentials!$C$11*M106)^2))</f>
        <v>50.062831752581062</v>
      </c>
    </row>
    <row r="107" spans="1:16" s="42" customFormat="1" x14ac:dyDescent="0.25">
      <c r="A107" s="852"/>
      <c r="B107" s="713"/>
      <c r="C107" s="863"/>
      <c r="D107" s="719"/>
      <c r="E107" s="713"/>
      <c r="F107" s="863"/>
      <c r="G107" s="719"/>
      <c r="H107" s="495"/>
      <c r="I107" s="863"/>
      <c r="J107" s="496"/>
      <c r="K107" s="495"/>
      <c r="L107" s="863"/>
      <c r="M107" s="496"/>
      <c r="N107" s="713"/>
      <c r="O107" s="863"/>
      <c r="P107" s="738"/>
    </row>
    <row r="108" spans="1:16" x14ac:dyDescent="0.25">
      <c r="A108" s="384" t="s">
        <v>33</v>
      </c>
      <c r="B108" s="712"/>
      <c r="C108" s="25"/>
      <c r="D108" s="718"/>
      <c r="E108" s="712"/>
      <c r="F108" s="25"/>
      <c r="G108" s="721"/>
      <c r="H108" s="190"/>
      <c r="I108" s="25"/>
      <c r="J108" s="31"/>
      <c r="K108" s="190"/>
      <c r="L108" s="25"/>
      <c r="M108" s="31"/>
      <c r="N108" s="735"/>
      <c r="O108" s="25"/>
      <c r="P108" s="737"/>
    </row>
    <row r="109" spans="1:16" x14ac:dyDescent="0.25">
      <c r="B109" s="712"/>
      <c r="D109" s="721"/>
      <c r="E109" s="718"/>
      <c r="G109" s="721"/>
      <c r="H109" s="708"/>
      <c r="J109" s="31"/>
      <c r="K109" s="708"/>
      <c r="M109" s="708"/>
      <c r="N109" s="712"/>
      <c r="P109" s="721"/>
    </row>
    <row r="110" spans="1:16" x14ac:dyDescent="0.25">
      <c r="A110" s="13" t="str">
        <f>RoadTransportStage1!A28</f>
        <v xml:space="preserve"> - Diesel Fuel</v>
      </c>
      <c r="B110" s="715">
        <f>Unitflowchart!$S$24/Unitflowchart!$S$357*(RoadTransportStage1!J28)*Unitflowchart!$S$39</f>
        <v>601.53586980511921</v>
      </c>
      <c r="C110" s="25">
        <f>(B110/B$359)*100</f>
        <v>3.1609997524787445</v>
      </c>
      <c r="D110" s="481">
        <f>Unitflowchart!$S$24/Unitflowchart!$S$357*(RoadTransportStage1!K28)*Unitflowchart!$S$39</f>
        <v>28.272185880840603</v>
      </c>
      <c r="E110" s="715">
        <f>Unitflowchart!$S$24/Unitflowchart!$S$357*(RoadTransportStage1!P28)*Unitflowchart!$S$39</f>
        <v>43.167066146313303</v>
      </c>
      <c r="F110" s="25">
        <f>(E110/E$359)*100</f>
        <v>3.6087155562006963</v>
      </c>
      <c r="G110" s="481">
        <f>Unitflowchart!$S$24/Unitflowchart!$S$357*(RoadTransportStage1!Q28)*Unitflowchart!$S$39</f>
        <v>2.0288521088767251</v>
      </c>
      <c r="H110" s="730">
        <f>Unitflowchart!$S$24/Unitflowchart!$S$357*(RoadTransportStage1!V28)*Unitflowchart!$S$39</f>
        <v>8.969779978454712E-3</v>
      </c>
      <c r="I110" s="25">
        <f>(H110/H$359)*100</f>
        <v>0.50300398839268623</v>
      </c>
      <c r="J110" s="732">
        <f>Unitflowchart!$S$24/Unitflowchart!$S$357*(RoadTransportStage1!W28)*Unitflowchart!$S$39</f>
        <v>4.215796589873715E-4</v>
      </c>
      <c r="K110" s="730">
        <f>Unitflowchart!$S$24/Unitflowchart!$S$357*(RoadTransportStage1!AB28)*Unitflowchart!$S$39</f>
        <v>1.166071397199113E-2</v>
      </c>
      <c r="L110" s="25">
        <f>(K110/K$359)*100</f>
        <v>0.64237985212764503</v>
      </c>
      <c r="M110" s="732">
        <f>Unitflowchart!$S$24/Unitflowchart!$S$357*(RoadTransportStage1!AC28)*Unitflowchart!$S$39</f>
        <v>5.4805355668358297E-4</v>
      </c>
      <c r="N110" s="711">
        <f>E110+(GlobalWarmingPotentials!$B$11*H110)+(GlobalWarmingPotentials!$C$11*K110)</f>
        <v>46.824942421527133</v>
      </c>
      <c r="O110" s="25">
        <f>(N110/N$359)*100</f>
        <v>2.6387477068444998</v>
      </c>
      <c r="P110" s="736">
        <f>SQRT((G110^2)+((GlobalWarmingPotentials!$B$11*J110)^2)+((GlobalWarmingPotentials!$C$11*M110)^2))</f>
        <v>2.035350455563139</v>
      </c>
    </row>
    <row r="111" spans="1:16" x14ac:dyDescent="0.25">
      <c r="A111" s="13" t="str">
        <f>RoadTransportStage1!A29</f>
        <v xml:space="preserve"> - Vehicle </v>
      </c>
      <c r="B111" s="715">
        <f>Unitflowchart!$S$24/Unitflowchart!$S$357*(RoadTransportStage1!J29)*Unitflowchart!$S$39</f>
        <v>0</v>
      </c>
      <c r="C111" s="25">
        <f>(B111/B$359)*100</f>
        <v>0</v>
      </c>
      <c r="D111" s="481">
        <f>Unitflowchart!$S$24/Unitflowchart!$S$357*(RoadTransportStage1!K29)*Unitflowchart!$S$39</f>
        <v>0</v>
      </c>
      <c r="E111" s="715">
        <f>Unitflowchart!$S$24/Unitflowchart!$S$357*(RoadTransportStage1!P29)*Unitflowchart!$S$39</f>
        <v>0</v>
      </c>
      <c r="F111" s="25">
        <f>(E111/E$359)*100</f>
        <v>0</v>
      </c>
      <c r="G111" s="481">
        <f>Unitflowchart!$S$24/Unitflowchart!$S$357*(RoadTransportStage1!Q29)*Unitflowchart!$S$39</f>
        <v>0</v>
      </c>
      <c r="H111" s="730">
        <f>Unitflowchart!$S$24/Unitflowchart!$S$357*(RoadTransportStage1!V29)*Unitflowchart!$S$39</f>
        <v>0</v>
      </c>
      <c r="I111" s="25">
        <f>(H111/H$359)*100</f>
        <v>0</v>
      </c>
      <c r="J111" s="732">
        <f>Unitflowchart!$S$24/Unitflowchart!$S$357*(RoadTransportStage1!W29)*Unitflowchart!$S$39</f>
        <v>0</v>
      </c>
      <c r="K111" s="730">
        <f>Unitflowchart!$S$24/Unitflowchart!$S$357*(RoadTransportStage1!AB29)*Unitflowchart!$S$39</f>
        <v>0</v>
      </c>
      <c r="L111" s="25">
        <f>(K111/K$359)*100</f>
        <v>0</v>
      </c>
      <c r="M111" s="732">
        <f>Unitflowchart!$S$24/Unitflowchart!$S$357*(RoadTransportStage1!AC29)*Unitflowchart!$S$39</f>
        <v>0</v>
      </c>
      <c r="N111" s="711">
        <f>E111+(GlobalWarmingPotentials!$B$11*H111)+(GlobalWarmingPotentials!$C$11*K111)</f>
        <v>0</v>
      </c>
      <c r="O111" s="25">
        <f>(N111/N$359)*100</f>
        <v>0</v>
      </c>
      <c r="P111" s="736">
        <f>SQRT((G111^2)+((GlobalWarmingPotentials!$B$11*J111)^2)+((GlobalWarmingPotentials!$C$11*M111)^2))</f>
        <v>0</v>
      </c>
    </row>
    <row r="112" spans="1:16" x14ac:dyDescent="0.25">
      <c r="A112" s="13" t="str">
        <f>RoadTransportStage1!A30</f>
        <v xml:space="preserve"> - Maintenance</v>
      </c>
      <c r="B112" s="715">
        <f>Unitflowchart!$S$24/Unitflowchart!$S$357*(RoadTransportStage1!J30)*Unitflowchart!$S$39</f>
        <v>0</v>
      </c>
      <c r="C112" s="25">
        <f>(B112/B$359)*100</f>
        <v>0</v>
      </c>
      <c r="D112" s="481">
        <f>Unitflowchart!$S$24/Unitflowchart!$S$357*(RoadTransportStage1!K30)*Unitflowchart!$S$39</f>
        <v>0</v>
      </c>
      <c r="E112" s="715">
        <f>Unitflowchart!$S$24/Unitflowchart!$S$357*(RoadTransportStage1!P30)*Unitflowchart!$S$39</f>
        <v>0</v>
      </c>
      <c r="F112" s="25">
        <f>(E112/E$359)*100</f>
        <v>0</v>
      </c>
      <c r="G112" s="481">
        <f>Unitflowchart!$S$24/Unitflowchart!$S$357*(RoadTransportStage1!Q30)*Unitflowchart!$S$39</f>
        <v>0</v>
      </c>
      <c r="H112" s="730">
        <f>Unitflowchart!$S$24/Unitflowchart!$S$357*(RoadTransportStage1!V30)*Unitflowchart!$S$39</f>
        <v>0</v>
      </c>
      <c r="I112" s="25">
        <f>(H112/H$359)*100</f>
        <v>0</v>
      </c>
      <c r="J112" s="732">
        <f>Unitflowchart!$S$24/Unitflowchart!$S$357*(RoadTransportStage1!W30)*Unitflowchart!$S$39</f>
        <v>0</v>
      </c>
      <c r="K112" s="730">
        <f>Unitflowchart!$S$24/Unitflowchart!$S$357*(RoadTransportStage1!AB30)*Unitflowchart!$S$39</f>
        <v>0</v>
      </c>
      <c r="L112" s="25">
        <f>(K112/K$359)*100</f>
        <v>0</v>
      </c>
      <c r="M112" s="732">
        <f>Unitflowchart!$S$24/Unitflowchart!$S$357*(RoadTransportStage1!AC30)*Unitflowchart!$S$39</f>
        <v>0</v>
      </c>
      <c r="N112" s="711">
        <f>E112+(GlobalWarmingPotentials!$B$11*H112)+(GlobalWarmingPotentials!$C$11*K112)</f>
        <v>0</v>
      </c>
      <c r="O112" s="25">
        <f>(N112/N$359)*100</f>
        <v>0</v>
      </c>
      <c r="P112" s="736">
        <f>SQRT((G112^2)+((GlobalWarmingPotentials!$B$11*J112)^2)+((GlobalWarmingPotentials!$C$11*M112)^2))</f>
        <v>0</v>
      </c>
    </row>
    <row r="113" spans="1:16" s="42" customFormat="1" x14ac:dyDescent="0.25">
      <c r="A113" s="152"/>
      <c r="B113" s="746"/>
      <c r="C113" s="863"/>
      <c r="D113" s="759"/>
      <c r="E113" s="746"/>
      <c r="F113" s="863"/>
      <c r="G113" s="759"/>
      <c r="H113" s="763"/>
      <c r="I113" s="863"/>
      <c r="J113" s="764"/>
      <c r="K113" s="763"/>
      <c r="L113" s="863"/>
      <c r="M113" s="764"/>
      <c r="N113" s="713"/>
      <c r="O113" s="863"/>
      <c r="P113" s="738"/>
    </row>
    <row r="114" spans="1:16" s="6" customFormat="1" x14ac:dyDescent="0.25">
      <c r="A114" s="214" t="s">
        <v>842</v>
      </c>
      <c r="B114" s="714">
        <f>Unitflowchart!$S$24/Unitflowchart!$S$357*(RoadTransportStage1!J32)*Unitflowchart!$S$39</f>
        <v>601.53586980511921</v>
      </c>
      <c r="C114" s="14">
        <f>(B114/B$359)*100</f>
        <v>3.1609997524787445</v>
      </c>
      <c r="D114" s="722">
        <f>Unitflowchart!$S$24/Unitflowchart!$S$357*(RoadTransportStage1!K32)*Unitflowchart!$S$39</f>
        <v>28.272185880840603</v>
      </c>
      <c r="E114" s="714">
        <f>Unitflowchart!$S$24/Unitflowchart!$S$357*(RoadTransportStage1!P32)*Unitflowchart!$S$39</f>
        <v>43.167066146313303</v>
      </c>
      <c r="F114" s="14">
        <f>(E114/E$359)*100</f>
        <v>3.6087155562006963</v>
      </c>
      <c r="G114" s="722">
        <f>Unitflowchart!$S$24/Unitflowchart!$S$357*(RoadTransportStage1!Q32)*Unitflowchart!$S$39</f>
        <v>2.0288521088767251</v>
      </c>
      <c r="H114" s="211">
        <f>Unitflowchart!$S$24/Unitflowchart!$S$357*(RoadTransportStage1!V32)*Unitflowchart!$S$39</f>
        <v>8.969779978454712E-3</v>
      </c>
      <c r="I114" s="14">
        <f>(H114/H$359)*100</f>
        <v>0.50300398839268623</v>
      </c>
      <c r="J114" s="212">
        <f>Unitflowchart!$S$24/Unitflowchart!$S$357*(RoadTransportStage1!W32)*Unitflowchart!$S$39</f>
        <v>4.215796589873715E-4</v>
      </c>
      <c r="K114" s="211">
        <f>Unitflowchart!$S$24/Unitflowchart!$S$357*(RoadTransportStage1!AB32)*Unitflowchart!$S$39</f>
        <v>1.166071397199113E-2</v>
      </c>
      <c r="L114" s="14">
        <f>(K114/K$359)*100</f>
        <v>0.64237985212764503</v>
      </c>
      <c r="M114" s="212">
        <f>Unitflowchart!$S$24/Unitflowchart!$S$357*(RoadTransportStage1!AC32)*Unitflowchart!$S$39</f>
        <v>5.4805355668358297E-4</v>
      </c>
      <c r="N114" s="714">
        <f>E114+(GlobalWarmingPotentials!$B$11*H114)+(GlobalWarmingPotentials!$C$11*K114)</f>
        <v>46.824942421527133</v>
      </c>
      <c r="O114" s="14">
        <f>(N114/N$359)*100</f>
        <v>2.6387477068444998</v>
      </c>
      <c r="P114" s="739">
        <f>SQRT((G114^2)+((GlobalWarmingPotentials!$B$11*J114)^2)+((GlobalWarmingPotentials!$C$11*M114)^2))</f>
        <v>2.035350455563139</v>
      </c>
    </row>
    <row r="115" spans="1:16" x14ac:dyDescent="0.25">
      <c r="B115" s="712"/>
      <c r="D115" s="721"/>
      <c r="E115" s="718"/>
      <c r="G115" s="718"/>
      <c r="H115" s="30"/>
      <c r="J115" s="708"/>
      <c r="K115" s="30"/>
      <c r="M115" s="708"/>
      <c r="N115" s="716"/>
      <c r="O115" s="352"/>
      <c r="P115" s="723"/>
    </row>
    <row r="116" spans="1:16" x14ac:dyDescent="0.25">
      <c r="A116" s="384" t="s">
        <v>838</v>
      </c>
      <c r="B116" s="712"/>
      <c r="D116" s="721"/>
      <c r="E116" s="718"/>
      <c r="G116" s="718"/>
      <c r="H116" s="30"/>
      <c r="J116" s="708"/>
      <c r="K116" s="30"/>
      <c r="M116" s="708"/>
      <c r="N116" s="712"/>
      <c r="P116" s="721"/>
    </row>
    <row r="117" spans="1:16" x14ac:dyDescent="0.25">
      <c r="B117" s="712"/>
      <c r="D117" s="721"/>
      <c r="E117" s="718"/>
      <c r="G117" s="718"/>
      <c r="H117" s="30"/>
      <c r="J117" s="708"/>
      <c r="K117" s="30"/>
      <c r="M117" s="708"/>
      <c r="N117" s="712"/>
      <c r="P117" s="721"/>
    </row>
    <row r="118" spans="1:16" x14ac:dyDescent="0.25">
      <c r="A118" s="13" t="str">
        <f>RailTransport!A11</f>
        <v xml:space="preserve"> - Gas Oil</v>
      </c>
      <c r="B118" s="710">
        <f>Unitflowchart!$S$24/Unitflowchart!$S$357*(RailTransport!J11)*Unitflowchart!$S$41</f>
        <v>0</v>
      </c>
      <c r="C118" s="24">
        <f>(B118/B$359)*100</f>
        <v>0</v>
      </c>
      <c r="D118" s="724">
        <f>Unitflowchart!$S$24/Unitflowchart!$S$357*(RailTransport!K11)*Unitflowchart!$S$41</f>
        <v>0</v>
      </c>
      <c r="E118" s="726">
        <f>Unitflowchart!$S$24/Unitflowchart!$S$357*(RailTransport!P11)*Unitflowchart!$S$41</f>
        <v>0</v>
      </c>
      <c r="F118" s="24">
        <f>(E118/E$359)*100</f>
        <v>0</v>
      </c>
      <c r="G118" s="726">
        <f>Unitflowchart!$S$24/Unitflowchart!$S$357*(RailTransport!Q11)*Unitflowchart!$S$41</f>
        <v>0</v>
      </c>
      <c r="H118" s="707">
        <f>Unitflowchart!$S$24/Unitflowchart!$S$357*(RailTransport!V11)*Unitflowchart!$S$41</f>
        <v>0</v>
      </c>
      <c r="I118" s="24">
        <f>(H118/H$359)*100</f>
        <v>0</v>
      </c>
      <c r="J118" s="709">
        <f>Unitflowchart!$S$24/Unitflowchart!$S$357*(RailTransport!W11)*Unitflowchart!$S$41</f>
        <v>0</v>
      </c>
      <c r="K118" s="707">
        <f>Unitflowchart!$S$24/Unitflowchart!$S$357*(RailTransport!AB11)*Unitflowchart!$S$41</f>
        <v>0</v>
      </c>
      <c r="L118" s="24">
        <f>(K118/K$359)*100</f>
        <v>0</v>
      </c>
      <c r="M118" s="709">
        <f>Unitflowchart!$S$24/Unitflowchart!$S$357*(RailTransport!AC11)*Unitflowchart!$S$41</f>
        <v>0</v>
      </c>
      <c r="N118" s="710">
        <f>E118+(GlobalWarmingPotentials!$B$11*H118)+(GlobalWarmingPotentials!$C$11*K118)</f>
        <v>0</v>
      </c>
      <c r="O118" s="24">
        <f>(N118/N$359)*100</f>
        <v>0</v>
      </c>
      <c r="P118" s="724">
        <f>SQRT((G118^2)+((GlobalWarmingPotentials!$B$11*J118)^2)+((GlobalWarmingPotentials!$C$11*M118)^2))</f>
        <v>0</v>
      </c>
    </row>
    <row r="119" spans="1:16" x14ac:dyDescent="0.25">
      <c r="A119" s="13" t="str">
        <f>RailTransport!A12</f>
        <v xml:space="preserve"> - Capital Equipment</v>
      </c>
      <c r="B119" s="710">
        <f>Unitflowchart!$S$24/Unitflowchart!$S$357*(RailTransport!J12)*Unitflowchart!$S$41</f>
        <v>0</v>
      </c>
      <c r="C119" s="24">
        <f>(B119/B$359)*100</f>
        <v>0</v>
      </c>
      <c r="D119" s="724">
        <f>Unitflowchart!$S$24/Unitflowchart!$S$357*(RailTransport!K12)*Unitflowchart!$S$41</f>
        <v>0</v>
      </c>
      <c r="E119" s="726">
        <f>Unitflowchart!$S$24/Unitflowchart!$S$357*(RailTransport!P12)*Unitflowchart!$S$41</f>
        <v>0</v>
      </c>
      <c r="F119" s="24">
        <f>(E119/E$359)*100</f>
        <v>0</v>
      </c>
      <c r="G119" s="726">
        <f>Unitflowchart!$S$24/Unitflowchart!$S$357*(RailTransport!Q12)*Unitflowchart!$S$41</f>
        <v>0</v>
      </c>
      <c r="H119" s="707">
        <f>Unitflowchart!$S$24/Unitflowchart!$S$357*(RailTransport!V12)*Unitflowchart!$S$41</f>
        <v>0</v>
      </c>
      <c r="I119" s="24">
        <f>(H119/H$359)*100</f>
        <v>0</v>
      </c>
      <c r="J119" s="709">
        <f>Unitflowchart!$S$24/Unitflowchart!$S$357*(RailTransport!W12)*Unitflowchart!$S$41</f>
        <v>0</v>
      </c>
      <c r="K119" s="707">
        <f>Unitflowchart!$S$24/Unitflowchart!$S$357*(RailTransport!AB12)*Unitflowchart!$S$41</f>
        <v>0</v>
      </c>
      <c r="L119" s="24">
        <f>(K119/K$359)*100</f>
        <v>0</v>
      </c>
      <c r="M119" s="709">
        <f>Unitflowchart!$S$24/Unitflowchart!$S$357*(RailTransport!AC12)*Unitflowchart!$S$41</f>
        <v>0</v>
      </c>
      <c r="N119" s="710">
        <f>E119+(GlobalWarmingPotentials!$B$11*H119)+(GlobalWarmingPotentials!$C$11*K119)</f>
        <v>0</v>
      </c>
      <c r="O119" s="24">
        <f>(N119/N$359)*100</f>
        <v>0</v>
      </c>
      <c r="P119" s="724">
        <f>SQRT((G119^2)+((GlobalWarmingPotentials!$B$11*J119)^2)+((GlobalWarmingPotentials!$C$11*M119)^2))</f>
        <v>0</v>
      </c>
    </row>
    <row r="120" spans="1:16" x14ac:dyDescent="0.25">
      <c r="A120" s="13" t="str">
        <f>RailTransport!A13</f>
        <v xml:space="preserve"> - Maintenance</v>
      </c>
      <c r="B120" s="710">
        <f>Unitflowchart!$S$24/Unitflowchart!$S$357*(RailTransport!J13)*Unitflowchart!$S$41</f>
        <v>0</v>
      </c>
      <c r="C120" s="24">
        <f>(B120/B$359)*100</f>
        <v>0</v>
      </c>
      <c r="D120" s="724">
        <f>Unitflowchart!$S$24/Unitflowchart!$S$357*(RailTransport!K13)*Unitflowchart!$S$41</f>
        <v>0</v>
      </c>
      <c r="E120" s="726">
        <f>Unitflowchart!$S$24/Unitflowchart!$S$357*(RailTransport!P13)*Unitflowchart!$S$41</f>
        <v>0</v>
      </c>
      <c r="F120" s="24">
        <f>(E120/E$359)*100</f>
        <v>0</v>
      </c>
      <c r="G120" s="726">
        <f>Unitflowchart!$S$24/Unitflowchart!$S$357*(RailTransport!Q13)*Unitflowchart!$S$41</f>
        <v>0</v>
      </c>
      <c r="H120" s="707">
        <f>Unitflowchart!$S$24/Unitflowchart!$S$357*(RailTransport!V13)*Unitflowchart!$S$41</f>
        <v>0</v>
      </c>
      <c r="I120" s="24">
        <f>(H120/H$359)*100</f>
        <v>0</v>
      </c>
      <c r="J120" s="709">
        <f>Unitflowchart!$S$24/Unitflowchart!$S$357*(RailTransport!W13)*Unitflowchart!$S$41</f>
        <v>0</v>
      </c>
      <c r="K120" s="707">
        <f>Unitflowchart!$S$24/Unitflowchart!$S$357*(RailTransport!AB13)*Unitflowchart!$S$41</f>
        <v>0</v>
      </c>
      <c r="L120" s="24">
        <f>(K120/K$359)*100</f>
        <v>0</v>
      </c>
      <c r="M120" s="709">
        <f>Unitflowchart!$S$24/Unitflowchart!$S$357*(RailTransport!AC13)*Unitflowchart!$S$41</f>
        <v>0</v>
      </c>
      <c r="N120" s="710">
        <f>E120+(GlobalWarmingPotentials!$B$11*H120)+(GlobalWarmingPotentials!$C$11*K120)</f>
        <v>0</v>
      </c>
      <c r="O120" s="24">
        <f>(N120/N$359)*100</f>
        <v>0</v>
      </c>
      <c r="P120" s="724">
        <f>SQRT((G120^2)+((GlobalWarmingPotentials!$B$11*J120)^2)+((GlobalWarmingPotentials!$C$11*M120)^2))</f>
        <v>0</v>
      </c>
    </row>
    <row r="121" spans="1:16" s="42" customFormat="1" x14ac:dyDescent="0.25">
      <c r="A121" s="152"/>
      <c r="B121" s="713"/>
      <c r="C121" s="882"/>
      <c r="D121" s="719"/>
      <c r="E121" s="209"/>
      <c r="F121" s="882"/>
      <c r="G121" s="209"/>
      <c r="H121" s="495"/>
      <c r="I121" s="882"/>
      <c r="J121" s="889"/>
      <c r="K121" s="495"/>
      <c r="L121" s="882"/>
      <c r="M121" s="889"/>
      <c r="N121" s="713"/>
      <c r="O121" s="882"/>
      <c r="P121" s="719"/>
    </row>
    <row r="122" spans="1:16" s="6" customFormat="1" x14ac:dyDescent="0.25">
      <c r="A122" s="214" t="s">
        <v>843</v>
      </c>
      <c r="B122" s="714">
        <f>Unitflowchart!$S$24/Unitflowchart!$S$357*(RailTransport!J15)*Unitflowchart!$S$41</f>
        <v>0</v>
      </c>
      <c r="C122" s="14">
        <f>(B122/B$359)*100</f>
        <v>0</v>
      </c>
      <c r="D122" s="722">
        <f>Unitflowchart!$S$24/Unitflowchart!$S$357*(RailTransport!K15)*Unitflowchart!$S$41</f>
        <v>0</v>
      </c>
      <c r="E122" s="714">
        <f>Unitflowchart!$S$24/Unitflowchart!$S$357*(RailTransport!P15)*Unitflowchart!$S$41</f>
        <v>0</v>
      </c>
      <c r="F122" s="14">
        <f>(E122/E$359)*100</f>
        <v>0</v>
      </c>
      <c r="G122" s="722">
        <f>Unitflowchart!$S$24/Unitflowchart!$S$357*(RailTransport!Q15)*Unitflowchart!$S$41</f>
        <v>0</v>
      </c>
      <c r="H122" s="211">
        <f>Unitflowchart!$S$24/Unitflowchart!$S$357*(RailTransport!V15)*Unitflowchart!$S$41</f>
        <v>0</v>
      </c>
      <c r="I122" s="14">
        <f>(H122/H$359)*100</f>
        <v>0</v>
      </c>
      <c r="J122" s="212">
        <f>Unitflowchart!$S$24/Unitflowchart!$S$357*(RailTransport!W15)*Unitflowchart!$S$41</f>
        <v>0</v>
      </c>
      <c r="K122" s="211">
        <f>Unitflowchart!$S$24/Unitflowchart!$S$357*(RailTransport!AB15)*Unitflowchart!$S$41</f>
        <v>0</v>
      </c>
      <c r="L122" s="14">
        <f>(K122/K$359)*100</f>
        <v>0</v>
      </c>
      <c r="M122" s="212">
        <f>Unitflowchart!$S$24/Unitflowchart!$S$357*(RailTransport!AC15)*Unitflowchart!$S$41</f>
        <v>0</v>
      </c>
      <c r="N122" s="714">
        <f>E122+(GlobalWarmingPotentials!$B$11*H122)+(GlobalWarmingPotentials!$C$11*K122)</f>
        <v>0</v>
      </c>
      <c r="O122" s="14">
        <f>(N122/N$359)*100</f>
        <v>0</v>
      </c>
      <c r="P122" s="739">
        <f>SQRT((G122^2)+((GlobalWarmingPotentials!$B$11*J122)^2)+((GlobalWarmingPotentials!$C$11*M122)^2))</f>
        <v>0</v>
      </c>
    </row>
    <row r="123" spans="1:16" x14ac:dyDescent="0.25">
      <c r="B123" s="712"/>
      <c r="C123" s="24"/>
      <c r="D123" s="721"/>
      <c r="E123" s="718"/>
      <c r="F123" s="24"/>
      <c r="G123" s="718"/>
      <c r="H123" s="30"/>
      <c r="I123" s="24"/>
      <c r="J123" s="708"/>
      <c r="K123" s="30"/>
      <c r="L123" s="24"/>
      <c r="M123" s="708"/>
      <c r="N123" s="712"/>
      <c r="O123" s="24"/>
      <c r="P123" s="721"/>
    </row>
    <row r="124" spans="1:16" x14ac:dyDescent="0.25">
      <c r="A124" s="384" t="s">
        <v>846</v>
      </c>
      <c r="B124" s="712"/>
      <c r="C124" s="24"/>
      <c r="D124" s="721"/>
      <c r="E124" s="718"/>
      <c r="F124" s="24"/>
      <c r="G124" s="718"/>
      <c r="H124" s="30"/>
      <c r="I124" s="24"/>
      <c r="J124" s="708"/>
      <c r="K124" s="30"/>
      <c r="L124" s="24"/>
      <c r="M124" s="708"/>
      <c r="N124" s="712"/>
      <c r="O124" s="24"/>
      <c r="P124" s="721"/>
    </row>
    <row r="125" spans="1:16" x14ac:dyDescent="0.25">
      <c r="B125" s="712"/>
      <c r="C125" s="24"/>
      <c r="D125" s="721"/>
      <c r="E125" s="718"/>
      <c r="F125" s="24"/>
      <c r="G125" s="718"/>
      <c r="H125" s="30"/>
      <c r="I125" s="24"/>
      <c r="J125" s="708"/>
      <c r="K125" s="30"/>
      <c r="L125" s="24"/>
      <c r="M125" s="708"/>
      <c r="N125" s="712"/>
      <c r="O125" s="24"/>
      <c r="P125" s="721"/>
    </row>
    <row r="126" spans="1:16" x14ac:dyDescent="0.25">
      <c r="A126" s="13" t="str">
        <f>BargeTransport!A11</f>
        <v xml:space="preserve"> - Marine Diesel</v>
      </c>
      <c r="B126" s="710">
        <f>Unitflowchart!$S$24/Unitflowchart!$S$357*(BargeTransport!J11)*Unitflowchart!$S$43</f>
        <v>0</v>
      </c>
      <c r="C126" s="24">
        <f>(B126/B$359)*100</f>
        <v>0</v>
      </c>
      <c r="D126" s="724">
        <f>Unitflowchart!$S$24/Unitflowchart!$S$357*(BargeTransport!K11)*Unitflowchart!$S$43</f>
        <v>0</v>
      </c>
      <c r="E126" s="726">
        <f>Unitflowchart!$S$24/Unitflowchart!$S$357*(BargeTransport!P11)*Unitflowchart!$S$43</f>
        <v>0</v>
      </c>
      <c r="F126" s="24">
        <f>(E126/E$359)*100</f>
        <v>0</v>
      </c>
      <c r="G126" s="726">
        <f>Unitflowchart!$S$24/Unitflowchart!$S$357*(BargeTransport!Q11)*Unitflowchart!$S$43</f>
        <v>0</v>
      </c>
      <c r="H126" s="707">
        <f>Unitflowchart!$S$24/Unitflowchart!$S$357*(BargeTransport!V11)*Unitflowchart!$S$43</f>
        <v>0</v>
      </c>
      <c r="I126" s="24">
        <f>(H126/H$359)*100</f>
        <v>0</v>
      </c>
      <c r="J126" s="709">
        <f>Unitflowchart!$S$24/Unitflowchart!$S$357*(BargeTransport!W11)*Unitflowchart!$S$43</f>
        <v>0</v>
      </c>
      <c r="K126" s="707">
        <f>Unitflowchart!$S$24/Unitflowchart!$S$357*(BargeTransport!AB11)*Unitflowchart!$S$43</f>
        <v>0</v>
      </c>
      <c r="L126" s="24">
        <f>(K126/K$359)*100</f>
        <v>0</v>
      </c>
      <c r="M126" s="709">
        <f>Unitflowchart!$S$24/Unitflowchart!$S$357*(BargeTransport!AC11)*Unitflowchart!$S$43</f>
        <v>0</v>
      </c>
      <c r="N126" s="710">
        <f>E126+(GlobalWarmingPotentials!$B$11*H126)+(GlobalWarmingPotentials!$C$11*K126)</f>
        <v>0</v>
      </c>
      <c r="O126" s="24">
        <f>(N126/N$359)*100</f>
        <v>0</v>
      </c>
      <c r="P126" s="724">
        <f>SQRT((G126^2)+((GlobalWarmingPotentials!$B$11*J126)^2)+((GlobalWarmingPotentials!$C$11*M126)^2))</f>
        <v>0</v>
      </c>
    </row>
    <row r="127" spans="1:16" x14ac:dyDescent="0.25">
      <c r="A127" s="13" t="str">
        <f>BargeTransport!A12</f>
        <v xml:space="preserve"> - Barge Construction</v>
      </c>
      <c r="B127" s="710">
        <f>Unitflowchart!$S$24/Unitflowchart!$S$357*(BargeTransport!J12)*Unitflowchart!$S$43</f>
        <v>0</v>
      </c>
      <c r="C127" s="24">
        <f>(B127/B$359)*100</f>
        <v>0</v>
      </c>
      <c r="D127" s="724">
        <f>Unitflowchart!$S$24/Unitflowchart!$S$357*(BargeTransport!K12)*Unitflowchart!$S$43</f>
        <v>0</v>
      </c>
      <c r="E127" s="726">
        <f>Unitflowchart!$S$24/Unitflowchart!$S$357*(BargeTransport!P12)*Unitflowchart!$S$43</f>
        <v>0</v>
      </c>
      <c r="F127" s="24">
        <f>(E127/E$359)*100</f>
        <v>0</v>
      </c>
      <c r="G127" s="726">
        <f>Unitflowchart!$S$24/Unitflowchart!$S$357*(BargeTransport!Q12)*Unitflowchart!$S$43</f>
        <v>0</v>
      </c>
      <c r="H127" s="707">
        <f>Unitflowchart!$S$24/Unitflowchart!$S$357*(BargeTransport!V12)*Unitflowchart!$S$43</f>
        <v>0</v>
      </c>
      <c r="I127" s="24">
        <f>(H127/H$359)*100</f>
        <v>0</v>
      </c>
      <c r="J127" s="709">
        <f>Unitflowchart!$S$24/Unitflowchart!$S$357*(BargeTransport!W12)*Unitflowchart!$S$43</f>
        <v>0</v>
      </c>
      <c r="K127" s="707">
        <f>Unitflowchart!$S$24/Unitflowchart!$S$357*(BargeTransport!AB12)*Unitflowchart!$S$43</f>
        <v>0</v>
      </c>
      <c r="L127" s="24">
        <f>(K127/K$359)*100</f>
        <v>0</v>
      </c>
      <c r="M127" s="709">
        <f>Unitflowchart!$S$24/Unitflowchart!$S$357*(BargeTransport!AC12)*Unitflowchart!$S$43</f>
        <v>0</v>
      </c>
      <c r="N127" s="710">
        <f>E127+(GlobalWarmingPotentials!$B$11*H127)+(GlobalWarmingPotentials!$C$11*K127)</f>
        <v>0</v>
      </c>
      <c r="O127" s="24">
        <f>(N127/N$359)*100</f>
        <v>0</v>
      </c>
      <c r="P127" s="724">
        <f>SQRT((G127^2)+((GlobalWarmingPotentials!$B$11*J127)^2)+((GlobalWarmingPotentials!$C$11*M127)^2))</f>
        <v>0</v>
      </c>
    </row>
    <row r="128" spans="1:16" x14ac:dyDescent="0.25">
      <c r="A128" s="13" t="str">
        <f>BargeTransport!A13</f>
        <v xml:space="preserve"> - Barge Maintenance</v>
      </c>
      <c r="B128" s="710">
        <f>Unitflowchart!$S$24/Unitflowchart!$S$357*(BargeTransport!J13)*Unitflowchart!$S$43</f>
        <v>0</v>
      </c>
      <c r="C128" s="24">
        <f>(B128/B$359)*100</f>
        <v>0</v>
      </c>
      <c r="D128" s="724">
        <f>Unitflowchart!$S$24/Unitflowchart!$S$357*(BargeTransport!K13)*Unitflowchart!$S$43</f>
        <v>0</v>
      </c>
      <c r="E128" s="726">
        <f>Unitflowchart!$S$24/Unitflowchart!$S$357*(BargeTransport!P13)*Unitflowchart!$S$43</f>
        <v>0</v>
      </c>
      <c r="F128" s="24">
        <f>(E128/E$359)*100</f>
        <v>0</v>
      </c>
      <c r="G128" s="726">
        <f>Unitflowchart!$S$24/Unitflowchart!$S$357*(BargeTransport!Q13)*Unitflowchart!$S$43</f>
        <v>0</v>
      </c>
      <c r="H128" s="707">
        <f>Unitflowchart!$S$24/Unitflowchart!$S$357*(BargeTransport!V13)*Unitflowchart!$S$43</f>
        <v>0</v>
      </c>
      <c r="I128" s="24">
        <f>(H128/H$359)*100</f>
        <v>0</v>
      </c>
      <c r="J128" s="709">
        <f>Unitflowchart!$S$24/Unitflowchart!$S$357*(BargeTransport!W13)*Unitflowchart!$S$43</f>
        <v>0</v>
      </c>
      <c r="K128" s="707">
        <f>Unitflowchart!$S$24/Unitflowchart!$S$357*(BargeTransport!AB13)*Unitflowchart!$S$43</f>
        <v>0</v>
      </c>
      <c r="L128" s="24">
        <f>(K128/K$359)*100</f>
        <v>0</v>
      </c>
      <c r="M128" s="709">
        <f>Unitflowchart!$S$24/Unitflowchart!$S$357*(BargeTransport!AC13)*Unitflowchart!$S$43</f>
        <v>0</v>
      </c>
      <c r="N128" s="710">
        <f>E128+(GlobalWarmingPotentials!$B$11*H128)+(GlobalWarmingPotentials!$C$11*K128)</f>
        <v>0</v>
      </c>
      <c r="O128" s="24">
        <f>(N128/N$359)*100</f>
        <v>0</v>
      </c>
      <c r="P128" s="724">
        <f>SQRT((G128^2)+((GlobalWarmingPotentials!$B$11*J128)^2)+((GlobalWarmingPotentials!$C$11*M128)^2))</f>
        <v>0</v>
      </c>
    </row>
    <row r="129" spans="1:16" s="42" customFormat="1" x14ac:dyDescent="0.25">
      <c r="A129" s="152"/>
      <c r="B129" s="713"/>
      <c r="C129" s="882"/>
      <c r="D129" s="719"/>
      <c r="E129" s="209"/>
      <c r="F129" s="882"/>
      <c r="G129" s="209"/>
      <c r="H129" s="495"/>
      <c r="I129" s="882"/>
      <c r="J129" s="889"/>
      <c r="K129" s="495"/>
      <c r="L129" s="882"/>
      <c r="M129" s="889"/>
      <c r="N129" s="713"/>
      <c r="O129" s="882"/>
      <c r="P129" s="719"/>
    </row>
    <row r="130" spans="1:16" s="6" customFormat="1" x14ac:dyDescent="0.25">
      <c r="A130" s="214" t="s">
        <v>847</v>
      </c>
      <c r="B130" s="714">
        <f>Unitflowchart!$S$24/Unitflowchart!$S$357*(BargeTransport!J15)*Unitflowchart!$S$43</f>
        <v>0</v>
      </c>
      <c r="C130" s="14">
        <f>(B130/B$359)*100</f>
        <v>0</v>
      </c>
      <c r="D130" s="722">
        <f>Unitflowchart!$S$24/Unitflowchart!$S$357*(BargeTransport!K15)*Unitflowchart!$S$43</f>
        <v>0</v>
      </c>
      <c r="E130" s="714">
        <f>Unitflowchart!$S$24/Unitflowchart!$S$357*(BargeTransport!P15)*Unitflowchart!$S$43</f>
        <v>0</v>
      </c>
      <c r="F130" s="14">
        <f>(E130/E$359)*100</f>
        <v>0</v>
      </c>
      <c r="G130" s="722">
        <f>Unitflowchart!$S$24/Unitflowchart!$S$357*(BargeTransport!Q15)*Unitflowchart!$S$43</f>
        <v>0</v>
      </c>
      <c r="H130" s="211">
        <f>Unitflowchart!$S$24/Unitflowchart!$S$357*(BargeTransport!V15)*Unitflowchart!$S$43</f>
        <v>0</v>
      </c>
      <c r="I130" s="14">
        <f>(H130/H$359)*100</f>
        <v>0</v>
      </c>
      <c r="J130" s="212">
        <f>Unitflowchart!$S$24/Unitflowchart!$S$357*(BargeTransport!W15)*Unitflowchart!$S$43</f>
        <v>0</v>
      </c>
      <c r="K130" s="211">
        <f>Unitflowchart!$S$24/Unitflowchart!$S$357*(BargeTransport!AB15)*Unitflowchart!$S$43</f>
        <v>0</v>
      </c>
      <c r="L130" s="14">
        <f>(K130/K$359)*100</f>
        <v>0</v>
      </c>
      <c r="M130" s="212">
        <f>Unitflowchart!$S$24/Unitflowchart!$S$357*(BargeTransport!AC15)*Unitflowchart!$S$43</f>
        <v>0</v>
      </c>
      <c r="N130" s="714">
        <f>E130+(GlobalWarmingPotentials!$B$11*H130)+(GlobalWarmingPotentials!$C$11*K130)</f>
        <v>0</v>
      </c>
      <c r="O130" s="14">
        <f>(N130/N$359)*100</f>
        <v>0</v>
      </c>
      <c r="P130" s="739">
        <f>SQRT((G130^2)+((GlobalWarmingPotentials!$B$11*J130)^2)+((GlobalWarmingPotentials!$C$11*M130)^2))</f>
        <v>0</v>
      </c>
    </row>
    <row r="131" spans="1:16" x14ac:dyDescent="0.25">
      <c r="B131" s="712"/>
      <c r="C131" s="24"/>
      <c r="D131" s="721"/>
      <c r="E131" s="718"/>
      <c r="F131" s="24"/>
      <c r="G131" s="718"/>
      <c r="H131" s="30"/>
      <c r="I131" s="24"/>
      <c r="J131" s="708"/>
      <c r="K131" s="30"/>
      <c r="L131" s="24"/>
      <c r="M131" s="708"/>
      <c r="N131" s="712"/>
      <c r="O131" s="24"/>
      <c r="P131" s="721"/>
    </row>
    <row r="132" spans="1:16" x14ac:dyDescent="0.25">
      <c r="A132" s="384" t="s">
        <v>848</v>
      </c>
      <c r="B132" s="712"/>
      <c r="C132" s="24"/>
      <c r="D132" s="721"/>
      <c r="E132" s="718"/>
      <c r="F132" s="24"/>
      <c r="G132" s="718"/>
      <c r="H132" s="30"/>
      <c r="I132" s="24"/>
      <c r="J132" s="708"/>
      <c r="K132" s="30"/>
      <c r="L132" s="24"/>
      <c r="M132" s="708"/>
      <c r="N132" s="712"/>
      <c r="O132" s="24"/>
      <c r="P132" s="721"/>
    </row>
    <row r="133" spans="1:16" x14ac:dyDescent="0.25">
      <c r="B133" s="712"/>
      <c r="C133" s="24"/>
      <c r="D133" s="721"/>
      <c r="E133" s="718"/>
      <c r="F133" s="24"/>
      <c r="G133" s="718"/>
      <c r="H133" s="30"/>
      <c r="I133" s="24"/>
      <c r="J133" s="708"/>
      <c r="K133" s="30"/>
      <c r="L133" s="24"/>
      <c r="M133" s="708"/>
      <c r="N133" s="712"/>
      <c r="O133" s="24"/>
      <c r="P133" s="721"/>
    </row>
    <row r="134" spans="1:16" x14ac:dyDescent="0.25">
      <c r="A134" s="13" t="str">
        <f>ShipTransport!A11</f>
        <v xml:space="preserve"> - Marine Diesel</v>
      </c>
      <c r="B134" s="710">
        <f>Unitflowchart!$S$24/Unitflowchart!$S$357*(ShipTransport!J11)*Unitflowchart!$S$45</f>
        <v>0</v>
      </c>
      <c r="C134" s="24">
        <f>(B134/B$359)*100</f>
        <v>0</v>
      </c>
      <c r="D134" s="724">
        <f>Unitflowchart!$S$24/Unitflowchart!$S$357*(ShipTransport!K11)*Unitflowchart!$S$45</f>
        <v>0</v>
      </c>
      <c r="E134" s="726">
        <f>Unitflowchart!$S$24/Unitflowchart!$S$357*(ShipTransport!P11)*Unitflowchart!$S$45</f>
        <v>0</v>
      </c>
      <c r="F134" s="24">
        <f>(E134/E$359)*100</f>
        <v>0</v>
      </c>
      <c r="G134" s="726">
        <f>Unitflowchart!$S$24/Unitflowchart!$S$357*(ShipTransport!Q11)*Unitflowchart!$S$45</f>
        <v>0</v>
      </c>
      <c r="H134" s="707">
        <f>Unitflowchart!$S$24/Unitflowchart!$S$357*(ShipTransport!V11)*Unitflowchart!$S$45</f>
        <v>0</v>
      </c>
      <c r="I134" s="24">
        <f>(H134/H$359)*100</f>
        <v>0</v>
      </c>
      <c r="J134" s="709">
        <f>Unitflowchart!$S$24/Unitflowchart!$S$357*(ShipTransport!W11)*Unitflowchart!$S$45</f>
        <v>0</v>
      </c>
      <c r="K134" s="707">
        <f>Unitflowchart!$S$24/Unitflowchart!$S$357*(ShipTransport!AB11)*Unitflowchart!$S$45</f>
        <v>0</v>
      </c>
      <c r="L134" s="24">
        <f>(K134/K$359)*100</f>
        <v>0</v>
      </c>
      <c r="M134" s="709">
        <f>Unitflowchart!$S$24/Unitflowchart!$S$357*(ShipTransport!AC11)*Unitflowchart!$S$45</f>
        <v>0</v>
      </c>
      <c r="N134" s="710">
        <f>E134+(GlobalWarmingPotentials!$B$11*H134)+(GlobalWarmingPotentials!$C$11*K134)</f>
        <v>0</v>
      </c>
      <c r="O134" s="24">
        <f>(N134/N$359)*100</f>
        <v>0</v>
      </c>
      <c r="P134" s="724">
        <f>SQRT((G134^2)+((GlobalWarmingPotentials!$B$11*J134)^2)+((GlobalWarmingPotentials!$C$11*M134)^2))</f>
        <v>0</v>
      </c>
    </row>
    <row r="135" spans="1:16" x14ac:dyDescent="0.25">
      <c r="A135" s="13" t="str">
        <f>ShipTransport!A12</f>
        <v xml:space="preserve"> - Ship Construction</v>
      </c>
      <c r="B135" s="710">
        <f>Unitflowchart!$S$24/Unitflowchart!$S$357*(ShipTransport!J12)*Unitflowchart!$S$45</f>
        <v>0</v>
      </c>
      <c r="C135" s="24">
        <f>(B135/B$359)*100</f>
        <v>0</v>
      </c>
      <c r="D135" s="724">
        <f>Unitflowchart!$S$24/Unitflowchart!$S$357*(ShipTransport!K12)*Unitflowchart!$S$45</f>
        <v>0</v>
      </c>
      <c r="E135" s="726">
        <f>Unitflowchart!$S$24/Unitflowchart!$S$357*(ShipTransport!P12)*Unitflowchart!$S$45</f>
        <v>0</v>
      </c>
      <c r="F135" s="24">
        <f>(E135/E$359)*100</f>
        <v>0</v>
      </c>
      <c r="G135" s="726">
        <f>Unitflowchart!$S$24/Unitflowchart!$S$357*(ShipTransport!Q12)*Unitflowchart!$S$45</f>
        <v>0</v>
      </c>
      <c r="H135" s="707">
        <f>Unitflowchart!$S$24/Unitflowchart!$S$357*(ShipTransport!V12)*Unitflowchart!$S$45</f>
        <v>0</v>
      </c>
      <c r="I135" s="24">
        <f>(H135/H$359)*100</f>
        <v>0</v>
      </c>
      <c r="J135" s="709">
        <f>Unitflowchart!$S$24/Unitflowchart!$S$357*(ShipTransport!W12)*Unitflowchart!$S$45</f>
        <v>0</v>
      </c>
      <c r="K135" s="707">
        <f>Unitflowchart!$S$24/Unitflowchart!$S$357*(ShipTransport!AB12)*Unitflowchart!$S$45</f>
        <v>0</v>
      </c>
      <c r="L135" s="24">
        <f>(K135/K$359)*100</f>
        <v>0</v>
      </c>
      <c r="M135" s="709">
        <f>Unitflowchart!$S$24/Unitflowchart!$S$357*(ShipTransport!AC12)*Unitflowchart!$S$45</f>
        <v>0</v>
      </c>
      <c r="N135" s="710">
        <f>E135+(GlobalWarmingPotentials!$B$11*H135)+(GlobalWarmingPotentials!$C$11*K135)</f>
        <v>0</v>
      </c>
      <c r="O135" s="24">
        <f>(N135/N$359)*100</f>
        <v>0</v>
      </c>
      <c r="P135" s="724">
        <f>SQRT((G135^2)+((GlobalWarmingPotentials!$B$11*J135)^2)+((GlobalWarmingPotentials!$C$11*M135)^2))</f>
        <v>0</v>
      </c>
    </row>
    <row r="136" spans="1:16" x14ac:dyDescent="0.25">
      <c r="A136" s="13" t="str">
        <f>ShipTransport!A13</f>
        <v xml:space="preserve"> - Ship Maintenance</v>
      </c>
      <c r="B136" s="710">
        <f>Unitflowchart!$S$24/Unitflowchart!$S$357*(ShipTransport!J13)*Unitflowchart!$S$45</f>
        <v>0</v>
      </c>
      <c r="C136" s="24">
        <f>(B136/B$359)*100</f>
        <v>0</v>
      </c>
      <c r="D136" s="724">
        <f>Unitflowchart!$S$24/Unitflowchart!$S$357*(ShipTransport!K13)*Unitflowchart!$S$45</f>
        <v>0</v>
      </c>
      <c r="E136" s="726">
        <f>Unitflowchart!$S$24/Unitflowchart!$S$357*(ShipTransport!P13)*Unitflowchart!$S$45</f>
        <v>0</v>
      </c>
      <c r="F136" s="24">
        <f>(E136/E$359)*100</f>
        <v>0</v>
      </c>
      <c r="G136" s="726">
        <f>Unitflowchart!$S$24/Unitflowchart!$S$357*(ShipTransport!Q13)*Unitflowchart!$S$45</f>
        <v>0</v>
      </c>
      <c r="H136" s="707">
        <f>Unitflowchart!$S$24/Unitflowchart!$S$357*(ShipTransport!V13)*Unitflowchart!$S$45</f>
        <v>0</v>
      </c>
      <c r="I136" s="24">
        <f>(H136/H$359)*100</f>
        <v>0</v>
      </c>
      <c r="J136" s="709">
        <f>Unitflowchart!$S$24/Unitflowchart!$S$357*(ShipTransport!W13)*Unitflowchart!$S$45</f>
        <v>0</v>
      </c>
      <c r="K136" s="707">
        <f>Unitflowchart!$S$24/Unitflowchart!$S$357*(ShipTransport!AB13)*Unitflowchart!$S$45</f>
        <v>0</v>
      </c>
      <c r="L136" s="24">
        <f>(K136/K$359)*100</f>
        <v>0</v>
      </c>
      <c r="M136" s="709">
        <f>Unitflowchart!$S$24/Unitflowchart!$S$357*(ShipTransport!AC13)*Unitflowchart!$S$45</f>
        <v>0</v>
      </c>
      <c r="N136" s="710">
        <f>E136+(GlobalWarmingPotentials!$B$11*H136)+(GlobalWarmingPotentials!$C$11*K136)</f>
        <v>0</v>
      </c>
      <c r="O136" s="24">
        <f>(N136/N$359)*100</f>
        <v>0</v>
      </c>
      <c r="P136" s="724">
        <f>SQRT((G136^2)+((GlobalWarmingPotentials!$B$11*J136)^2)+((GlobalWarmingPotentials!$C$11*M136)^2))</f>
        <v>0</v>
      </c>
    </row>
    <row r="137" spans="1:16" s="42" customFormat="1" x14ac:dyDescent="0.25">
      <c r="A137" s="152"/>
      <c r="B137" s="713"/>
      <c r="C137" s="882"/>
      <c r="D137" s="719"/>
      <c r="E137" s="209"/>
      <c r="F137" s="882"/>
      <c r="G137" s="209"/>
      <c r="H137" s="495"/>
      <c r="I137" s="882"/>
      <c r="J137" s="889"/>
      <c r="K137" s="495"/>
      <c r="L137" s="882"/>
      <c r="M137" s="889"/>
      <c r="N137" s="713"/>
      <c r="O137" s="882"/>
      <c r="P137" s="719"/>
    </row>
    <row r="138" spans="1:16" s="6" customFormat="1" x14ac:dyDescent="0.25">
      <c r="A138" s="214" t="s">
        <v>849</v>
      </c>
      <c r="B138" s="714">
        <f>Unitflowchart!$S$24/Unitflowchart!$S$357*(ShipTransport!J15)*Unitflowchart!$S$45</f>
        <v>0</v>
      </c>
      <c r="C138" s="14">
        <f>(B138/B$359)*100</f>
        <v>0</v>
      </c>
      <c r="D138" s="722">
        <f>Unitflowchart!$S$24/Unitflowchart!$S$357*(ShipTransport!K15)*Unitflowchart!$S$45</f>
        <v>0</v>
      </c>
      <c r="E138" s="714">
        <f>Unitflowchart!$S$24/Unitflowchart!$S$357*(ShipTransport!P15)*Unitflowchart!$S$45</f>
        <v>0</v>
      </c>
      <c r="F138" s="14">
        <f>(E138/E$359)*100</f>
        <v>0</v>
      </c>
      <c r="G138" s="722">
        <f>Unitflowchart!$S$24/Unitflowchart!$S$357*(ShipTransport!Q15)*Unitflowchart!$S$45</f>
        <v>0</v>
      </c>
      <c r="H138" s="211">
        <f>Unitflowchart!$S$24/Unitflowchart!$S$357*(ShipTransport!V15)*Unitflowchart!$S$45</f>
        <v>0</v>
      </c>
      <c r="I138" s="14">
        <f>(H138/H$359)*100</f>
        <v>0</v>
      </c>
      <c r="J138" s="212">
        <f>Unitflowchart!$S$24/Unitflowchart!$S$357*(ShipTransport!W15)*Unitflowchart!$S$45</f>
        <v>0</v>
      </c>
      <c r="K138" s="211">
        <f>Unitflowchart!$S$24/Unitflowchart!$S$357*(ShipTransport!AB15)*Unitflowchart!$S$45</f>
        <v>0</v>
      </c>
      <c r="L138" s="14">
        <f>(K138/K$359)*100</f>
        <v>0</v>
      </c>
      <c r="M138" s="212">
        <f>Unitflowchart!$S$24/Unitflowchart!$S$357*(ShipTransport!AC15)*Unitflowchart!$S$45</f>
        <v>0</v>
      </c>
      <c r="N138" s="714">
        <f>E138+(GlobalWarmingPotentials!$B$11*H138)+(GlobalWarmingPotentials!$C$11*K138)</f>
        <v>0</v>
      </c>
      <c r="O138" s="14">
        <f>(N138/N$359)*100</f>
        <v>0</v>
      </c>
      <c r="P138" s="739">
        <f>SQRT((G138^2)+((GlobalWarmingPotentials!$B$11*J138)^2)+((GlobalWarmingPotentials!$C$11*M138)^2))</f>
        <v>0</v>
      </c>
    </row>
    <row r="139" spans="1:16" x14ac:dyDescent="0.25">
      <c r="B139" s="712"/>
      <c r="D139" s="721"/>
      <c r="E139" s="718"/>
      <c r="G139" s="718"/>
      <c r="H139" s="30"/>
      <c r="J139" s="708"/>
      <c r="K139" s="30"/>
      <c r="M139" s="708"/>
      <c r="N139" s="712"/>
      <c r="P139" s="721"/>
    </row>
    <row r="140" spans="1:16" x14ac:dyDescent="0.25">
      <c r="A140" s="214" t="s">
        <v>851</v>
      </c>
      <c r="B140" s="717">
        <f>B114+B122+B130+B138</f>
        <v>601.53586980511921</v>
      </c>
      <c r="C140" s="705">
        <f>(B140/B$359)*100</f>
        <v>3.1609997524787445</v>
      </c>
      <c r="D140" s="725">
        <f>SQRT((D114^2)+(D122^2)+(D130^2)+(D138^2))</f>
        <v>28.272185880840603</v>
      </c>
      <c r="E140" s="727">
        <f t="shared" ref="E140" si="22">E114+E122+E130+E138</f>
        <v>43.167066146313303</v>
      </c>
      <c r="F140" s="705">
        <f>(E140/E$359)*100</f>
        <v>3.6087155562006963</v>
      </c>
      <c r="G140" s="727">
        <f t="shared" ref="G140" si="23">SQRT((G114^2)+(G122^2)+(G130^2)+(G138^2))</f>
        <v>2.0288521088767251</v>
      </c>
      <c r="H140" s="706">
        <f t="shared" ref="H140" si="24">H114+H122+H130+H138</f>
        <v>8.969779978454712E-3</v>
      </c>
      <c r="I140" s="705">
        <f>(H140/H$359)*100</f>
        <v>0.50300398839268623</v>
      </c>
      <c r="J140" s="704">
        <f t="shared" ref="J140" si="25">SQRT((J114^2)+(J122^2)+(J130^2)+(J138^2))</f>
        <v>4.215796589873715E-4</v>
      </c>
      <c r="K140" s="706">
        <f t="shared" ref="K140" si="26">K114+K122+K130+K138</f>
        <v>1.166071397199113E-2</v>
      </c>
      <c r="L140" s="705">
        <f>(K140/K$359)*100</f>
        <v>0.64237985212764503</v>
      </c>
      <c r="M140" s="704">
        <f t="shared" ref="M140" si="27">SQRT((M114^2)+(M122^2)+(M130^2)+(M138^2))</f>
        <v>5.4805355668358297E-4</v>
      </c>
      <c r="N140" s="717">
        <f t="shared" ref="N140" si="28">N114+N122+N130+N138</f>
        <v>46.824942421527133</v>
      </c>
      <c r="O140" s="705">
        <f>(N140/N$359)*100</f>
        <v>2.6387477068444998</v>
      </c>
      <c r="P140" s="725">
        <f t="shared" ref="P140" si="29">SQRT((P114^2)+(P122^2)+(P130^2)+(P138^2))</f>
        <v>2.035350455563139</v>
      </c>
    </row>
    <row r="141" spans="1:16" x14ac:dyDescent="0.25">
      <c r="B141" s="712"/>
      <c r="D141" s="721"/>
      <c r="E141" s="718"/>
      <c r="G141" s="718"/>
      <c r="H141" s="30"/>
      <c r="J141" s="708"/>
      <c r="K141" s="30"/>
      <c r="M141" s="708"/>
      <c r="N141" s="712"/>
      <c r="P141" s="721"/>
    </row>
    <row r="142" spans="1:16" x14ac:dyDescent="0.25">
      <c r="A142" s="384" t="s">
        <v>42</v>
      </c>
      <c r="B142" s="712"/>
      <c r="D142" s="721"/>
      <c r="E142" s="718"/>
      <c r="G142" s="718"/>
      <c r="H142" s="30"/>
      <c r="J142" s="708"/>
      <c r="K142" s="30"/>
      <c r="M142" s="708"/>
      <c r="N142" s="712"/>
      <c r="P142" s="721"/>
    </row>
    <row r="143" spans="1:16" x14ac:dyDescent="0.25">
      <c r="B143" s="712"/>
      <c r="D143" s="721"/>
      <c r="E143" s="718"/>
      <c r="G143" s="718"/>
      <c r="H143" s="30"/>
      <c r="J143" s="708"/>
      <c r="K143" s="30"/>
      <c r="M143" s="708"/>
      <c r="N143" s="712"/>
      <c r="P143" s="721"/>
    </row>
    <row r="144" spans="1:16" x14ac:dyDescent="0.25">
      <c r="A144" t="str">
        <f>RoadTransportStage2!A28</f>
        <v xml:space="preserve"> - Diesel Fuel</v>
      </c>
      <c r="B144" s="715">
        <f>Unitflowchart!$S$51/Unitflowchart!$S$357*(RoadTransportStage2!J28)*Unitflowchart!$S$60</f>
        <v>0</v>
      </c>
      <c r="C144" s="25">
        <f>(B144/B$359)*100</f>
        <v>0</v>
      </c>
      <c r="D144" s="481">
        <f>Unitflowchart!$S$51/Unitflowchart!$S$357*(RoadTransportStage2!K28)*Unitflowchart!$S$60</f>
        <v>0</v>
      </c>
      <c r="E144" s="715">
        <f>Unitflowchart!$S$51/Unitflowchart!$S$357*(RoadTransportStage2!P28)*Unitflowchart!$S$60</f>
        <v>0</v>
      </c>
      <c r="F144" s="25">
        <f>(E144/E$359)*100</f>
        <v>0</v>
      </c>
      <c r="G144" s="481">
        <f>Unitflowchart!$S$51/Unitflowchart!$S$357*(RoadTransportStage2!Q28)*Unitflowchart!$S$60</f>
        <v>0</v>
      </c>
      <c r="H144" s="730">
        <f>Unitflowchart!$S$51/Unitflowchart!$S$357*(RoadTransportStage2!V28)*Unitflowchart!$S$60</f>
        <v>0</v>
      </c>
      <c r="I144" s="25">
        <f>(H144/H$359)*100</f>
        <v>0</v>
      </c>
      <c r="J144" s="732">
        <f>Unitflowchart!$S$51/Unitflowchart!$S$357*(RoadTransportStage2!W28)*Unitflowchart!$S$60</f>
        <v>0</v>
      </c>
      <c r="K144" s="730">
        <f>Unitflowchart!$S$51/Unitflowchart!$S$357*(RoadTransportStage2!AB28)*Unitflowchart!$S$60</f>
        <v>0</v>
      </c>
      <c r="L144" s="25">
        <f>(K144/K$359)*100</f>
        <v>0</v>
      </c>
      <c r="M144" s="732">
        <f>Unitflowchart!$S$51/Unitflowchart!$S$357*(RoadTransportStage2!AC28)*Unitflowchart!$S$60</f>
        <v>0</v>
      </c>
      <c r="N144" s="711">
        <f>E144+(GlobalWarmingPotentials!$B$11*H144)+(GlobalWarmingPotentials!$C$11*K144)</f>
        <v>0</v>
      </c>
      <c r="O144" s="25">
        <f>(N144/N$359)*100</f>
        <v>0</v>
      </c>
      <c r="P144" s="736">
        <f>SQRT((G144^2)+((GlobalWarmingPotentials!$B$11*J144)^2)+((GlobalWarmingPotentials!$C$11*M144)^2))</f>
        <v>0</v>
      </c>
    </row>
    <row r="145" spans="1:16" x14ac:dyDescent="0.25">
      <c r="A145" t="str">
        <f>RoadTransportStage2!A29</f>
        <v xml:space="preserve"> - Vehicle </v>
      </c>
      <c r="B145" s="715">
        <f>Unitflowchart!$S$51/Unitflowchart!$S$357*(RoadTransportStage2!J29)*Unitflowchart!$S$60</f>
        <v>0</v>
      </c>
      <c r="C145" s="25">
        <f>(B145/B$359)*100</f>
        <v>0</v>
      </c>
      <c r="D145" s="481">
        <f>Unitflowchart!$S$51/Unitflowchart!$S$357*(RoadTransportStage2!K29)*Unitflowchart!$S$60</f>
        <v>0</v>
      </c>
      <c r="E145" s="715">
        <f>Unitflowchart!$S$51/Unitflowchart!$S$357*(RoadTransportStage2!P29)*Unitflowchart!$S$60</f>
        <v>0</v>
      </c>
      <c r="F145" s="25">
        <f>(E145/E$359)*100</f>
        <v>0</v>
      </c>
      <c r="G145" s="481">
        <f>Unitflowchart!$S$51/Unitflowchart!$S$357*(RoadTransportStage2!Q29)*Unitflowchart!$S$60</f>
        <v>0</v>
      </c>
      <c r="H145" s="730">
        <f>Unitflowchart!$S$51/Unitflowchart!$S$357*(RoadTransportStage2!V29)*Unitflowchart!$S$60</f>
        <v>0</v>
      </c>
      <c r="I145" s="25">
        <f>(H145/H$359)*100</f>
        <v>0</v>
      </c>
      <c r="J145" s="732">
        <f>Unitflowchart!$S$51/Unitflowchart!$S$357*(RoadTransportStage2!W29)*Unitflowchart!$S$60</f>
        <v>0</v>
      </c>
      <c r="K145" s="730">
        <f>Unitflowchart!$S$51/Unitflowchart!$S$357*(RoadTransportStage2!AB29)*Unitflowchart!$S$60</f>
        <v>0</v>
      </c>
      <c r="L145" s="25">
        <f>(K145/K$359)*100</f>
        <v>0</v>
      </c>
      <c r="M145" s="732">
        <f>Unitflowchart!$S$51/Unitflowchart!$S$357*(RoadTransportStage2!AC29)*Unitflowchart!$S$60</f>
        <v>0</v>
      </c>
      <c r="N145" s="711">
        <f>E145+(GlobalWarmingPotentials!$B$11*H145)+(GlobalWarmingPotentials!$C$11*K145)</f>
        <v>0</v>
      </c>
      <c r="O145" s="25">
        <f>(N145/N$359)*100</f>
        <v>0</v>
      </c>
      <c r="P145" s="736">
        <f>SQRT((G145^2)+((GlobalWarmingPotentials!$B$11*J145)^2)+((GlobalWarmingPotentials!$C$11*M145)^2))</f>
        <v>0</v>
      </c>
    </row>
    <row r="146" spans="1:16" x14ac:dyDescent="0.25">
      <c r="A146" t="str">
        <f>RoadTransportStage2!A30</f>
        <v xml:space="preserve"> - Maintenance</v>
      </c>
      <c r="B146" s="715">
        <f>Unitflowchart!$S$51/Unitflowchart!$S$357*(RoadTransportStage2!J30)*Unitflowchart!$S$60</f>
        <v>0</v>
      </c>
      <c r="C146" s="25">
        <f>(B146/B$359)*100</f>
        <v>0</v>
      </c>
      <c r="D146" s="481">
        <f>Unitflowchart!$S$51/Unitflowchart!$S$357*(RoadTransportStage2!K30)*Unitflowchart!$S$60</f>
        <v>0</v>
      </c>
      <c r="E146" s="715">
        <f>Unitflowchart!$S$51/Unitflowchart!$S$357*(RoadTransportStage2!P30)*Unitflowchart!$S$60</f>
        <v>0</v>
      </c>
      <c r="F146" s="25">
        <f>(E146/E$359)*100</f>
        <v>0</v>
      </c>
      <c r="G146" s="481">
        <f>Unitflowchart!$S$51/Unitflowchart!$S$357*(RoadTransportStage2!Q30)*Unitflowchart!$S$60</f>
        <v>0</v>
      </c>
      <c r="H146" s="730">
        <f>Unitflowchart!$S$51/Unitflowchart!$S$357*(RoadTransportStage2!V30)*Unitflowchart!$S$60</f>
        <v>0</v>
      </c>
      <c r="I146" s="25">
        <f>(H146/H$359)*100</f>
        <v>0</v>
      </c>
      <c r="J146" s="732">
        <f>Unitflowchart!$S$51/Unitflowchart!$S$357*(RoadTransportStage2!W30)*Unitflowchart!$S$60</f>
        <v>0</v>
      </c>
      <c r="K146" s="730">
        <f>Unitflowchart!$S$51/Unitflowchart!$S$357*(RoadTransportStage2!AB30)*Unitflowchart!$S$60</f>
        <v>0</v>
      </c>
      <c r="L146" s="25">
        <f>(K146/K$359)*100</f>
        <v>0</v>
      </c>
      <c r="M146" s="732">
        <f>Unitflowchart!$S$51/Unitflowchart!$S$357*(RoadTransportStage2!AC30)*Unitflowchart!$S$60</f>
        <v>0</v>
      </c>
      <c r="N146" s="711">
        <f>E146+(GlobalWarmingPotentials!$B$11*H146)+(GlobalWarmingPotentials!$C$11*K146)</f>
        <v>0</v>
      </c>
      <c r="O146" s="25">
        <f>(N146/N$359)*100</f>
        <v>0</v>
      </c>
      <c r="P146" s="736">
        <f>SQRT((G146^2)+((GlobalWarmingPotentials!$B$11*J146)^2)+((GlobalWarmingPotentials!$C$11*M146)^2))</f>
        <v>0</v>
      </c>
    </row>
    <row r="147" spans="1:16" s="42" customFormat="1" x14ac:dyDescent="0.25">
      <c r="B147" s="746"/>
      <c r="C147" s="863"/>
      <c r="D147" s="759"/>
      <c r="E147" s="746"/>
      <c r="F147" s="863"/>
      <c r="G147" s="759"/>
      <c r="H147" s="763"/>
      <c r="I147" s="863"/>
      <c r="J147" s="764"/>
      <c r="K147" s="763"/>
      <c r="L147" s="863"/>
      <c r="M147" s="764"/>
      <c r="N147" s="713"/>
      <c r="O147" s="152"/>
      <c r="P147" s="719"/>
    </row>
    <row r="148" spans="1:16" x14ac:dyDescent="0.25">
      <c r="A148" s="21" t="s">
        <v>844</v>
      </c>
      <c r="B148" s="871">
        <f>Unitflowchart!$S$51/Unitflowchart!$S$357*(RoadTransportStage2!J32)*Unitflowchart!$S$60</f>
        <v>0</v>
      </c>
      <c r="C148" s="864">
        <f>(B148/B$359)*100</f>
        <v>0</v>
      </c>
      <c r="D148" s="872">
        <f>Unitflowchart!$S$51/Unitflowchart!$S$357*(RoadTransportStage2!K32)*Unitflowchart!$S$60</f>
        <v>0</v>
      </c>
      <c r="E148" s="871">
        <f>Unitflowchart!$S$51/Unitflowchart!$S$357*(RoadTransportStage2!P32)*Unitflowchart!$S$60</f>
        <v>0</v>
      </c>
      <c r="F148" s="864">
        <f>(E148/E$359)*100</f>
        <v>0</v>
      </c>
      <c r="G148" s="872">
        <f>Unitflowchart!$S$51/Unitflowchart!$S$357*(RoadTransportStage2!Q32)*Unitflowchart!$S$60</f>
        <v>0</v>
      </c>
      <c r="H148" s="873">
        <f>Unitflowchart!$S$51/Unitflowchart!$S$357*(RoadTransportStage2!V32)*Unitflowchart!$S$60</f>
        <v>0</v>
      </c>
      <c r="I148" s="864">
        <f>(H148/H$359)*100</f>
        <v>0</v>
      </c>
      <c r="J148" s="874">
        <f>Unitflowchart!$S$51/Unitflowchart!$S$357*(RoadTransportStage2!W32)*Unitflowchart!$S$60</f>
        <v>0</v>
      </c>
      <c r="K148" s="873">
        <f>Unitflowchart!$S$51/Unitflowchart!$S$357*(RoadTransportStage2!AB32)*Unitflowchart!$S$60</f>
        <v>0</v>
      </c>
      <c r="L148" s="864">
        <f>(K148/K$359)*100</f>
        <v>0</v>
      </c>
      <c r="M148" s="874">
        <f>Unitflowchart!$S$51/Unitflowchart!$S$357*(RoadTransportStage2!AC32)*Unitflowchart!$S$60</f>
        <v>0</v>
      </c>
      <c r="N148" s="742">
        <f>E148+(GlobalWarmingPotentials!$B$11*H148)+(GlobalWarmingPotentials!$C$11*K148)</f>
        <v>0</v>
      </c>
      <c r="O148" s="698">
        <f>(N148/N$359)*100</f>
        <v>0</v>
      </c>
      <c r="P148" s="747">
        <f>SQRT((G148^2)+((GlobalWarmingPotentials!$B$11*J148)^2)+((GlobalWarmingPotentials!$C$11*M148)^2))</f>
        <v>0</v>
      </c>
    </row>
    <row r="149" spans="1:16" s="208" customFormat="1" x14ac:dyDescent="0.25">
      <c r="A149" s="755"/>
      <c r="B149" s="743"/>
      <c r="C149" s="753"/>
      <c r="D149" s="758"/>
      <c r="E149" s="743"/>
      <c r="F149" s="753"/>
      <c r="G149" s="758"/>
      <c r="H149" s="745"/>
      <c r="I149" s="753"/>
      <c r="J149" s="762"/>
      <c r="K149" s="745"/>
      <c r="L149" s="753"/>
      <c r="M149" s="762"/>
      <c r="N149" s="743"/>
      <c r="O149" s="753"/>
      <c r="P149" s="767"/>
    </row>
    <row r="150" spans="1:16" s="208" customFormat="1" x14ac:dyDescent="0.25">
      <c r="A150" s="384" t="s">
        <v>856</v>
      </c>
      <c r="B150" s="746"/>
      <c r="C150" s="744"/>
      <c r="D150" s="759"/>
      <c r="E150" s="746"/>
      <c r="F150" s="744"/>
      <c r="G150" s="759"/>
      <c r="H150" s="763"/>
      <c r="I150" s="744"/>
      <c r="J150" s="764"/>
      <c r="K150" s="763"/>
      <c r="L150" s="744"/>
      <c r="M150" s="764"/>
      <c r="N150" s="746"/>
      <c r="O150" s="744"/>
      <c r="P150" s="768"/>
    </row>
    <row r="151" spans="1:16" s="208" customFormat="1" x14ac:dyDescent="0.25">
      <c r="A151"/>
      <c r="B151" s="746"/>
      <c r="C151" s="744"/>
      <c r="D151" s="759"/>
      <c r="E151" s="746"/>
      <c r="F151" s="744"/>
      <c r="G151" s="759"/>
      <c r="H151" s="763"/>
      <c r="I151" s="744"/>
      <c r="J151" s="764"/>
      <c r="K151" s="763"/>
      <c r="L151" s="744"/>
      <c r="M151" s="764"/>
      <c r="N151" s="746"/>
      <c r="O151" s="744"/>
      <c r="P151" s="768"/>
    </row>
    <row r="152" spans="1:16" s="208" customFormat="1" x14ac:dyDescent="0.25">
      <c r="A152" t="str">
        <f>RailTransport!A11</f>
        <v xml:space="preserve"> - Gas Oil</v>
      </c>
      <c r="B152" s="771">
        <f>Unitflowchart!$S$51/Unitflowchart!$S$357*(RailTransport!J11)*Unitflowchart!$S$62</f>
        <v>0</v>
      </c>
      <c r="C152" s="744">
        <f>(B152/B$359)*100</f>
        <v>0</v>
      </c>
      <c r="D152" s="772">
        <f>Unitflowchart!$S$51/Unitflowchart!$S$357*(RailTransport!K11)*Unitflowchart!$S$62</f>
        <v>0</v>
      </c>
      <c r="E152" s="771">
        <f>Unitflowchart!$S$51/Unitflowchart!$S$357*(RailTransport!P11)*Unitflowchart!$S$62</f>
        <v>0</v>
      </c>
      <c r="F152" s="744">
        <f>(E152/E$359)*100</f>
        <v>0</v>
      </c>
      <c r="G152" s="772">
        <f>Unitflowchart!$S$51/Unitflowchart!$S$357*(RailTransport!Q11)*Unitflowchart!$S$62</f>
        <v>0</v>
      </c>
      <c r="H152" s="773">
        <f>Unitflowchart!$S51/Unitflowchart!$S$357*(RailTransport!V11)*Unitflowchart!$S$62</f>
        <v>0</v>
      </c>
      <c r="I152" s="744">
        <f>(H152/H$359)*100</f>
        <v>0</v>
      </c>
      <c r="J152" s="774">
        <f>Unitflowchart!$S$51/Unitflowchart!$S$357*(RailTransport!W11)*Unitflowchart!$S$62</f>
        <v>0</v>
      </c>
      <c r="K152" s="773">
        <f>Unitflowchart!$S$51/Unitflowchart!$S$357*(RailTransport!AB11)*Unitflowchart!$S$62</f>
        <v>0</v>
      </c>
      <c r="L152" s="744">
        <f>(K152/K$359)*100</f>
        <v>0</v>
      </c>
      <c r="M152" s="774">
        <f>Unitflowchart!$S$51/Unitflowchart!$S$357*(RailTransport!AC11)*Unitflowchart!$S$62</f>
        <v>0</v>
      </c>
      <c r="N152" s="771">
        <f>E152+(GlobalWarmingPotentials!$B$11*H152)+(GlobalWarmingPotentials!$C$11*K152)</f>
        <v>0</v>
      </c>
      <c r="O152" s="744">
        <f>(N152/N$359)*100</f>
        <v>0</v>
      </c>
      <c r="P152" s="776">
        <f>SQRT((G152^2)+((GlobalWarmingPotentials!$B$11*J152)^2)+((GlobalWarmingPotentials!$C$11*M152)^2))</f>
        <v>0</v>
      </c>
    </row>
    <row r="153" spans="1:16" s="208" customFormat="1" x14ac:dyDescent="0.25">
      <c r="A153" t="str">
        <f>RailTransport!A12</f>
        <v xml:space="preserve"> - Capital Equipment</v>
      </c>
      <c r="B153" s="771">
        <f>Unitflowchart!$S$51/Unitflowchart!$S$357*(RailTransport!J12)*Unitflowchart!$S$62</f>
        <v>0</v>
      </c>
      <c r="C153" s="744">
        <f>(B153/B$359)*100</f>
        <v>0</v>
      </c>
      <c r="D153" s="772">
        <f>Unitflowchart!$S$51/Unitflowchart!$S$357*(RailTransport!K12)*Unitflowchart!$S$62</f>
        <v>0</v>
      </c>
      <c r="E153" s="771">
        <f>Unitflowchart!$S$51/Unitflowchart!$S$357*(RailTransport!P12)*Unitflowchart!$S$62</f>
        <v>0</v>
      </c>
      <c r="F153" s="744">
        <f>(E153/E$359)*100</f>
        <v>0</v>
      </c>
      <c r="G153" s="772">
        <f>Unitflowchart!$S$51/Unitflowchart!$S$357*(RailTransport!Q12)*Unitflowchart!$S$62</f>
        <v>0</v>
      </c>
      <c r="H153" s="773">
        <f>Unitflowchart!$S52/Unitflowchart!$S$357*(RailTransport!V12)*Unitflowchart!$S$62</f>
        <v>0</v>
      </c>
      <c r="I153" s="744">
        <f>(H153/H$359)*100</f>
        <v>0</v>
      </c>
      <c r="J153" s="774">
        <f>Unitflowchart!$S$51/Unitflowchart!$S$357*(RailTransport!W12)*Unitflowchart!$S$62</f>
        <v>0</v>
      </c>
      <c r="K153" s="773">
        <f>Unitflowchart!$S$51/Unitflowchart!$S$357*(RailTransport!AB12)*Unitflowchart!$S$62</f>
        <v>0</v>
      </c>
      <c r="L153" s="744">
        <f>(K153/K$359)*100</f>
        <v>0</v>
      </c>
      <c r="M153" s="774">
        <f>Unitflowchart!$S$51/Unitflowchart!$S$357*(RailTransport!AC12)*Unitflowchart!$S$62</f>
        <v>0</v>
      </c>
      <c r="N153" s="771">
        <f>E153+(GlobalWarmingPotentials!$B$11*H153)+(GlobalWarmingPotentials!$C$11*K153)</f>
        <v>0</v>
      </c>
      <c r="O153" s="744">
        <f>(N153/N$359)*100</f>
        <v>0</v>
      </c>
      <c r="P153" s="776">
        <f>SQRT((G153^2)+((GlobalWarmingPotentials!$B$11*J153)^2)+((GlobalWarmingPotentials!$C$11*M153)^2))</f>
        <v>0</v>
      </c>
    </row>
    <row r="154" spans="1:16" s="208" customFormat="1" x14ac:dyDescent="0.25">
      <c r="A154" t="str">
        <f>RailTransport!A13</f>
        <v xml:space="preserve"> - Maintenance</v>
      </c>
      <c r="B154" s="771">
        <f>Unitflowchart!$S$51/Unitflowchart!$S$357*(RailTransport!J13)*Unitflowchart!$S$62</f>
        <v>0</v>
      </c>
      <c r="C154" s="744">
        <f>(B154/B$359)*100</f>
        <v>0</v>
      </c>
      <c r="D154" s="772">
        <f>Unitflowchart!$S$51/Unitflowchart!$S$357*(RailTransport!K13)*Unitflowchart!$S$62</f>
        <v>0</v>
      </c>
      <c r="E154" s="771">
        <f>Unitflowchart!$S$51/Unitflowchart!$S$357*(RailTransport!P13)*Unitflowchart!$S$62</f>
        <v>0</v>
      </c>
      <c r="F154" s="744">
        <f>(E154/E$359)*100</f>
        <v>0</v>
      </c>
      <c r="G154" s="772">
        <f>Unitflowchart!$S$51/Unitflowchart!$S$357*(RailTransport!Q13)*Unitflowchart!$S$62</f>
        <v>0</v>
      </c>
      <c r="H154" s="773">
        <f>Unitflowchart!$S53/Unitflowchart!$S$357*(RailTransport!V13)*Unitflowchart!$S$62</f>
        <v>0</v>
      </c>
      <c r="I154" s="744">
        <f>(H154/H$359)*100</f>
        <v>0</v>
      </c>
      <c r="J154" s="774">
        <f>Unitflowchart!$S$51/Unitflowchart!$S$357*(RailTransport!W13)*Unitflowchart!$S$62</f>
        <v>0</v>
      </c>
      <c r="K154" s="773">
        <f>Unitflowchart!$S$51/Unitflowchart!$S$357*(RailTransport!AB13)*Unitflowchart!$S$62</f>
        <v>0</v>
      </c>
      <c r="L154" s="744">
        <f>(K154/K$359)*100</f>
        <v>0</v>
      </c>
      <c r="M154" s="774">
        <f>Unitflowchart!$S$51/Unitflowchart!$S$357*(RailTransport!AC13)*Unitflowchart!$S$62</f>
        <v>0</v>
      </c>
      <c r="N154" s="771">
        <f>E154+(GlobalWarmingPotentials!$B$11*H154)+(GlobalWarmingPotentials!$C$11*K154)</f>
        <v>0</v>
      </c>
      <c r="O154" s="744">
        <f>(N154/N$359)*100</f>
        <v>0</v>
      </c>
      <c r="P154" s="776">
        <f>SQRT((G154^2)+((GlobalWarmingPotentials!$B$11*J154)^2)+((GlobalWarmingPotentials!$C$11*M154)^2))</f>
        <v>0</v>
      </c>
    </row>
    <row r="155" spans="1:16" s="208" customFormat="1" x14ac:dyDescent="0.25">
      <c r="A155"/>
      <c r="B155" s="746"/>
      <c r="C155" s="744"/>
      <c r="D155" s="759"/>
      <c r="E155" s="746"/>
      <c r="F155" s="744"/>
      <c r="G155" s="759"/>
      <c r="H155" s="763"/>
      <c r="I155" s="744"/>
      <c r="J155" s="764"/>
      <c r="K155" s="763"/>
      <c r="L155" s="744"/>
      <c r="M155" s="764"/>
      <c r="N155" s="746"/>
      <c r="O155" s="744"/>
      <c r="P155" s="768"/>
    </row>
    <row r="156" spans="1:16" s="208" customFormat="1" x14ac:dyDescent="0.25">
      <c r="A156" s="699" t="s">
        <v>857</v>
      </c>
      <c r="B156" s="717">
        <f>Unitflowchart!$S$51/Unitflowchart!$S$357*(RailTransport!J15)*Unitflowchart!$S$62</f>
        <v>0</v>
      </c>
      <c r="C156" s="770">
        <f>(B156/B$359)*100</f>
        <v>0</v>
      </c>
      <c r="D156" s="725">
        <f>Unitflowchart!$S$51/Unitflowchart!$S$357*(RailTransport!K15)*Unitflowchart!$S$62</f>
        <v>0</v>
      </c>
      <c r="E156" s="717">
        <f>Unitflowchart!$S$51/Unitflowchart!$S$357*(RailTransport!P15)*Unitflowchart!$S$62</f>
        <v>0</v>
      </c>
      <c r="F156" s="770">
        <f>(E156/E$359)*100</f>
        <v>0</v>
      </c>
      <c r="G156" s="725">
        <f>Unitflowchart!$S$51/Unitflowchart!$S$357*(RailTransport!Q15)*Unitflowchart!$S$62</f>
        <v>0</v>
      </c>
      <c r="H156" s="706">
        <f>Unitflowchart!$S55/Unitflowchart!$S$357*(RailTransport!V15)*Unitflowchart!$S$62</f>
        <v>0</v>
      </c>
      <c r="I156" s="770">
        <f>(H156/H$359)*100</f>
        <v>0</v>
      </c>
      <c r="J156" s="703">
        <f>Unitflowchart!$S$51/Unitflowchart!$S$357*(RailTransport!W15)*Unitflowchart!$S$62</f>
        <v>0</v>
      </c>
      <c r="K156" s="706">
        <f>Unitflowchart!$S$51/Unitflowchart!$S$357*(RailTransport!AB15)*Unitflowchart!$S$62</f>
        <v>0</v>
      </c>
      <c r="L156" s="770">
        <f>(K156/K$359)*100</f>
        <v>0</v>
      </c>
      <c r="M156" s="703">
        <f>Unitflowchart!$S$51/Unitflowchart!$S$357*(RailTransport!AC15)*Unitflowchart!$S$62</f>
        <v>0</v>
      </c>
      <c r="N156" s="717">
        <f>E156+(GlobalWarmingPotentials!$B$11*H156)+(GlobalWarmingPotentials!$C$11*K156)</f>
        <v>0</v>
      </c>
      <c r="O156" s="770">
        <f>(N156/N$359)*100</f>
        <v>0</v>
      </c>
      <c r="P156" s="775">
        <f>SQRT((G156^2)+((GlobalWarmingPotentials!$B$11*J156)^2)+((GlobalWarmingPotentials!$C$11*M156)^2))</f>
        <v>0</v>
      </c>
    </row>
    <row r="157" spans="1:16" s="208" customFormat="1" x14ac:dyDescent="0.25">
      <c r="A157" s="756"/>
      <c r="B157" s="746"/>
      <c r="C157" s="744"/>
      <c r="D157" s="759"/>
      <c r="E157" s="746"/>
      <c r="F157" s="744"/>
      <c r="G157" s="759"/>
      <c r="H157" s="763"/>
      <c r="I157" s="744"/>
      <c r="J157" s="764"/>
      <c r="K157" s="763"/>
      <c r="L157" s="744"/>
      <c r="M157" s="764"/>
      <c r="N157" s="746"/>
      <c r="O157" s="744"/>
      <c r="P157" s="768"/>
    </row>
    <row r="158" spans="1:16" s="208" customFormat="1" x14ac:dyDescent="0.25">
      <c r="A158" s="384" t="s">
        <v>858</v>
      </c>
      <c r="B158" s="746"/>
      <c r="C158" s="744"/>
      <c r="D158" s="759"/>
      <c r="E158" s="746"/>
      <c r="F158" s="744"/>
      <c r="G158" s="759"/>
      <c r="H158" s="763"/>
      <c r="I158" s="744"/>
      <c r="J158" s="764"/>
      <c r="K158" s="763"/>
      <c r="L158" s="744"/>
      <c r="M158" s="764"/>
      <c r="N158" s="746"/>
      <c r="O158" s="744"/>
      <c r="P158" s="768"/>
    </row>
    <row r="159" spans="1:16" s="208" customFormat="1" x14ac:dyDescent="0.25">
      <c r="A159"/>
      <c r="B159" s="746"/>
      <c r="C159" s="744"/>
      <c r="D159" s="759"/>
      <c r="E159" s="746"/>
      <c r="F159" s="744"/>
      <c r="G159" s="759"/>
      <c r="H159" s="763"/>
      <c r="I159" s="744"/>
      <c r="J159" s="764"/>
      <c r="K159" s="763"/>
      <c r="L159" s="744"/>
      <c r="M159" s="764"/>
      <c r="N159" s="746"/>
      <c r="O159" s="744"/>
      <c r="P159" s="768"/>
    </row>
    <row r="160" spans="1:16" s="208" customFormat="1" x14ac:dyDescent="0.25">
      <c r="A160" t="str">
        <f>BargeTransport!A11</f>
        <v xml:space="preserve"> - Marine Diesel</v>
      </c>
      <c r="B160" s="771">
        <f>Unitflowchart!$S$51/Unitflowchart!$S$357*(BargeTransport!J11)*Unitflowchart!$S$64</f>
        <v>0</v>
      </c>
      <c r="C160" s="744">
        <f>(B160/B$359)*100</f>
        <v>0</v>
      </c>
      <c r="D160" s="772">
        <f>Unitflowchart!$S$51/Unitflowchart!$S$357*(BargeTransport!K11)*Unitflowchart!$S$64</f>
        <v>0</v>
      </c>
      <c r="E160" s="771">
        <f>Unitflowchart!$S$51/Unitflowchart!$S$357*(BargeTransport!P11)*Unitflowchart!$S$64</f>
        <v>0</v>
      </c>
      <c r="F160" s="744">
        <f>(E160/E$359)*100</f>
        <v>0</v>
      </c>
      <c r="G160" s="772">
        <f>Unitflowchart!$S$51/Unitflowchart!$S$357*(BargeTransport!Q11)*Unitflowchart!$S$64</f>
        <v>0</v>
      </c>
      <c r="H160" s="773">
        <f>Unitflowchart!$S59/Unitflowchart!$S$357*(BargeTransport!V11)*Unitflowchart!$S$64</f>
        <v>0</v>
      </c>
      <c r="I160" s="744">
        <f>(H160/H$359)*100</f>
        <v>0</v>
      </c>
      <c r="J160" s="774">
        <f>Unitflowchart!$S$51/Unitflowchart!$S$357*(BargeTransport!W11)*Unitflowchart!$S$64</f>
        <v>0</v>
      </c>
      <c r="K160" s="773">
        <f>Unitflowchart!$S$51/Unitflowchart!$S$357*(BargeTransport!AB11)*Unitflowchart!$S$64</f>
        <v>0</v>
      </c>
      <c r="L160" s="744">
        <f>(K160/K$359)*100</f>
        <v>0</v>
      </c>
      <c r="M160" s="774">
        <f>Unitflowchart!$S$51/Unitflowchart!$S$357*(BargeTransport!AC11)*Unitflowchart!$S$64</f>
        <v>0</v>
      </c>
      <c r="N160" s="771">
        <f>E160+(GlobalWarmingPotentials!$B$11*H160)+(GlobalWarmingPotentials!$C$11*K160)</f>
        <v>0</v>
      </c>
      <c r="O160" s="744">
        <f>(N160/N$359)*100</f>
        <v>0</v>
      </c>
      <c r="P160" s="776">
        <f>SQRT((G160^2)+((GlobalWarmingPotentials!$B$11*J160)^2)+((GlobalWarmingPotentials!$C$11*M160)^2))</f>
        <v>0</v>
      </c>
    </row>
    <row r="161" spans="1:23" s="208" customFormat="1" x14ac:dyDescent="0.25">
      <c r="A161" t="str">
        <f>BargeTransport!A12</f>
        <v xml:space="preserve"> - Barge Construction</v>
      </c>
      <c r="B161" s="771">
        <f>Unitflowchart!$S$51/Unitflowchart!$S$357*(BargeTransport!J12)*Unitflowchart!$S$64</f>
        <v>0</v>
      </c>
      <c r="C161" s="744">
        <f>(B161/B$359)*100</f>
        <v>0</v>
      </c>
      <c r="D161" s="772">
        <f>Unitflowchart!$S$51/Unitflowchart!$S$357*(BargeTransport!K12)*Unitflowchart!$S$64</f>
        <v>0</v>
      </c>
      <c r="E161" s="771">
        <f>Unitflowchart!$S$51/Unitflowchart!$S$357*(BargeTransport!P12)*Unitflowchart!$S$64</f>
        <v>0</v>
      </c>
      <c r="F161" s="744">
        <f>(E161/E$359)*100</f>
        <v>0</v>
      </c>
      <c r="G161" s="772">
        <f>Unitflowchart!$S$51/Unitflowchart!$S$357*(BargeTransport!Q12)*Unitflowchart!$S$64</f>
        <v>0</v>
      </c>
      <c r="H161" s="773">
        <f>Unitflowchart!$S60/Unitflowchart!$S$357*(BargeTransport!V12)*Unitflowchart!$S$64</f>
        <v>0</v>
      </c>
      <c r="I161" s="744">
        <f>(H161/H$359)*100</f>
        <v>0</v>
      </c>
      <c r="J161" s="774">
        <f>Unitflowchart!$S$51/Unitflowchart!$S$357*(BargeTransport!W12)*Unitflowchart!$S$64</f>
        <v>0</v>
      </c>
      <c r="K161" s="773">
        <f>Unitflowchart!$S$51/Unitflowchart!$S$357*(BargeTransport!AB12)*Unitflowchart!$S$64</f>
        <v>0</v>
      </c>
      <c r="L161" s="744">
        <f>(K161/K$359)*100</f>
        <v>0</v>
      </c>
      <c r="M161" s="774">
        <f>Unitflowchart!$S$51/Unitflowchart!$S$357*(BargeTransport!AC12)*Unitflowchart!$S$64</f>
        <v>0</v>
      </c>
      <c r="N161" s="771">
        <f>E161+(GlobalWarmingPotentials!$B$11*H161)+(GlobalWarmingPotentials!$C$11*K161)</f>
        <v>0</v>
      </c>
      <c r="O161" s="744">
        <f>(N161/N$359)*100</f>
        <v>0</v>
      </c>
      <c r="P161" s="776">
        <f>SQRT((G161^2)+((GlobalWarmingPotentials!$B$11*J161)^2)+((GlobalWarmingPotentials!$C$11*M161)^2))</f>
        <v>0</v>
      </c>
    </row>
    <row r="162" spans="1:23" s="208" customFormat="1" x14ac:dyDescent="0.25">
      <c r="A162" t="str">
        <f>BargeTransport!A13</f>
        <v xml:space="preserve"> - Barge Maintenance</v>
      </c>
      <c r="B162" s="771">
        <f>Unitflowchart!$S$51/Unitflowchart!$S$357*(BargeTransport!J13)*Unitflowchart!$S$64</f>
        <v>0</v>
      </c>
      <c r="C162" s="744">
        <f>(B162/B$359)*100</f>
        <v>0</v>
      </c>
      <c r="D162" s="772">
        <f>Unitflowchart!$S$51/Unitflowchart!$S$357*(BargeTransport!K13)*Unitflowchart!$S$64</f>
        <v>0</v>
      </c>
      <c r="E162" s="771">
        <f>Unitflowchart!$S$51/Unitflowchart!$S$357*(BargeTransport!P13)*Unitflowchart!$S$64</f>
        <v>0</v>
      </c>
      <c r="F162" s="744">
        <f>(E162/E$359)*100</f>
        <v>0</v>
      </c>
      <c r="G162" s="772">
        <f>Unitflowchart!$S$51/Unitflowchart!$S$357*(BargeTransport!Q13)*Unitflowchart!$S$64</f>
        <v>0</v>
      </c>
      <c r="H162" s="773">
        <f>Unitflowchart!$S61/Unitflowchart!$S$357*(BargeTransport!V13)*Unitflowchart!$S$64</f>
        <v>0</v>
      </c>
      <c r="I162" s="744">
        <f>(H162/H$359)*100</f>
        <v>0</v>
      </c>
      <c r="J162" s="774">
        <f>Unitflowchart!$S$51/Unitflowchart!$S$357*(BargeTransport!W13)*Unitflowchart!$S$64</f>
        <v>0</v>
      </c>
      <c r="K162" s="773">
        <f>Unitflowchart!$S$51/Unitflowchart!$S$357*(BargeTransport!AB13)*Unitflowchart!$S$64</f>
        <v>0</v>
      </c>
      <c r="L162" s="744">
        <f>(K162/K$359)*100</f>
        <v>0</v>
      </c>
      <c r="M162" s="774">
        <f>Unitflowchart!$S$51/Unitflowchart!$S$357*(BargeTransport!AC13)*Unitflowchart!$S$64</f>
        <v>0</v>
      </c>
      <c r="N162" s="771">
        <f>E162+(GlobalWarmingPotentials!$B$11*H162)+(GlobalWarmingPotentials!$C$11*K162)</f>
        <v>0</v>
      </c>
      <c r="O162" s="744">
        <f>(N162/N$359)*100</f>
        <v>0</v>
      </c>
      <c r="P162" s="776">
        <f>SQRT((G162^2)+((GlobalWarmingPotentials!$B$11*J162)^2)+((GlobalWarmingPotentials!$C$11*M162)^2))</f>
        <v>0</v>
      </c>
    </row>
    <row r="163" spans="1:23" s="208" customFormat="1" x14ac:dyDescent="0.25">
      <c r="A163"/>
      <c r="B163" s="746"/>
      <c r="C163" s="744"/>
      <c r="D163" s="759"/>
      <c r="E163" s="746"/>
      <c r="F163" s="744"/>
      <c r="G163" s="759"/>
      <c r="H163" s="763"/>
      <c r="I163" s="744"/>
      <c r="J163" s="764"/>
      <c r="K163" s="763"/>
      <c r="L163" s="744"/>
      <c r="M163" s="764"/>
      <c r="N163" s="746"/>
      <c r="O163" s="744"/>
      <c r="P163" s="768"/>
    </row>
    <row r="164" spans="1:23" s="208" customFormat="1" x14ac:dyDescent="0.25">
      <c r="A164" s="699" t="s">
        <v>859</v>
      </c>
      <c r="B164" s="717">
        <f>Unitflowchart!$S$51/Unitflowchart!$S$357*(BargeTransport!J15)*Unitflowchart!$S$64</f>
        <v>0</v>
      </c>
      <c r="C164" s="770">
        <f>(B164/B$359)*100</f>
        <v>0</v>
      </c>
      <c r="D164" s="725">
        <f>Unitflowchart!$S$51/Unitflowchart!$S$357*(BargeTransport!K15)*Unitflowchart!$S$64</f>
        <v>0</v>
      </c>
      <c r="E164" s="717">
        <f>Unitflowchart!$S$51/Unitflowchart!$S$357*(BargeTransport!P15)*Unitflowchart!$S$64</f>
        <v>0</v>
      </c>
      <c r="F164" s="770">
        <f>(E164/E$359)*100</f>
        <v>0</v>
      </c>
      <c r="G164" s="725">
        <f>Unitflowchart!$S$51/Unitflowchart!$S$357*(BargeTransport!Q15)*Unitflowchart!$S$64</f>
        <v>0</v>
      </c>
      <c r="H164" s="706">
        <f>Unitflowchart!$S63/Unitflowchart!$S$357*(BargeTransport!V15)*Unitflowchart!$S$64</f>
        <v>0</v>
      </c>
      <c r="I164" s="770">
        <f>(H164/H$359)*100</f>
        <v>0</v>
      </c>
      <c r="J164" s="703">
        <f>Unitflowchart!$S$51/Unitflowchart!$S$357*(BargeTransport!W15)*Unitflowchart!$S$64</f>
        <v>0</v>
      </c>
      <c r="K164" s="706">
        <f>Unitflowchart!$S$51/Unitflowchart!$S$357*(BargeTransport!AB15)*Unitflowchart!$S$64</f>
        <v>0</v>
      </c>
      <c r="L164" s="770">
        <f>(K164/K$359)*100</f>
        <v>0</v>
      </c>
      <c r="M164" s="703">
        <f>Unitflowchart!$S$51/Unitflowchart!$S$357*(BargeTransport!AC15)*Unitflowchart!$S$64</f>
        <v>0</v>
      </c>
      <c r="N164" s="717">
        <f>E164+(GlobalWarmingPotentials!$B$11*H164)+(GlobalWarmingPotentials!$C$11*K164)</f>
        <v>0</v>
      </c>
      <c r="O164" s="770">
        <f>(N164/N$359)*100</f>
        <v>0</v>
      </c>
      <c r="P164" s="775">
        <f>SQRT((G164^2)+((GlobalWarmingPotentials!$B$11*J164)^2)+((GlobalWarmingPotentials!$C$11*M164)^2))</f>
        <v>0</v>
      </c>
    </row>
    <row r="165" spans="1:23" s="208" customFormat="1" x14ac:dyDescent="0.25">
      <c r="A165" s="756"/>
      <c r="B165" s="746"/>
      <c r="C165" s="744"/>
      <c r="D165" s="759"/>
      <c r="E165" s="746"/>
      <c r="F165" s="744"/>
      <c r="G165" s="759"/>
      <c r="H165" s="763"/>
      <c r="I165" s="744"/>
      <c r="J165" s="764"/>
      <c r="K165" s="763"/>
      <c r="L165" s="744"/>
      <c r="M165" s="764"/>
      <c r="N165" s="746"/>
      <c r="O165" s="744"/>
      <c r="P165" s="768"/>
    </row>
    <row r="166" spans="1:23" s="208" customFormat="1" x14ac:dyDescent="0.25">
      <c r="A166" s="384" t="s">
        <v>860</v>
      </c>
      <c r="B166" s="746"/>
      <c r="C166" s="744"/>
      <c r="D166" s="759"/>
      <c r="E166" s="746"/>
      <c r="F166" s="744"/>
      <c r="G166" s="759"/>
      <c r="H166" s="763"/>
      <c r="I166" s="744"/>
      <c r="J166" s="764"/>
      <c r="K166" s="763"/>
      <c r="L166" s="744"/>
      <c r="M166" s="764"/>
      <c r="N166" s="746"/>
      <c r="O166" s="744"/>
      <c r="P166" s="768"/>
    </row>
    <row r="167" spans="1:23" s="208" customFormat="1" x14ac:dyDescent="0.25">
      <c r="A167"/>
      <c r="B167" s="746"/>
      <c r="C167" s="744"/>
      <c r="D167" s="759"/>
      <c r="E167" s="746"/>
      <c r="F167" s="744"/>
      <c r="G167" s="759"/>
      <c r="H167" s="763"/>
      <c r="I167" s="744"/>
      <c r="J167" s="764"/>
      <c r="K167" s="763"/>
      <c r="L167" s="744"/>
      <c r="M167" s="764"/>
      <c r="N167" s="746"/>
      <c r="O167" s="744"/>
      <c r="P167" s="768"/>
    </row>
    <row r="168" spans="1:23" s="208" customFormat="1" x14ac:dyDescent="0.25">
      <c r="A168" t="str">
        <f>ShipTransport!A11</f>
        <v xml:space="preserve"> - Marine Diesel</v>
      </c>
      <c r="B168" s="771">
        <f>Unitflowchart!$S$51/Unitflowchart!$S$357*(ShipTransport!J11)*Unitflowchart!$S$66</f>
        <v>0</v>
      </c>
      <c r="C168" s="744">
        <f>(B168/B$359)*100</f>
        <v>0</v>
      </c>
      <c r="D168" s="772">
        <f>Unitflowchart!$S$51/Unitflowchart!$S$357*(ShipTransport!K11)*Unitflowchart!$S$66</f>
        <v>0</v>
      </c>
      <c r="E168" s="771">
        <f>Unitflowchart!$S$51/Unitflowchart!$S$357*(ShipTransport!P11)*Unitflowchart!$S$66</f>
        <v>0</v>
      </c>
      <c r="F168" s="744">
        <f>(E168/E$359)*100</f>
        <v>0</v>
      </c>
      <c r="G168" s="772">
        <f>Unitflowchart!$S$51/Unitflowchart!$S$357*(ShipTransport!Q11)*Unitflowchart!$S$66</f>
        <v>0</v>
      </c>
      <c r="H168" s="773">
        <f>Unitflowchart!$S67/Unitflowchart!$S$357*(ShipTransport!V11)*Unitflowchart!$S$66</f>
        <v>0</v>
      </c>
      <c r="I168" s="744">
        <f>(H168/H$359)*100</f>
        <v>0</v>
      </c>
      <c r="J168" s="774">
        <f>Unitflowchart!$S$51/Unitflowchart!$S$357*(ShipTransport!W11)*Unitflowchart!$S$66</f>
        <v>0</v>
      </c>
      <c r="K168" s="773">
        <f>Unitflowchart!$S$51/Unitflowchart!$S$357*(ShipTransport!AB11)*Unitflowchart!$S$66</f>
        <v>0</v>
      </c>
      <c r="L168" s="744">
        <f>(K168/K$359)*100</f>
        <v>0</v>
      </c>
      <c r="M168" s="774">
        <f>Unitflowchart!$S$51/Unitflowchart!$S$357*(ShipTransport!AC11)*Unitflowchart!$S$66</f>
        <v>0</v>
      </c>
      <c r="N168" s="771">
        <f>E168+(GlobalWarmingPotentials!$B$11*H168)+(GlobalWarmingPotentials!$C$11*K168)</f>
        <v>0</v>
      </c>
      <c r="O168" s="744">
        <f>(N168/N$359)*100</f>
        <v>0</v>
      </c>
      <c r="P168" s="776">
        <f>SQRT((G168^2)+((GlobalWarmingPotentials!$B$11*J168)^2)+((GlobalWarmingPotentials!$C$11*M168)^2))</f>
        <v>0</v>
      </c>
    </row>
    <row r="169" spans="1:23" s="208" customFormat="1" x14ac:dyDescent="0.25">
      <c r="A169" t="str">
        <f>ShipTransport!A12</f>
        <v xml:space="preserve"> - Ship Construction</v>
      </c>
      <c r="B169" s="771">
        <f>Unitflowchart!$S$51/Unitflowchart!$S$357*(ShipTransport!J12)*Unitflowchart!$S$66</f>
        <v>0</v>
      </c>
      <c r="C169" s="744">
        <f>(B169/B$359)*100</f>
        <v>0</v>
      </c>
      <c r="D169" s="772">
        <f>Unitflowchart!$S$51/Unitflowchart!$S$357*(ShipTransport!K12)*Unitflowchart!$S$66</f>
        <v>0</v>
      </c>
      <c r="E169" s="771">
        <f>Unitflowchart!$S$51/Unitflowchart!$S$357*(ShipTransport!P12)*Unitflowchart!$S$66</f>
        <v>0</v>
      </c>
      <c r="F169" s="744">
        <f>(E169/E$359)*100</f>
        <v>0</v>
      </c>
      <c r="G169" s="772">
        <f>Unitflowchart!$S$51/Unitflowchart!$S$357*(ShipTransport!Q12)*Unitflowchart!$S$66</f>
        <v>0</v>
      </c>
      <c r="H169" s="773">
        <f>Unitflowchart!$S68/Unitflowchart!$S$357*(ShipTransport!V12)*Unitflowchart!$S$66</f>
        <v>0</v>
      </c>
      <c r="I169" s="744">
        <f>(H169/H$359)*100</f>
        <v>0</v>
      </c>
      <c r="J169" s="774">
        <f>Unitflowchart!$S$51/Unitflowchart!$S$357*(ShipTransport!W12)*Unitflowchart!$S$66</f>
        <v>0</v>
      </c>
      <c r="K169" s="773">
        <f>Unitflowchart!$S$51/Unitflowchart!$S$357*(ShipTransport!AB12)*Unitflowchart!$S$66</f>
        <v>0</v>
      </c>
      <c r="L169" s="744">
        <f>(K169/K$359)*100</f>
        <v>0</v>
      </c>
      <c r="M169" s="774">
        <f>Unitflowchart!$S$51/Unitflowchart!$S$357*(ShipTransport!AC12)*Unitflowchart!$S$66</f>
        <v>0</v>
      </c>
      <c r="N169" s="771">
        <f>E169+(GlobalWarmingPotentials!$B$11*H169)+(GlobalWarmingPotentials!$C$11*K169)</f>
        <v>0</v>
      </c>
      <c r="O169" s="744">
        <f>(N169/N$359)*100</f>
        <v>0</v>
      </c>
      <c r="P169" s="776">
        <f>SQRT((G169^2)+((GlobalWarmingPotentials!$B$11*J169)^2)+((GlobalWarmingPotentials!$C$11*M169)^2))</f>
        <v>0</v>
      </c>
    </row>
    <row r="170" spans="1:23" s="208" customFormat="1" x14ac:dyDescent="0.25">
      <c r="A170" t="str">
        <f>ShipTransport!A13</f>
        <v xml:space="preserve"> - Ship Maintenance</v>
      </c>
      <c r="B170" s="771">
        <f>Unitflowchart!$S$51/Unitflowchart!$S$357*(ShipTransport!J13)*Unitflowchart!$S$66</f>
        <v>0</v>
      </c>
      <c r="C170" s="744">
        <f>(B170/B$359)*100</f>
        <v>0</v>
      </c>
      <c r="D170" s="772">
        <f>Unitflowchart!$S$51/Unitflowchart!$S$357*(ShipTransport!K13)*Unitflowchart!$S$66</f>
        <v>0</v>
      </c>
      <c r="E170" s="771">
        <f>Unitflowchart!$S$51/Unitflowchart!$S$357*(ShipTransport!P13)*Unitflowchart!$S$66</f>
        <v>0</v>
      </c>
      <c r="F170" s="744">
        <f>(E170/E$359)*100</f>
        <v>0</v>
      </c>
      <c r="G170" s="772">
        <f>Unitflowchart!$S$51/Unitflowchart!$S$357*(ShipTransport!Q13)*Unitflowchart!$S$66</f>
        <v>0</v>
      </c>
      <c r="H170" s="773">
        <f>Unitflowchart!$S69/Unitflowchart!$S$357*(ShipTransport!V13)*Unitflowchart!$S$66</f>
        <v>0</v>
      </c>
      <c r="I170" s="744">
        <f>(H170/H$359)*100</f>
        <v>0</v>
      </c>
      <c r="J170" s="774">
        <f>Unitflowchart!$S$51/Unitflowchart!$S$357*(ShipTransport!W13)*Unitflowchart!$S$66</f>
        <v>0</v>
      </c>
      <c r="K170" s="773">
        <f>Unitflowchart!$S$51/Unitflowchart!$S$357*(ShipTransport!AB13)*Unitflowchart!$S$66</f>
        <v>0</v>
      </c>
      <c r="L170" s="744">
        <f>(K170/K$359)*100</f>
        <v>0</v>
      </c>
      <c r="M170" s="774">
        <f>Unitflowchart!$S$51/Unitflowchart!$S$357*(ShipTransport!AC13)*Unitflowchart!$S$66</f>
        <v>0</v>
      </c>
      <c r="N170" s="771">
        <f>E170+(GlobalWarmingPotentials!$B$11*H170)+(GlobalWarmingPotentials!$C$11*K170)</f>
        <v>0</v>
      </c>
      <c r="O170" s="744">
        <f>(N170/N$359)*100</f>
        <v>0</v>
      </c>
      <c r="P170" s="776">
        <f>SQRT((G170^2)+((GlobalWarmingPotentials!$B$11*J170)^2)+((GlobalWarmingPotentials!$C$11*M170)^2))</f>
        <v>0</v>
      </c>
    </row>
    <row r="171" spans="1:23" s="208" customFormat="1" x14ac:dyDescent="0.25">
      <c r="A171"/>
      <c r="B171" s="746"/>
      <c r="C171" s="744"/>
      <c r="D171" s="759"/>
      <c r="E171" s="746"/>
      <c r="F171" s="744"/>
      <c r="G171" s="759"/>
      <c r="H171" s="763"/>
      <c r="I171" s="744"/>
      <c r="J171" s="764"/>
      <c r="K171" s="763"/>
      <c r="L171" s="744"/>
      <c r="M171" s="764"/>
      <c r="N171" s="746"/>
      <c r="O171" s="744"/>
      <c r="P171" s="768"/>
    </row>
    <row r="172" spans="1:23" s="208" customFormat="1" x14ac:dyDescent="0.25">
      <c r="A172" s="699" t="s">
        <v>861</v>
      </c>
      <c r="B172" s="777">
        <f>Unitflowchart!$S$51/Unitflowchart!$S$357*(ShipTransport!J15)*Unitflowchart!$S$66</f>
        <v>0</v>
      </c>
      <c r="C172" s="769">
        <f>(B172/B$359)*100</f>
        <v>0</v>
      </c>
      <c r="D172" s="778">
        <f>Unitflowchart!$S$51/Unitflowchart!$S$357*(ShipTransport!K15)*Unitflowchart!$S$66</f>
        <v>0</v>
      </c>
      <c r="E172" s="777">
        <f>Unitflowchart!$S$51/Unitflowchart!$S$357*(ShipTransport!P15)*Unitflowchart!$S$66</f>
        <v>0</v>
      </c>
      <c r="F172" s="769">
        <f>(E172/E$359)*100</f>
        <v>0</v>
      </c>
      <c r="G172" s="778">
        <f>Unitflowchart!$S$51/Unitflowchart!$S$357*(ShipTransport!Q15)*Unitflowchart!$S$66</f>
        <v>0</v>
      </c>
      <c r="H172" s="779">
        <f>Unitflowchart!$S71/Unitflowchart!$S$357*(ShipTransport!V15)*Unitflowchart!$S$66</f>
        <v>0</v>
      </c>
      <c r="I172" s="769">
        <f>(H172/H$359)*100</f>
        <v>0</v>
      </c>
      <c r="J172" s="780">
        <f>Unitflowchart!$S$51/Unitflowchart!$S$357*(ShipTransport!W15)*Unitflowchart!$S$66</f>
        <v>0</v>
      </c>
      <c r="K172" s="779">
        <f>Unitflowchart!$S$51/Unitflowchart!$S$357*(ShipTransport!AB15)*Unitflowchart!$S$66</f>
        <v>0</v>
      </c>
      <c r="L172" s="769">
        <f>(K172/K$359)*100</f>
        <v>0</v>
      </c>
      <c r="M172" s="780">
        <f>Unitflowchart!$S$51/Unitflowchart!$S$357*(ShipTransport!AC15)*Unitflowchart!$S$66</f>
        <v>0</v>
      </c>
      <c r="N172" s="777">
        <f>E172+(GlobalWarmingPotentials!$B$11*H172)+(GlobalWarmingPotentials!$C$11*K172)</f>
        <v>0</v>
      </c>
      <c r="O172" s="769">
        <f>(N172/N$359)*100</f>
        <v>0</v>
      </c>
      <c r="P172" s="781">
        <f>SQRT((G172^2)+((GlobalWarmingPotentials!$B$11*J172)^2)+((GlobalWarmingPotentials!$C$11*M172)^2))</f>
        <v>0</v>
      </c>
    </row>
    <row r="173" spans="1:23" s="358" customFormat="1" x14ac:dyDescent="0.25">
      <c r="A173" s="757"/>
      <c r="B173" s="760"/>
      <c r="C173" s="754"/>
      <c r="D173" s="761"/>
      <c r="E173" s="760"/>
      <c r="F173" s="754"/>
      <c r="G173" s="761"/>
      <c r="H173" s="765"/>
      <c r="I173" s="754"/>
      <c r="J173" s="766"/>
      <c r="K173" s="765"/>
      <c r="L173" s="754"/>
      <c r="M173" s="766"/>
      <c r="N173" s="760"/>
      <c r="O173" s="754"/>
      <c r="P173" s="761"/>
    </row>
    <row r="174" spans="1:23" x14ac:dyDescent="0.25">
      <c r="A174" s="20" t="s">
        <v>845</v>
      </c>
      <c r="B174" s="748">
        <f>B148+B156+B164+B172</f>
        <v>0</v>
      </c>
      <c r="C174" s="749">
        <f>(B174/B$359)*100</f>
        <v>0</v>
      </c>
      <c r="D174" s="750">
        <f>SQRT((D148^2)+(D156^2)+(D164^2)+(D172^2))</f>
        <v>0</v>
      </c>
      <c r="E174" s="748">
        <f t="shared" ref="E174" si="30">E148+E156+E164+E172</f>
        <v>0</v>
      </c>
      <c r="F174" s="749">
        <f>(E174/E$359)*100</f>
        <v>0</v>
      </c>
      <c r="G174" s="750">
        <f t="shared" ref="G174" si="31">SQRT((G148^2)+(G156^2)+(G164^2)+(G172^2))</f>
        <v>0</v>
      </c>
      <c r="H174" s="751">
        <f t="shared" ref="H174" si="32">H148+H156+H164+H172</f>
        <v>0</v>
      </c>
      <c r="I174" s="749">
        <f>(H174/H$359)*100</f>
        <v>0</v>
      </c>
      <c r="J174" s="752">
        <f t="shared" ref="J174" si="33">SQRT((J148^2)+(J156^2)+(J164^2)+(J172^2))</f>
        <v>0</v>
      </c>
      <c r="K174" s="751">
        <f t="shared" ref="K174" si="34">K148+K156+K164+K172</f>
        <v>0</v>
      </c>
      <c r="L174" s="749">
        <f>(K174/K$359)*100</f>
        <v>0</v>
      </c>
      <c r="M174" s="752">
        <f t="shared" ref="M174" si="35">SQRT((M148^2)+(M156^2)+(M164^2)+(M172^2))</f>
        <v>0</v>
      </c>
      <c r="N174" s="748">
        <f t="shared" ref="N174" si="36">N148+N156+N164+N172</f>
        <v>0</v>
      </c>
      <c r="O174" s="749">
        <f>(N174/N$359)*100</f>
        <v>0</v>
      </c>
      <c r="P174" s="750">
        <f t="shared" ref="P174" si="37">SQRT((P148^2)+(P156^2)+(P164^2)+(P172^2))</f>
        <v>0</v>
      </c>
      <c r="Q174" s="29"/>
    </row>
    <row r="175" spans="1:23" s="42" customFormat="1" x14ac:dyDescent="0.25">
      <c r="A175" s="154"/>
      <c r="B175" s="875"/>
      <c r="C175" s="878"/>
      <c r="D175" s="922"/>
      <c r="E175" s="875"/>
      <c r="F175" s="878"/>
      <c r="G175" s="922"/>
      <c r="H175" s="879"/>
      <c r="I175" s="878"/>
      <c r="J175" s="880"/>
      <c r="K175" s="879"/>
      <c r="L175" s="878"/>
      <c r="M175" s="923"/>
      <c r="N175" s="875"/>
      <c r="O175" s="878"/>
      <c r="P175" s="922"/>
      <c r="Q175" s="823"/>
    </row>
    <row r="176" spans="1:23" x14ac:dyDescent="0.25">
      <c r="A176" s="1512" t="s">
        <v>1918</v>
      </c>
      <c r="B176" s="875"/>
      <c r="C176" s="878"/>
      <c r="D176" s="922"/>
      <c r="E176" s="875"/>
      <c r="F176" s="878"/>
      <c r="G176" s="922"/>
      <c r="H176" s="879"/>
      <c r="I176" s="878"/>
      <c r="J176" s="880"/>
      <c r="K176" s="879"/>
      <c r="L176" s="878"/>
      <c r="M176" s="923"/>
      <c r="N176" s="875"/>
      <c r="O176" s="878"/>
      <c r="P176" s="922"/>
      <c r="Q176" s="823"/>
      <c r="R176" s="42"/>
      <c r="S176" s="42"/>
      <c r="T176" s="42"/>
      <c r="U176" s="42"/>
      <c r="V176" s="42"/>
      <c r="W176" s="42"/>
    </row>
    <row r="177" spans="1:23" x14ac:dyDescent="0.25">
      <c r="A177" s="1517"/>
      <c r="B177" s="875"/>
      <c r="C177" s="878"/>
      <c r="D177" s="922"/>
      <c r="E177" s="875"/>
      <c r="F177" s="878"/>
      <c r="G177" s="922"/>
      <c r="H177" s="879"/>
      <c r="I177" s="878"/>
      <c r="J177" s="880"/>
      <c r="K177" s="879"/>
      <c r="L177" s="878"/>
      <c r="M177" s="923"/>
      <c r="N177" s="875"/>
      <c r="O177" s="878"/>
      <c r="P177" s="922"/>
      <c r="Q177" s="823"/>
      <c r="R177" s="42"/>
      <c r="S177" s="42"/>
      <c r="T177" s="42"/>
      <c r="U177" s="42"/>
      <c r="V177" s="42"/>
      <c r="W177" s="42"/>
    </row>
    <row r="178" spans="1:23" x14ac:dyDescent="0.25">
      <c r="A178" s="1518" t="str">
        <f>Milling!A18</f>
        <v>Electricity Input</v>
      </c>
      <c r="B178" s="715">
        <f>Milling!J18*(Unitflowchart!$S$286/Unitflowchart!$S$357)</f>
        <v>0</v>
      </c>
      <c r="C178" s="744">
        <f>(B178/B$359)*100</f>
        <v>0</v>
      </c>
      <c r="D178" s="481">
        <f>Milling!K18*(Unitflowchart!$S$286/Unitflowchart!$S$357)</f>
        <v>0</v>
      </c>
      <c r="E178" s="715">
        <f>Milling!P18*(Unitflowchart!$S$286/Unitflowchart!$S$357)</f>
        <v>0</v>
      </c>
      <c r="F178" s="744">
        <f>(E178/E$359)*100</f>
        <v>0</v>
      </c>
      <c r="G178" s="481">
        <f>Milling!Q18*(Unitflowchart!$S$286/Unitflowchart!$S$357)</f>
        <v>0</v>
      </c>
      <c r="H178" s="715">
        <f>Milling!V18*(Unitflowchart!$S$286/Unitflowchart!$S$357)</f>
        <v>4.9893379868219297E-3</v>
      </c>
      <c r="I178" s="744">
        <f>(H178/H$359)*100</f>
        <v>0.2797902415487033</v>
      </c>
      <c r="J178" s="481">
        <f>Milling!W18*(Unitflowchart!$S$286/Unitflowchart!$S$357)</f>
        <v>0</v>
      </c>
      <c r="K178" s="715">
        <f>Milling!AB18*(Unitflowchart!$S$286/Unitflowchart!$S$357)</f>
        <v>1.4968013960465786E-3</v>
      </c>
      <c r="L178" s="744">
        <f>(K178/K$359)*100</f>
        <v>8.245764897127221E-2</v>
      </c>
      <c r="M178" s="481">
        <f>Milling!AC18*(Unitflowchart!$S$286/Unitflowchart!$S$357)</f>
        <v>0</v>
      </c>
      <c r="N178" s="711">
        <f>E178+(GlobalWarmingPotentials!$B$11*H178)+(GlobalWarmingPotentials!$C$11*K178)</f>
        <v>0.55780798692669165</v>
      </c>
      <c r="O178" s="744">
        <f>(N178/N$359)*100</f>
        <v>3.1434412307694823E-2</v>
      </c>
      <c r="P178" s="740">
        <f>SQRT((G178^2)+((GlobalWarmingPotentials!$B$11*J178)^2)+((GlobalWarmingPotentials!$C$11*M178)^2))</f>
        <v>0</v>
      </c>
      <c r="Q178" s="29"/>
    </row>
    <row r="179" spans="1:23" s="42" customFormat="1" x14ac:dyDescent="0.25">
      <c r="A179" s="1517"/>
      <c r="B179" s="875"/>
      <c r="C179" s="878"/>
      <c r="D179" s="922"/>
      <c r="E179" s="875"/>
      <c r="F179" s="878"/>
      <c r="G179" s="922"/>
      <c r="H179" s="875"/>
      <c r="I179" s="878"/>
      <c r="J179" s="922"/>
      <c r="K179" s="875"/>
      <c r="L179" s="878"/>
      <c r="M179" s="922"/>
      <c r="N179" s="875"/>
      <c r="O179" s="878"/>
      <c r="P179" s="922"/>
      <c r="Q179" s="823"/>
    </row>
    <row r="180" spans="1:23" s="6" customFormat="1" x14ac:dyDescent="0.25">
      <c r="A180" s="1513" t="s">
        <v>1919</v>
      </c>
      <c r="B180" s="714">
        <f>Milling!J20*(Unitflowchart!$S$286/Unitflowchart!$S$357)</f>
        <v>0</v>
      </c>
      <c r="C180" s="14">
        <f>(B180/B$359)*100</f>
        <v>0</v>
      </c>
      <c r="D180" s="722">
        <f>Milling!K20*(Unitflowchart!$S$286/Unitflowchart!$S$357)</f>
        <v>0</v>
      </c>
      <c r="E180" s="714">
        <f>Milling!P20*(Unitflowchart!$S$286/Unitflowchart!$S$357)</f>
        <v>0</v>
      </c>
      <c r="F180" s="14">
        <f>(E180/E$359)*100</f>
        <v>0</v>
      </c>
      <c r="G180" s="722">
        <f>Milling!Q20*(Unitflowchart!$S$286/Unitflowchart!$S$357)</f>
        <v>0</v>
      </c>
      <c r="H180" s="714">
        <f>Milling!V20*(Unitflowchart!$S$286/Unitflowchart!$S$357)</f>
        <v>4.9893379868219297E-3</v>
      </c>
      <c r="I180" s="14">
        <f>(H180/H$359)*100</f>
        <v>0.2797902415487033</v>
      </c>
      <c r="J180" s="722">
        <f>Milling!W20*(Unitflowchart!$S$286/Unitflowchart!$S$357)</f>
        <v>0</v>
      </c>
      <c r="K180" s="714">
        <f>Milling!AB20*(Unitflowchart!$S$286/Unitflowchart!$S$357)</f>
        <v>1.4968013960465786E-3</v>
      </c>
      <c r="L180" s="14">
        <f>(K180/K$359)*100</f>
        <v>8.245764897127221E-2</v>
      </c>
      <c r="M180" s="722">
        <f>Milling!AC20*(Unitflowchart!$S$286/Unitflowchart!$S$357)</f>
        <v>0</v>
      </c>
      <c r="N180" s="714">
        <f>E180+(GlobalWarmingPotentials!$B$11*H180)+(GlobalWarmingPotentials!$C$11*K180)</f>
        <v>0.55780798692669165</v>
      </c>
      <c r="O180" s="14">
        <f>(N180/N$359)*100</f>
        <v>3.1434412307694823E-2</v>
      </c>
      <c r="P180" s="739">
        <f>SQRT((G180^2)+((GlobalWarmingPotentials!$B$11*J180)^2)+((GlobalWarmingPotentials!$C$11*M180)^2))</f>
        <v>0</v>
      </c>
      <c r="Q180" s="28"/>
    </row>
    <row r="181" spans="1:23" x14ac:dyDescent="0.25">
      <c r="A181" s="219"/>
      <c r="B181" s="716"/>
      <c r="D181" s="718"/>
      <c r="E181" s="716"/>
      <c r="G181" s="718"/>
      <c r="H181" s="731"/>
      <c r="J181" s="708"/>
      <c r="K181" s="731"/>
      <c r="M181" s="708"/>
      <c r="N181" s="716"/>
      <c r="P181" s="718"/>
      <c r="Q181" s="29"/>
    </row>
    <row r="182" spans="1:23" x14ac:dyDescent="0.25">
      <c r="A182" s="817" t="s">
        <v>1920</v>
      </c>
      <c r="B182" s="712"/>
      <c r="D182" s="718"/>
      <c r="E182" s="712"/>
      <c r="G182" s="718"/>
      <c r="H182" s="30"/>
      <c r="J182" s="708"/>
      <c r="K182" s="30"/>
      <c r="M182" s="708"/>
      <c r="N182" s="712"/>
      <c r="P182" s="718"/>
      <c r="Q182" s="29"/>
    </row>
    <row r="183" spans="1:23" x14ac:dyDescent="0.25">
      <c r="A183" s="219"/>
      <c r="B183" s="712"/>
      <c r="D183" s="718"/>
      <c r="E183" s="712"/>
      <c r="G183" s="718"/>
      <c r="H183" s="30"/>
      <c r="J183" s="708"/>
      <c r="K183" s="30"/>
      <c r="M183" s="708"/>
      <c r="N183" s="712"/>
      <c r="P183" s="718"/>
      <c r="Q183" s="29"/>
    </row>
    <row r="184" spans="1:23" x14ac:dyDescent="0.25">
      <c r="A184" s="219" t="str">
        <f>'Pre-TreatHydrolysis'!A29</f>
        <v>Heat Input</v>
      </c>
      <c r="B184" s="715">
        <f>'Pre-TreatHydrolysis'!J29*(Unitflowchart!$S$286/Unitflowchart!$S$357)</f>
        <v>0</v>
      </c>
      <c r="C184" s="25">
        <f t="shared" ref="C184:C195" si="38">(B184/B$359)*100</f>
        <v>0</v>
      </c>
      <c r="D184" s="355">
        <f>'Pre-TreatHydrolysis'!K29*(Unitflowchart!$S$286/Unitflowchart!$S$357)</f>
        <v>0</v>
      </c>
      <c r="E184" s="715">
        <f>'Pre-TreatHydrolysis'!P29*(Unitflowchart!$S$286/Unitflowchart!$S$357)</f>
        <v>0</v>
      </c>
      <c r="F184" s="25">
        <f t="shared" ref="F184:F195" si="39">(E184/E$359)*100</f>
        <v>0</v>
      </c>
      <c r="G184" s="355">
        <f>'Pre-TreatHydrolysis'!Q29*(Unitflowchart!$S$286/Unitflowchart!$S$357)</f>
        <v>0</v>
      </c>
      <c r="H184" s="730">
        <f>'Pre-TreatHydrolysis'!V29*(Unitflowchart!$S$286/Unitflowchart!$S$357)</f>
        <v>4.2299481139922218E-3</v>
      </c>
      <c r="I184" s="25">
        <f t="shared" ref="I184:I195" si="40">(H184/H$359)*100</f>
        <v>0.23720545845526517</v>
      </c>
      <c r="J184" s="733">
        <f>'Pre-TreatHydrolysis'!W29*(Unitflowchart!$S$286/Unitflowchart!$S$357)</f>
        <v>0</v>
      </c>
      <c r="K184" s="730">
        <f>'Pre-TreatHydrolysis'!AB29*(Unitflowchart!$S$286/Unitflowchart!$S$357)</f>
        <v>1.2689844341976667E-3</v>
      </c>
      <c r="L184" s="25">
        <f t="shared" ref="L184:L195" si="41">(K184/K$359)*100</f>
        <v>6.9907386044302897E-2</v>
      </c>
      <c r="M184" s="733">
        <f>'Pre-TreatHydrolysis'!AC29*(Unitflowchart!$S$286/Unitflowchart!$S$357)</f>
        <v>0</v>
      </c>
      <c r="N184" s="711">
        <f>E184+(GlobalWarmingPotentials!$B$11*H184)+(GlobalWarmingPotentials!$C$11*K184)</f>
        <v>0.47290819914433041</v>
      </c>
      <c r="O184" s="25">
        <f t="shared" ref="O184:O195" si="42">(N184/N$359)*100</f>
        <v>2.6650015173673026E-2</v>
      </c>
      <c r="P184" s="740">
        <f>SQRT((G184^2)+((GlobalWarmingPotentials!$B$11*J184)^2)+((GlobalWarmingPotentials!$C$11*M184)^2))</f>
        <v>0</v>
      </c>
      <c r="Q184" s="29"/>
    </row>
    <row r="185" spans="1:23" x14ac:dyDescent="0.25">
      <c r="A185" s="219" t="str">
        <f>'Pre-TreatHydrolysis'!A30</f>
        <v>Electricity Input</v>
      </c>
      <c r="B185" s="715">
        <f>'Pre-TreatHydrolysis'!J30*(Unitflowchart!$S$286/Unitflowchart!$S$357)</f>
        <v>0</v>
      </c>
      <c r="C185" s="25">
        <f t="shared" si="38"/>
        <v>0</v>
      </c>
      <c r="D185" s="355">
        <f>'Pre-TreatHydrolysis'!K30*(Unitflowchart!$S$286/Unitflowchart!$S$357)</f>
        <v>0</v>
      </c>
      <c r="E185" s="715">
        <f>'Pre-TreatHydrolysis'!P30*(Unitflowchart!$S$286/Unitflowchart!$S$357)</f>
        <v>0</v>
      </c>
      <c r="F185" s="25">
        <f t="shared" si="39"/>
        <v>0</v>
      </c>
      <c r="G185" s="355">
        <f>'Pre-TreatHydrolysis'!Q30*(Unitflowchart!$S$286/Unitflowchart!$S$357)</f>
        <v>0</v>
      </c>
      <c r="H185" s="730">
        <f>'Pre-TreatHydrolysis'!V30*(Unitflowchart!$S$286/Unitflowchart!$S$357)</f>
        <v>3.215407285887064E-2</v>
      </c>
      <c r="I185" s="25">
        <f t="shared" si="40"/>
        <v>1.8031241490794405</v>
      </c>
      <c r="J185" s="733">
        <f>'Pre-TreatHydrolysis'!W30*(Unitflowchart!$S$286/Unitflowchart!$S$357)</f>
        <v>0</v>
      </c>
      <c r="K185" s="730">
        <f>'Pre-TreatHydrolysis'!AB30*(Unitflowchart!$S$286/Unitflowchart!$S$357)</f>
        <v>9.6462218576611903E-3</v>
      </c>
      <c r="L185" s="25">
        <f t="shared" si="41"/>
        <v>0.531403015750052</v>
      </c>
      <c r="M185" s="733">
        <f>'Pre-TreatHydrolysis'!AC30*(Unitflowchart!$S$286/Unitflowchart!$S$357)</f>
        <v>0</v>
      </c>
      <c r="N185" s="711">
        <f>E185+(GlobalWarmingPotentials!$B$11*H185)+(GlobalWarmingPotentials!$C$11*K185)</f>
        <v>3.5948253456217367</v>
      </c>
      <c r="O185" s="25">
        <f t="shared" si="42"/>
        <v>0.20258086068472894</v>
      </c>
      <c r="P185" s="740">
        <f>SQRT((G185^2)+((GlobalWarmingPotentials!$B$11*J185)^2)+((GlobalWarmingPotentials!$C$11*M185)^2))</f>
        <v>0</v>
      </c>
      <c r="Q185" s="29"/>
    </row>
    <row r="186" spans="1:23" x14ac:dyDescent="0.25">
      <c r="A186" s="219" t="str">
        <f>'Pre-TreatHydrolysis'!A31</f>
        <v>Sulphuric Acid (93%) Input</v>
      </c>
      <c r="B186" s="715">
        <f>'Pre-TreatHydrolysis'!J31*(Unitflowchart!$S$286/Unitflowchart!$S$357)</f>
        <v>408.8478277403853</v>
      </c>
      <c r="C186" s="25">
        <f t="shared" si="38"/>
        <v>2.1484469125798289</v>
      </c>
      <c r="D186" s="355">
        <f>'Pre-TreatHydrolysis'!K31*(Unitflowchart!$S$286/Unitflowchart!$S$357)</f>
        <v>459.9538062079335</v>
      </c>
      <c r="E186" s="715">
        <f>'Pre-TreatHydrolysis'!P31*(Unitflowchart!$S$286/Unitflowchart!$S$357)</f>
        <v>22.145924002604204</v>
      </c>
      <c r="F186" s="25">
        <f t="shared" si="39"/>
        <v>1.8513729930997784</v>
      </c>
      <c r="G186" s="355">
        <f>'Pre-TreatHydrolysis'!Q31*(Unitflowchart!$S$286/Unitflowchart!$S$357)</f>
        <v>27.256521849359018</v>
      </c>
      <c r="H186" s="730">
        <f>'Pre-TreatHydrolysis'!V31*(Unitflowchart!$S$286/Unitflowchart!$S$357)</f>
        <v>4.5995380620793343E-2</v>
      </c>
      <c r="I186" s="25">
        <f t="shared" si="40"/>
        <v>2.5793118622163238</v>
      </c>
      <c r="J186" s="733">
        <f>'Pre-TreatHydrolysis'!W31*(Unitflowchart!$S$286/Unitflowchart!$S$357)</f>
        <v>5.1105978467548156E-2</v>
      </c>
      <c r="K186" s="730">
        <f>'Pre-TreatHydrolysis'!AB31*(Unitflowchart!$S$286/Unitflowchart!$S$357)</f>
        <v>3.4070652311698774E-5</v>
      </c>
      <c r="L186" s="25">
        <f t="shared" si="41"/>
        <v>1.8769262882574818E-3</v>
      </c>
      <c r="M186" s="733">
        <f>'Pre-TreatHydrolysis'!AC31*(Unitflowchart!$S$286/Unitflowchart!$S$357)</f>
        <v>5.1105978467548161E-5</v>
      </c>
      <c r="N186" s="711">
        <f>E186+(GlobalWarmingPotentials!$B$11*H186)+(GlobalWarmingPotentials!$C$11*K186)</f>
        <v>23.213902669966714</v>
      </c>
      <c r="O186" s="25">
        <f t="shared" si="42"/>
        <v>1.3081838283078084</v>
      </c>
      <c r="P186" s="740">
        <f>SQRT((G186^2)+((GlobalWarmingPotentials!$B$11*J186)^2)+((GlobalWarmingPotentials!$C$11*M186)^2))</f>
        <v>27.281859641334545</v>
      </c>
      <c r="Q186" s="29"/>
    </row>
    <row r="187" spans="1:23" x14ac:dyDescent="0.25">
      <c r="A187" s="219" t="str">
        <f>'Pre-TreatHydrolysis'!A32</f>
        <v>Caustic Soda Input</v>
      </c>
      <c r="B187" s="715">
        <f>'Pre-TreatHydrolysis'!J32*(Unitflowchart!$S$286/Unitflowchart!$S$357)</f>
        <v>0</v>
      </c>
      <c r="C187" s="25">
        <f t="shared" si="38"/>
        <v>0</v>
      </c>
      <c r="D187" s="355">
        <f>'Pre-TreatHydrolysis'!K32*(Unitflowchart!$S$286/Unitflowchart!$S$357)</f>
        <v>0</v>
      </c>
      <c r="E187" s="715">
        <f>'Pre-TreatHydrolysis'!P32*(Unitflowchart!$S$286/Unitflowchart!$S$357)</f>
        <v>0</v>
      </c>
      <c r="F187" s="25">
        <f t="shared" si="39"/>
        <v>0</v>
      </c>
      <c r="G187" s="355">
        <f>'Pre-TreatHydrolysis'!Q32*(Unitflowchart!$S$286/Unitflowchart!$S$357)</f>
        <v>0</v>
      </c>
      <c r="H187" s="730">
        <f>'Pre-TreatHydrolysis'!V32*(Unitflowchart!$S$286/Unitflowchart!$S$357)</f>
        <v>0</v>
      </c>
      <c r="I187" s="25">
        <f t="shared" si="40"/>
        <v>0</v>
      </c>
      <c r="J187" s="733">
        <f>'Pre-TreatHydrolysis'!W32*(Unitflowchart!$S$286/Unitflowchart!$S$357)</f>
        <v>0</v>
      </c>
      <c r="K187" s="730">
        <f>'Pre-TreatHydrolysis'!AB32*(Unitflowchart!$S$286/Unitflowchart!$S$357)</f>
        <v>0</v>
      </c>
      <c r="L187" s="25">
        <f t="shared" si="41"/>
        <v>0</v>
      </c>
      <c r="M187" s="733">
        <f>'Pre-TreatHydrolysis'!AC32*(Unitflowchart!$S$286/Unitflowchart!$S$357)</f>
        <v>0</v>
      </c>
      <c r="N187" s="711">
        <f>E187+(GlobalWarmingPotentials!$B$11*H187)+(GlobalWarmingPotentials!$C$11*K187)</f>
        <v>0</v>
      </c>
      <c r="O187" s="25">
        <f t="shared" si="42"/>
        <v>0</v>
      </c>
      <c r="P187" s="740">
        <f>SQRT((G187^2)+((GlobalWarmingPotentials!$B$11*J187)^2)+((GlobalWarmingPotentials!$C$11*M187)^2))</f>
        <v>0</v>
      </c>
      <c r="Q187" s="29"/>
    </row>
    <row r="188" spans="1:23" x14ac:dyDescent="0.25">
      <c r="A188" s="219" t="str">
        <f>'Pre-TreatHydrolysis'!A33</f>
        <v>Water Input</v>
      </c>
      <c r="B188" s="715">
        <f>'Pre-TreatHydrolysis'!J33*(Unitflowchart!$S$286/Unitflowchart!$S$357)</f>
        <v>0</v>
      </c>
      <c r="C188" s="25">
        <f t="shared" si="38"/>
        <v>0</v>
      </c>
      <c r="D188" s="355">
        <f>'Pre-TreatHydrolysis'!K33*(Unitflowchart!$S$286/Unitflowchart!$S$357)</f>
        <v>0</v>
      </c>
      <c r="E188" s="715">
        <f>'Pre-TreatHydrolysis'!P33*(Unitflowchart!$S$286/Unitflowchart!$S$357)</f>
        <v>0</v>
      </c>
      <c r="F188" s="25">
        <f t="shared" si="39"/>
        <v>0</v>
      </c>
      <c r="G188" s="355">
        <f>'Pre-TreatHydrolysis'!Q33*(Unitflowchart!$S$286/Unitflowchart!$S$357)</f>
        <v>0</v>
      </c>
      <c r="H188" s="730">
        <f>'Pre-TreatHydrolysis'!V33*(Unitflowchart!$S$286/Unitflowchart!$S$357)</f>
        <v>0</v>
      </c>
      <c r="I188" s="25">
        <f t="shared" si="40"/>
        <v>0</v>
      </c>
      <c r="J188" s="733">
        <f>'Pre-TreatHydrolysis'!W33*(Unitflowchart!$S$286/Unitflowchart!$S$357)</f>
        <v>0</v>
      </c>
      <c r="K188" s="730">
        <f>'Pre-TreatHydrolysis'!AB33*(Unitflowchart!$S$286/Unitflowchart!$S$357)</f>
        <v>0</v>
      </c>
      <c r="L188" s="25">
        <f t="shared" si="41"/>
        <v>0</v>
      </c>
      <c r="M188" s="733">
        <f>'Pre-TreatHydrolysis'!AC33*(Unitflowchart!$S$286/Unitflowchart!$S$357)</f>
        <v>0</v>
      </c>
      <c r="N188" s="711">
        <f>E188+(GlobalWarmingPotentials!$B$11*H188)+(GlobalWarmingPotentials!$C$11*K188)</f>
        <v>0</v>
      </c>
      <c r="O188" s="25">
        <f t="shared" si="42"/>
        <v>0</v>
      </c>
      <c r="P188" s="740">
        <f>SQRT((G188^2)+((GlobalWarmingPotentials!$B$11*J188)^2)+((GlobalWarmingPotentials!$C$11*M188)^2))</f>
        <v>0</v>
      </c>
      <c r="Q188" s="29"/>
    </row>
    <row r="189" spans="1:23" x14ac:dyDescent="0.25">
      <c r="A189" s="219" t="str">
        <f>'Pre-TreatHydrolysis'!A34</f>
        <v>Ammonia Input</v>
      </c>
      <c r="B189" s="715">
        <f>'Pre-TreatHydrolysis'!J34*(Unitflowchart!$S$286/Unitflowchart!$S$357)</f>
        <v>3196.6288492446788</v>
      </c>
      <c r="C189" s="25">
        <f t="shared" si="38"/>
        <v>16.797906007670719</v>
      </c>
      <c r="D189" s="355">
        <f>'Pre-TreatHydrolysis'!K34*(Unitflowchart!$S$286/Unitflowchart!$S$357)</f>
        <v>511.05978467548158</v>
      </c>
      <c r="E189" s="715">
        <f>'Pre-TreatHydrolysis'!P34*(Unitflowchart!$S$286/Unitflowchart!$S$357)</f>
        <v>144.29923332013598</v>
      </c>
      <c r="F189" s="25">
        <f t="shared" si="39"/>
        <v>12.063244841917109</v>
      </c>
      <c r="G189" s="355">
        <f>'Pre-TreatHydrolysis'!Q34*(Unitflowchart!$S$286/Unitflowchart!$S$357)</f>
        <v>21.043638192519829</v>
      </c>
      <c r="H189" s="730">
        <f>'Pre-TreatHydrolysis'!V34*(Unitflowchart!$S$286/Unitflowchart!$S$357)</f>
        <v>0.31164626085112701</v>
      </c>
      <c r="I189" s="25">
        <f t="shared" si="40"/>
        <v>17.476383205866593</v>
      </c>
      <c r="J189" s="733">
        <f>'Pre-TreatHydrolysis'!W34*(Unitflowchart!$S$286/Unitflowchart!$S$357)</f>
        <v>4.9101822449212941E-2</v>
      </c>
      <c r="K189" s="730">
        <f>'Pre-TreatHydrolysis'!AB34*(Unitflowchart!$S$286/Unitflowchart!$S$357)</f>
        <v>3.8479795552036258E-4</v>
      </c>
      <c r="L189" s="25">
        <f t="shared" si="41"/>
        <v>2.1198226314437438E-2</v>
      </c>
      <c r="M189" s="733">
        <f>'Pre-TreatHydrolysis'!AC34*(Unitflowchart!$S$286/Unitflowchart!$S$357)</f>
        <v>1.5732624743931492E-4</v>
      </c>
      <c r="N189" s="711">
        <f>E189+(GlobalWarmingPotentials!$B$11*H189)+(GlobalWarmingPotentials!$C$11*K189)</f>
        <v>151.58099751454594</v>
      </c>
      <c r="O189" s="25">
        <f t="shared" si="42"/>
        <v>8.5421142858431498</v>
      </c>
      <c r="P189" s="740">
        <f>SQRT((G189^2)+((GlobalWarmingPotentials!$B$11*J189)^2)+((GlobalWarmingPotentials!$C$11*M189)^2))</f>
        <v>21.073971865154054</v>
      </c>
      <c r="Q189" s="29"/>
    </row>
    <row r="190" spans="1:23" x14ac:dyDescent="0.25">
      <c r="A190" s="219" t="str">
        <f>'Pre-TreatHydrolysis'!A35</f>
        <v>Corn Steep Liquor Input</v>
      </c>
      <c r="B190" s="715">
        <f>'Pre-TreatHydrolysis'!J35*(Unitflowchart!$S$286/Unitflowchart!$S$357)</f>
        <v>2157.7888925407474</v>
      </c>
      <c r="C190" s="25">
        <f t="shared" si="38"/>
        <v>11.338925070972783</v>
      </c>
      <c r="D190" s="355">
        <f>'Pre-TreatHydrolysis'!K35*(Unitflowchart!$S$286/Unitflowchart!$S$357)</f>
        <v>20.087011578768031</v>
      </c>
      <c r="E190" s="715">
        <f>'Pre-TreatHydrolysis'!P35*(Unitflowchart!$S$286/Unitflowchart!$S$357)</f>
        <v>115.37228321799486</v>
      </c>
      <c r="F190" s="25">
        <f t="shared" si="39"/>
        <v>9.6449861056570505</v>
      </c>
      <c r="G190" s="355">
        <f>'Pre-TreatHydrolysis'!Q35*(Unitflowchart!$S$286/Unitflowchart!$S$357)</f>
        <v>12.097729919677292</v>
      </c>
      <c r="H190" s="730">
        <f>'Pre-TreatHydrolysis'!V35*(Unitflowchart!$S$286/Unitflowchart!$S$357)</f>
        <v>0.28713614851689379</v>
      </c>
      <c r="I190" s="25">
        <f t="shared" si="40"/>
        <v>16.101914234533361</v>
      </c>
      <c r="J190" s="733">
        <f>'Pre-TreatHydrolysis'!W35*(Unitflowchart!$S$286/Unitflowchart!$S$357)</f>
        <v>2.1623411897823946E-3</v>
      </c>
      <c r="K190" s="730">
        <f>'Pre-TreatHydrolysis'!AB35*(Unitflowchart!$S$286/Unitflowchart!$S$357)</f>
        <v>0.11335220131701394</v>
      </c>
      <c r="L190" s="25">
        <f t="shared" si="41"/>
        <v>6.244486443563189</v>
      </c>
      <c r="M190" s="733">
        <f>'Pre-TreatHydrolysis'!AC35*(Unitflowchart!$S$286/Unitflowchart!$S$357)</f>
        <v>2.276148620823573E-4</v>
      </c>
      <c r="N190" s="711">
        <f>E190+(GlobalWarmingPotentials!$B$11*H190)+(GlobalWarmingPotentials!$C$11*K190)</f>
        <v>155.52866622371954</v>
      </c>
      <c r="O190" s="25">
        <f t="shared" si="42"/>
        <v>8.7645790923118625</v>
      </c>
      <c r="P190" s="740">
        <f>SQRT((G190^2)+((GlobalWarmingPotentials!$B$11*J190)^2)+((GlobalWarmingPotentials!$C$11*M190)^2))</f>
        <v>12.098019752041814</v>
      </c>
      <c r="Q190" s="29"/>
    </row>
    <row r="191" spans="1:23" x14ac:dyDescent="0.25">
      <c r="A191" s="219" t="str">
        <f>'Pre-TreatHydrolysis'!A36</f>
        <v>Diammonium Phosphate Input</v>
      </c>
      <c r="B191" s="715">
        <f>'Pre-TreatHydrolysis'!J36*(Unitflowchart!$S$286/Unitflowchart!$S$357)</f>
        <v>146.3091154985236</v>
      </c>
      <c r="C191" s="25">
        <f t="shared" si="38"/>
        <v>0.76883707371606724</v>
      </c>
      <c r="D191" s="355">
        <f>'Pre-TreatHydrolysis'!K36*(Unitflowchart!$S$286/Unitflowchart!$S$357)</f>
        <v>21.902562200377783</v>
      </c>
      <c r="E191" s="715">
        <f>'Pre-TreatHydrolysis'!P36*(Unitflowchart!$S$286/Unitflowchart!$S$357)</f>
        <v>8.1521336509806108</v>
      </c>
      <c r="F191" s="25">
        <f t="shared" si="39"/>
        <v>0.68150870904237792</v>
      </c>
      <c r="G191" s="355">
        <f>'Pre-TreatHydrolysis'!Q36*(Unitflowchart!$S$286/Unitflowchart!$S$357)</f>
        <v>1.2228200476470916</v>
      </c>
      <c r="H191" s="730">
        <f>'Pre-TreatHydrolysis'!V36*(Unitflowchart!$S$286/Unitflowchart!$S$357)</f>
        <v>1.5769844784272007E-2</v>
      </c>
      <c r="I191" s="25">
        <f t="shared" si="40"/>
        <v>0.88433549561702551</v>
      </c>
      <c r="J191" s="733">
        <f>'Pre-TreatHydrolysis'!W36*(Unitflowchart!$S$286/Unitflowchart!$S$357)</f>
        <v>2.3654767176408006E-3</v>
      </c>
      <c r="K191" s="730">
        <f>'Pre-TreatHydrolysis'!AB36*(Unitflowchart!$S$286/Unitflowchart!$S$357)</f>
        <v>0</v>
      </c>
      <c r="L191" s="25">
        <f t="shared" si="41"/>
        <v>0</v>
      </c>
      <c r="M191" s="733">
        <f>'Pre-TreatHydrolysis'!AC36*(Unitflowchart!$S$286/Unitflowchart!$S$357)</f>
        <v>0</v>
      </c>
      <c r="N191" s="711">
        <f>E191+(GlobalWarmingPotentials!$B$11*H191)+(GlobalWarmingPotentials!$C$11*K191)</f>
        <v>8.5148400810188676</v>
      </c>
      <c r="O191" s="25">
        <f t="shared" si="42"/>
        <v>0.4798407339334298</v>
      </c>
      <c r="P191" s="740">
        <f>SQRT((G191^2)+((GlobalWarmingPotentials!$B$11*J191)^2)+((GlobalWarmingPotentials!$C$11*M191)^2))</f>
        <v>1.2240297700225413</v>
      </c>
      <c r="Q191" s="29"/>
    </row>
    <row r="192" spans="1:23" x14ac:dyDescent="0.25">
      <c r="A192" s="219" t="str">
        <f>'Pre-TreatHydrolysis'!A37</f>
        <v>Sorbitol Input</v>
      </c>
      <c r="B192" s="715">
        <f>'Pre-TreatHydrolysis'!J37*(Unitflowchart!$S$286/Unitflowchart!$S$357)</f>
        <v>38.293695350333699</v>
      </c>
      <c r="C192" s="25">
        <f t="shared" si="38"/>
        <v>0.20122883372377595</v>
      </c>
      <c r="D192" s="355">
        <f>'Pre-TreatHydrolysis'!K37*(Unitflowchart!$S$286/Unitflowchart!$S$357)</f>
        <v>5.761948552713763</v>
      </c>
      <c r="E192" s="715">
        <f>'Pre-TreatHydrolysis'!P37*(Unitflowchart!$S$286/Unitflowchart!$S$357)</f>
        <v>2.5731931735411151</v>
      </c>
      <c r="F192" s="25">
        <f t="shared" si="39"/>
        <v>0.21511589884271828</v>
      </c>
      <c r="G192" s="355">
        <f>'Pre-TreatHydrolysis'!Q37*(Unitflowchart!$S$286/Unitflowchart!$S$357)</f>
        <v>0.38651580353607845</v>
      </c>
      <c r="H192" s="730">
        <f>'Pre-TreatHydrolysis'!V37*(Unitflowchart!$S$286/Unitflowchart!$S$357)</f>
        <v>3.686215533723712E-3</v>
      </c>
      <c r="I192" s="25">
        <f t="shared" si="40"/>
        <v>0.20671422487416849</v>
      </c>
      <c r="J192" s="733">
        <f>'Pre-TreatHydrolysis'!W37*(Unitflowchart!$S$286/Unitflowchart!$S$357)</f>
        <v>5.3682750491122007E-4</v>
      </c>
      <c r="K192" s="730">
        <f>'Pre-TreatHydrolysis'!AB37*(Unitflowchart!$S$286/Unitflowchart!$S$357)</f>
        <v>3.7220040340511257E-3</v>
      </c>
      <c r="L192" s="25">
        <f t="shared" si="41"/>
        <v>0.20504236762476685</v>
      </c>
      <c r="M192" s="733">
        <f>'Pre-TreatHydrolysis'!AC37*(Unitflowchart!$S$286/Unitflowchart!$S$357)</f>
        <v>5.726160052386348E-4</v>
      </c>
      <c r="N192" s="711">
        <f>E192+(GlobalWarmingPotentials!$B$11*H192)+(GlobalWarmingPotentials!$C$11*K192)</f>
        <v>3.759689324895894</v>
      </c>
      <c r="O192" s="25">
        <f t="shared" si="42"/>
        <v>0.21187151700491572</v>
      </c>
      <c r="P192" s="740">
        <f>SQRT((G192^2)+((GlobalWarmingPotentials!$B$11*J192)^2)+((GlobalWarmingPotentials!$C$11*M192)^2))</f>
        <v>0.42222653405395394</v>
      </c>
      <c r="Q192" s="29"/>
    </row>
    <row r="193" spans="1:17" x14ac:dyDescent="0.25">
      <c r="A193" s="219" t="str">
        <f>'Pre-TreatHydrolysis'!A38</f>
        <v>Glucose Input</v>
      </c>
      <c r="B193" s="715">
        <f>'Pre-TreatHydrolysis'!J38*(Unitflowchart!$S$286/Unitflowchart!$S$357)</f>
        <v>1670.965080286991</v>
      </c>
      <c r="C193" s="25">
        <f t="shared" si="38"/>
        <v>8.7807235949187845</v>
      </c>
      <c r="D193" s="355">
        <f>'Pre-TreatHydrolysis'!K38*(Unitflowchart!$S$286/Unitflowchart!$S$357)</f>
        <v>251.16369529779615</v>
      </c>
      <c r="E193" s="715">
        <f>'Pre-TreatHydrolysis'!P38*(Unitflowchart!$S$286/Unitflowchart!$S$357)</f>
        <v>186.81597170910459</v>
      </c>
      <c r="F193" s="25">
        <f t="shared" si="39"/>
        <v>15.617593768553398</v>
      </c>
      <c r="G193" s="355">
        <f>'Pre-TreatHydrolysis'!Q38*(Unitflowchart!$S$286/Unitflowchart!$S$357)</f>
        <v>28.02239575636569</v>
      </c>
      <c r="H193" s="730">
        <f>'Pre-TreatHydrolysis'!V38*(Unitflowchart!$S$286/Unitflowchart!$S$357)</f>
        <v>0</v>
      </c>
      <c r="I193" s="25">
        <f t="shared" si="40"/>
        <v>0</v>
      </c>
      <c r="J193" s="733">
        <f>'Pre-TreatHydrolysis'!W38*(Unitflowchart!$S$286/Unitflowchart!$S$357)</f>
        <v>0</v>
      </c>
      <c r="K193" s="730">
        <f>'Pre-TreatHydrolysis'!AB38*(Unitflowchart!$S$286/Unitflowchart!$S$357)</f>
        <v>0</v>
      </c>
      <c r="L193" s="25">
        <f t="shared" si="41"/>
        <v>0</v>
      </c>
      <c r="M193" s="733">
        <f>'Pre-TreatHydrolysis'!AC38*(Unitflowchart!$S$286/Unitflowchart!$S$357)</f>
        <v>0</v>
      </c>
      <c r="N193" s="711">
        <f>E193+(GlobalWarmingPotentials!$B$11*H193)+(GlobalWarmingPotentials!$C$11*K193)</f>
        <v>186.81597170910459</v>
      </c>
      <c r="O193" s="25">
        <f t="shared" si="42"/>
        <v>10.527727135499793</v>
      </c>
      <c r="P193" s="740">
        <f>SQRT((G193^2)+((GlobalWarmingPotentials!$B$11*J193)^2)+((GlobalWarmingPotentials!$C$11*M193)^2))</f>
        <v>28.02239575636569</v>
      </c>
      <c r="Q193" s="29"/>
    </row>
    <row r="194" spans="1:17" x14ac:dyDescent="0.25">
      <c r="A194" s="219" t="str">
        <f>'Pre-TreatHydrolysis'!A39</f>
        <v>Hot Nutrient Input</v>
      </c>
      <c r="B194" s="715">
        <f>'Pre-TreatHydrolysis'!J39*(Unitflowchart!$S$286/Unitflowchart!$S$357)</f>
        <v>46.095588421710104</v>
      </c>
      <c r="C194" s="25">
        <f t="shared" si="38"/>
        <v>0.24222685779086303</v>
      </c>
      <c r="D194" s="355">
        <f>'Pre-TreatHydrolysis'!K39*(Unitflowchart!$S$286/Unitflowchart!$S$357)</f>
        <v>6.9286536633874807</v>
      </c>
      <c r="E194" s="715">
        <f>'Pre-TreatHydrolysis'!P39*(Unitflowchart!$S$286/Unitflowchart!$S$357)</f>
        <v>5.1535440471477134</v>
      </c>
      <c r="F194" s="25">
        <f t="shared" si="39"/>
        <v>0.43083017292561099</v>
      </c>
      <c r="G194" s="355">
        <f>'Pre-TreatHydrolysis'!Q39*(Unitflowchart!$S$286/Unitflowchart!$S$357)</f>
        <v>0.77303160707215701</v>
      </c>
      <c r="H194" s="730">
        <f>'Pre-TreatHydrolysis'!V39*(Unitflowchart!$S$286/Unitflowchart!$S$357)</f>
        <v>0</v>
      </c>
      <c r="I194" s="25">
        <f t="shared" si="40"/>
        <v>0</v>
      </c>
      <c r="J194" s="733">
        <f>'Pre-TreatHydrolysis'!W39*(Unitflowchart!$S$286/Unitflowchart!$S$357)</f>
        <v>0</v>
      </c>
      <c r="K194" s="730">
        <f>'Pre-TreatHydrolysis'!AB39*(Unitflowchart!$S$286/Unitflowchart!$S$357)</f>
        <v>0</v>
      </c>
      <c r="L194" s="25">
        <f t="shared" si="41"/>
        <v>0</v>
      </c>
      <c r="M194" s="733">
        <f>'Pre-TreatHydrolysis'!AC39*(Unitflowchart!$S$286/Unitflowchart!$S$357)</f>
        <v>0</v>
      </c>
      <c r="N194" s="711">
        <f>E194+(GlobalWarmingPotentials!$B$11*H194)+(GlobalWarmingPotentials!$C$11*K194)</f>
        <v>5.1535440471477134</v>
      </c>
      <c r="O194" s="25">
        <f t="shared" si="42"/>
        <v>0.29042005891033917</v>
      </c>
      <c r="P194" s="740">
        <f>SQRT((G194^2)+((GlobalWarmingPotentials!$B$11*J194)^2)+((GlobalWarmingPotentials!$C$11*M194)^2))</f>
        <v>0.77303160707215701</v>
      </c>
      <c r="Q194" s="29"/>
    </row>
    <row r="195" spans="1:17" x14ac:dyDescent="0.25">
      <c r="A195" s="219" t="str">
        <f>'Pre-TreatHydrolysis'!A40</f>
        <v>Sulphur Dioxide Input</v>
      </c>
      <c r="B195" s="715">
        <f>'Pre-TreatHydrolysis'!J40*(Unitflowchart!$S$286/Unitflowchart!$S$357)</f>
        <v>7.8734700720312283</v>
      </c>
      <c r="C195" s="25">
        <f t="shared" si="38"/>
        <v>4.1374152728252997E-2</v>
      </c>
      <c r="D195" s="355">
        <f>'Pre-TreatHydrolysis'!K40*(Unitflowchart!$S$286/Unitflowchart!$S$357)</f>
        <v>2.1473100196448804</v>
      </c>
      <c r="E195" s="715">
        <f>'Pre-TreatHydrolysis'!P40*(Unitflowchart!$S$286/Unitflowchart!$S$357)</f>
        <v>0.63703530582798118</v>
      </c>
      <c r="F195" s="25">
        <f t="shared" si="39"/>
        <v>5.3255396375526912E-2</v>
      </c>
      <c r="G195" s="355">
        <f>'Pre-TreatHydrolysis'!Q40*(Unitflowchart!$S$286/Unitflowchart!$S$357)</f>
        <v>0.17178480157159043</v>
      </c>
      <c r="H195" s="730">
        <f>'Pre-TreatHydrolysis'!V40*(Unitflowchart!$S$286/Unitflowchart!$S$357)</f>
        <v>1.7894250163707337E-5</v>
      </c>
      <c r="I195" s="25">
        <f t="shared" si="40"/>
        <v>1.0034671110396528E-3</v>
      </c>
      <c r="J195" s="733">
        <f>'Pre-TreatHydrolysis'!W40*(Unitflowchart!$S$286/Unitflowchart!$S$357)</f>
        <v>5.0103900458380541E-6</v>
      </c>
      <c r="K195" s="730">
        <f>'Pre-TreatHydrolysis'!AB40*(Unitflowchart!$S$286/Unitflowchart!$S$357)</f>
        <v>4.7240820432187374E-6</v>
      </c>
      <c r="L195" s="25">
        <f t="shared" si="41"/>
        <v>2.6024608198528103E-4</v>
      </c>
      <c r="M195" s="733">
        <f>'Pre-TreatHydrolysis'!AC40*(Unitflowchart!$S$286/Unitflowchart!$S$357)</f>
        <v>1.2883860117869281E-6</v>
      </c>
      <c r="N195" s="711">
        <f>E195+(GlobalWarmingPotentials!$B$11*H195)+(GlobalWarmingPotentials!$C$11*K195)</f>
        <v>0.63884520186653915</v>
      </c>
      <c r="O195" s="25">
        <f t="shared" si="42"/>
        <v>3.6001140082105906E-2</v>
      </c>
      <c r="P195" s="740">
        <f>SQRT((G195^2)+((GlobalWarmingPotentials!$B$11*J195)^2)+((GlobalWarmingPotentials!$C$11*M195)^2))</f>
        <v>0.17178526353614884</v>
      </c>
      <c r="Q195" s="29"/>
    </row>
    <row r="196" spans="1:17" x14ac:dyDescent="0.25">
      <c r="A196" s="219"/>
      <c r="B196" s="712"/>
      <c r="D196" s="718"/>
      <c r="E196" s="712"/>
      <c r="G196" s="718"/>
      <c r="H196" s="30"/>
      <c r="J196" s="708"/>
      <c r="K196" s="30"/>
      <c r="M196" s="708"/>
      <c r="N196" s="712"/>
      <c r="P196" s="718"/>
      <c r="Q196" s="29"/>
    </row>
    <row r="197" spans="1:17" x14ac:dyDescent="0.25">
      <c r="A197" s="1514" t="s">
        <v>1921</v>
      </c>
      <c r="B197" s="714">
        <f>'Pre-TreatHydrolysis'!J42*(Unitflowchart!$S$286/Unitflowchart!$S$357)</f>
        <v>7672.8025191554007</v>
      </c>
      <c r="C197" s="14">
        <f>(B197/B$359)*100</f>
        <v>40.319668504101067</v>
      </c>
      <c r="D197" s="722">
        <f>'Pre-TreatHydrolysis'!K42*(Unitflowchart!$S$286/Unitflowchart!$S$357)</f>
        <v>732.66079238041505</v>
      </c>
      <c r="E197" s="714">
        <f>'Pre-TreatHydrolysis'!P42*(Unitflowchart!$S$286/Unitflowchart!$S$357)</f>
        <v>485.14931842733705</v>
      </c>
      <c r="F197" s="14">
        <f>(E197/E$359)*100</f>
        <v>40.557907886413567</v>
      </c>
      <c r="G197" s="722">
        <f>'Pre-TreatHydrolysis'!Q42*(Unitflowchart!$S$286/Unitflowchart!$S$357)</f>
        <v>46.039485184534769</v>
      </c>
      <c r="H197" s="211">
        <f>'Pre-TreatHydrolysis'!V42*(Unitflowchart!$S$286/Unitflowchart!$S$357)</f>
        <v>0.70063576552983653</v>
      </c>
      <c r="I197" s="14">
        <f>(H197/H$359)*100</f>
        <v>39.28999209775322</v>
      </c>
      <c r="J197" s="212">
        <f>'Pre-TreatHydrolysis'!W42*(Unitflowchart!$S$286/Unitflowchart!$S$357)</f>
        <v>7.0946243109528323E-2</v>
      </c>
      <c r="K197" s="211">
        <f>'Pre-TreatHydrolysis'!AB42*(Unitflowchart!$S$286/Unitflowchart!$S$357)</f>
        <v>0.1284130043327992</v>
      </c>
      <c r="L197" s="14">
        <f>(K197/K$359)*100</f>
        <v>7.0741746116669901</v>
      </c>
      <c r="M197" s="212">
        <f>'Pre-TreatHydrolysis'!AC42*(Unitflowchart!$S$286/Unitflowchart!$S$357)</f>
        <v>6.3801461112046663E-4</v>
      </c>
      <c r="N197" s="714">
        <f>E197+(GlobalWarmingPotentials!$B$11*H197)+(GlobalWarmingPotentials!$C$11*K197)</f>
        <v>539.27419031703187</v>
      </c>
      <c r="O197" s="14">
        <f>(N197/N$359)*100</f>
        <v>30.389968667751805</v>
      </c>
      <c r="P197" s="741">
        <f>SQRT((G197^2)+((GlobalWarmingPotentials!$B$11*J197)^2)+((GlobalWarmingPotentials!$C$11*M197)^2))</f>
        <v>46.068780249494573</v>
      </c>
      <c r="Q197" s="29"/>
    </row>
    <row r="198" spans="1:17" x14ac:dyDescent="0.25">
      <c r="B198" s="716"/>
      <c r="C198" s="352"/>
      <c r="D198" s="723"/>
      <c r="E198" s="718"/>
      <c r="F198" s="352"/>
      <c r="G198" s="718"/>
      <c r="H198" s="731"/>
      <c r="I198" s="352"/>
      <c r="J198" s="708"/>
      <c r="K198" s="731"/>
      <c r="L198" s="352"/>
      <c r="M198" s="708"/>
      <c r="N198" s="716"/>
      <c r="O198" s="352"/>
      <c r="P198" s="718"/>
      <c r="Q198" s="29"/>
    </row>
    <row r="199" spans="1:17" x14ac:dyDescent="0.25">
      <c r="A199" s="2" t="s">
        <v>284</v>
      </c>
      <c r="B199" s="712"/>
      <c r="D199" s="718"/>
      <c r="E199" s="712"/>
      <c r="G199" s="718"/>
      <c r="H199" s="30"/>
      <c r="J199" s="708"/>
      <c r="K199" s="30"/>
      <c r="M199" s="708"/>
      <c r="N199" s="712"/>
      <c r="P199" s="718"/>
      <c r="Q199" s="29"/>
    </row>
    <row r="200" spans="1:17" x14ac:dyDescent="0.25">
      <c r="B200" s="712"/>
      <c r="D200" s="718"/>
      <c r="E200" s="712"/>
      <c r="G200" s="718"/>
      <c r="H200" s="30"/>
      <c r="J200" s="708"/>
      <c r="K200" s="30"/>
      <c r="M200" s="708"/>
      <c r="N200" s="712"/>
      <c r="P200" s="718"/>
      <c r="Q200" s="29"/>
    </row>
    <row r="201" spans="1:17" x14ac:dyDescent="0.25">
      <c r="A201" t="str">
        <f>Ferment!A19</f>
        <v>Heat Input</v>
      </c>
      <c r="B201" s="715">
        <f>Ferment!J19*Unitflowchart!$S$286/Unitflowchart!$S$357</f>
        <v>0</v>
      </c>
      <c r="C201" s="25">
        <f>(B201/B$359)*100</f>
        <v>0</v>
      </c>
      <c r="D201" s="355">
        <f>Ferment!K19*Unitflowchart!$S$286/Unitflowchart!$S$357</f>
        <v>0</v>
      </c>
      <c r="E201" s="715">
        <f>Ferment!P19*Unitflowchart!$S$286/Unitflowchart!$S$357</f>
        <v>0</v>
      </c>
      <c r="F201" s="25">
        <f>(E201/E$359)*100</f>
        <v>0</v>
      </c>
      <c r="G201" s="355">
        <f>Ferment!Q19*Unitflowchart!$S$286/Unitflowchart!$S$357</f>
        <v>0</v>
      </c>
      <c r="H201" s="730">
        <f>Ferment!V19*Unitflowchart!$S$286/Unitflowchart!$S$357</f>
        <v>0</v>
      </c>
      <c r="I201" s="25">
        <f>(H201/H$359)*100</f>
        <v>0</v>
      </c>
      <c r="J201" s="733">
        <f>Ferment!W19*Unitflowchart!$S$286/Unitflowchart!$S$357</f>
        <v>0</v>
      </c>
      <c r="K201" s="730">
        <f>Ferment!AB19*Unitflowchart!$S$286/Unitflowchart!$S$357</f>
        <v>0</v>
      </c>
      <c r="L201" s="25">
        <f>(K201/K$359)*100</f>
        <v>0</v>
      </c>
      <c r="M201" s="733">
        <f>Ferment!AC19*Unitflowchart!$S$286/Unitflowchart!$S$357</f>
        <v>0</v>
      </c>
      <c r="N201" s="711">
        <f>E201+(GlobalWarmingPotentials!$B$11*H201)+(GlobalWarmingPotentials!$C$11*K201)</f>
        <v>0</v>
      </c>
      <c r="O201" s="25">
        <f>(N201/N$359)*100</f>
        <v>0</v>
      </c>
      <c r="P201" s="740">
        <f>SQRT((G201^2)+((GlobalWarmingPotentials!$B$11*J201)^2)+((GlobalWarmingPotentials!$C$11*M201)^2))</f>
        <v>0</v>
      </c>
      <c r="Q201" s="29"/>
    </row>
    <row r="202" spans="1:17" x14ac:dyDescent="0.25">
      <c r="A202" t="str">
        <f>Ferment!A20</f>
        <v>Electricity Input</v>
      </c>
      <c r="B202" s="715">
        <f>Ferment!J20*Unitflowchart!$S$286/Unitflowchart!$S$357</f>
        <v>0</v>
      </c>
      <c r="C202" s="25">
        <f>(B202/B$359)*100</f>
        <v>0</v>
      </c>
      <c r="D202" s="355">
        <f>Ferment!K20*Unitflowchart!$S$286/Unitflowchart!$S$357</f>
        <v>0</v>
      </c>
      <c r="E202" s="715">
        <f>Ferment!P20*Unitflowchart!$S$286/Unitflowchart!$S$357</f>
        <v>0</v>
      </c>
      <c r="F202" s="25">
        <f>(E202/E$359)*100</f>
        <v>0</v>
      </c>
      <c r="G202" s="355">
        <f>Ferment!Q20*Unitflowchart!$S$286/Unitflowchart!$S$357</f>
        <v>0</v>
      </c>
      <c r="H202" s="730">
        <f>Ferment!V20*Unitflowchart!$S$286/Unitflowchart!$S$357</f>
        <v>3.3882352941176478E-4</v>
      </c>
      <c r="I202" s="25">
        <f>(H202/H$359)*100</f>
        <v>1.9000419972928416E-2</v>
      </c>
      <c r="J202" s="733">
        <f>Ferment!W20*Unitflowchart!$S$286/Unitflowchart!$S$357</f>
        <v>0</v>
      </c>
      <c r="K202" s="730">
        <f>Ferment!AB20*Unitflowchart!$S$286/Unitflowchart!$S$357</f>
        <v>1.0164705882352942E-4</v>
      </c>
      <c r="L202" s="25">
        <f>(K202/K$359)*100</f>
        <v>5.5996590580224331E-3</v>
      </c>
      <c r="M202" s="733">
        <f>Ferment!AC20*Unitflowchart!$S$286/Unitflowchart!$S$357</f>
        <v>0</v>
      </c>
      <c r="N202" s="711">
        <f>E202+(GlobalWarmingPotentials!$B$11*H202)+(GlobalWarmingPotentials!$C$11*K202)</f>
        <v>3.78804705882353E-2</v>
      </c>
      <c r="O202" s="25">
        <f>(N202/N$359)*100</f>
        <v>2.1346957354280169E-3</v>
      </c>
      <c r="P202" s="740">
        <f>SQRT((G202^2)+((GlobalWarmingPotentials!$B$11*J202)^2)+((GlobalWarmingPotentials!$C$11*M202)^2))</f>
        <v>0</v>
      </c>
      <c r="Q202" s="29"/>
    </row>
    <row r="203" spans="1:17" x14ac:dyDescent="0.25">
      <c r="B203" s="712"/>
      <c r="D203" s="718"/>
      <c r="E203" s="712"/>
      <c r="G203" s="718"/>
      <c r="H203" s="30"/>
      <c r="J203" s="708"/>
      <c r="K203" s="30"/>
      <c r="M203" s="708"/>
      <c r="N203" s="712"/>
      <c r="P203" s="718"/>
      <c r="Q203" s="29"/>
    </row>
    <row r="204" spans="1:17" x14ac:dyDescent="0.25">
      <c r="A204" s="214" t="s">
        <v>879</v>
      </c>
      <c r="B204" s="714">
        <f>Ferment!J22*Unitflowchart!$S$286/Unitflowchart!$S$357</f>
        <v>0</v>
      </c>
      <c r="C204" s="14">
        <f>(B204/B$359)*100</f>
        <v>0</v>
      </c>
      <c r="D204" s="722">
        <f>Ferment!K22*Unitflowchart!$S$286/Unitflowchart!$S$357</f>
        <v>0</v>
      </c>
      <c r="E204" s="714">
        <f>Ferment!P22*Unitflowchart!$S$286/Unitflowchart!$S$357</f>
        <v>0</v>
      </c>
      <c r="F204" s="14">
        <f>(E204/E$359)*100</f>
        <v>0</v>
      </c>
      <c r="G204" s="722">
        <f>Ferment!Q22*Unitflowchart!$S$286/Unitflowchart!$S$357</f>
        <v>0</v>
      </c>
      <c r="H204" s="211">
        <f>Ferment!V22*Unitflowchart!$S$286/Unitflowchart!$S$357</f>
        <v>3.3882352941176478E-4</v>
      </c>
      <c r="I204" s="14">
        <f>(H204/H$359)*100</f>
        <v>1.9000419972928416E-2</v>
      </c>
      <c r="J204" s="212">
        <f>Ferment!W22*Unitflowchart!$S$286/Unitflowchart!$S$357</f>
        <v>0</v>
      </c>
      <c r="K204" s="211">
        <f>Ferment!AB22*Unitflowchart!$S$286/Unitflowchart!$S$357</f>
        <v>1.0164705882352942E-4</v>
      </c>
      <c r="L204" s="14">
        <f>(K204/K$359)*100</f>
        <v>5.5996590580224331E-3</v>
      </c>
      <c r="M204" s="212">
        <f>Ferment!AC22*Unitflowchart!$S$286/Unitflowchart!$S$357</f>
        <v>0</v>
      </c>
      <c r="N204" s="714">
        <f>E204+(GlobalWarmingPotentials!$B$11*H204)+(GlobalWarmingPotentials!$C$11*K204)</f>
        <v>3.78804705882353E-2</v>
      </c>
      <c r="O204" s="14">
        <f>(N204/N$359)*100</f>
        <v>2.1346957354280169E-3</v>
      </c>
      <c r="P204" s="739">
        <f>SQRT((G204^2)+((GlobalWarmingPotentials!$B$11*J204)^2)+((GlobalWarmingPotentials!$C$11*M204)^2))</f>
        <v>0</v>
      </c>
    </row>
    <row r="205" spans="1:17" x14ac:dyDescent="0.25">
      <c r="B205" s="712"/>
      <c r="D205" s="718"/>
      <c r="E205" s="716"/>
      <c r="G205" s="718"/>
      <c r="H205" s="731"/>
      <c r="J205" s="708"/>
      <c r="K205" s="731"/>
      <c r="M205" s="708"/>
      <c r="N205" s="716"/>
      <c r="P205" s="718"/>
      <c r="Q205" s="29"/>
    </row>
    <row r="206" spans="1:17" x14ac:dyDescent="0.25">
      <c r="A206" s="817" t="s">
        <v>1959</v>
      </c>
      <c r="B206" s="712"/>
      <c r="D206" s="718"/>
      <c r="E206" s="712"/>
      <c r="G206" s="718"/>
      <c r="H206" s="30"/>
      <c r="J206" s="708"/>
      <c r="K206" s="30"/>
      <c r="M206" s="708"/>
      <c r="N206" s="712"/>
      <c r="P206" s="718"/>
      <c r="Q206" s="29"/>
    </row>
    <row r="207" spans="1:17" x14ac:dyDescent="0.25">
      <c r="A207" s="219"/>
      <c r="B207" s="712"/>
      <c r="D207" s="718"/>
      <c r="E207" s="712"/>
      <c r="G207" s="718"/>
      <c r="H207" s="30"/>
      <c r="J207" s="708"/>
      <c r="K207" s="30"/>
      <c r="M207" s="708"/>
      <c r="N207" s="712"/>
      <c r="P207" s="718"/>
      <c r="Q207" s="29"/>
    </row>
    <row r="208" spans="1:17" x14ac:dyDescent="0.25">
      <c r="A208" s="219" t="str">
        <f>EthanolRecovery!A19</f>
        <v>Heat Input</v>
      </c>
      <c r="B208" s="715">
        <f>EthanolRecovery!J19*(Unitflowchart!$S$286/Unitflowchart!$S$357)</f>
        <v>0</v>
      </c>
      <c r="C208" s="25">
        <f>(B208/B$359)*100</f>
        <v>0</v>
      </c>
      <c r="D208" s="355">
        <f>EthanolRecovery!K19*(Unitflowchart!$S$286/Unitflowchart!$S$357)</f>
        <v>0</v>
      </c>
      <c r="E208" s="715">
        <f>EthanolRecovery!P19*(Unitflowchart!$S$286/Unitflowchart!$S$357)</f>
        <v>0</v>
      </c>
      <c r="F208" s="25">
        <f>(E208/E$359)*100</f>
        <v>0</v>
      </c>
      <c r="G208" s="355">
        <f>EthanolRecovery!Q19*(Unitflowchart!$S$286/Unitflowchart!$S$357)</f>
        <v>0</v>
      </c>
      <c r="H208" s="730">
        <f>EthanolRecovery!V19*(Unitflowchart!$S$286/Unitflowchart!$S$357)</f>
        <v>2.9162823529411762E-2</v>
      </c>
      <c r="I208" s="25">
        <f>(H208/H$359)*100</f>
        <v>1.6353819807532588</v>
      </c>
      <c r="J208" s="733">
        <f>EthanolRecovery!W19*(Unitflowchart!$S$286/Unitflowchart!$S$357)</f>
        <v>0</v>
      </c>
      <c r="K208" s="730">
        <f>EthanolRecovery!AB19*(Unitflowchart!$S$286/Unitflowchart!$S$357)</f>
        <v>8.7488470588235299E-3</v>
      </c>
      <c r="L208" s="25">
        <f>(K208/K$359)*100</f>
        <v>0.48196732150653915</v>
      </c>
      <c r="M208" s="733">
        <f>EthanolRecovery!AC19*(Unitflowchart!$S$286/Unitflowchart!$S$357)</f>
        <v>0</v>
      </c>
      <c r="N208" s="711">
        <f>E208+(GlobalWarmingPotentials!$B$11*H208)+(GlobalWarmingPotentials!$C$11*K208)</f>
        <v>3.2604036705882353</v>
      </c>
      <c r="O208" s="25">
        <f>(N208/N$359)*100</f>
        <v>0.18373504086140224</v>
      </c>
      <c r="P208" s="740">
        <f>SQRT((G208^2)+((GlobalWarmingPotentials!$B$11*J208)^2)+((GlobalWarmingPotentials!$C$11*M208)^2))</f>
        <v>0</v>
      </c>
      <c r="Q208" s="29"/>
    </row>
    <row r="209" spans="1:17" x14ac:dyDescent="0.25">
      <c r="A209" s="219" t="str">
        <f>EthanolRecovery!A20</f>
        <v>Electricity Input</v>
      </c>
      <c r="B209" s="715">
        <f>EthanolRecovery!J20*(Unitflowchart!$S$286/Unitflowchart!$S$357)</f>
        <v>0</v>
      </c>
      <c r="C209" s="25">
        <f>(B209/B$359)*100</f>
        <v>0</v>
      </c>
      <c r="D209" s="355">
        <f>EthanolRecovery!K20*(Unitflowchart!$S$286/Unitflowchart!$S$357)</f>
        <v>0</v>
      </c>
      <c r="E209" s="715">
        <f>EthanolRecovery!P20*(Unitflowchart!$S$286/Unitflowchart!$S$357)</f>
        <v>0</v>
      </c>
      <c r="F209" s="25">
        <f>(E209/E$359)*100</f>
        <v>0</v>
      </c>
      <c r="G209" s="355">
        <f>EthanolRecovery!Q20*(Unitflowchart!$S$286/Unitflowchart!$S$357)</f>
        <v>0</v>
      </c>
      <c r="H209" s="730">
        <f>EthanolRecovery!V20*(Unitflowchart!$S$286/Unitflowchart!$S$357)</f>
        <v>2.6371764705882361E-3</v>
      </c>
      <c r="I209" s="25">
        <f>(H209/H$359)*100</f>
        <v>0.14788660212262617</v>
      </c>
      <c r="J209" s="733">
        <f>EthanolRecovery!W20*(Unitflowchart!$S$286/Unitflowchart!$S$357)</f>
        <v>0</v>
      </c>
      <c r="K209" s="730">
        <f>EthanolRecovery!AB20*(Unitflowchart!$S$286/Unitflowchart!$S$357)</f>
        <v>7.9115294117647068E-4</v>
      </c>
      <c r="L209" s="25">
        <f>(K209/K$359)*100</f>
        <v>4.3584013001607941E-2</v>
      </c>
      <c r="M209" s="733">
        <f>EthanolRecovery!AC20*(Unitflowchart!$S$286/Unitflowchart!$S$357)</f>
        <v>0</v>
      </c>
      <c r="N209" s="711">
        <f>E209+(GlobalWarmingPotentials!$B$11*H209)+(GlobalWarmingPotentials!$C$11*K209)</f>
        <v>0.29483632941176474</v>
      </c>
      <c r="O209" s="25">
        <f>(N209/N$359)*100</f>
        <v>1.6615048474081396E-2</v>
      </c>
      <c r="P209" s="740">
        <f>SQRT((G209^2)+((GlobalWarmingPotentials!$B$11*J209)^2)+((GlobalWarmingPotentials!$C$11*M209)^2))</f>
        <v>0</v>
      </c>
      <c r="Q209" s="29"/>
    </row>
    <row r="210" spans="1:17" x14ac:dyDescent="0.25">
      <c r="A210" s="219"/>
      <c r="B210" s="712"/>
      <c r="D210" s="718"/>
      <c r="E210" s="712"/>
      <c r="G210" s="718"/>
      <c r="H210" s="30"/>
      <c r="J210" s="708"/>
      <c r="K210" s="30"/>
      <c r="M210" s="708"/>
      <c r="N210" s="712"/>
      <c r="P210" s="718"/>
      <c r="Q210" s="29"/>
    </row>
    <row r="211" spans="1:17" x14ac:dyDescent="0.25">
      <c r="A211" s="1515" t="s">
        <v>1989</v>
      </c>
      <c r="B211" s="714">
        <f>EthanolRecovery!J22*(Unitflowchart!$S$286/Unitflowchart!$S$357)</f>
        <v>0</v>
      </c>
      <c r="C211" s="14">
        <f>(B211/B$359)*100</f>
        <v>0</v>
      </c>
      <c r="D211" s="722">
        <f>EthanolRecovery!K22*(Unitflowchart!$S$286/Unitflowchart!$S$357)</f>
        <v>0</v>
      </c>
      <c r="E211" s="714">
        <f>EthanolRecovery!P22*(Unitflowchart!$S$286/Unitflowchart!$S$357)</f>
        <v>0</v>
      </c>
      <c r="F211" s="14">
        <f>(E211/E$359)*100</f>
        <v>0</v>
      </c>
      <c r="G211" s="722">
        <f>EthanolRecovery!Q22*(Unitflowchart!$S$286/Unitflowchart!$S$357)</f>
        <v>0</v>
      </c>
      <c r="H211" s="211">
        <f>EthanolRecovery!V22*(Unitflowchart!$S$286/Unitflowchart!$S$357)</f>
        <v>3.1799999999999995E-2</v>
      </c>
      <c r="I211" s="14">
        <f>(H211/H$359)*100</f>
        <v>1.7832685828758847</v>
      </c>
      <c r="J211" s="212">
        <f>EthanolRecovery!W22*(Unitflowchart!$S$286/Unitflowchart!$S$357)</f>
        <v>0</v>
      </c>
      <c r="K211" s="211">
        <f>EthanolRecovery!AB22*(Unitflowchart!$S$286/Unitflowchart!$S$357)</f>
        <v>9.5399999999999999E-3</v>
      </c>
      <c r="L211" s="14">
        <f>(K211/K$359)*100</f>
        <v>0.52555133450814706</v>
      </c>
      <c r="M211" s="212">
        <f>EthanolRecovery!AC22*(Unitflowchart!$S$286/Unitflowchart!$S$357)</f>
        <v>0</v>
      </c>
      <c r="N211" s="714">
        <f>E211+(GlobalWarmingPotentials!$B$11*H211)+(GlobalWarmingPotentials!$C$11*K211)</f>
        <v>3.55524</v>
      </c>
      <c r="O211" s="14">
        <f>(N211/N$359)*100</f>
        <v>0.20035008933548365</v>
      </c>
      <c r="P211" s="739">
        <f>SQRT((G211^2)+((GlobalWarmingPotentials!$B$11*J211)^2)+((GlobalWarmingPotentials!$C$11*M211)^2))</f>
        <v>0</v>
      </c>
    </row>
    <row r="212" spans="1:17" x14ac:dyDescent="0.25">
      <c r="A212" s="219"/>
      <c r="B212" s="716"/>
      <c r="D212" s="718"/>
      <c r="E212" s="716"/>
      <c r="G212" s="718"/>
      <c r="H212" s="731"/>
      <c r="J212" s="708"/>
      <c r="K212" s="731"/>
      <c r="M212" s="708"/>
      <c r="N212" s="716"/>
      <c r="P212" s="718"/>
      <c r="Q212" s="29"/>
    </row>
    <row r="213" spans="1:17" x14ac:dyDescent="0.25">
      <c r="A213" s="817" t="s">
        <v>2007</v>
      </c>
      <c r="B213" s="712"/>
      <c r="D213" s="718"/>
      <c r="E213" s="712"/>
      <c r="G213" s="718"/>
      <c r="H213" s="30"/>
      <c r="J213" s="708"/>
      <c r="K213" s="30"/>
      <c r="M213" s="708"/>
      <c r="N213" s="712"/>
      <c r="P213" s="718"/>
      <c r="Q213" s="29"/>
    </row>
    <row r="214" spans="1:17" x14ac:dyDescent="0.25">
      <c r="A214" s="219"/>
      <c r="B214" s="712"/>
      <c r="D214" s="718"/>
      <c r="E214" s="712"/>
      <c r="G214" s="718"/>
      <c r="H214" s="30"/>
      <c r="J214" s="708"/>
      <c r="K214" s="30"/>
      <c r="M214" s="708"/>
      <c r="N214" s="712"/>
      <c r="P214" s="718"/>
      <c r="Q214" s="29"/>
    </row>
    <row r="215" spans="1:17" x14ac:dyDescent="0.25">
      <c r="A215" s="219" t="str">
        <f>WasteSolidFilter!A19</f>
        <v>Heat Input</v>
      </c>
      <c r="B215" s="715">
        <f>WasteSolidFilter!J19*(Unitflowchart!$S$286/Unitflowchart!$S$357)</f>
        <v>0</v>
      </c>
      <c r="C215" s="25">
        <f>(B215/B$359)*100</f>
        <v>0</v>
      </c>
      <c r="D215" s="355">
        <f>WasteSolidFilter!K19*(Unitflowchart!$S$286/Unitflowchart!$S$357)</f>
        <v>0</v>
      </c>
      <c r="E215" s="715">
        <f>WasteSolidFilter!P19*(Unitflowchart!$S$286/Unitflowchart!$S$357)</f>
        <v>0</v>
      </c>
      <c r="F215" s="25">
        <f>(E215/E$359)*100</f>
        <v>0</v>
      </c>
      <c r="G215" s="355">
        <f>WasteSolidFilter!Q19*(Unitflowchart!$S$286/Unitflowchart!$S$357)</f>
        <v>0</v>
      </c>
      <c r="H215" s="730">
        <f>WasteSolidFilter!V19*(Unitflowchart!$S$286/Unitflowchart!$S$357)</f>
        <v>0</v>
      </c>
      <c r="I215" s="25">
        <f>(H215/H$359)*100</f>
        <v>0</v>
      </c>
      <c r="J215" s="733">
        <f>WasteSolidFilter!W19*(Unitflowchart!$S$286/Unitflowchart!$S$357)</f>
        <v>0</v>
      </c>
      <c r="K215" s="730">
        <f>WasteSolidFilter!AB19*(Unitflowchart!$S$286/Unitflowchart!$S$357)</f>
        <v>0</v>
      </c>
      <c r="L215" s="25">
        <f>(K215/K$359)*100</f>
        <v>0</v>
      </c>
      <c r="M215" s="733">
        <f>WasteSolidFilter!AC19*(Unitflowchart!$S$286/Unitflowchart!$S$357)</f>
        <v>0</v>
      </c>
      <c r="N215" s="711">
        <f>E215+(GlobalWarmingPotentials!$B$11*H215)+(GlobalWarmingPotentials!$C$11*K215)</f>
        <v>0</v>
      </c>
      <c r="O215" s="25">
        <f>(N215/N$359)*100</f>
        <v>0</v>
      </c>
      <c r="P215" s="740">
        <f>SQRT((G215^2)+((GlobalWarmingPotentials!$B$11*J215)^2)+((GlobalWarmingPotentials!$C$11*M215)^2))</f>
        <v>0</v>
      </c>
      <c r="Q215" s="29"/>
    </row>
    <row r="216" spans="1:17" x14ac:dyDescent="0.25">
      <c r="A216" s="219" t="str">
        <f>WasteSolidFilter!A20</f>
        <v>Electricity Input</v>
      </c>
      <c r="B216" s="715">
        <f>WasteSolidFilter!J20*(Unitflowchart!$S$286/Unitflowchart!$S$357)</f>
        <v>0</v>
      </c>
      <c r="C216" s="25">
        <f>(B216/B$359)*100</f>
        <v>0</v>
      </c>
      <c r="D216" s="355">
        <f>WasteSolidFilter!K20*(Unitflowchart!$S$286/Unitflowchart!$S$357)</f>
        <v>0</v>
      </c>
      <c r="E216" s="715">
        <f>WasteSolidFilter!P20*(Unitflowchart!$S$286/Unitflowchart!$S$357)</f>
        <v>0</v>
      </c>
      <c r="F216" s="25">
        <f>(E216/E$359)*100</f>
        <v>0</v>
      </c>
      <c r="G216" s="355">
        <f>WasteSolidFilter!Q20*(Unitflowchart!$S$286/Unitflowchart!$S$357)</f>
        <v>0</v>
      </c>
      <c r="H216" s="730">
        <f>WasteSolidFilter!V20*(Unitflowchart!$S$286/Unitflowchart!$S$357)</f>
        <v>3.2504775017513283E-3</v>
      </c>
      <c r="I216" s="25">
        <f>(H216/H$359)*100</f>
        <v>0.18227906944081881</v>
      </c>
      <c r="J216" s="733">
        <f>WasteSolidFilter!W20*(Unitflowchart!$S$286/Unitflowchart!$S$357)</f>
        <v>0</v>
      </c>
      <c r="K216" s="730">
        <f>WasteSolidFilter!AB20*(Unitflowchart!$S$286/Unitflowchart!$S$357)</f>
        <v>9.7514325052539832E-4</v>
      </c>
      <c r="L216" s="25">
        <f>(K216/K$359)*100</f>
        <v>5.3719899019940828E-2</v>
      </c>
      <c r="M216" s="733">
        <f>WasteSolidFilter!AC20*(Unitflowchart!$S$286/Unitflowchart!$S$357)</f>
        <v>0</v>
      </c>
      <c r="N216" s="711">
        <f>E216+(GlobalWarmingPotentials!$B$11*H216)+(GlobalWarmingPotentials!$C$11*K216)</f>
        <v>0.36340338469579847</v>
      </c>
      <c r="O216" s="25">
        <f>(N216/N$359)*100</f>
        <v>2.0479039555310007E-2</v>
      </c>
      <c r="P216" s="740">
        <f>SQRT((G216^2)+((GlobalWarmingPotentials!$B$11*J216)^2)+((GlobalWarmingPotentials!$C$11*M216)^2))</f>
        <v>0</v>
      </c>
      <c r="Q216" s="29"/>
    </row>
    <row r="217" spans="1:17" x14ac:dyDescent="0.25">
      <c r="A217" s="219"/>
      <c r="B217" s="712"/>
      <c r="D217" s="718"/>
      <c r="E217" s="712"/>
      <c r="G217" s="718"/>
      <c r="H217" s="30"/>
      <c r="J217" s="708"/>
      <c r="K217" s="30"/>
      <c r="M217" s="708"/>
      <c r="N217" s="712"/>
      <c r="P217" s="718"/>
      <c r="Q217" s="29"/>
    </row>
    <row r="218" spans="1:17" x14ac:dyDescent="0.25">
      <c r="A218" s="1515" t="s">
        <v>2008</v>
      </c>
      <c r="B218" s="714">
        <f>WasteSolidFilter!J22*(Unitflowchart!$S$286/Unitflowchart!$S$357)</f>
        <v>0</v>
      </c>
      <c r="C218" s="14">
        <f>(B218/B$359)*100</f>
        <v>0</v>
      </c>
      <c r="D218" s="722">
        <f>WasteSolidFilter!K22*(Unitflowchart!$S$286/Unitflowchart!$S$357)</f>
        <v>0</v>
      </c>
      <c r="E218" s="714">
        <f>WasteSolidFilter!P22*(Unitflowchart!$S$286/Unitflowchart!$S$357)</f>
        <v>0</v>
      </c>
      <c r="F218" s="14">
        <f>(E218/E$359)*100</f>
        <v>0</v>
      </c>
      <c r="G218" s="722">
        <f>WasteSolidFilter!Q22*(Unitflowchart!$S$286/Unitflowchart!$S$357)</f>
        <v>0</v>
      </c>
      <c r="H218" s="211">
        <f>WasteSolidFilter!V22*(Unitflowchart!$S$286/Unitflowchart!$S$357)</f>
        <v>3.2504775017513283E-3</v>
      </c>
      <c r="I218" s="14">
        <f>(H218/H$359)*100</f>
        <v>0.18227906944081881</v>
      </c>
      <c r="J218" s="212">
        <f>WasteSolidFilter!W22*(Unitflowchart!$S$286/Unitflowchart!$S$357)</f>
        <v>0</v>
      </c>
      <c r="K218" s="211">
        <f>WasteSolidFilter!AB22*(Unitflowchart!$S$286/Unitflowchart!$S$357)</f>
        <v>9.7514325052539832E-4</v>
      </c>
      <c r="L218" s="14">
        <f>(K218/K$359)*100</f>
        <v>5.3719899019940828E-2</v>
      </c>
      <c r="M218" s="212">
        <f>WasteSolidFilter!AC22*(Unitflowchart!$S$286/Unitflowchart!$S$357)</f>
        <v>0</v>
      </c>
      <c r="N218" s="714">
        <f>E218+(GlobalWarmingPotentials!$B$11*H218)+(GlobalWarmingPotentials!$C$11*K218)</f>
        <v>0.36340338469579847</v>
      </c>
      <c r="O218" s="14">
        <f>(N218/N$359)*100</f>
        <v>2.0479039555310007E-2</v>
      </c>
      <c r="P218" s="741">
        <f>SQRT((G218^2)+((GlobalWarmingPotentials!$B$11*J218)^2)+((GlobalWarmingPotentials!$C$11*M218)^2))</f>
        <v>0</v>
      </c>
      <c r="Q218" s="29"/>
    </row>
    <row r="219" spans="1:17" x14ac:dyDescent="0.25">
      <c r="A219" s="219"/>
      <c r="B219" s="716"/>
      <c r="D219" s="718"/>
      <c r="E219" s="716"/>
      <c r="G219" s="718"/>
      <c r="H219" s="731"/>
      <c r="J219" s="708"/>
      <c r="K219" s="731"/>
      <c r="M219" s="708"/>
      <c r="N219" s="716"/>
      <c r="P219" s="718"/>
      <c r="Q219" s="29"/>
    </row>
    <row r="220" spans="1:17" x14ac:dyDescent="0.25">
      <c r="A220" s="817" t="s">
        <v>871</v>
      </c>
      <c r="B220" s="712"/>
      <c r="D220" s="718"/>
      <c r="E220" s="712"/>
      <c r="G220" s="718"/>
      <c r="H220" s="30"/>
      <c r="J220" s="708"/>
      <c r="K220" s="30"/>
      <c r="M220" s="708"/>
      <c r="N220" s="712"/>
      <c r="P220" s="718"/>
      <c r="Q220" s="29"/>
    </row>
    <row r="221" spans="1:17" x14ac:dyDescent="0.25">
      <c r="A221" s="219"/>
      <c r="B221" s="712"/>
      <c r="D221" s="718"/>
      <c r="E221" s="712"/>
      <c r="G221" s="718"/>
      <c r="H221" s="30"/>
      <c r="J221" s="708"/>
      <c r="K221" s="30"/>
      <c r="M221" s="708"/>
      <c r="N221" s="712"/>
      <c r="P221" s="718"/>
      <c r="Q221" s="29"/>
    </row>
    <row r="222" spans="1:17" x14ac:dyDescent="0.25">
      <c r="A222" s="219" t="str">
        <f>AnaerobicDigestion!A19</f>
        <v>Electricity Input</v>
      </c>
      <c r="B222" s="715">
        <f>AnaerobicDigestion!J19*(Unitflowchart!$S$286/Unitflowchart!$S$357)</f>
        <v>0</v>
      </c>
      <c r="C222" s="25">
        <f>(B222/B$359)*100</f>
        <v>0</v>
      </c>
      <c r="D222" s="355">
        <f>AnaerobicDigestion!K19*(Unitflowchart!$S$286/Unitflowchart!$S$357)</f>
        <v>0</v>
      </c>
      <c r="E222" s="715">
        <f>AnaerobicDigestion!P19*(Unitflowchart!$S$286/Unitflowchart!$S$357)</f>
        <v>0</v>
      </c>
      <c r="F222" s="25">
        <f>(E222/E$359)*100</f>
        <v>0</v>
      </c>
      <c r="G222" s="355">
        <f>AnaerobicDigestion!Q19*(Unitflowchart!$S$286/Unitflowchart!$S$357)</f>
        <v>0</v>
      </c>
      <c r="H222" s="730">
        <f>AnaerobicDigestion!V19*(Unitflowchart!$S$286/Unitflowchart!$S$357)</f>
        <v>9.5522823529411768E-3</v>
      </c>
      <c r="I222" s="25">
        <f>(H222/H$359)*100</f>
        <v>0.53566934008678424</v>
      </c>
      <c r="J222" s="733">
        <f>AnaerobicDigestion!W19*(Unitflowchart!$S$286/Unitflowchart!$S$357)</f>
        <v>0</v>
      </c>
      <c r="K222" s="730">
        <f>AnaerobicDigestion!AB19*(Unitflowchart!$S$286/Unitflowchart!$S$357)</f>
        <v>2.8656847058823529E-3</v>
      </c>
      <c r="L222" s="25">
        <f>(K222/K$359)*100</f>
        <v>0.15786838799329742</v>
      </c>
      <c r="M222" s="733">
        <f>AnaerobicDigestion!AC19*(Unitflowchart!$S$286/Unitflowchart!$S$357)</f>
        <v>0</v>
      </c>
      <c r="N222" s="711">
        <f>E222+(GlobalWarmingPotentials!$B$11*H222)+(GlobalWarmingPotentials!$C$11*K222)</f>
        <v>1.0679451670588236</v>
      </c>
      <c r="O222" s="25">
        <f>(N222/N$359)*100</f>
        <v>6.0182409521054359E-2</v>
      </c>
      <c r="P222" s="740">
        <f>SQRT((G222^2)+((GlobalWarmingPotentials!$B$11*J222)^2)+((GlobalWarmingPotentials!$C$11*M222)^2))</f>
        <v>0</v>
      </c>
      <c r="Q222" s="29"/>
    </row>
    <row r="223" spans="1:17" x14ac:dyDescent="0.25">
      <c r="A223" s="219" t="str">
        <f>AnaerobicDigestion!A20</f>
        <v>Caustic Soda Input</v>
      </c>
      <c r="B223" s="715">
        <f>AnaerobicDigestion!J20*(Unitflowchart!$S$286/Unitflowchart!$S$357)</f>
        <v>1927.7999999999997</v>
      </c>
      <c r="C223" s="25">
        <f>(B223/B$359)*100</f>
        <v>10.130360679576324</v>
      </c>
      <c r="D223" s="355">
        <f>AnaerobicDigestion!K20*(Unitflowchart!$S$286/Unitflowchart!$S$357)</f>
        <v>289.16999999999996</v>
      </c>
      <c r="E223" s="715">
        <f>AnaerobicDigestion!P20*(Unitflowchart!$S$286/Unitflowchart!$S$357)</f>
        <v>107.9568</v>
      </c>
      <c r="F223" s="25">
        <f>(E223/E$359)*100</f>
        <v>9.0250604995289923</v>
      </c>
      <c r="G223" s="355">
        <f>AnaerobicDigestion!Q20*(Unitflowchart!$S$286/Unitflowchart!$S$357)</f>
        <v>16.386299999999999</v>
      </c>
      <c r="H223" s="730">
        <f>AnaerobicDigestion!V20*(Unitflowchart!$S$286/Unitflowchart!$S$357)</f>
        <v>0.31326749999999992</v>
      </c>
      <c r="I223" s="25">
        <f>(H223/H$359)*100</f>
        <v>17.567298452392176</v>
      </c>
      <c r="J223" s="733">
        <f>AnaerobicDigestion!W20*(Unitflowchart!$S$286/Unitflowchart!$S$357)</f>
        <v>4.7231099999999991E-2</v>
      </c>
      <c r="K223" s="730">
        <f>AnaerobicDigestion!AB20*(Unitflowchart!$S$286/Unitflowchart!$S$357)</f>
        <v>0</v>
      </c>
      <c r="L223" s="25">
        <f>(K223/K$359)*100</f>
        <v>0</v>
      </c>
      <c r="M223" s="733">
        <f>AnaerobicDigestion!AC20*(Unitflowchart!$S$286/Unitflowchart!$S$357)</f>
        <v>0</v>
      </c>
      <c r="N223" s="711">
        <f>E223+(GlobalWarmingPotentials!$B$11*H223)+(GlobalWarmingPotentials!$C$11*K223)</f>
        <v>115.1619525</v>
      </c>
      <c r="O223" s="25">
        <f>(N223/N$359)*100</f>
        <v>6.4897749438641892</v>
      </c>
      <c r="P223" s="740">
        <f>SQRT((G223^2)+((GlobalWarmingPotentials!$B$11*J223)^2)+((GlobalWarmingPotentials!$C$11*M223)^2))</f>
        <v>16.422268680697378</v>
      </c>
      <c r="Q223" s="29"/>
    </row>
    <row r="224" spans="1:17" x14ac:dyDescent="0.25">
      <c r="A224" s="219"/>
      <c r="B224" s="712"/>
      <c r="D224" s="718"/>
      <c r="E224" s="712"/>
      <c r="G224" s="718"/>
      <c r="H224" s="30"/>
      <c r="J224" s="708"/>
      <c r="K224" s="30"/>
      <c r="M224" s="708"/>
      <c r="N224" s="712"/>
      <c r="P224" s="721"/>
      <c r="Q224" s="29"/>
    </row>
    <row r="225" spans="1:17" x14ac:dyDescent="0.25">
      <c r="A225" s="1515" t="s">
        <v>880</v>
      </c>
      <c r="B225" s="714">
        <f>AnaerobicDigestion!J22*(Unitflowchart!$S$286/Unitflowchart!$S$357)</f>
        <v>1927.7999999999997</v>
      </c>
      <c r="C225" s="14">
        <f>(B225/B$359)*100</f>
        <v>10.130360679576324</v>
      </c>
      <c r="D225" s="722">
        <f>AnaerobicDigestion!K22*(Unitflowchart!$S$286/Unitflowchart!$S$357)</f>
        <v>289.16999999999996</v>
      </c>
      <c r="E225" s="714">
        <f>AnaerobicDigestion!P22*(Unitflowchart!$S$286/Unitflowchart!$S$357)</f>
        <v>107.9568</v>
      </c>
      <c r="F225" s="14">
        <f>(E225/E$359)*100</f>
        <v>9.0250604995289923</v>
      </c>
      <c r="G225" s="722">
        <f>AnaerobicDigestion!Q22*(Unitflowchart!$S$286/Unitflowchart!$S$357)</f>
        <v>16.386299999999999</v>
      </c>
      <c r="H225" s="211">
        <f>AnaerobicDigestion!V22*(Unitflowchart!$S$286/Unitflowchart!$S$357)</f>
        <v>0.32281978235294112</v>
      </c>
      <c r="I225" s="14">
        <f>(H225/H$359)*100</f>
        <v>18.10296779247896</v>
      </c>
      <c r="J225" s="212">
        <f>AnaerobicDigestion!W22*(Unitflowchart!$S$286/Unitflowchart!$S$357)</f>
        <v>4.7231099999999991E-2</v>
      </c>
      <c r="K225" s="211">
        <f>AnaerobicDigestion!AB22*(Unitflowchart!$S$286/Unitflowchart!$S$357)</f>
        <v>2.8656847058823529E-3</v>
      </c>
      <c r="L225" s="14">
        <f>(K225/K$359)*100</f>
        <v>0.15786838799329742</v>
      </c>
      <c r="M225" s="212">
        <f>AnaerobicDigestion!AC22*(Unitflowchart!$S$286/Unitflowchart!$S$357)</f>
        <v>0</v>
      </c>
      <c r="N225" s="714">
        <f>E225+(GlobalWarmingPotentials!$B$11*H225)+(GlobalWarmingPotentials!$C$11*K225)</f>
        <v>116.22989766705884</v>
      </c>
      <c r="O225" s="14">
        <f>(N225/N$359)*100</f>
        <v>6.5499573533852455</v>
      </c>
      <c r="P225" s="741">
        <f>SQRT((G225^2)+((GlobalWarmingPotentials!$B$11*J225)^2)+((GlobalWarmingPotentials!$C$11*M225)^2))</f>
        <v>16.422268680697378</v>
      </c>
      <c r="Q225" s="29"/>
    </row>
    <row r="226" spans="1:17" x14ac:dyDescent="0.25">
      <c r="A226" s="219"/>
      <c r="B226" s="716"/>
      <c r="D226" s="718"/>
      <c r="E226" s="716"/>
      <c r="G226" s="718"/>
      <c r="H226" s="731"/>
      <c r="J226" s="708"/>
      <c r="K226" s="731"/>
      <c r="M226" s="708"/>
      <c r="N226" s="716"/>
      <c r="P226" s="718"/>
      <c r="Q226" s="29"/>
    </row>
    <row r="227" spans="1:17" x14ac:dyDescent="0.25">
      <c r="A227" s="817" t="s">
        <v>1996</v>
      </c>
      <c r="B227" s="712"/>
      <c r="D227" s="718"/>
      <c r="E227" s="712"/>
      <c r="G227" s="718"/>
      <c r="H227" s="30"/>
      <c r="J227" s="708"/>
      <c r="K227" s="30"/>
      <c r="M227" s="708"/>
      <c r="N227" s="712"/>
      <c r="P227" s="718"/>
      <c r="Q227" s="29"/>
    </row>
    <row r="228" spans="1:17" x14ac:dyDescent="0.25">
      <c r="B228" s="712"/>
      <c r="D228" s="718"/>
      <c r="E228" s="712"/>
      <c r="G228" s="718"/>
      <c r="H228" s="30"/>
      <c r="J228" s="708"/>
      <c r="K228" s="30"/>
      <c r="M228" s="708"/>
      <c r="N228" s="712"/>
      <c r="P228" s="718"/>
      <c r="Q228" s="29"/>
    </row>
    <row r="229" spans="1:17" x14ac:dyDescent="0.25">
      <c r="A229" t="str">
        <f>Utilities!A18</f>
        <v>Electricity Input</v>
      </c>
      <c r="B229" s="710">
        <f>Utilities!J18*(Unitflowchart!$S$294/Unitflowchart!$S$357)</f>
        <v>0</v>
      </c>
      <c r="C229" s="25">
        <f>(B229/B$359)*100</f>
        <v>0</v>
      </c>
      <c r="D229" s="726">
        <f>Utilities!K18*(Unitflowchart!$S$294/Unitflowchart!$S$357)</f>
        <v>0</v>
      </c>
      <c r="E229" s="710">
        <f>Utilities!P18*(Unitflowchart!$S$294/Unitflowchart!$S$357)</f>
        <v>0</v>
      </c>
      <c r="F229" s="24">
        <f t="shared" ref="F229:F231" si="43">(E229/E$359)*100</f>
        <v>0</v>
      </c>
      <c r="G229" s="726">
        <f>Utilities!Q18*(Unitflowchart!$S$294/Unitflowchart!$S$357)</f>
        <v>0</v>
      </c>
      <c r="H229" s="707">
        <f>Utilities!V18*(Unitflowchart!$S$294/Unitflowchart!$S$357)</f>
        <v>4.2465882352941192E-3</v>
      </c>
      <c r="I229" s="24">
        <f t="shared" ref="I229:I231" si="44">(H229/H$359)*100</f>
        <v>0.23813859699403617</v>
      </c>
      <c r="J229" s="709">
        <f>Utilities!W18*(Unitflowchart!$S$294/Unitflowchart!$S$357)</f>
        <v>0</v>
      </c>
      <c r="K229" s="707">
        <f>Utilities!AB18*(Unitflowchart!$S$294/Unitflowchart!$S$357)</f>
        <v>1.2739764705882355E-3</v>
      </c>
      <c r="L229" s="24">
        <f t="shared" ref="L229:L231" si="45">(K229/K$359)*100</f>
        <v>7.018239352721449E-2</v>
      </c>
      <c r="M229" s="709">
        <f>Utilities!AC18*(Unitflowchart!$S$294/Unitflowchart!$S$357)</f>
        <v>0</v>
      </c>
      <c r="N229" s="711">
        <f>E229+(GlobalWarmingPotentials!$B$11*H229)+(GlobalWarmingPotentials!$C$11*K229)</f>
        <v>0.47476856470588247</v>
      </c>
      <c r="O229" s="25">
        <f>(N229/N$359)*100</f>
        <v>2.6754853217364476E-2</v>
      </c>
      <c r="P229" s="740">
        <f>SQRT((G229^2)+((GlobalWarmingPotentials!$B$11*J229)^2)+((GlobalWarmingPotentials!$C$11*M229)^2))</f>
        <v>0</v>
      </c>
      <c r="Q229" s="29"/>
    </row>
    <row r="230" spans="1:17" x14ac:dyDescent="0.25">
      <c r="B230" s="712"/>
      <c r="D230" s="718"/>
      <c r="E230" s="712"/>
      <c r="G230" s="718"/>
      <c r="H230" s="30"/>
      <c r="J230" s="708"/>
      <c r="K230" s="30"/>
      <c r="M230" s="708"/>
      <c r="N230" s="712"/>
      <c r="P230" s="718"/>
      <c r="Q230" s="29"/>
    </row>
    <row r="231" spans="1:17" x14ac:dyDescent="0.25">
      <c r="A231" s="214" t="s">
        <v>2021</v>
      </c>
      <c r="B231" s="717">
        <f>Utilities!J20*(Unitflowchart!$S$294/Unitflowchart!$S$357)</f>
        <v>0</v>
      </c>
      <c r="C231" s="705">
        <f>(B231/B$359)*100</f>
        <v>0</v>
      </c>
      <c r="D231" s="727">
        <f>Utilities!K20*(Unitflowchart!$S$294/Unitflowchart!$S$357)</f>
        <v>0</v>
      </c>
      <c r="E231" s="717">
        <f>Utilities!P20*(Unitflowchart!$S$294/Unitflowchart!$S$357)</f>
        <v>0</v>
      </c>
      <c r="F231" s="705">
        <f t="shared" si="43"/>
        <v>0</v>
      </c>
      <c r="G231" s="727">
        <f>Utilities!Q20*(Unitflowchart!$S$294/Unitflowchart!$S$357)</f>
        <v>0</v>
      </c>
      <c r="H231" s="706">
        <f>Utilities!V20*(Unitflowchart!$S$294/Unitflowchart!$S$357)</f>
        <v>4.2465882352941192E-3</v>
      </c>
      <c r="I231" s="705">
        <f t="shared" si="44"/>
        <v>0.23813859699403617</v>
      </c>
      <c r="J231" s="704">
        <f>Utilities!W20*(Unitflowchart!$S$294/Unitflowchart!$S$357)</f>
        <v>0</v>
      </c>
      <c r="K231" s="706">
        <f>Utilities!AB20*(Unitflowchart!$S$294/Unitflowchart!$S$357)</f>
        <v>1.2739764705882355E-3</v>
      </c>
      <c r="L231" s="705">
        <f t="shared" si="45"/>
        <v>7.018239352721449E-2</v>
      </c>
      <c r="M231" s="704">
        <f>Utilities!AC20*(Unitflowchart!$S$294/Unitflowchart!$S$357)</f>
        <v>0</v>
      </c>
      <c r="N231" s="717">
        <f>E231+(GlobalWarmingPotentials!$B$11*H231)+(GlobalWarmingPotentials!$C$11*K231)</f>
        <v>0.47476856470588247</v>
      </c>
      <c r="O231" s="705">
        <f>(N231/N$359)*100</f>
        <v>2.6754853217364476E-2</v>
      </c>
      <c r="P231" s="725">
        <f>SQRT((G231^2)+((GlobalWarmingPotentials!$B$11*J231)^2)+((GlobalWarmingPotentials!$C$11*M231)^2))</f>
        <v>0</v>
      </c>
      <c r="Q231" s="29"/>
    </row>
    <row r="232" spans="1:17" x14ac:dyDescent="0.25">
      <c r="B232" s="712"/>
      <c r="D232" s="718"/>
      <c r="E232" s="712"/>
      <c r="G232" s="718"/>
      <c r="H232" s="30"/>
      <c r="J232" s="708"/>
      <c r="K232" s="30"/>
      <c r="M232" s="708"/>
      <c r="N232" s="712"/>
      <c r="P232" s="718"/>
      <c r="Q232" s="29"/>
    </row>
    <row r="233" spans="1:17" x14ac:dyDescent="0.25">
      <c r="A233" s="817" t="s">
        <v>872</v>
      </c>
      <c r="B233" s="712"/>
      <c r="D233" s="718"/>
      <c r="E233" s="712"/>
      <c r="G233" s="718"/>
      <c r="H233" s="30"/>
      <c r="J233" s="708"/>
      <c r="K233" s="30"/>
      <c r="M233" s="708"/>
      <c r="N233" s="712"/>
      <c r="P233" s="718"/>
      <c r="Q233" s="29"/>
    </row>
    <row r="234" spans="1:17" x14ac:dyDescent="0.25">
      <c r="B234" s="712"/>
      <c r="D234" s="718"/>
      <c r="E234" s="712"/>
      <c r="G234" s="718"/>
      <c r="H234" s="30"/>
      <c r="J234" s="708"/>
      <c r="K234" s="30"/>
      <c r="M234" s="708"/>
      <c r="N234" s="712"/>
      <c r="P234" s="718"/>
      <c r="Q234" s="29"/>
    </row>
    <row r="235" spans="1:17" x14ac:dyDescent="0.25">
      <c r="A235" s="42" t="str">
        <f>ElectricitySales!A15</f>
        <v>Electricity Credit</v>
      </c>
      <c r="B235" s="715">
        <f>Unitflowchart!$S$286/Unitflowchart!$S$357*(ElectricitySales!J15)</f>
        <v>0</v>
      </c>
      <c r="C235" s="25">
        <f>(B235/B$359)*100</f>
        <v>0</v>
      </c>
      <c r="D235" s="355">
        <f>Unitflowchart!$S$286/Unitflowchart!$S$357*(ElectricitySales!K15)</f>
        <v>0</v>
      </c>
      <c r="E235" s="715">
        <f>Unitflowchart!$S$286/Unitflowchart!$S$357*(ElectricitySales!P15)</f>
        <v>0</v>
      </c>
      <c r="F235" s="25">
        <f>(E235/E$359)*100</f>
        <v>0</v>
      </c>
      <c r="G235" s="355">
        <f>Unitflowchart!$S$286/Unitflowchart!$S$357*(ElectricitySales!Q15)</f>
        <v>0</v>
      </c>
      <c r="H235" s="730">
        <f>Unitflowchart!$S$286/Unitflowchart!$S$357*(ElectricitySales!V15)</f>
        <v>-4.9045600190756829E-2</v>
      </c>
      <c r="I235" s="25">
        <f>(H235/H$359)*100</f>
        <v>-2.7503609417757287</v>
      </c>
      <c r="J235" s="733">
        <f>Unitflowchart!$S$286/Unitflowchart!$S$357*(ElectricitySales!W15)</f>
        <v>0</v>
      </c>
      <c r="K235" s="730">
        <f>Unitflowchart!$S$286/Unitflowchart!$S$357*(ElectricitySales!AB15)</f>
        <v>-1.4713680057227048E-2</v>
      </c>
      <c r="L235" s="25">
        <f>(K235/K$359)*100</f>
        <v>-0.81056542867941128</v>
      </c>
      <c r="M235" s="733">
        <f>Unitflowchart!$S$286/Unitflowchart!$S$357*(ElectricitySales!AC15)</f>
        <v>0</v>
      </c>
      <c r="N235" s="711">
        <f>E235+(GlobalWarmingPotentials!$B$11*H235)+(GlobalWarmingPotentials!$C$11*K235)</f>
        <v>-5.4832981013266133</v>
      </c>
      <c r="O235" s="25">
        <f>(N235/N$359)*100</f>
        <v>-0.30900284212989132</v>
      </c>
      <c r="P235" s="740">
        <f>SQRT((G235^2)+((GlobalWarmingPotentials!$B$11*J235)^2)+((GlobalWarmingPotentials!$C$11*M235)^2))</f>
        <v>0</v>
      </c>
      <c r="Q235" s="29"/>
    </row>
    <row r="236" spans="1:17" x14ac:dyDescent="0.25">
      <c r="B236" s="712"/>
      <c r="D236" s="718"/>
      <c r="E236" s="712"/>
      <c r="G236" s="718"/>
      <c r="H236" s="30"/>
      <c r="J236" s="729"/>
      <c r="K236" s="30"/>
      <c r="M236" s="708"/>
      <c r="N236" s="712"/>
      <c r="P236" s="718"/>
      <c r="Q236" s="29"/>
    </row>
    <row r="237" spans="1:17" x14ac:dyDescent="0.25">
      <c r="A237" s="214" t="s">
        <v>881</v>
      </c>
      <c r="B237" s="714">
        <f>Unitflowchart!$S$286/Unitflowchart!$S$357*(ElectricitySales!J17)</f>
        <v>0</v>
      </c>
      <c r="C237" s="14">
        <f>(B237/B$359)*100</f>
        <v>0</v>
      </c>
      <c r="D237" s="722">
        <f>Unitflowchart!$S$286/Unitflowchart!$S$357*(ElectricitySales!K17)</f>
        <v>0</v>
      </c>
      <c r="E237" s="714">
        <f>Unitflowchart!$S$286/Unitflowchart!$S$357*(ElectricitySales!P17)</f>
        <v>0</v>
      </c>
      <c r="F237" s="14">
        <f>(E237/E$359)*100</f>
        <v>0</v>
      </c>
      <c r="G237" s="722">
        <f>Unitflowchart!$S$286/Unitflowchart!$S$357*(ElectricitySales!Q17)</f>
        <v>0</v>
      </c>
      <c r="H237" s="211">
        <f>Unitflowchart!$S$286/Unitflowchart!$S$357*(ElectricitySales!V17)</f>
        <v>-4.9045600190756829E-2</v>
      </c>
      <c r="I237" s="14">
        <f>(H237/H$359)*100</f>
        <v>-2.7503609417757287</v>
      </c>
      <c r="J237" s="212">
        <f>Unitflowchart!$S$286/Unitflowchart!$S$357*(ElectricitySales!W17)</f>
        <v>0</v>
      </c>
      <c r="K237" s="211">
        <f>Unitflowchart!$S$286/Unitflowchart!$S$357*(ElectricitySales!AB17)</f>
        <v>-1.4713680057227048E-2</v>
      </c>
      <c r="L237" s="14">
        <f>(K237/K$359)*100</f>
        <v>-0.81056542867941128</v>
      </c>
      <c r="M237" s="212">
        <f>Unitflowchart!$S$286/Unitflowchart!$S$357*(ElectricitySales!AC17)</f>
        <v>0</v>
      </c>
      <c r="N237" s="714">
        <f>E237+(GlobalWarmingPotentials!$B$11*H237)+(GlobalWarmingPotentials!$C$11*K237)</f>
        <v>-5.4832981013266133</v>
      </c>
      <c r="O237" s="14">
        <f>(N237/N$359)*100</f>
        <v>-0.30900284212989132</v>
      </c>
      <c r="P237" s="741">
        <f>SQRT((G237^2)+((GlobalWarmingPotentials!$B$11*J237)^2)+((GlobalWarmingPotentials!$C$11*M237)^2))</f>
        <v>0</v>
      </c>
      <c r="Q237" s="29"/>
    </row>
    <row r="238" spans="1:17" s="3" customFormat="1" x14ac:dyDescent="0.25">
      <c r="A238" s="358"/>
      <c r="B238" s="743"/>
      <c r="C238" s="26"/>
      <c r="D238" s="805"/>
      <c r="E238" s="743"/>
      <c r="F238" s="26"/>
      <c r="G238" s="805"/>
      <c r="H238" s="745"/>
      <c r="I238" s="26"/>
      <c r="J238" s="806"/>
      <c r="K238" s="745"/>
      <c r="L238" s="26"/>
      <c r="M238" s="806"/>
      <c r="N238" s="743"/>
      <c r="O238" s="26"/>
      <c r="P238" s="807"/>
      <c r="Q238" s="804"/>
    </row>
    <row r="239" spans="1:17" s="3" customFormat="1" x14ac:dyDescent="0.25">
      <c r="A239" s="151" t="s">
        <v>944</v>
      </c>
      <c r="B239" s="746"/>
      <c r="C239" s="26"/>
      <c r="D239" s="805"/>
      <c r="E239" s="746"/>
      <c r="F239" s="26"/>
      <c r="G239" s="805"/>
      <c r="H239" s="763"/>
      <c r="I239" s="26"/>
      <c r="J239" s="806"/>
      <c r="K239" s="763"/>
      <c r="L239" s="26"/>
      <c r="M239" s="806"/>
      <c r="N239" s="746"/>
      <c r="O239" s="26"/>
      <c r="P239" s="807"/>
      <c r="Q239" s="804"/>
    </row>
    <row r="240" spans="1:17" s="3" customFormat="1" x14ac:dyDescent="0.25">
      <c r="A240" s="358"/>
      <c r="B240" s="746"/>
      <c r="C240" s="26"/>
      <c r="D240" s="805"/>
      <c r="E240" s="746"/>
      <c r="F240" s="26"/>
      <c r="G240" s="805"/>
      <c r="H240" s="763"/>
      <c r="I240" s="26"/>
      <c r="J240" s="806"/>
      <c r="K240" s="763"/>
      <c r="L240" s="26"/>
      <c r="M240" s="806"/>
      <c r="N240" s="746"/>
      <c r="O240" s="26"/>
      <c r="P240" s="807"/>
      <c r="Q240" s="804"/>
    </row>
    <row r="241" spans="1:17" s="3" customFormat="1" x14ac:dyDescent="0.25">
      <c r="A241" s="894" t="s">
        <v>1674</v>
      </c>
      <c r="B241" s="808"/>
      <c r="C241" s="26"/>
      <c r="D241" s="811"/>
      <c r="E241" s="808"/>
      <c r="F241" s="26"/>
      <c r="G241" s="811"/>
      <c r="H241" s="812"/>
      <c r="I241" s="26"/>
      <c r="J241" s="815"/>
      <c r="K241" s="812"/>
      <c r="L241" s="26"/>
      <c r="M241" s="815"/>
      <c r="N241" s="771">
        <f>-SubstitutionCredit!D18</f>
        <v>0</v>
      </c>
      <c r="O241" s="25">
        <f>(N241/N$359)*100</f>
        <v>0</v>
      </c>
      <c r="P241" s="1426">
        <v>0</v>
      </c>
      <c r="Q241" s="804"/>
    </row>
    <row r="242" spans="1:17" s="3" customFormat="1" x14ac:dyDescent="0.25">
      <c r="A242" s="208" t="s">
        <v>937</v>
      </c>
      <c r="B242" s="808"/>
      <c r="C242" s="26"/>
      <c r="D242" s="811"/>
      <c r="E242" s="808"/>
      <c r="F242" s="26"/>
      <c r="G242" s="811"/>
      <c r="H242" s="812"/>
      <c r="I242" s="26"/>
      <c r="J242" s="815"/>
      <c r="K242" s="812"/>
      <c r="L242" s="26"/>
      <c r="M242" s="815"/>
      <c r="N242" s="711">
        <f>-SubstitutionCredit!D21</f>
        <v>0</v>
      </c>
      <c r="O242" s="25">
        <f>(N242/N$359)*100</f>
        <v>0</v>
      </c>
      <c r="P242" s="665">
        <v>0</v>
      </c>
      <c r="Q242" s="804"/>
    </row>
    <row r="243" spans="1:17" s="3" customFormat="1" x14ac:dyDescent="0.25">
      <c r="A243" s="208" t="s">
        <v>938</v>
      </c>
      <c r="B243" s="808"/>
      <c r="C243" s="26"/>
      <c r="D243" s="811"/>
      <c r="E243" s="808"/>
      <c r="F243" s="26"/>
      <c r="G243" s="811"/>
      <c r="H243" s="812"/>
      <c r="I243" s="26"/>
      <c r="J243" s="815"/>
      <c r="K243" s="812"/>
      <c r="L243" s="26"/>
      <c r="M243" s="815"/>
      <c r="N243" s="711">
        <f>-SubstitutionCredit!D22</f>
        <v>0</v>
      </c>
      <c r="O243" s="25">
        <f>(N243/N$359)*100</f>
        <v>0</v>
      </c>
      <c r="P243" s="665">
        <v>0</v>
      </c>
      <c r="Q243" s="804"/>
    </row>
    <row r="244" spans="1:17" s="3" customFormat="1" x14ac:dyDescent="0.25">
      <c r="A244" s="208" t="s">
        <v>39</v>
      </c>
      <c r="B244" s="808"/>
      <c r="C244" s="26"/>
      <c r="D244" s="811"/>
      <c r="E244" s="808"/>
      <c r="F244" s="26"/>
      <c r="G244" s="811"/>
      <c r="H244" s="812"/>
      <c r="I244" s="26"/>
      <c r="J244" s="815"/>
      <c r="K244" s="812"/>
      <c r="L244" s="26"/>
      <c r="M244" s="815"/>
      <c r="N244" s="711">
        <f>-SubstitutionCredit!D27</f>
        <v>0</v>
      </c>
      <c r="O244" s="25">
        <f>(N244/N$359)*100</f>
        <v>0</v>
      </c>
      <c r="P244" s="665">
        <v>0</v>
      </c>
      <c r="Q244" s="804"/>
    </row>
    <row r="245" spans="1:17" s="3" customFormat="1" x14ac:dyDescent="0.25">
      <c r="A245" s="358"/>
      <c r="B245" s="746"/>
      <c r="C245" s="26"/>
      <c r="D245" s="805"/>
      <c r="E245" s="746"/>
      <c r="F245" s="26"/>
      <c r="G245" s="805"/>
      <c r="H245" s="763"/>
      <c r="I245" s="26"/>
      <c r="J245" s="806"/>
      <c r="K245" s="763"/>
      <c r="L245" s="26"/>
      <c r="M245" s="806"/>
      <c r="N245" s="746"/>
      <c r="O245" s="26"/>
      <c r="P245" s="807"/>
      <c r="Q245" s="804"/>
    </row>
    <row r="246" spans="1:17" s="3" customFormat="1" x14ac:dyDescent="0.25">
      <c r="A246" s="699" t="s">
        <v>945</v>
      </c>
      <c r="B246" s="809"/>
      <c r="C246" s="14"/>
      <c r="D246" s="810"/>
      <c r="E246" s="809"/>
      <c r="F246" s="14"/>
      <c r="G246" s="810"/>
      <c r="H246" s="813"/>
      <c r="I246" s="14"/>
      <c r="J246" s="814"/>
      <c r="K246" s="813"/>
      <c r="L246" s="14"/>
      <c r="M246" s="814"/>
      <c r="N246" s="714">
        <f>SUM(N241:N244)</f>
        <v>0</v>
      </c>
      <c r="O246" s="14">
        <f>(N246/N$359)*100</f>
        <v>0</v>
      </c>
      <c r="P246" s="739">
        <f>SQRT(SUMSQ(P241:P244))</f>
        <v>0</v>
      </c>
      <c r="Q246" s="804"/>
    </row>
    <row r="247" spans="1:17" s="3" customFormat="1" x14ac:dyDescent="0.25">
      <c r="A247" s="358"/>
      <c r="B247" s="746"/>
      <c r="C247" s="26"/>
      <c r="D247" s="805"/>
      <c r="E247" s="746"/>
      <c r="F247" s="26"/>
      <c r="G247" s="805"/>
      <c r="H247" s="763"/>
      <c r="I247" s="26"/>
      <c r="J247" s="806"/>
      <c r="K247" s="763"/>
      <c r="L247" s="26"/>
      <c r="M247" s="806"/>
      <c r="N247" s="746"/>
      <c r="O247" s="26"/>
      <c r="P247" s="807"/>
      <c r="Q247" s="804"/>
    </row>
    <row r="248" spans="1:17" x14ac:dyDescent="0.25">
      <c r="B248" s="712"/>
      <c r="D248" s="718"/>
      <c r="E248" s="712"/>
      <c r="G248" s="718"/>
      <c r="H248" s="30"/>
      <c r="J248" s="708"/>
      <c r="K248" s="30"/>
      <c r="M248" s="708"/>
      <c r="N248" s="712"/>
      <c r="P248" s="718"/>
      <c r="Q248" s="29"/>
    </row>
    <row r="249" spans="1:17" x14ac:dyDescent="0.25">
      <c r="A249" s="384" t="s">
        <v>415</v>
      </c>
      <c r="B249" s="712"/>
      <c r="D249" s="718"/>
      <c r="E249" s="712"/>
      <c r="G249" s="718"/>
      <c r="H249" s="30"/>
      <c r="J249" s="708"/>
      <c r="K249" s="30"/>
      <c r="M249" s="708"/>
      <c r="N249" s="712"/>
      <c r="P249" s="718"/>
      <c r="Q249" s="29"/>
    </row>
    <row r="250" spans="1:17" x14ac:dyDescent="0.25">
      <c r="B250" s="712"/>
      <c r="D250" s="718"/>
      <c r="E250" s="712"/>
      <c r="G250" s="718"/>
      <c r="H250" s="30"/>
      <c r="J250" s="708"/>
      <c r="K250" s="30"/>
      <c r="M250" s="708"/>
      <c r="N250" s="712"/>
      <c r="P250" s="718"/>
      <c r="Q250" s="29"/>
    </row>
    <row r="251" spans="1:17" x14ac:dyDescent="0.25">
      <c r="A251" s="150" t="str">
        <f>RoadTransportEthanolStage1!A42</f>
        <v xml:space="preserve"> - Diesel Fuel</v>
      </c>
      <c r="B251" s="715">
        <f>(Unitflowchart!$S$294/Unitflowchart!$S$357)*RoadTransportEthanolStage1!J42*Unitflowchart!$S$303</f>
        <v>517.88672232212184</v>
      </c>
      <c r="C251" s="25">
        <f>(B251/B$359)*100</f>
        <v>2.7214333895044533</v>
      </c>
      <c r="D251" s="481">
        <f>(Unitflowchart!$S$294/Unitflowchart!$S$357)*RoadTransportEthanolStage1!K42*Unitflowchart!$S$303</f>
        <v>24.34067594913973</v>
      </c>
      <c r="E251" s="715">
        <f>(Unitflowchart!$S$294/Unitflowchart!$S$357)*RoadTransportEthanolStage1!P42*Unitflowchart!$S$303</f>
        <v>37.164284826471004</v>
      </c>
      <c r="F251" s="25">
        <f>(E251/E$359)*100</f>
        <v>3.106890154030391</v>
      </c>
      <c r="G251" s="355">
        <f>(Unitflowchart!$S$294/Unitflowchart!$S$357)*RoadTransportEthanolStage1!Q42*Unitflowchart!$S$303</f>
        <v>1.7467213868441371</v>
      </c>
      <c r="H251" s="730">
        <f>(Unitflowchart!$S$294/Unitflowchart!$S$357)*RoadTransportEthanolStage1!V42*Unitflowchart!$S$303</f>
        <v>7.7224487951108563E-3</v>
      </c>
      <c r="I251" s="25">
        <f>(H251/H$359)*100</f>
        <v>0.43305661381097244</v>
      </c>
      <c r="J251" s="733">
        <f>(Unitflowchart!$S$294/Unitflowchart!$S$357)*RoadTransportEthanolStage1!W42*Unitflowchart!$S$303</f>
        <v>3.6295509337021026E-4</v>
      </c>
      <c r="K251" s="730">
        <f>(Unitflowchart!$S$294/Unitflowchart!$S$357)*RoadTransportEthanolStage1!AB42*Unitflowchart!$S$303</f>
        <v>1.0039183433644116E-2</v>
      </c>
      <c r="L251" s="25">
        <f>(K251/K$359)*100</f>
        <v>0.55305096969850598</v>
      </c>
      <c r="M251" s="733">
        <f>(Unitflowchart!$S$294/Unitflowchart!$S$357)*RoadTransportEthanolStage1!AC42*Unitflowchart!$S$303</f>
        <v>4.7184162138127345E-4</v>
      </c>
      <c r="N251" s="711">
        <f>E251+(GlobalWarmingPotentials!$B$11*H251)+(GlobalWarmingPotentials!$C$11*K251)</f>
        <v>40.313499445117209</v>
      </c>
      <c r="O251" s="25">
        <f>(N251/N$359)*100</f>
        <v>2.2718053395144078</v>
      </c>
      <c r="P251" s="740">
        <f>SQRT((G251^2)+((GlobalWarmingPotentials!$B$11*J251)^2)+((GlobalWarmingPotentials!$C$11*M251)^2))</f>
        <v>1.7523160780917761</v>
      </c>
      <c r="Q251" s="29"/>
    </row>
    <row r="252" spans="1:17" x14ac:dyDescent="0.25">
      <c r="A252" s="13" t="str">
        <f>RoadTransportEthanolStage1!A43</f>
        <v xml:space="preserve"> - Vehicle </v>
      </c>
      <c r="B252" s="715">
        <f>(Unitflowchart!$S$294/Unitflowchart!$S$357)*RoadTransportEthanolStage1!J43*Unitflowchart!$S$303</f>
        <v>0</v>
      </c>
      <c r="C252" s="25">
        <f>(B252/B$359)*100</f>
        <v>0</v>
      </c>
      <c r="D252" s="481">
        <f>(Unitflowchart!$S$294/Unitflowchart!$S$357)*RoadTransportEthanolStage1!K43*Unitflowchart!$S$303</f>
        <v>0</v>
      </c>
      <c r="E252" s="715">
        <f>(Unitflowchart!$S$294/Unitflowchart!$S$357)*RoadTransportEthanolStage1!P43*Unitflowchart!$S$303</f>
        <v>0</v>
      </c>
      <c r="F252" s="25">
        <f>(E252/E$359)*100</f>
        <v>0</v>
      </c>
      <c r="G252" s="355">
        <f>(Unitflowchart!$S$294/Unitflowchart!$S$357)*RoadTransportEthanolStage1!Q43*Unitflowchart!$S$303</f>
        <v>0</v>
      </c>
      <c r="H252" s="730">
        <f>(Unitflowchart!$S$294/Unitflowchart!$S$357)*RoadTransportEthanolStage1!V43*Unitflowchart!$S$303</f>
        <v>0</v>
      </c>
      <c r="I252" s="25">
        <f>(H252/H$359)*100</f>
        <v>0</v>
      </c>
      <c r="J252" s="733">
        <f>(Unitflowchart!$S$294/Unitflowchart!$S$357)*RoadTransportEthanolStage1!W43*Unitflowchart!$S$303</f>
        <v>0</v>
      </c>
      <c r="K252" s="730">
        <f>(Unitflowchart!$S$294/Unitflowchart!$S$357)*RoadTransportEthanolStage1!AB43*Unitflowchart!$S$303</f>
        <v>0</v>
      </c>
      <c r="L252" s="25">
        <f>(K252/K$359)*100</f>
        <v>0</v>
      </c>
      <c r="M252" s="733">
        <f>(Unitflowchart!$S$294/Unitflowchart!$S$357)*RoadTransportEthanolStage1!AC43*Unitflowchart!$S$303</f>
        <v>0</v>
      </c>
      <c r="N252" s="711">
        <f>E252+(GlobalWarmingPotentials!$B$11*H252)+(GlobalWarmingPotentials!$C$11*K252)</f>
        <v>0</v>
      </c>
      <c r="O252" s="25">
        <f>(N252/N$359)*100</f>
        <v>0</v>
      </c>
      <c r="P252" s="740">
        <f>SQRT((G252^2)+((GlobalWarmingPotentials!$B$11*J252)^2)+((GlobalWarmingPotentials!$C$11*M252)^2))</f>
        <v>0</v>
      </c>
      <c r="Q252" s="29"/>
    </row>
    <row r="253" spans="1:17" x14ac:dyDescent="0.25">
      <c r="A253" s="13" t="str">
        <f>RoadTransportEthanolStage1!A44</f>
        <v xml:space="preserve"> - Maintenance</v>
      </c>
      <c r="B253" s="715">
        <f>(Unitflowchart!$S$294/Unitflowchart!$S$357)*RoadTransportEthanolStage1!J44*Unitflowchart!$S$303</f>
        <v>0</v>
      </c>
      <c r="C253" s="25">
        <f>(B253/B$359)*100</f>
        <v>0</v>
      </c>
      <c r="D253" s="481">
        <f>(Unitflowchart!$S$294/Unitflowchart!$S$357)*RoadTransportEthanolStage1!K44*Unitflowchart!$S$303</f>
        <v>0</v>
      </c>
      <c r="E253" s="715">
        <f>(Unitflowchart!$S$294/Unitflowchart!$S$357)*RoadTransportEthanolStage1!P44*Unitflowchart!$S$303</f>
        <v>0</v>
      </c>
      <c r="F253" s="25">
        <f>(E253/E$359)*100</f>
        <v>0</v>
      </c>
      <c r="G253" s="355">
        <f>(Unitflowchart!$S$294/Unitflowchart!$S$357)*RoadTransportEthanolStage1!Q44*Unitflowchart!$S$303</f>
        <v>0</v>
      </c>
      <c r="H253" s="730">
        <f>(Unitflowchart!$S$294/Unitflowchart!$S$357)*RoadTransportEthanolStage1!V44*Unitflowchart!$S$303</f>
        <v>0</v>
      </c>
      <c r="I253" s="25">
        <f>(H253/H$359)*100</f>
        <v>0</v>
      </c>
      <c r="J253" s="733">
        <f>(Unitflowchart!$S$294/Unitflowchart!$S$357)*RoadTransportEthanolStage1!W44*Unitflowchart!$S$303</f>
        <v>0</v>
      </c>
      <c r="K253" s="730">
        <f>(Unitflowchart!$S$294/Unitflowchart!$S$357)*RoadTransportEthanolStage1!AB44*Unitflowchart!$S$303</f>
        <v>0</v>
      </c>
      <c r="L253" s="25">
        <f>(K253/K$359)*100</f>
        <v>0</v>
      </c>
      <c r="M253" s="733">
        <f>(Unitflowchart!$S$294/Unitflowchart!$S$357)*RoadTransportEthanolStage1!AC44*Unitflowchart!$S$303</f>
        <v>0</v>
      </c>
      <c r="N253" s="711">
        <f>E253+(GlobalWarmingPotentials!$B$11*H253)+(GlobalWarmingPotentials!$C$11*K253)</f>
        <v>0</v>
      </c>
      <c r="O253" s="25">
        <f>(N253/N$359)*100</f>
        <v>0</v>
      </c>
      <c r="P253" s="740">
        <f>SQRT((G253^2)+((GlobalWarmingPotentials!$B$11*J253)^2)+((GlobalWarmingPotentials!$C$11*M253)^2))</f>
        <v>0</v>
      </c>
      <c r="Q253" s="29"/>
    </row>
    <row r="254" spans="1:17" s="42" customFormat="1" x14ac:dyDescent="0.25">
      <c r="B254" s="746"/>
      <c r="C254" s="863"/>
      <c r="D254" s="759"/>
      <c r="E254" s="746"/>
      <c r="F254" s="863"/>
      <c r="G254" s="805"/>
      <c r="H254" s="763"/>
      <c r="I254" s="863"/>
      <c r="J254" s="806"/>
      <c r="K254" s="763"/>
      <c r="L254" s="863"/>
      <c r="M254" s="806"/>
      <c r="N254" s="897"/>
      <c r="O254" s="893"/>
      <c r="P254" s="898"/>
      <c r="Q254" s="823"/>
    </row>
    <row r="255" spans="1:17" s="6" customFormat="1" x14ac:dyDescent="0.25">
      <c r="A255" s="214" t="s">
        <v>842</v>
      </c>
      <c r="B255" s="714">
        <f>(Unitflowchart!$S$294/Unitflowchart!$S$357)*RoadTransportEthanolStage1!J46*Unitflowchart!$S$303</f>
        <v>517.88672232212184</v>
      </c>
      <c r="C255" s="14">
        <f>(B255/B$359)*100</f>
        <v>2.7214333895044533</v>
      </c>
      <c r="D255" s="722">
        <f>(Unitflowchart!$S$294/Unitflowchart!$S$357)*RoadTransportEthanolStage1!K46*Unitflowchart!$S$303</f>
        <v>24.34067594913973</v>
      </c>
      <c r="E255" s="714">
        <f>(Unitflowchart!$S$294/Unitflowchart!$S$357)*RoadTransportEthanolStage1!P46*Unitflowchart!$S$303</f>
        <v>37.164284826471004</v>
      </c>
      <c r="F255" s="14">
        <f>(E255/E$359)*100</f>
        <v>3.106890154030391</v>
      </c>
      <c r="G255" s="720">
        <f>(Unitflowchart!$S$294/Unitflowchart!$S$357)*RoadTransportEthanolStage1!Q46*Unitflowchart!$S$303</f>
        <v>1.7467213868441371</v>
      </c>
      <c r="H255" s="211">
        <f>(Unitflowchart!$S$294/Unitflowchart!$S$357)*RoadTransportEthanolStage1!V46*Unitflowchart!$S$303</f>
        <v>7.7224487951108563E-3</v>
      </c>
      <c r="I255" s="14">
        <f>(H255/H$359)*100</f>
        <v>0.43305661381097244</v>
      </c>
      <c r="J255" s="728">
        <f>(Unitflowchart!$S$294/Unitflowchart!$S$357)*RoadTransportEthanolStage1!W46*Unitflowchart!$S$303</f>
        <v>3.6295509337021026E-4</v>
      </c>
      <c r="K255" s="211">
        <f>(Unitflowchart!$S$294/Unitflowchart!$S$357)*RoadTransportEthanolStage1!AB46*Unitflowchart!$S$303</f>
        <v>1.0039183433644116E-2</v>
      </c>
      <c r="L255" s="14">
        <f>(K255/K$359)*100</f>
        <v>0.55305096969850598</v>
      </c>
      <c r="M255" s="212">
        <f>(Unitflowchart!$S$294/Unitflowchart!$S$357)*RoadTransportEthanolStage1!AC46*Unitflowchart!$S$303</f>
        <v>4.7184162138127345E-4</v>
      </c>
      <c r="N255" s="714">
        <f>E255+(GlobalWarmingPotentials!$B$11*H255)+(GlobalWarmingPotentials!$C$11*K255)</f>
        <v>40.313499445117209</v>
      </c>
      <c r="O255" s="14">
        <f>(N255/N$359)*100</f>
        <v>2.2718053395144078</v>
      </c>
      <c r="P255" s="741">
        <f>SQRT((G255^2)+((GlobalWarmingPotentials!$B$11*J255)^2)+((GlobalWarmingPotentials!$C$11*M255)^2))</f>
        <v>1.7523160780917761</v>
      </c>
      <c r="Q255" s="28"/>
    </row>
    <row r="256" spans="1:17" x14ac:dyDescent="0.25">
      <c r="B256" s="712"/>
      <c r="D256" s="718"/>
      <c r="E256" s="712"/>
      <c r="G256" s="718"/>
      <c r="H256" s="30"/>
      <c r="J256" s="708"/>
      <c r="K256" s="30"/>
      <c r="M256" s="708"/>
      <c r="N256" s="712"/>
      <c r="P256" s="718"/>
      <c r="Q256" s="29"/>
    </row>
    <row r="257" spans="1:17" x14ac:dyDescent="0.25">
      <c r="A257" s="384" t="s">
        <v>883</v>
      </c>
      <c r="B257" s="712"/>
      <c r="D257" s="718"/>
      <c r="E257" s="712"/>
      <c r="G257" s="718"/>
      <c r="H257" s="30"/>
      <c r="J257" s="708"/>
      <c r="K257" s="30"/>
      <c r="M257" s="708"/>
      <c r="N257" s="712"/>
      <c r="P257" s="718"/>
      <c r="Q257" s="29"/>
    </row>
    <row r="258" spans="1:17" x14ac:dyDescent="0.25">
      <c r="B258" s="712"/>
      <c r="D258" s="718"/>
      <c r="E258" s="712"/>
      <c r="G258" s="718"/>
      <c r="H258" s="30"/>
      <c r="J258" s="708"/>
      <c r="K258" s="30"/>
      <c r="M258" s="708"/>
      <c r="N258" s="712"/>
      <c r="P258" s="718"/>
      <c r="Q258" s="29"/>
    </row>
    <row r="259" spans="1:17" x14ac:dyDescent="0.25">
      <c r="A259" t="str">
        <f>RailTransport!A11</f>
        <v xml:space="preserve"> - Gas Oil</v>
      </c>
      <c r="B259" s="710">
        <f>(Unitflowchart!$S$294/Unitflowchart!$S$357)*RailTransport!J11*Unitflowchart!$S$305</f>
        <v>0</v>
      </c>
      <c r="C259" s="24">
        <f>(B259/B$359)*100</f>
        <v>0</v>
      </c>
      <c r="D259" s="726">
        <f>(Unitflowchart!$S$294/Unitflowchart!$S$357)*RailTransport!K11*Unitflowchart!$S$305</f>
        <v>0</v>
      </c>
      <c r="E259" s="710">
        <f>(Unitflowchart!$S$294/Unitflowchart!$S$357)*RailTransport!P11*Unitflowchart!$S$305</f>
        <v>0</v>
      </c>
      <c r="F259" s="24">
        <f>(E259/E$359)*100</f>
        <v>0</v>
      </c>
      <c r="G259" s="726">
        <f>(Unitflowchart!$S$294/Unitflowchart!$S$357)*RailTransport!Q11*Unitflowchart!$S$305</f>
        <v>0</v>
      </c>
      <c r="H259" s="707">
        <f>(Unitflowchart!$S$294/Unitflowchart!$S$357)*RailTransport!V11*Unitflowchart!$S$305</f>
        <v>0</v>
      </c>
      <c r="I259" s="24">
        <f>(H259/H$359)*100</f>
        <v>0</v>
      </c>
      <c r="J259" s="709">
        <f>(Unitflowchart!$S$294/Unitflowchart!$S$357)*RailTransport!W11*Unitflowchart!$S$305</f>
        <v>0</v>
      </c>
      <c r="K259" s="707">
        <f>(Unitflowchart!$S$294/Unitflowchart!$S$357)*RailTransport!AB11*Unitflowchart!$S$305</f>
        <v>0</v>
      </c>
      <c r="L259" s="24">
        <f>(K259/K$359)*100</f>
        <v>0</v>
      </c>
      <c r="M259" s="709">
        <f>(Unitflowchart!$S$294/Unitflowchart!$S$357)*RailTransport!AC11*Unitflowchart!$S$305</f>
        <v>0</v>
      </c>
      <c r="N259" s="710">
        <f>E259+(GlobalWarmingPotentials!$B$11*H259)+(GlobalWarmingPotentials!$C$11*K259)</f>
        <v>0</v>
      </c>
      <c r="O259" s="24">
        <f>(N259/N$359)*100</f>
        <v>0</v>
      </c>
      <c r="P259" s="726">
        <f>SQRT((G259^2)+((GlobalWarmingPotentials!$B$11*J259)^2)+((GlobalWarmingPotentials!$C$11*M259)^2))</f>
        <v>0</v>
      </c>
      <c r="Q259" s="29"/>
    </row>
    <row r="260" spans="1:17" x14ac:dyDescent="0.25">
      <c r="A260" t="str">
        <f>RailTransport!A12</f>
        <v xml:space="preserve"> - Capital Equipment</v>
      </c>
      <c r="B260" s="710">
        <f>(Unitflowchart!$S$294/Unitflowchart!$S$357)*RailTransport!J12*Unitflowchart!$S$305</f>
        <v>0</v>
      </c>
      <c r="C260" s="24">
        <f>(B260/B$359)*100</f>
        <v>0</v>
      </c>
      <c r="D260" s="726">
        <f>(Unitflowchart!$S$294/Unitflowchart!$S$357)*RailTransport!K12*Unitflowchart!$S$305</f>
        <v>0</v>
      </c>
      <c r="E260" s="710">
        <f>(Unitflowchart!$S$294/Unitflowchart!$S$357)*RailTransport!P12*Unitflowchart!$S$305</f>
        <v>0</v>
      </c>
      <c r="F260" s="24">
        <f>(E260/E$359)*100</f>
        <v>0</v>
      </c>
      <c r="G260" s="726">
        <f>(Unitflowchart!$S$294/Unitflowchart!$S$357)*RailTransport!Q12*Unitflowchart!$S$305</f>
        <v>0</v>
      </c>
      <c r="H260" s="707">
        <f>(Unitflowchart!$S$294/Unitflowchart!$S$357)*RailTransport!V12*Unitflowchart!$S$305</f>
        <v>0</v>
      </c>
      <c r="I260" s="24">
        <f>(H260/H$359)*100</f>
        <v>0</v>
      </c>
      <c r="J260" s="709">
        <f>(Unitflowchart!$S$294/Unitflowchart!$S$357)*RailTransport!W12*Unitflowchart!$S$305</f>
        <v>0</v>
      </c>
      <c r="K260" s="707">
        <f>(Unitflowchart!$S$294/Unitflowchart!$S$357)*RailTransport!AB12*Unitflowchart!$S$305</f>
        <v>0</v>
      </c>
      <c r="L260" s="24">
        <f>(K260/K$359)*100</f>
        <v>0</v>
      </c>
      <c r="M260" s="709">
        <f>(Unitflowchart!$S$294/Unitflowchart!$S$357)*RailTransport!AC12*Unitflowchart!$S$305</f>
        <v>0</v>
      </c>
      <c r="N260" s="710">
        <f>E260+(GlobalWarmingPotentials!$B$11*H260)+(GlobalWarmingPotentials!$C$11*K260)</f>
        <v>0</v>
      </c>
      <c r="O260" s="24">
        <f>(N260/N$359)*100</f>
        <v>0</v>
      </c>
      <c r="P260" s="726">
        <f>SQRT((G260^2)+((GlobalWarmingPotentials!$B$11*J260)^2)+((GlobalWarmingPotentials!$C$11*M260)^2))</f>
        <v>0</v>
      </c>
      <c r="Q260" s="29"/>
    </row>
    <row r="261" spans="1:17" x14ac:dyDescent="0.25">
      <c r="A261" t="str">
        <f>RailTransport!A13</f>
        <v xml:space="preserve"> - Maintenance</v>
      </c>
      <c r="B261" s="710">
        <f>(Unitflowchart!$S$294/Unitflowchart!$S$357)*RailTransport!J13*Unitflowchart!$S$305</f>
        <v>0</v>
      </c>
      <c r="C261" s="24">
        <f>(B261/B$359)*100</f>
        <v>0</v>
      </c>
      <c r="D261" s="726">
        <f>(Unitflowchart!$S$294/Unitflowchart!$S$357)*RailTransport!K13*Unitflowchart!$S$305</f>
        <v>0</v>
      </c>
      <c r="E261" s="710">
        <f>(Unitflowchart!$S$294/Unitflowchart!$S$357)*RailTransport!P13*Unitflowchart!$S$305</f>
        <v>0</v>
      </c>
      <c r="F261" s="24">
        <f>(E261/E$359)*100</f>
        <v>0</v>
      </c>
      <c r="G261" s="726">
        <f>(Unitflowchart!$S$294/Unitflowchart!$S$357)*RailTransport!Q13*Unitflowchart!$S$305</f>
        <v>0</v>
      </c>
      <c r="H261" s="707">
        <f>(Unitflowchart!$S$294/Unitflowchart!$S$357)*RailTransport!V13*Unitflowchart!$S$305</f>
        <v>0</v>
      </c>
      <c r="I261" s="24">
        <f>(H261/H$359)*100</f>
        <v>0</v>
      </c>
      <c r="J261" s="709">
        <f>(Unitflowchart!$S$294/Unitflowchart!$S$357)*RailTransport!W13*Unitflowchart!$S$305</f>
        <v>0</v>
      </c>
      <c r="K261" s="707">
        <f>(Unitflowchart!$S$294/Unitflowchart!$S$357)*RailTransport!AB13*Unitflowchart!$S$305</f>
        <v>0</v>
      </c>
      <c r="L261" s="24">
        <f>(K261/K$359)*100</f>
        <v>0</v>
      </c>
      <c r="M261" s="709">
        <f>(Unitflowchart!$S$294/Unitflowchart!$S$357)*RailTransport!AC13*Unitflowchart!$S$305</f>
        <v>0</v>
      </c>
      <c r="N261" s="710">
        <f>E261+(GlobalWarmingPotentials!$B$11*H261)+(GlobalWarmingPotentials!$C$11*K261)</f>
        <v>0</v>
      </c>
      <c r="O261" s="24">
        <f>(N261/N$359)*100</f>
        <v>0</v>
      </c>
      <c r="P261" s="726">
        <f>SQRT((G261^2)+((GlobalWarmingPotentials!$B$11*J261)^2)+((GlobalWarmingPotentials!$C$11*M261)^2))</f>
        <v>0</v>
      </c>
      <c r="Q261" s="29"/>
    </row>
    <row r="262" spans="1:17" x14ac:dyDescent="0.25">
      <c r="B262" s="712"/>
      <c r="C262" s="24"/>
      <c r="D262" s="718"/>
      <c r="E262" s="712"/>
      <c r="F262" s="24"/>
      <c r="G262" s="718"/>
      <c r="H262" s="30"/>
      <c r="I262" s="24"/>
      <c r="J262" s="708"/>
      <c r="K262" s="30"/>
      <c r="L262" s="24"/>
      <c r="M262" s="708"/>
      <c r="N262" s="712"/>
      <c r="O262" s="24"/>
      <c r="P262" s="718"/>
      <c r="Q262" s="29"/>
    </row>
    <row r="263" spans="1:17" x14ac:dyDescent="0.25">
      <c r="A263" s="214" t="s">
        <v>843</v>
      </c>
      <c r="B263" s="717">
        <f>(Unitflowchart!$S$294/Unitflowchart!$S$357)*RailTransport!J15*Unitflowchart!$S$305</f>
        <v>0</v>
      </c>
      <c r="C263" s="705">
        <f>(B263/B$359)*100</f>
        <v>0</v>
      </c>
      <c r="D263" s="727">
        <f>(Unitflowchart!$S$294/Unitflowchart!$S$357)*RailTransport!K15*Unitflowchart!$S$305</f>
        <v>0</v>
      </c>
      <c r="E263" s="717">
        <f>(Unitflowchart!$S$294/Unitflowchart!$S$357)*RailTransport!P15*Unitflowchart!$S$305</f>
        <v>0</v>
      </c>
      <c r="F263" s="705">
        <f>(E263/E$359)*100</f>
        <v>0</v>
      </c>
      <c r="G263" s="727">
        <f>(Unitflowchart!$S$294/Unitflowchart!$S$357)*RailTransport!Q15*Unitflowchart!$S$305</f>
        <v>0</v>
      </c>
      <c r="H263" s="706">
        <f>(Unitflowchart!$S$294/Unitflowchart!$S$357)*RailTransport!V15*Unitflowchart!$S$305</f>
        <v>0</v>
      </c>
      <c r="I263" s="705">
        <f>(H263/H$359)*100</f>
        <v>0</v>
      </c>
      <c r="J263" s="704">
        <f>(Unitflowchart!$S$294/Unitflowchart!$S$357)*RailTransport!W15*Unitflowchart!$S$305</f>
        <v>0</v>
      </c>
      <c r="K263" s="706">
        <f>(Unitflowchart!$S$294/Unitflowchart!$S$357)*RailTransport!AB15*Unitflowchart!$S$305</f>
        <v>0</v>
      </c>
      <c r="L263" s="705">
        <f>(K263/K$359)*100</f>
        <v>0</v>
      </c>
      <c r="M263" s="704">
        <f>(Unitflowchart!$S$294/Unitflowchart!$S$357)*RailTransport!AC15*Unitflowchart!$S$305</f>
        <v>0</v>
      </c>
      <c r="N263" s="717">
        <f>E263+(GlobalWarmingPotentials!$B$11*H263)+(GlobalWarmingPotentials!$C$11*K263)</f>
        <v>0</v>
      </c>
      <c r="O263" s="705">
        <f>(N263/N$359)*100</f>
        <v>0</v>
      </c>
      <c r="P263" s="725">
        <f>SQRT((G263^2)+((GlobalWarmingPotentials!$B$11*J263)^2)+((GlobalWarmingPotentials!$C$11*M263)^2))</f>
        <v>0</v>
      </c>
      <c r="Q263" s="29"/>
    </row>
    <row r="264" spans="1:17" x14ac:dyDescent="0.25">
      <c r="B264" s="712"/>
      <c r="C264" s="24"/>
      <c r="D264" s="718"/>
      <c r="E264" s="712"/>
      <c r="F264" s="24"/>
      <c r="G264" s="718"/>
      <c r="H264" s="30"/>
      <c r="I264" s="24"/>
      <c r="J264" s="708"/>
      <c r="K264" s="30"/>
      <c r="L264" s="24"/>
      <c r="M264" s="708"/>
      <c r="N264" s="712"/>
      <c r="O264" s="24"/>
      <c r="P264" s="718"/>
      <c r="Q264" s="29"/>
    </row>
    <row r="265" spans="1:17" x14ac:dyDescent="0.25">
      <c r="A265" s="384" t="s">
        <v>884</v>
      </c>
      <c r="B265" s="712"/>
      <c r="C265" s="24"/>
      <c r="D265" s="718"/>
      <c r="E265" s="712"/>
      <c r="F265" s="24"/>
      <c r="G265" s="718"/>
      <c r="H265" s="30"/>
      <c r="I265" s="24"/>
      <c r="J265" s="708"/>
      <c r="K265" s="30"/>
      <c r="L265" s="24"/>
      <c r="M265" s="708"/>
      <c r="N265" s="712"/>
      <c r="O265" s="24"/>
      <c r="P265" s="718"/>
      <c r="Q265" s="29"/>
    </row>
    <row r="266" spans="1:17" x14ac:dyDescent="0.25">
      <c r="B266" s="712"/>
      <c r="C266" s="24"/>
      <c r="D266" s="718"/>
      <c r="E266" s="712"/>
      <c r="F266" s="24"/>
      <c r="G266" s="718"/>
      <c r="H266" s="30"/>
      <c r="I266" s="24"/>
      <c r="J266" s="708"/>
      <c r="K266" s="30"/>
      <c r="L266" s="24"/>
      <c r="M266" s="708"/>
      <c r="N266" s="712"/>
      <c r="O266" s="24"/>
      <c r="P266" s="718"/>
      <c r="Q266" s="29"/>
    </row>
    <row r="267" spans="1:17" x14ac:dyDescent="0.25">
      <c r="A267" t="str">
        <f>BargeTransport!A11</f>
        <v xml:space="preserve"> - Marine Diesel</v>
      </c>
      <c r="B267" s="710">
        <f>(Unitflowchart!$S$294/Unitflowchart!$S$357)*BargeTransport!J11*Unitflowchart!$S$307</f>
        <v>0</v>
      </c>
      <c r="C267" s="24">
        <f>(B267/B$359)*100</f>
        <v>0</v>
      </c>
      <c r="D267" s="726">
        <f>(Unitflowchart!$S$294/Unitflowchart!$S$357)*BargeTransport!K11*Unitflowchart!$S$307</f>
        <v>0</v>
      </c>
      <c r="E267" s="710">
        <f>(Unitflowchart!$S$294/Unitflowchart!$S$357)*BargeTransport!P11*Unitflowchart!$S$307</f>
        <v>0</v>
      </c>
      <c r="F267" s="24">
        <f>(E267/E$359)*100</f>
        <v>0</v>
      </c>
      <c r="G267" s="726">
        <f>(Unitflowchart!$S$294/Unitflowchart!$S$357)*BargeTransport!Q11*Unitflowchart!$S$307</f>
        <v>0</v>
      </c>
      <c r="H267" s="707">
        <f>(Unitflowchart!$S$294/Unitflowchart!$S$357)*BargeTransport!V11*Unitflowchart!$S$307</f>
        <v>0</v>
      </c>
      <c r="I267" s="24">
        <f>(H267/H$359)*100</f>
        <v>0</v>
      </c>
      <c r="J267" s="709">
        <f>(Unitflowchart!$S$294/Unitflowchart!$S$357)*BargeTransport!W11*Unitflowchart!$S$307</f>
        <v>0</v>
      </c>
      <c r="K267" s="707">
        <f>(Unitflowchart!$S$294/Unitflowchart!$S$357)*BargeTransport!AB11*Unitflowchart!$S$307</f>
        <v>0</v>
      </c>
      <c r="L267" s="24">
        <f>(K267/K$359)*100</f>
        <v>0</v>
      </c>
      <c r="M267" s="709">
        <f>(Unitflowchart!$S$294/Unitflowchart!$S$357)*BargeTransport!AC11*Unitflowchart!$S$307</f>
        <v>0</v>
      </c>
      <c r="N267" s="710">
        <f>E267+(GlobalWarmingPotentials!$B$11*H267)+(GlobalWarmingPotentials!$C$11*K267)</f>
        <v>0</v>
      </c>
      <c r="O267" s="24">
        <f>(N267/N$359)*100</f>
        <v>0</v>
      </c>
      <c r="P267" s="726">
        <f>SQRT((G267^2)+((GlobalWarmingPotentials!$B$11*J267)^2)+((GlobalWarmingPotentials!$C$11*M267)^2))</f>
        <v>0</v>
      </c>
      <c r="Q267" s="29"/>
    </row>
    <row r="268" spans="1:17" x14ac:dyDescent="0.25">
      <c r="A268" t="str">
        <f>BargeTransport!A12</f>
        <v xml:space="preserve"> - Barge Construction</v>
      </c>
      <c r="B268" s="710">
        <f>(Unitflowchart!$S$294/Unitflowchart!$S$357)*BargeTransport!J12*Unitflowchart!$S$307</f>
        <v>0</v>
      </c>
      <c r="C268" s="24">
        <f>(B268/B$359)*100</f>
        <v>0</v>
      </c>
      <c r="D268" s="726">
        <f>(Unitflowchart!$S$294/Unitflowchart!$S$357)*BargeTransport!K12*Unitflowchart!$S$307</f>
        <v>0</v>
      </c>
      <c r="E268" s="710">
        <f>(Unitflowchart!$S$294/Unitflowchart!$S$357)*BargeTransport!P12*Unitflowchart!$S$307</f>
        <v>0</v>
      </c>
      <c r="F268" s="24">
        <f>(E268/E$359)*100</f>
        <v>0</v>
      </c>
      <c r="G268" s="726">
        <f>(Unitflowchart!$S$294/Unitflowchart!$S$357)*BargeTransport!Q12*Unitflowchart!$S$307</f>
        <v>0</v>
      </c>
      <c r="H268" s="707">
        <f>(Unitflowchart!$S$294/Unitflowchart!$S$357)*BargeTransport!V12*Unitflowchart!$S$307</f>
        <v>0</v>
      </c>
      <c r="I268" s="24">
        <f>(H268/H$359)*100</f>
        <v>0</v>
      </c>
      <c r="J268" s="709">
        <f>(Unitflowchart!$S$294/Unitflowchart!$S$357)*BargeTransport!W12*Unitflowchart!$S$307</f>
        <v>0</v>
      </c>
      <c r="K268" s="707">
        <f>(Unitflowchart!$S$294/Unitflowchart!$S$357)*BargeTransport!AB12*Unitflowchart!$S$307</f>
        <v>0</v>
      </c>
      <c r="L268" s="24">
        <f>(K268/K$359)*100</f>
        <v>0</v>
      </c>
      <c r="M268" s="709">
        <f>(Unitflowchart!$S$294/Unitflowchart!$S$357)*BargeTransport!AC12*Unitflowchart!$S$307</f>
        <v>0</v>
      </c>
      <c r="N268" s="710">
        <f>E268+(GlobalWarmingPotentials!$B$11*H268)+(GlobalWarmingPotentials!$C$11*K268)</f>
        <v>0</v>
      </c>
      <c r="O268" s="24">
        <f>(N268/N$359)*100</f>
        <v>0</v>
      </c>
      <c r="P268" s="726">
        <f>SQRT((G268^2)+((GlobalWarmingPotentials!$B$11*J268)^2)+((GlobalWarmingPotentials!$C$11*M268)^2))</f>
        <v>0</v>
      </c>
      <c r="Q268" s="29"/>
    </row>
    <row r="269" spans="1:17" x14ac:dyDescent="0.25">
      <c r="A269" t="str">
        <f>BargeTransport!A13</f>
        <v xml:space="preserve"> - Barge Maintenance</v>
      </c>
      <c r="B269" s="710">
        <f>(Unitflowchart!$S$294/Unitflowchart!$S$357)*BargeTransport!J13*Unitflowchart!$S$307</f>
        <v>0</v>
      </c>
      <c r="C269" s="24">
        <f>(B269/B$359)*100</f>
        <v>0</v>
      </c>
      <c r="D269" s="726">
        <f>(Unitflowchart!$S$294/Unitflowchart!$S$357)*BargeTransport!K13*Unitflowchart!$S$307</f>
        <v>0</v>
      </c>
      <c r="E269" s="710">
        <f>(Unitflowchart!$S$294/Unitflowchart!$S$357)*BargeTransport!P13*Unitflowchart!$S$307</f>
        <v>0</v>
      </c>
      <c r="F269" s="24">
        <f>(E269/E$359)*100</f>
        <v>0</v>
      </c>
      <c r="G269" s="726">
        <f>(Unitflowchart!$S$294/Unitflowchart!$S$357)*BargeTransport!Q13*Unitflowchart!$S$307</f>
        <v>0</v>
      </c>
      <c r="H269" s="707">
        <f>(Unitflowchart!$S$294/Unitflowchart!$S$357)*BargeTransport!V13*Unitflowchart!$S$307</f>
        <v>0</v>
      </c>
      <c r="I269" s="24">
        <f>(H269/H$359)*100</f>
        <v>0</v>
      </c>
      <c r="J269" s="709">
        <f>(Unitflowchart!$S$294/Unitflowchart!$S$357)*BargeTransport!W13*Unitflowchart!$S$307</f>
        <v>0</v>
      </c>
      <c r="K269" s="707">
        <f>(Unitflowchart!$S$294/Unitflowchart!$S$357)*BargeTransport!AB13*Unitflowchart!$S$307</f>
        <v>0</v>
      </c>
      <c r="L269" s="24">
        <f>(K269/K$359)*100</f>
        <v>0</v>
      </c>
      <c r="M269" s="709">
        <f>(Unitflowchart!$S$294/Unitflowchart!$S$357)*BargeTransport!AC13*Unitflowchart!$S$307</f>
        <v>0</v>
      </c>
      <c r="N269" s="710">
        <f>E269+(GlobalWarmingPotentials!$B$11*H269)+(GlobalWarmingPotentials!$C$11*K269)</f>
        <v>0</v>
      </c>
      <c r="O269" s="24">
        <f>(N269/N$359)*100</f>
        <v>0</v>
      </c>
      <c r="P269" s="726">
        <f>SQRT((G269^2)+((GlobalWarmingPotentials!$B$11*J269)^2)+((GlobalWarmingPotentials!$C$11*M269)^2))</f>
        <v>0</v>
      </c>
      <c r="Q269" s="29"/>
    </row>
    <row r="270" spans="1:17" x14ac:dyDescent="0.25">
      <c r="B270" s="712"/>
      <c r="C270" s="24"/>
      <c r="D270" s="718"/>
      <c r="E270" s="712"/>
      <c r="F270" s="24"/>
      <c r="G270" s="718"/>
      <c r="H270" s="30"/>
      <c r="I270" s="24"/>
      <c r="J270" s="708"/>
      <c r="K270" s="30"/>
      <c r="L270" s="24"/>
      <c r="M270" s="708"/>
      <c r="N270" s="712"/>
      <c r="O270" s="24"/>
      <c r="P270" s="718"/>
      <c r="Q270" s="29"/>
    </row>
    <row r="271" spans="1:17" x14ac:dyDescent="0.25">
      <c r="A271" s="214" t="s">
        <v>847</v>
      </c>
      <c r="B271" s="717">
        <f>(Unitflowchart!$S$294/Unitflowchart!$S$357)*BargeTransport!J15*Unitflowchart!$S$307</f>
        <v>0</v>
      </c>
      <c r="C271" s="705">
        <f>(B271/B$359)*100</f>
        <v>0</v>
      </c>
      <c r="D271" s="727">
        <f>(Unitflowchart!$S$294/Unitflowchart!$S$357)*BargeTransport!K15*Unitflowchart!$S$307</f>
        <v>0</v>
      </c>
      <c r="E271" s="717">
        <f>(Unitflowchart!$S$294/Unitflowchart!$S$357)*BargeTransport!P15*Unitflowchart!$S$307</f>
        <v>0</v>
      </c>
      <c r="F271" s="705">
        <f>(E271/E$359)*100</f>
        <v>0</v>
      </c>
      <c r="G271" s="727">
        <f>(Unitflowchart!$S$294/Unitflowchart!$S$357)*BargeTransport!Q15*Unitflowchart!$S$307</f>
        <v>0</v>
      </c>
      <c r="H271" s="706">
        <f>(Unitflowchart!$S$294/Unitflowchart!$S$357)*BargeTransport!V15*Unitflowchart!$S$307</f>
        <v>0</v>
      </c>
      <c r="I271" s="705">
        <f>(H271/H$359)*100</f>
        <v>0</v>
      </c>
      <c r="J271" s="704">
        <f>(Unitflowchart!$S$294/Unitflowchart!$S$357)*BargeTransport!W15*Unitflowchart!$S$307</f>
        <v>0</v>
      </c>
      <c r="K271" s="706">
        <f>(Unitflowchart!$S$294/Unitflowchart!$S$357)*BargeTransport!AB15*Unitflowchart!$S$307</f>
        <v>0</v>
      </c>
      <c r="L271" s="705">
        <f>(K271/K$359)*100</f>
        <v>0</v>
      </c>
      <c r="M271" s="704">
        <f>(Unitflowchart!$S$294/Unitflowchart!$S$357)*BargeTransport!AC15*Unitflowchart!$S$307</f>
        <v>0</v>
      </c>
      <c r="N271" s="717">
        <f>E271+(GlobalWarmingPotentials!$B$11*H271)+(GlobalWarmingPotentials!$C$11*K271)</f>
        <v>0</v>
      </c>
      <c r="O271" s="705">
        <f>(N271/N$359)*100</f>
        <v>0</v>
      </c>
      <c r="P271" s="725">
        <f>SQRT((G271^2)+((GlobalWarmingPotentials!$B$11*J271)^2)+((GlobalWarmingPotentials!$C$11*M271)^2))</f>
        <v>0</v>
      </c>
      <c r="Q271" s="29"/>
    </row>
    <row r="272" spans="1:17" x14ac:dyDescent="0.25">
      <c r="B272" s="712"/>
      <c r="C272" s="24"/>
      <c r="D272" s="718"/>
      <c r="E272" s="712"/>
      <c r="F272" s="24"/>
      <c r="G272" s="718"/>
      <c r="H272" s="30"/>
      <c r="I272" s="24"/>
      <c r="J272" s="708"/>
      <c r="K272" s="30"/>
      <c r="L272" s="24"/>
      <c r="M272" s="708"/>
      <c r="N272" s="712"/>
      <c r="O272" s="24"/>
      <c r="P272" s="718"/>
      <c r="Q272" s="29"/>
    </row>
    <row r="273" spans="1:17" x14ac:dyDescent="0.25">
      <c r="A273" s="384" t="s">
        <v>885</v>
      </c>
      <c r="B273" s="712"/>
      <c r="C273" s="24"/>
      <c r="D273" s="718"/>
      <c r="E273" s="712"/>
      <c r="F273" s="24"/>
      <c r="G273" s="718"/>
      <c r="H273" s="30"/>
      <c r="I273" s="24"/>
      <c r="J273" s="708"/>
      <c r="K273" s="30"/>
      <c r="L273" s="24"/>
      <c r="M273" s="708"/>
      <c r="N273" s="712"/>
      <c r="O273" s="24"/>
      <c r="P273" s="718"/>
      <c r="Q273" s="29"/>
    </row>
    <row r="274" spans="1:17" x14ac:dyDescent="0.25">
      <c r="B274" s="712"/>
      <c r="C274" s="24"/>
      <c r="D274" s="718"/>
      <c r="E274" s="712"/>
      <c r="F274" s="24"/>
      <c r="G274" s="718"/>
      <c r="H274" s="30"/>
      <c r="I274" s="24"/>
      <c r="J274" s="708"/>
      <c r="K274" s="30"/>
      <c r="L274" s="24"/>
      <c r="M274" s="708"/>
      <c r="N274" s="712"/>
      <c r="O274" s="24"/>
      <c r="P274" s="718"/>
      <c r="Q274" s="29"/>
    </row>
    <row r="275" spans="1:17" x14ac:dyDescent="0.25">
      <c r="A275" t="str">
        <f>ShipTransport!A11</f>
        <v xml:space="preserve"> - Marine Diesel</v>
      </c>
      <c r="B275" s="710">
        <f>(Unitflowchart!$S$294/Unitflowchart!$S$357)*ShipTransport!J11*Unitflowchart!$S$309</f>
        <v>0</v>
      </c>
      <c r="C275" s="24">
        <f>(B275/B$359)*100</f>
        <v>0</v>
      </c>
      <c r="D275" s="726">
        <f>(Unitflowchart!$S$294/Unitflowchart!$S$357)*ShipTransport!K11*Unitflowchart!$S$309</f>
        <v>0</v>
      </c>
      <c r="E275" s="710">
        <f>(Unitflowchart!$S$294/Unitflowchart!$S$357)*ShipTransport!P11*Unitflowchart!$S$309</f>
        <v>0</v>
      </c>
      <c r="F275" s="24">
        <f>(E275/E$359)*100</f>
        <v>0</v>
      </c>
      <c r="G275" s="726">
        <f>(Unitflowchart!$S$294/Unitflowchart!$S$357)*ShipTransport!Q11*Unitflowchart!$S$309</f>
        <v>0</v>
      </c>
      <c r="H275" s="707">
        <f>(Unitflowchart!$S$294/Unitflowchart!$S$357)*ShipTransport!V11*Unitflowchart!$S$309</f>
        <v>0</v>
      </c>
      <c r="I275" s="24">
        <f>(H275/H$359)*100</f>
        <v>0</v>
      </c>
      <c r="J275" s="709">
        <f>(Unitflowchart!$S$294/Unitflowchart!$S$357)*ShipTransport!W11*Unitflowchart!$S$309</f>
        <v>0</v>
      </c>
      <c r="K275" s="707">
        <f>(Unitflowchart!$S$294/Unitflowchart!$S$357)*ShipTransport!AB11*Unitflowchart!$S$309</f>
        <v>0</v>
      </c>
      <c r="L275" s="24">
        <f>(K275/K$359)*100</f>
        <v>0</v>
      </c>
      <c r="M275" s="709">
        <f>(Unitflowchart!$S$294/Unitflowchart!$S$357)*ShipTransport!AC11*Unitflowchart!$S$309</f>
        <v>0</v>
      </c>
      <c r="N275" s="710">
        <f>E275+(GlobalWarmingPotentials!$B$11*H275)+(GlobalWarmingPotentials!$C$11*K275)</f>
        <v>0</v>
      </c>
      <c r="O275" s="24">
        <f>(N275/N$359)*100</f>
        <v>0</v>
      </c>
      <c r="P275" s="726">
        <f>SQRT((G275^2)+((GlobalWarmingPotentials!$B$11*J275)^2)+((GlobalWarmingPotentials!$C$11*M275)^2))</f>
        <v>0</v>
      </c>
      <c r="Q275" s="29"/>
    </row>
    <row r="276" spans="1:17" x14ac:dyDescent="0.25">
      <c r="A276" t="str">
        <f>ShipTransport!A12</f>
        <v xml:space="preserve"> - Ship Construction</v>
      </c>
      <c r="B276" s="710">
        <f>(Unitflowchart!$S$294/Unitflowchart!$S$357)*ShipTransport!J12*Unitflowchart!$S$309</f>
        <v>0</v>
      </c>
      <c r="C276" s="24">
        <f>(B276/B$359)*100</f>
        <v>0</v>
      </c>
      <c r="D276" s="726">
        <f>(Unitflowchart!$S$294/Unitflowchart!$S$357)*ShipTransport!K12*Unitflowchart!$S$309</f>
        <v>0</v>
      </c>
      <c r="E276" s="710">
        <f>(Unitflowchart!$S$294/Unitflowchart!$S$357)*ShipTransport!P12*Unitflowchart!$S$309</f>
        <v>0</v>
      </c>
      <c r="F276" s="24">
        <f>(E276/E$359)*100</f>
        <v>0</v>
      </c>
      <c r="G276" s="726">
        <f>(Unitflowchart!$S$294/Unitflowchart!$S$357)*ShipTransport!Q12*Unitflowchart!$S$309</f>
        <v>0</v>
      </c>
      <c r="H276" s="707">
        <f>(Unitflowchart!$S$294/Unitflowchart!$S$357)*ShipTransport!V12*Unitflowchart!$S$309</f>
        <v>0</v>
      </c>
      <c r="I276" s="24">
        <f>(H276/H$359)*100</f>
        <v>0</v>
      </c>
      <c r="J276" s="709">
        <f>(Unitflowchart!$S$294/Unitflowchart!$S$357)*ShipTransport!W12*Unitflowchart!$S$309</f>
        <v>0</v>
      </c>
      <c r="K276" s="707">
        <f>(Unitflowchart!$S$294/Unitflowchart!$S$357)*ShipTransport!AB12*Unitflowchart!$S$309</f>
        <v>0</v>
      </c>
      <c r="L276" s="24">
        <f>(K276/K$359)*100</f>
        <v>0</v>
      </c>
      <c r="M276" s="709">
        <f>(Unitflowchart!$S$294/Unitflowchart!$S$357)*ShipTransport!AC12*Unitflowchart!$S$309</f>
        <v>0</v>
      </c>
      <c r="N276" s="710">
        <f>E276+(GlobalWarmingPotentials!$B$11*H276)+(GlobalWarmingPotentials!$C$11*K276)</f>
        <v>0</v>
      </c>
      <c r="O276" s="24">
        <f>(N276/N$359)*100</f>
        <v>0</v>
      </c>
      <c r="P276" s="726">
        <f>SQRT((G276^2)+((GlobalWarmingPotentials!$B$11*J276)^2)+((GlobalWarmingPotentials!$C$11*M276)^2))</f>
        <v>0</v>
      </c>
      <c r="Q276" s="29"/>
    </row>
    <row r="277" spans="1:17" x14ac:dyDescent="0.25">
      <c r="A277" t="str">
        <f>ShipTransport!A13</f>
        <v xml:space="preserve"> - Ship Maintenance</v>
      </c>
      <c r="B277" s="710">
        <f>(Unitflowchart!$S$294/Unitflowchart!$S$357)*ShipTransport!J13*Unitflowchart!$S$309</f>
        <v>0</v>
      </c>
      <c r="C277" s="24">
        <f>(B277/B$359)*100</f>
        <v>0</v>
      </c>
      <c r="D277" s="726">
        <f>(Unitflowchart!$S$294/Unitflowchart!$S$357)*ShipTransport!K13*Unitflowchart!$S$309</f>
        <v>0</v>
      </c>
      <c r="E277" s="710">
        <f>(Unitflowchart!$S$294/Unitflowchart!$S$357)*ShipTransport!P13*Unitflowchart!$S$309</f>
        <v>0</v>
      </c>
      <c r="F277" s="24">
        <f>(E277/E$359)*100</f>
        <v>0</v>
      </c>
      <c r="G277" s="726">
        <f>(Unitflowchart!$S$294/Unitflowchart!$S$357)*ShipTransport!Q13*Unitflowchart!$S$309</f>
        <v>0</v>
      </c>
      <c r="H277" s="707">
        <f>(Unitflowchart!$S$294/Unitflowchart!$S$357)*ShipTransport!V13*Unitflowchart!$S$309</f>
        <v>0</v>
      </c>
      <c r="I277" s="24">
        <f>(H277/H$359)*100</f>
        <v>0</v>
      </c>
      <c r="J277" s="709">
        <f>(Unitflowchart!$S$294/Unitflowchart!$S$357)*ShipTransport!W13*Unitflowchart!$S$309</f>
        <v>0</v>
      </c>
      <c r="K277" s="707">
        <f>(Unitflowchart!$S$294/Unitflowchart!$S$357)*ShipTransport!AB13*Unitflowchart!$S$309</f>
        <v>0</v>
      </c>
      <c r="L277" s="24">
        <f>(K277/K$359)*100</f>
        <v>0</v>
      </c>
      <c r="M277" s="709">
        <f>(Unitflowchart!$S$294/Unitflowchart!$S$357)*ShipTransport!AC13*Unitflowchart!$S$309</f>
        <v>0</v>
      </c>
      <c r="N277" s="710">
        <f>E277+(GlobalWarmingPotentials!$B$11*H277)+(GlobalWarmingPotentials!$C$11*K277)</f>
        <v>0</v>
      </c>
      <c r="O277" s="24">
        <f>(N277/N$359)*100</f>
        <v>0</v>
      </c>
      <c r="P277" s="726">
        <f>SQRT((G277^2)+((GlobalWarmingPotentials!$B$11*J277)^2)+((GlobalWarmingPotentials!$C$11*M277)^2))</f>
        <v>0</v>
      </c>
      <c r="Q277" s="29"/>
    </row>
    <row r="278" spans="1:17" x14ac:dyDescent="0.25">
      <c r="B278" s="712"/>
      <c r="C278" s="24"/>
      <c r="D278" s="718"/>
      <c r="E278" s="712"/>
      <c r="F278" s="24"/>
      <c r="G278" s="718"/>
      <c r="H278" s="30"/>
      <c r="I278" s="24"/>
      <c r="J278" s="708"/>
      <c r="K278" s="30"/>
      <c r="L278" s="24"/>
      <c r="M278" s="708"/>
      <c r="N278" s="712"/>
      <c r="O278" s="24"/>
      <c r="P278" s="718"/>
      <c r="Q278" s="29"/>
    </row>
    <row r="279" spans="1:17" x14ac:dyDescent="0.25">
      <c r="A279" s="214" t="s">
        <v>849</v>
      </c>
      <c r="B279" s="717">
        <f>(Unitflowchart!$S$294/Unitflowchart!$S$357)*ShipTransport!J15*Unitflowchart!$S$309</f>
        <v>0</v>
      </c>
      <c r="C279" s="705">
        <f>(B279/B$359)*100</f>
        <v>0</v>
      </c>
      <c r="D279" s="727">
        <f>(Unitflowchart!$S$294/Unitflowchart!$S$357)*ShipTransport!K15*Unitflowchart!$S$309</f>
        <v>0</v>
      </c>
      <c r="E279" s="717">
        <f>(Unitflowchart!$S$294/Unitflowchart!$S$357)*ShipTransport!P15*Unitflowchart!$S$309</f>
        <v>0</v>
      </c>
      <c r="F279" s="705">
        <f>(E279/E$359)*100</f>
        <v>0</v>
      </c>
      <c r="G279" s="727">
        <f>(Unitflowchart!$S$294/Unitflowchart!$S$357)*ShipTransport!Q15*Unitflowchart!$S$309</f>
        <v>0</v>
      </c>
      <c r="H279" s="706">
        <f>(Unitflowchart!$S$294/Unitflowchart!$S$357)*ShipTransport!V15*Unitflowchart!$S$309</f>
        <v>0</v>
      </c>
      <c r="I279" s="705">
        <f>(H279/H$359)*100</f>
        <v>0</v>
      </c>
      <c r="J279" s="704">
        <f>(Unitflowchart!$S$294/Unitflowchart!$S$357)*ShipTransport!W15*Unitflowchart!$S$309</f>
        <v>0</v>
      </c>
      <c r="K279" s="706">
        <f>(Unitflowchart!$S$294/Unitflowchart!$S$357)*ShipTransport!AB15*Unitflowchart!$S$309</f>
        <v>0</v>
      </c>
      <c r="L279" s="705">
        <f>(K279/K$359)*100</f>
        <v>0</v>
      </c>
      <c r="M279" s="704">
        <f>(Unitflowchart!$S$294/Unitflowchart!$S$357)*ShipTransport!AC15*Unitflowchart!$S$309</f>
        <v>0</v>
      </c>
      <c r="N279" s="717">
        <f>E279+(GlobalWarmingPotentials!$B$11*H279)+(GlobalWarmingPotentials!$C$11*K279)</f>
        <v>0</v>
      </c>
      <c r="O279" s="705">
        <f>(N279/N$359)*100</f>
        <v>0</v>
      </c>
      <c r="P279" s="725">
        <f>SQRT((G279^2)+((GlobalWarmingPotentials!$B$11*J279)^2)+((GlobalWarmingPotentials!$C$11*M279)^2))</f>
        <v>0</v>
      </c>
      <c r="Q279" s="29"/>
    </row>
    <row r="280" spans="1:17" x14ac:dyDescent="0.25">
      <c r="B280" s="712"/>
      <c r="D280" s="718"/>
      <c r="E280" s="712"/>
      <c r="F280" s="24"/>
      <c r="G280" s="718"/>
      <c r="H280" s="30"/>
      <c r="I280" s="24"/>
      <c r="J280" s="708"/>
      <c r="K280" s="30"/>
      <c r="L280" s="24"/>
      <c r="M280" s="708"/>
      <c r="N280" s="712"/>
      <c r="O280" s="24"/>
      <c r="P280" s="718"/>
      <c r="Q280" s="29"/>
    </row>
    <row r="281" spans="1:17" x14ac:dyDescent="0.25">
      <c r="A281" s="699" t="s">
        <v>876</v>
      </c>
      <c r="B281" s="717">
        <f>B255+B263+B271+B279</f>
        <v>517.88672232212184</v>
      </c>
      <c r="C281" s="705">
        <f>(B281/B$359)*100</f>
        <v>2.7214333895044533</v>
      </c>
      <c r="D281" s="727">
        <f>SQRT((D255^2)+(D263^2)+(D271^2)+(D279^2))</f>
        <v>24.34067594913973</v>
      </c>
      <c r="E281" s="717">
        <f t="shared" ref="E281" si="46">E255+E263+E271+E279</f>
        <v>37.164284826471004</v>
      </c>
      <c r="F281" s="705">
        <f t="shared" ref="F281" si="47">(E281/E$359)*100</f>
        <v>3.106890154030391</v>
      </c>
      <c r="G281" s="727">
        <f t="shared" ref="G281" si="48">SQRT((G255^2)+(G263^2)+(G271^2)+(G279^2))</f>
        <v>1.7467213868441371</v>
      </c>
      <c r="H281" s="706">
        <f t="shared" ref="H281" si="49">H255+H263+H271+H279</f>
        <v>7.7224487951108563E-3</v>
      </c>
      <c r="I281" s="705">
        <f t="shared" ref="I281" si="50">(H281/H$359)*100</f>
        <v>0.43305661381097244</v>
      </c>
      <c r="J281" s="704">
        <f t="shared" ref="J281" si="51">SQRT((J255^2)+(J263^2)+(J271^2)+(J279^2))</f>
        <v>3.6295509337021026E-4</v>
      </c>
      <c r="K281" s="706">
        <f t="shared" ref="K281" si="52">K255+K263+K271+K279</f>
        <v>1.0039183433644116E-2</v>
      </c>
      <c r="L281" s="705">
        <f t="shared" ref="L281" si="53">(K281/K$359)*100</f>
        <v>0.55305096969850598</v>
      </c>
      <c r="M281" s="704">
        <f t="shared" ref="M281" si="54">SQRT((M255^2)+(M263^2)+(M271^2)+(M279^2))</f>
        <v>4.7184162138127345E-4</v>
      </c>
      <c r="N281" s="717">
        <f t="shared" ref="N281" si="55">N255+N263+N271+N279</f>
        <v>40.313499445117209</v>
      </c>
      <c r="O281" s="705">
        <f t="shared" ref="O281" si="56">(N281/N$359)*100</f>
        <v>2.2718053395144078</v>
      </c>
      <c r="P281" s="725">
        <f t="shared" ref="P281" si="57">SQRT((P255^2)+(P263^2)+(P271^2)+(P279^2))</f>
        <v>1.7523160780917761</v>
      </c>
      <c r="Q281" s="29"/>
    </row>
    <row r="282" spans="1:17" x14ac:dyDescent="0.25">
      <c r="B282" s="712"/>
      <c r="D282" s="718"/>
      <c r="E282" s="712"/>
      <c r="G282" s="718"/>
      <c r="H282" s="30"/>
      <c r="J282" s="708"/>
      <c r="K282" s="30"/>
      <c r="M282" s="708"/>
      <c r="N282" s="712"/>
      <c r="P282" s="718"/>
      <c r="Q282" s="29"/>
    </row>
    <row r="283" spans="1:17" x14ac:dyDescent="0.25">
      <c r="A283" s="384" t="s">
        <v>416</v>
      </c>
      <c r="B283" s="712"/>
      <c r="D283" s="718"/>
      <c r="E283" s="712"/>
      <c r="G283" s="718"/>
      <c r="H283" s="30"/>
      <c r="J283" s="708"/>
      <c r="K283" s="30"/>
      <c r="M283" s="708"/>
      <c r="N283" s="712"/>
      <c r="P283" s="718"/>
      <c r="Q283" s="29"/>
    </row>
    <row r="284" spans="1:17" x14ac:dyDescent="0.25">
      <c r="B284" s="712"/>
      <c r="D284" s="718"/>
      <c r="E284" s="712"/>
      <c r="G284" s="718"/>
      <c r="H284" s="30"/>
      <c r="J284" s="708"/>
      <c r="K284" s="30"/>
      <c r="M284" s="708"/>
      <c r="N284" s="712"/>
      <c r="P284" s="718"/>
      <c r="Q284" s="29"/>
    </row>
    <row r="285" spans="1:17" x14ac:dyDescent="0.25">
      <c r="A285" s="13" t="str">
        <f>RoadTransportEthanolStage2!A42</f>
        <v xml:space="preserve"> - Diesel Fuel</v>
      </c>
      <c r="B285" s="715">
        <f>(Unitflowchart!$S$315/Unitflowchart!$S$357)*RoadTransportEthanolStage2!J42*Unitflowchart!$S$324</f>
        <v>0</v>
      </c>
      <c r="C285" s="25">
        <f>(B285/B$359)*100</f>
        <v>0</v>
      </c>
      <c r="D285" s="481">
        <f>(Unitflowchart!$S$315/Unitflowchart!$S$357)*RoadTransportEthanolStage2!K42*Unitflowchart!$S$324</f>
        <v>0</v>
      </c>
      <c r="E285" s="715">
        <f>(Unitflowchart!$S$315/Unitflowchart!$S$357)*RoadTransportEthanolStage2!P42*Unitflowchart!$S$324</f>
        <v>0</v>
      </c>
      <c r="F285" s="25">
        <f>(E285/E$359)*100</f>
        <v>0</v>
      </c>
      <c r="G285" s="481">
        <f>(Unitflowchart!$S$315/Unitflowchart!$S$357)*RoadTransportEthanolStage2!Q42*Unitflowchart!$S$324</f>
        <v>0</v>
      </c>
      <c r="H285" s="730">
        <f>(Unitflowchart!$S$315/Unitflowchart!$S$357)*RoadTransportEthanolStage2!V42*Unitflowchart!$S$324</f>
        <v>0</v>
      </c>
      <c r="I285" s="25">
        <f>(H285/H$359)*100</f>
        <v>0</v>
      </c>
      <c r="J285" s="733">
        <f>(Unitflowchart!$S$315/Unitflowchart!$S$357)*RoadTransportEthanolStage2!W42*Unitflowchart!$S$324</f>
        <v>0</v>
      </c>
      <c r="K285" s="730">
        <f>(Unitflowchart!$S$315/Unitflowchart!$S$357)*RoadTransportEthanolStage2!AB42*Unitflowchart!$S$324</f>
        <v>0</v>
      </c>
      <c r="L285" s="25">
        <f>(K285/K$359)*100</f>
        <v>0</v>
      </c>
      <c r="M285" s="732">
        <f>(Unitflowchart!$S$315/Unitflowchart!$S$357)*RoadTransportEthanolStage2!AC42*Unitflowchart!$S$324</f>
        <v>0</v>
      </c>
      <c r="N285" s="711">
        <f>E285+(GlobalWarmingPotentials!$B$11*H285)+(GlobalWarmingPotentials!$C$11*K285)</f>
        <v>0</v>
      </c>
      <c r="O285" s="25">
        <f>(N285/N$359)*100</f>
        <v>0</v>
      </c>
      <c r="P285" s="740">
        <f>SQRT((G285^2)+((GlobalWarmingPotentials!$B$11*J285)^2)+((GlobalWarmingPotentials!$C$11*M285)^2))</f>
        <v>0</v>
      </c>
      <c r="Q285" s="29"/>
    </row>
    <row r="286" spans="1:17" x14ac:dyDescent="0.25">
      <c r="A286" s="13" t="str">
        <f>RoadTransportEthanolStage2!A43</f>
        <v xml:space="preserve"> - Vehicle </v>
      </c>
      <c r="B286" s="715">
        <f>(Unitflowchart!$S$315/Unitflowchart!$S$357)*RoadTransportEthanolStage2!J43*Unitflowchart!$S$324</f>
        <v>0</v>
      </c>
      <c r="C286" s="25">
        <f>(B286/B$359)*100</f>
        <v>0</v>
      </c>
      <c r="D286" s="481">
        <f>(Unitflowchart!$S$315/Unitflowchart!$S$357)*RoadTransportEthanolStage2!K43*Unitflowchart!$S$324</f>
        <v>0</v>
      </c>
      <c r="E286" s="715">
        <f>(Unitflowchart!$S$315/Unitflowchart!$S$357)*RoadTransportEthanolStage2!P43*Unitflowchart!$S$324</f>
        <v>0</v>
      </c>
      <c r="F286" s="25">
        <f>(E286/E$359)*100</f>
        <v>0</v>
      </c>
      <c r="G286" s="481">
        <f>(Unitflowchart!$S$315/Unitflowchart!$S$357)*RoadTransportEthanolStage2!Q43*Unitflowchart!$S$324</f>
        <v>0</v>
      </c>
      <c r="H286" s="730">
        <f>(Unitflowchart!$S$315/Unitflowchart!$S$357)*RoadTransportEthanolStage2!V43*Unitflowchart!$S$324</f>
        <v>0</v>
      </c>
      <c r="I286" s="25">
        <f>(H286/H$359)*100</f>
        <v>0</v>
      </c>
      <c r="J286" s="733">
        <f>(Unitflowchart!$S$315/Unitflowchart!$S$357)*RoadTransportEthanolStage2!W43*Unitflowchart!$S$324</f>
        <v>0</v>
      </c>
      <c r="K286" s="730">
        <f>(Unitflowchart!$S$315/Unitflowchart!$S$357)*RoadTransportEthanolStage2!AB43*Unitflowchart!$S$324</f>
        <v>0</v>
      </c>
      <c r="L286" s="25">
        <f>(K286/K$359)*100</f>
        <v>0</v>
      </c>
      <c r="M286" s="732">
        <f>(Unitflowchart!$S$315/Unitflowchart!$S$357)*RoadTransportEthanolStage2!AC43*Unitflowchart!$S$324</f>
        <v>0</v>
      </c>
      <c r="N286" s="711">
        <f>E286+(GlobalWarmingPotentials!$B$11*H286)+(GlobalWarmingPotentials!$C$11*K286)</f>
        <v>0</v>
      </c>
      <c r="O286" s="25">
        <f>(N286/N$359)*100</f>
        <v>0</v>
      </c>
      <c r="P286" s="740">
        <f>SQRT((G286^2)+((GlobalWarmingPotentials!$B$11*J286)^2)+((GlobalWarmingPotentials!$C$11*M286)^2))</f>
        <v>0</v>
      </c>
      <c r="Q286" s="29"/>
    </row>
    <row r="287" spans="1:17" x14ac:dyDescent="0.25">
      <c r="A287" s="13" t="str">
        <f>RoadTransportEthanolStage2!A44</f>
        <v xml:space="preserve"> - Maintenance</v>
      </c>
      <c r="B287" s="715">
        <f>(Unitflowchart!$S$315/Unitflowchart!$S$357)*RoadTransportEthanolStage2!J44*Unitflowchart!$S$324</f>
        <v>0</v>
      </c>
      <c r="C287" s="25">
        <f>(B287/B$359)*100</f>
        <v>0</v>
      </c>
      <c r="D287" s="481">
        <f>(Unitflowchart!$S$315/Unitflowchart!$S$357)*RoadTransportEthanolStage2!K44*Unitflowchart!$S$324</f>
        <v>0</v>
      </c>
      <c r="E287" s="715">
        <f>(Unitflowchart!$S$315/Unitflowchart!$S$357)*RoadTransportEthanolStage2!P44*Unitflowchart!$S$324</f>
        <v>0</v>
      </c>
      <c r="F287" s="25">
        <f>(E287/E$359)*100</f>
        <v>0</v>
      </c>
      <c r="G287" s="481">
        <f>(Unitflowchart!$S$315/Unitflowchart!$S$357)*RoadTransportEthanolStage2!Q44*Unitflowchart!$S$324</f>
        <v>0</v>
      </c>
      <c r="H287" s="730">
        <f>(Unitflowchart!$S$315/Unitflowchart!$S$357)*RoadTransportEthanolStage2!V44*Unitflowchart!$S$324</f>
        <v>0</v>
      </c>
      <c r="I287" s="25">
        <f>(H287/H$359)*100</f>
        <v>0</v>
      </c>
      <c r="J287" s="733">
        <f>(Unitflowchart!$S$315/Unitflowchart!$S$357)*RoadTransportEthanolStage2!W44*Unitflowchart!$S$324</f>
        <v>0</v>
      </c>
      <c r="K287" s="730">
        <f>(Unitflowchart!$S$315/Unitflowchart!$S$357)*RoadTransportEthanolStage2!AB44*Unitflowchart!$S$324</f>
        <v>0</v>
      </c>
      <c r="L287" s="25">
        <f>(K287/K$359)*100</f>
        <v>0</v>
      </c>
      <c r="M287" s="732">
        <f>(Unitflowchart!$S$315/Unitflowchart!$S$357)*RoadTransportEthanolStage2!AC44*Unitflowchart!$S$324</f>
        <v>0</v>
      </c>
      <c r="N287" s="711">
        <f>E287+(GlobalWarmingPotentials!$B$11*H287)+(GlobalWarmingPotentials!$C$11*K287)</f>
        <v>0</v>
      </c>
      <c r="O287" s="25">
        <f>(N287/N$359)*100</f>
        <v>0</v>
      </c>
      <c r="P287" s="740">
        <f>SQRT((G287^2)+((GlobalWarmingPotentials!$B$11*J287)^2)+((GlobalWarmingPotentials!$C$11*M287)^2))</f>
        <v>0</v>
      </c>
      <c r="Q287" s="29"/>
    </row>
    <row r="288" spans="1:17" x14ac:dyDescent="0.25">
      <c r="A288" s="42"/>
      <c r="B288" s="746"/>
      <c r="C288" s="863"/>
      <c r="D288" s="759"/>
      <c r="E288" s="746"/>
      <c r="F288" s="863"/>
      <c r="G288" s="759"/>
      <c r="H288" s="763"/>
      <c r="I288" s="863"/>
      <c r="J288" s="806"/>
      <c r="K288" s="763"/>
      <c r="L288" s="863"/>
      <c r="M288" s="764"/>
      <c r="N288" s="712"/>
      <c r="O288" s="153"/>
      <c r="P288" s="718"/>
      <c r="Q288" s="29"/>
    </row>
    <row r="289" spans="1:17" s="6" customFormat="1" x14ac:dyDescent="0.25">
      <c r="A289" s="214" t="s">
        <v>844</v>
      </c>
      <c r="B289" s="714">
        <f>(Unitflowchart!$S$315/Unitflowchart!$S$357)*RoadTransportEthanolStage2!J46*Unitflowchart!$S$324</f>
        <v>0</v>
      </c>
      <c r="C289" s="14">
        <f>(B289/B$359)*100</f>
        <v>0</v>
      </c>
      <c r="D289" s="722">
        <f>(Unitflowchart!$S$315/Unitflowchart!$S$357)*RoadTransportEthanolStage2!K46*Unitflowchart!$S$324</f>
        <v>0</v>
      </c>
      <c r="E289" s="714">
        <f>(Unitflowchart!$S$315/Unitflowchart!$S$357)*RoadTransportEthanolStage2!P46*Unitflowchart!$S$324</f>
        <v>0</v>
      </c>
      <c r="F289" s="14">
        <f>(E289/E$359)*100</f>
        <v>0</v>
      </c>
      <c r="G289" s="722">
        <f>(Unitflowchart!$S$315/Unitflowchart!$S$357)*RoadTransportEthanolStage2!Q46*Unitflowchart!$S$324</f>
        <v>0</v>
      </c>
      <c r="H289" s="211">
        <f>(Unitflowchart!$S$315/Unitflowchart!$S$357)*RoadTransportEthanolStage2!V46*Unitflowchart!$S$324</f>
        <v>0</v>
      </c>
      <c r="I289" s="14">
        <f>(H289/H$359)*100</f>
        <v>0</v>
      </c>
      <c r="J289" s="728">
        <f>(Unitflowchart!$S$315/Unitflowchart!$S$357)*RoadTransportEthanolStage2!W46*Unitflowchart!$S$324</f>
        <v>0</v>
      </c>
      <c r="K289" s="211">
        <f>(Unitflowchart!$S$315/Unitflowchart!$S$357)*RoadTransportEthanolStage2!AB46*Unitflowchart!$S$324</f>
        <v>0</v>
      </c>
      <c r="L289" s="14">
        <f>(K289/K$359)*100</f>
        <v>0</v>
      </c>
      <c r="M289" s="212">
        <f>(Unitflowchart!$S$315/Unitflowchart!$S$357)*RoadTransportEthanolStage2!AC46*Unitflowchart!$S$324</f>
        <v>0</v>
      </c>
      <c r="N289" s="714">
        <f>E289+(GlobalWarmingPotentials!$B$11*H289)+(GlobalWarmingPotentials!$C$11*K289)</f>
        <v>0</v>
      </c>
      <c r="O289" s="14">
        <f>(N289/N$359)*100</f>
        <v>0</v>
      </c>
      <c r="P289" s="741">
        <f>SQRT((G289^2)+((GlobalWarmingPotentials!$B$11*J289)^2)+((GlobalWarmingPotentials!$C$11*M289)^2))</f>
        <v>0</v>
      </c>
      <c r="Q289" s="28"/>
    </row>
    <row r="290" spans="1:17" x14ac:dyDescent="0.25">
      <c r="B290" s="712"/>
      <c r="D290" s="718"/>
      <c r="E290" s="712"/>
      <c r="G290" s="718"/>
      <c r="H290" s="30"/>
      <c r="J290" s="708"/>
      <c r="K290" s="30"/>
      <c r="M290" s="708"/>
      <c r="N290" s="716"/>
      <c r="P290" s="718"/>
      <c r="Q290" s="29"/>
    </row>
    <row r="291" spans="1:17" x14ac:dyDescent="0.25">
      <c r="A291" s="384" t="s">
        <v>887</v>
      </c>
      <c r="B291" s="712"/>
      <c r="D291" s="718"/>
      <c r="E291" s="712"/>
      <c r="G291" s="718"/>
      <c r="H291" s="30"/>
      <c r="J291" s="708"/>
      <c r="K291" s="30"/>
      <c r="M291" s="708"/>
      <c r="N291" s="712"/>
      <c r="P291" s="718"/>
      <c r="Q291" s="29"/>
    </row>
    <row r="292" spans="1:17" x14ac:dyDescent="0.25">
      <c r="B292" s="712"/>
      <c r="D292" s="718"/>
      <c r="E292" s="712"/>
      <c r="G292" s="718"/>
      <c r="H292" s="30"/>
      <c r="J292" s="708"/>
      <c r="K292" s="30"/>
      <c r="M292" s="708"/>
      <c r="N292" s="712"/>
      <c r="P292" s="718"/>
      <c r="Q292" s="29"/>
    </row>
    <row r="293" spans="1:17" x14ac:dyDescent="0.25">
      <c r="A293" t="str">
        <f>RailTransport!A11</f>
        <v xml:space="preserve"> - Gas Oil</v>
      </c>
      <c r="B293" s="710">
        <f>(Unitflowchart!$S$315/Unitflowchart!$S$357)*RailTransport!J11*Unitflowchart!$S$326</f>
        <v>0</v>
      </c>
      <c r="C293" s="24">
        <f>(B293/B$359)*100</f>
        <v>0</v>
      </c>
      <c r="D293" s="726">
        <f>(Unitflowchart!$S$315/Unitflowchart!$S$357)*RailTransport!K11*Unitflowchart!$S$326</f>
        <v>0</v>
      </c>
      <c r="E293" s="710">
        <f>(Unitflowchart!$S$315/Unitflowchart!$S$357)*RailTransport!P11*Unitflowchart!$S$326</f>
        <v>0</v>
      </c>
      <c r="F293" s="24">
        <f>(E293/E$359)*100</f>
        <v>0</v>
      </c>
      <c r="G293" s="726">
        <f>(Unitflowchart!$S$315/Unitflowchart!$S$357)*RailTransport!Q11*Unitflowchart!$S$326</f>
        <v>0</v>
      </c>
      <c r="H293" s="707">
        <f>(Unitflowchart!$S$315/Unitflowchart!$S$357)*RailTransport!V11*Unitflowchart!$S$326</f>
        <v>0</v>
      </c>
      <c r="I293" s="24">
        <f>(H293/H$359)*100</f>
        <v>0</v>
      </c>
      <c r="J293" s="709">
        <f>(Unitflowchart!$S$315/Unitflowchart!$S$357)*RailTransport!W11*Unitflowchart!$S$326</f>
        <v>0</v>
      </c>
      <c r="K293" s="707">
        <f>(Unitflowchart!$S$315/Unitflowchart!$S$357)*RailTransport!AB11*Unitflowchart!$S$326</f>
        <v>0</v>
      </c>
      <c r="L293" s="24">
        <f>(K293/K$359)*100</f>
        <v>0</v>
      </c>
      <c r="M293" s="709">
        <f>(Unitflowchart!$S$315/Unitflowchart!$S$357)*RailTransport!AC11*Unitflowchart!$S$326</f>
        <v>0</v>
      </c>
      <c r="N293" s="710">
        <f>E293+(GlobalWarmingPotentials!$B$11*H293)+(GlobalWarmingPotentials!$C$11*K293)</f>
        <v>0</v>
      </c>
      <c r="O293" s="24">
        <f>(N293/N$359)*100</f>
        <v>0</v>
      </c>
      <c r="P293" s="726">
        <f>SQRT((G293^2)+((GlobalWarmingPotentials!$B$11*J293)^2)+((GlobalWarmingPotentials!$C$11*M293)^2))</f>
        <v>0</v>
      </c>
      <c r="Q293" s="29"/>
    </row>
    <row r="294" spans="1:17" x14ac:dyDescent="0.25">
      <c r="A294" t="str">
        <f>RailTransport!A12</f>
        <v xml:space="preserve"> - Capital Equipment</v>
      </c>
      <c r="B294" s="710">
        <f>(Unitflowchart!$S$315/Unitflowchart!$S$357)*RailTransport!J12*Unitflowchart!$S$326</f>
        <v>0</v>
      </c>
      <c r="C294" s="24">
        <f>(B294/B$359)*100</f>
        <v>0</v>
      </c>
      <c r="D294" s="726">
        <f>(Unitflowchart!$S$315/Unitflowchart!$S$357)*RailTransport!K12*Unitflowchart!$S$326</f>
        <v>0</v>
      </c>
      <c r="E294" s="710">
        <f>(Unitflowchart!$S$315/Unitflowchart!$S$357)*RailTransport!P12*Unitflowchart!$S$326</f>
        <v>0</v>
      </c>
      <c r="F294" s="24">
        <f>(E294/E$359)*100</f>
        <v>0</v>
      </c>
      <c r="G294" s="726">
        <f>(Unitflowchart!$S$315/Unitflowchart!$S$357)*RailTransport!Q12*Unitflowchart!$S$326</f>
        <v>0</v>
      </c>
      <c r="H294" s="707">
        <f>(Unitflowchart!$S$315/Unitflowchart!$S$357)*RailTransport!V12*Unitflowchart!$S$326</f>
        <v>0</v>
      </c>
      <c r="I294" s="24">
        <f>(H294/H$359)*100</f>
        <v>0</v>
      </c>
      <c r="J294" s="709">
        <f>(Unitflowchart!$S$315/Unitflowchart!$S$357)*RailTransport!W12*Unitflowchart!$S$326</f>
        <v>0</v>
      </c>
      <c r="K294" s="707">
        <f>(Unitflowchart!$S$315/Unitflowchart!$S$357)*RailTransport!AB12*Unitflowchart!$S$326</f>
        <v>0</v>
      </c>
      <c r="L294" s="24">
        <f>(K294/K$359)*100</f>
        <v>0</v>
      </c>
      <c r="M294" s="709">
        <f>(Unitflowchart!$S$315/Unitflowchart!$S$357)*RailTransport!AC12*Unitflowchart!$S$326</f>
        <v>0</v>
      </c>
      <c r="N294" s="710">
        <f>E294+(GlobalWarmingPotentials!$B$11*H294)+(GlobalWarmingPotentials!$C$11*K294)</f>
        <v>0</v>
      </c>
      <c r="O294" s="24">
        <f>(N294/N$359)*100</f>
        <v>0</v>
      </c>
      <c r="P294" s="726">
        <f>SQRT((G294^2)+((GlobalWarmingPotentials!$B$11*J294)^2)+((GlobalWarmingPotentials!$C$11*M294)^2))</f>
        <v>0</v>
      </c>
      <c r="Q294" s="29"/>
    </row>
    <row r="295" spans="1:17" x14ac:dyDescent="0.25">
      <c r="A295" t="str">
        <f>RailTransport!A13</f>
        <v xml:space="preserve"> - Maintenance</v>
      </c>
      <c r="B295" s="710">
        <f>(Unitflowchart!$S$315/Unitflowchart!$S$357)*RailTransport!J13*Unitflowchart!$S$326</f>
        <v>0</v>
      </c>
      <c r="C295" s="24">
        <f>(B295/B$359)*100</f>
        <v>0</v>
      </c>
      <c r="D295" s="726">
        <f>(Unitflowchart!$S$315/Unitflowchart!$S$357)*RailTransport!K13*Unitflowchart!$S$326</f>
        <v>0</v>
      </c>
      <c r="E295" s="710">
        <f>(Unitflowchart!$S$315/Unitflowchart!$S$357)*RailTransport!P13*Unitflowchart!$S$326</f>
        <v>0</v>
      </c>
      <c r="F295" s="24">
        <f>(E295/E$359)*100</f>
        <v>0</v>
      </c>
      <c r="G295" s="726">
        <f>(Unitflowchart!$S$315/Unitflowchart!$S$357)*RailTransport!Q13*Unitflowchart!$S$326</f>
        <v>0</v>
      </c>
      <c r="H295" s="707">
        <f>(Unitflowchart!$S$315/Unitflowchart!$S$357)*RailTransport!V13*Unitflowchart!$S$326</f>
        <v>0</v>
      </c>
      <c r="I295" s="24">
        <f>(H295/H$359)*100</f>
        <v>0</v>
      </c>
      <c r="J295" s="709">
        <f>(Unitflowchart!$S$315/Unitflowchart!$S$357)*RailTransport!W13*Unitflowchart!$S$326</f>
        <v>0</v>
      </c>
      <c r="K295" s="707">
        <f>(Unitflowchart!$S$315/Unitflowchart!$S$357)*RailTransport!AB13*Unitflowchart!$S$326</f>
        <v>0</v>
      </c>
      <c r="L295" s="24">
        <f>(K295/K$359)*100</f>
        <v>0</v>
      </c>
      <c r="M295" s="709">
        <f>(Unitflowchart!$S$315/Unitflowchart!$S$357)*RailTransport!AC13*Unitflowchart!$S$326</f>
        <v>0</v>
      </c>
      <c r="N295" s="710">
        <f>E295+(GlobalWarmingPotentials!$B$11*H295)+(GlobalWarmingPotentials!$C$11*K295)</f>
        <v>0</v>
      </c>
      <c r="O295" s="24">
        <f>(N295/N$359)*100</f>
        <v>0</v>
      </c>
      <c r="P295" s="726">
        <f>SQRT((G295^2)+((GlobalWarmingPotentials!$B$11*J295)^2)+((GlobalWarmingPotentials!$C$11*M295)^2))</f>
        <v>0</v>
      </c>
      <c r="Q295" s="29"/>
    </row>
    <row r="296" spans="1:17" x14ac:dyDescent="0.25">
      <c r="B296" s="712"/>
      <c r="C296" s="24"/>
      <c r="D296" s="718"/>
      <c r="E296" s="712"/>
      <c r="F296" s="24"/>
      <c r="G296" s="718"/>
      <c r="H296" s="30"/>
      <c r="I296" s="24"/>
      <c r="J296" s="708"/>
      <c r="K296" s="30"/>
      <c r="L296" s="24"/>
      <c r="M296" s="708"/>
      <c r="N296" s="712"/>
      <c r="O296" s="24"/>
      <c r="P296" s="718"/>
      <c r="Q296" s="29"/>
    </row>
    <row r="297" spans="1:17" x14ac:dyDescent="0.25">
      <c r="A297" s="214" t="s">
        <v>857</v>
      </c>
      <c r="B297" s="717">
        <f>(Unitflowchart!$S$315/Unitflowchart!$S$357)*RailTransport!J15*Unitflowchart!$S$326</f>
        <v>0</v>
      </c>
      <c r="C297" s="705">
        <f>(B297/B$359)*100</f>
        <v>0</v>
      </c>
      <c r="D297" s="727">
        <f>(Unitflowchart!$S$315/Unitflowchart!$S$357)*RailTransport!K15*Unitflowchart!$S$326</f>
        <v>0</v>
      </c>
      <c r="E297" s="717">
        <f>(Unitflowchart!$S$315/Unitflowchart!$S$357)*RailTransport!P15*Unitflowchart!$S$326</f>
        <v>0</v>
      </c>
      <c r="F297" s="705">
        <f>(E297/E$359)*100</f>
        <v>0</v>
      </c>
      <c r="G297" s="727">
        <f>(Unitflowchart!$S$315/Unitflowchart!$S$357)*RailTransport!Q15*Unitflowchart!$S$326</f>
        <v>0</v>
      </c>
      <c r="H297" s="706">
        <f>(Unitflowchart!$S$315/Unitflowchart!$S$357)*RailTransport!V15*Unitflowchart!$S$326</f>
        <v>0</v>
      </c>
      <c r="I297" s="705">
        <f>(H297/H$359)*100</f>
        <v>0</v>
      </c>
      <c r="J297" s="704">
        <f>(Unitflowchart!$S$315/Unitflowchart!$S$357)*RailTransport!W15*Unitflowchart!$S$326</f>
        <v>0</v>
      </c>
      <c r="K297" s="706">
        <f>(Unitflowchart!$S$315/Unitflowchart!$S$357)*RailTransport!AB15*Unitflowchart!$S$326</f>
        <v>0</v>
      </c>
      <c r="L297" s="705">
        <f>(K297/K$359)*100</f>
        <v>0</v>
      </c>
      <c r="M297" s="704">
        <f>(Unitflowchart!$S$315/Unitflowchart!$S$357)*RailTransport!AC15*Unitflowchart!$S$326</f>
        <v>0</v>
      </c>
      <c r="N297" s="717">
        <f>E297+(GlobalWarmingPotentials!$B$11*H297)+(GlobalWarmingPotentials!$C$11*K297)</f>
        <v>0</v>
      </c>
      <c r="O297" s="705">
        <f>(N297/N$359)*100</f>
        <v>0</v>
      </c>
      <c r="P297" s="725">
        <f>SQRT((G297^2)+((GlobalWarmingPotentials!$B$11*J297)^2)+((GlobalWarmingPotentials!$C$11*M297)^2))</f>
        <v>0</v>
      </c>
      <c r="Q297" s="29"/>
    </row>
    <row r="298" spans="1:17" x14ac:dyDescent="0.25">
      <c r="B298" s="712"/>
      <c r="D298" s="718"/>
      <c r="E298" s="712"/>
      <c r="G298" s="718"/>
      <c r="H298" s="30"/>
      <c r="J298" s="708"/>
      <c r="K298" s="30"/>
      <c r="M298" s="708"/>
      <c r="N298" s="712"/>
      <c r="P298" s="718"/>
      <c r="Q298" s="29"/>
    </row>
    <row r="299" spans="1:17" x14ac:dyDescent="0.25">
      <c r="A299" s="384" t="s">
        <v>888</v>
      </c>
      <c r="B299" s="712"/>
      <c r="D299" s="718"/>
      <c r="E299" s="712"/>
      <c r="G299" s="718"/>
      <c r="H299" s="30"/>
      <c r="J299" s="708"/>
      <c r="K299" s="30"/>
      <c r="M299" s="708"/>
      <c r="N299" s="712"/>
      <c r="P299" s="718"/>
      <c r="Q299" s="29"/>
    </row>
    <row r="300" spans="1:17" x14ac:dyDescent="0.25">
      <c r="B300" s="712"/>
      <c r="D300" s="718"/>
      <c r="E300" s="712"/>
      <c r="G300" s="718"/>
      <c r="H300" s="30"/>
      <c r="J300" s="708"/>
      <c r="K300" s="30"/>
      <c r="M300" s="708"/>
      <c r="N300" s="712"/>
      <c r="P300" s="718"/>
      <c r="Q300" s="29"/>
    </row>
    <row r="301" spans="1:17" x14ac:dyDescent="0.25">
      <c r="A301" t="str">
        <f>BargeTransport!A11</f>
        <v xml:space="preserve"> - Marine Diesel</v>
      </c>
      <c r="B301" s="710">
        <f>(Unitflowchart!$S$315/Unitflowchart!$S$357)*BargeTransport!J11*Unitflowchart!$S$328</f>
        <v>0</v>
      </c>
      <c r="C301" s="24">
        <f>(B301/B$359)*100</f>
        <v>0</v>
      </c>
      <c r="D301" s="726">
        <f>(Unitflowchart!$S$315/Unitflowchart!$S$357)*BargeTransport!K11*Unitflowchart!$S$328</f>
        <v>0</v>
      </c>
      <c r="E301" s="710">
        <f>(Unitflowchart!$S$315/Unitflowchart!$S$357)*BargeTransport!P11*Unitflowchart!$S$328</f>
        <v>0</v>
      </c>
      <c r="F301" s="24">
        <f>(E301/E$359)*100</f>
        <v>0</v>
      </c>
      <c r="G301" s="726">
        <f>(Unitflowchart!$S$315/Unitflowchart!$S$357)*BargeTransport!Q11*Unitflowchart!$S$328</f>
        <v>0</v>
      </c>
      <c r="H301" s="707">
        <f>(Unitflowchart!$S$315/Unitflowchart!$S$357)*BargeTransport!V11*Unitflowchart!$S$328</f>
        <v>0</v>
      </c>
      <c r="I301" s="24">
        <f>(H301/H$359)*100</f>
        <v>0</v>
      </c>
      <c r="J301" s="709">
        <f>(Unitflowchart!$S$315/Unitflowchart!$S$357)*BargeTransport!W11*Unitflowchart!$S$328</f>
        <v>0</v>
      </c>
      <c r="K301" s="707">
        <f>(Unitflowchart!$S$315/Unitflowchart!$S$357)*BargeTransport!AB11*Unitflowchart!$S$328</f>
        <v>0</v>
      </c>
      <c r="L301" s="24">
        <f>(K301/K$359)*100</f>
        <v>0</v>
      </c>
      <c r="M301" s="709">
        <f>(Unitflowchart!$S$315/Unitflowchart!$S$357)*BargeTransport!AC11*Unitflowchart!$S$328</f>
        <v>0</v>
      </c>
      <c r="N301" s="710">
        <f>E301+(GlobalWarmingPotentials!$B$11*H301)+(GlobalWarmingPotentials!$C$11*K301)</f>
        <v>0</v>
      </c>
      <c r="O301" s="24">
        <f>(N301/N$359)*100</f>
        <v>0</v>
      </c>
      <c r="P301" s="726">
        <f>SQRT((G301^2)+((GlobalWarmingPotentials!$B$11*J301)^2)+((GlobalWarmingPotentials!$C$11*M301)^2))</f>
        <v>0</v>
      </c>
      <c r="Q301" s="29"/>
    </row>
    <row r="302" spans="1:17" x14ac:dyDescent="0.25">
      <c r="A302" t="str">
        <f>BargeTransport!A12</f>
        <v xml:space="preserve"> - Barge Construction</v>
      </c>
      <c r="B302" s="710">
        <f>(Unitflowchart!$S$315/Unitflowchart!$S$357)*BargeTransport!J12*Unitflowchart!$S$328</f>
        <v>0</v>
      </c>
      <c r="C302" s="24">
        <f>(B302/B$359)*100</f>
        <v>0</v>
      </c>
      <c r="D302" s="726">
        <f>(Unitflowchart!$S$315/Unitflowchart!$S$357)*BargeTransport!K12*Unitflowchart!$S$328</f>
        <v>0</v>
      </c>
      <c r="E302" s="710">
        <f>(Unitflowchart!$S$315/Unitflowchart!$S$357)*BargeTransport!P12*Unitflowchart!$S$328</f>
        <v>0</v>
      </c>
      <c r="F302" s="24">
        <f>(E302/E$359)*100</f>
        <v>0</v>
      </c>
      <c r="G302" s="726">
        <f>(Unitflowchart!$S$315/Unitflowchart!$S$357)*BargeTransport!Q12*Unitflowchart!$S$328</f>
        <v>0</v>
      </c>
      <c r="H302" s="707">
        <f>(Unitflowchart!$S$315/Unitflowchart!$S$357)*BargeTransport!V12*Unitflowchart!$S$328</f>
        <v>0</v>
      </c>
      <c r="I302" s="24">
        <f>(H302/H$359)*100</f>
        <v>0</v>
      </c>
      <c r="J302" s="709">
        <f>(Unitflowchart!$S$315/Unitflowchart!$S$357)*BargeTransport!W12*Unitflowchart!$S$328</f>
        <v>0</v>
      </c>
      <c r="K302" s="707">
        <f>(Unitflowchart!$S$315/Unitflowchart!$S$357)*BargeTransport!AB12*Unitflowchart!$S$328</f>
        <v>0</v>
      </c>
      <c r="L302" s="24">
        <f>(K302/K$359)*100</f>
        <v>0</v>
      </c>
      <c r="M302" s="709">
        <f>(Unitflowchart!$S$315/Unitflowchart!$S$357)*BargeTransport!AC12*Unitflowchart!$S$328</f>
        <v>0</v>
      </c>
      <c r="N302" s="710">
        <f>E302+(GlobalWarmingPotentials!$B$11*H302)+(GlobalWarmingPotentials!$C$11*K302)</f>
        <v>0</v>
      </c>
      <c r="O302" s="24">
        <f>(N302/N$359)*100</f>
        <v>0</v>
      </c>
      <c r="P302" s="726">
        <f>SQRT((G302^2)+((GlobalWarmingPotentials!$B$11*J302)^2)+((GlobalWarmingPotentials!$C$11*M302)^2))</f>
        <v>0</v>
      </c>
      <c r="Q302" s="29"/>
    </row>
    <row r="303" spans="1:17" x14ac:dyDescent="0.25">
      <c r="A303" t="str">
        <f>BargeTransport!A13</f>
        <v xml:space="preserve"> - Barge Maintenance</v>
      </c>
      <c r="B303" s="710">
        <f>(Unitflowchart!$S$315/Unitflowchart!$S$357)*BargeTransport!J13*Unitflowchart!$S$328</f>
        <v>0</v>
      </c>
      <c r="C303" s="24">
        <f>(B303/B$359)*100</f>
        <v>0</v>
      </c>
      <c r="D303" s="726">
        <f>(Unitflowchart!$S$315/Unitflowchart!$S$357)*BargeTransport!K13*Unitflowchart!$S$328</f>
        <v>0</v>
      </c>
      <c r="E303" s="710">
        <f>(Unitflowchart!$S$315/Unitflowchart!$S$357)*BargeTransport!P13*Unitflowchart!$S$328</f>
        <v>0</v>
      </c>
      <c r="F303" s="24">
        <f>(E303/E$359)*100</f>
        <v>0</v>
      </c>
      <c r="G303" s="726">
        <f>(Unitflowchart!$S$315/Unitflowchart!$S$357)*BargeTransport!Q13*Unitflowchart!$S$328</f>
        <v>0</v>
      </c>
      <c r="H303" s="707">
        <f>(Unitflowchart!$S$315/Unitflowchart!$S$357)*BargeTransport!V13*Unitflowchart!$S$328</f>
        <v>0</v>
      </c>
      <c r="I303" s="24">
        <f>(H303/H$359)*100</f>
        <v>0</v>
      </c>
      <c r="J303" s="709">
        <f>(Unitflowchart!$S$315/Unitflowchart!$S$357)*BargeTransport!W13*Unitflowchart!$S$328</f>
        <v>0</v>
      </c>
      <c r="K303" s="707">
        <f>(Unitflowchart!$S$315/Unitflowchart!$S$357)*BargeTransport!AB13*Unitflowchart!$S$328</f>
        <v>0</v>
      </c>
      <c r="L303" s="24">
        <f>(K303/K$359)*100</f>
        <v>0</v>
      </c>
      <c r="M303" s="709">
        <f>(Unitflowchart!$S$315/Unitflowchart!$S$357)*BargeTransport!AC13*Unitflowchart!$S$328</f>
        <v>0</v>
      </c>
      <c r="N303" s="710">
        <f>E303+(GlobalWarmingPotentials!$B$11*H303)+(GlobalWarmingPotentials!$C$11*K303)</f>
        <v>0</v>
      </c>
      <c r="O303" s="24">
        <f>(N303/N$359)*100</f>
        <v>0</v>
      </c>
      <c r="P303" s="726">
        <f>SQRT((G303^2)+((GlobalWarmingPotentials!$B$11*J303)^2)+((GlobalWarmingPotentials!$C$11*M303)^2))</f>
        <v>0</v>
      </c>
      <c r="Q303" s="29"/>
    </row>
    <row r="304" spans="1:17" x14ac:dyDescent="0.25">
      <c r="B304" s="712"/>
      <c r="C304" s="24"/>
      <c r="D304" s="718"/>
      <c r="E304" s="712"/>
      <c r="F304" s="24"/>
      <c r="G304" s="718"/>
      <c r="H304" s="30"/>
      <c r="I304" s="24"/>
      <c r="J304" s="708"/>
      <c r="K304" s="30"/>
      <c r="L304" s="24"/>
      <c r="M304" s="708"/>
      <c r="N304" s="712"/>
      <c r="O304" s="24"/>
      <c r="P304" s="718"/>
      <c r="Q304" s="29"/>
    </row>
    <row r="305" spans="1:17" x14ac:dyDescent="0.25">
      <c r="A305" s="214" t="s">
        <v>859</v>
      </c>
      <c r="B305" s="717">
        <f>(Unitflowchart!$S$315/Unitflowchart!$S$357)*BargeTransport!J15*Unitflowchart!$S$328</f>
        <v>0</v>
      </c>
      <c r="C305" s="705">
        <f>(B305/B$359)*100</f>
        <v>0</v>
      </c>
      <c r="D305" s="727">
        <f>(Unitflowchart!$S$315/Unitflowchart!$S$357)*BargeTransport!K15*Unitflowchart!$S$328</f>
        <v>0</v>
      </c>
      <c r="E305" s="717">
        <f>(Unitflowchart!$S$315/Unitflowchart!$S$357)*BargeTransport!P15*Unitflowchart!$S$328</f>
        <v>0</v>
      </c>
      <c r="F305" s="705">
        <f>(E305/E$359)*100</f>
        <v>0</v>
      </c>
      <c r="G305" s="727">
        <f>(Unitflowchart!$S$315/Unitflowchart!$S$357)*BargeTransport!Q15*Unitflowchart!$S$328</f>
        <v>0</v>
      </c>
      <c r="H305" s="706">
        <f>(Unitflowchart!$S$315/Unitflowchart!$S$357)*BargeTransport!V15*Unitflowchart!$S$328</f>
        <v>0</v>
      </c>
      <c r="I305" s="705">
        <f>(H305/H$359)*100</f>
        <v>0</v>
      </c>
      <c r="J305" s="704">
        <f>(Unitflowchart!$S$315/Unitflowchart!$S$357)*BargeTransport!W15*Unitflowchart!$S$328</f>
        <v>0</v>
      </c>
      <c r="K305" s="706">
        <f>(Unitflowchart!$S$315/Unitflowchart!$S$357)*BargeTransport!AB15*Unitflowchart!$S$328</f>
        <v>0</v>
      </c>
      <c r="L305" s="705">
        <f>(K305/K$359)*100</f>
        <v>0</v>
      </c>
      <c r="M305" s="704">
        <f>(Unitflowchart!$S$315/Unitflowchart!$S$357)*BargeTransport!AC15*Unitflowchart!$S$328</f>
        <v>0</v>
      </c>
      <c r="N305" s="717">
        <f>E305+(GlobalWarmingPotentials!$B$11*H305)+(GlobalWarmingPotentials!$C$11*K305)</f>
        <v>0</v>
      </c>
      <c r="O305" s="705">
        <f>(N305/N$359)*100</f>
        <v>0</v>
      </c>
      <c r="P305" s="725">
        <f>SQRT((G305^2)+((GlobalWarmingPotentials!$B$11*J305)^2)+((GlobalWarmingPotentials!$C$11*M305)^2))</f>
        <v>0</v>
      </c>
      <c r="Q305" s="29"/>
    </row>
    <row r="306" spans="1:17" x14ac:dyDescent="0.25">
      <c r="B306" s="712"/>
      <c r="D306" s="718"/>
      <c r="E306" s="712"/>
      <c r="G306" s="718"/>
      <c r="H306" s="30"/>
      <c r="J306" s="708"/>
      <c r="K306" s="30"/>
      <c r="M306" s="708"/>
      <c r="N306" s="712"/>
      <c r="P306" s="718"/>
      <c r="Q306" s="29"/>
    </row>
    <row r="307" spans="1:17" x14ac:dyDescent="0.25">
      <c r="A307" s="384" t="s">
        <v>889</v>
      </c>
      <c r="B307" s="712"/>
      <c r="D307" s="718"/>
      <c r="E307" s="712"/>
      <c r="G307" s="718"/>
      <c r="H307" s="30"/>
      <c r="J307" s="708"/>
      <c r="K307" s="30"/>
      <c r="M307" s="708"/>
      <c r="N307" s="712"/>
      <c r="P307" s="718"/>
      <c r="Q307" s="29"/>
    </row>
    <row r="308" spans="1:17" x14ac:dyDescent="0.25">
      <c r="B308" s="712"/>
      <c r="D308" s="718"/>
      <c r="E308" s="712"/>
      <c r="G308" s="718"/>
      <c r="H308" s="30"/>
      <c r="J308" s="708"/>
      <c r="K308" s="30"/>
      <c r="M308" s="708"/>
      <c r="N308" s="712"/>
      <c r="P308" s="718"/>
      <c r="Q308" s="29"/>
    </row>
    <row r="309" spans="1:17" x14ac:dyDescent="0.25">
      <c r="A309" t="str">
        <f>ShipTransport!A11</f>
        <v xml:space="preserve"> - Marine Diesel</v>
      </c>
      <c r="B309" s="710">
        <f>(Unitflowchart!$S$315/Unitflowchart!$S$357)*ShipTransport!J11*Unitflowchart!$S$330</f>
        <v>0</v>
      </c>
      <c r="C309" s="24">
        <f>(B309/B$359)*100</f>
        <v>0</v>
      </c>
      <c r="D309" s="726">
        <f>(Unitflowchart!$S$315/Unitflowchart!$S$357)*ShipTransport!K11*Unitflowchart!$S$330</f>
        <v>0</v>
      </c>
      <c r="E309" s="710">
        <f>(Unitflowchart!$S$315/Unitflowchart!$S$357)*ShipTransport!P11*Unitflowchart!$S$330</f>
        <v>0</v>
      </c>
      <c r="F309" s="24">
        <f>(E309/E$359)*100</f>
        <v>0</v>
      </c>
      <c r="G309" s="726">
        <f>(Unitflowchart!$S$315/Unitflowchart!$S$357)*ShipTransport!Q11*Unitflowchart!$S$330</f>
        <v>0</v>
      </c>
      <c r="H309" s="707">
        <f>(Unitflowchart!$S$315/Unitflowchart!$S$357)*ShipTransport!V11*Unitflowchart!$S$330</f>
        <v>0</v>
      </c>
      <c r="I309" s="24">
        <f>(H309/H$359)*100</f>
        <v>0</v>
      </c>
      <c r="J309" s="709">
        <f>(Unitflowchart!$S$315/Unitflowchart!$S$357)*ShipTransport!W11*Unitflowchart!$S$330</f>
        <v>0</v>
      </c>
      <c r="K309" s="707">
        <f>(Unitflowchart!$S$315/Unitflowchart!$S$357)*ShipTransport!AB11*Unitflowchart!$S$330</f>
        <v>0</v>
      </c>
      <c r="L309" s="24">
        <f>(K309/K$359)*100</f>
        <v>0</v>
      </c>
      <c r="M309" s="709">
        <f>(Unitflowchart!$S$315/Unitflowchart!$S$357)*BargeTransport!AC19*Unitflowchart!$S$328</f>
        <v>0</v>
      </c>
      <c r="N309" s="710">
        <f>E309+(GlobalWarmingPotentials!$B$11*H309)+(GlobalWarmingPotentials!$C$11*K309)</f>
        <v>0</v>
      </c>
      <c r="O309" s="24">
        <f>(N309/N$359)*100</f>
        <v>0</v>
      </c>
      <c r="P309" s="726">
        <f>SQRT((G309^2)+((GlobalWarmingPotentials!$B$11*J309)^2)+((GlobalWarmingPotentials!$C$11*M309)^2))</f>
        <v>0</v>
      </c>
      <c r="Q309" s="29"/>
    </row>
    <row r="310" spans="1:17" x14ac:dyDescent="0.25">
      <c r="A310" t="str">
        <f>ShipTransport!A12</f>
        <v xml:space="preserve"> - Ship Construction</v>
      </c>
      <c r="B310" s="710">
        <f>(Unitflowchart!$S$315/Unitflowchart!$S$357)*ShipTransport!J12*Unitflowchart!$S$330</f>
        <v>0</v>
      </c>
      <c r="C310" s="24">
        <f t="shared" ref="C310:C311" si="58">(B310/B$359)*100</f>
        <v>0</v>
      </c>
      <c r="D310" s="726">
        <f>(Unitflowchart!$S$315/Unitflowchart!$S$357)*ShipTransport!K12*Unitflowchart!$S$330</f>
        <v>0</v>
      </c>
      <c r="E310" s="710">
        <f>(Unitflowchart!$S$315/Unitflowchart!$S$357)*ShipTransport!P12*Unitflowchart!$S$330</f>
        <v>0</v>
      </c>
      <c r="F310" s="24">
        <f t="shared" ref="F310:F311" si="59">(E310/E$359)*100</f>
        <v>0</v>
      </c>
      <c r="G310" s="726">
        <f>(Unitflowchart!$S$315/Unitflowchart!$S$357)*ShipTransport!Q12*Unitflowchart!$S$330</f>
        <v>0</v>
      </c>
      <c r="H310" s="707">
        <f>(Unitflowchart!$S$315/Unitflowchart!$S$357)*ShipTransport!V12*Unitflowchart!$S$330</f>
        <v>0</v>
      </c>
      <c r="I310" s="24">
        <f t="shared" ref="I310:I311" si="60">(H310/H$359)*100</f>
        <v>0</v>
      </c>
      <c r="J310" s="709">
        <f>(Unitflowchart!$S$315/Unitflowchart!$S$357)*ShipTransport!W12*Unitflowchart!$S$330</f>
        <v>0</v>
      </c>
      <c r="K310" s="707">
        <f>(Unitflowchart!$S$315/Unitflowchart!$S$357)*ShipTransport!AB12*Unitflowchart!$S$330</f>
        <v>0</v>
      </c>
      <c r="L310" s="24">
        <f t="shared" ref="L310:L311" si="61">(K310/K$359)*100</f>
        <v>0</v>
      </c>
      <c r="M310" s="709">
        <f>(Unitflowchart!$S$315/Unitflowchart!$S$357)*BargeTransport!AC20*Unitflowchart!$S$328</f>
        <v>0</v>
      </c>
      <c r="N310" s="710">
        <f>E310+(GlobalWarmingPotentials!$B$11*H310)+(GlobalWarmingPotentials!$C$11*K310)</f>
        <v>0</v>
      </c>
      <c r="O310" s="24">
        <f t="shared" ref="O310:O311" si="62">(N310/N$359)*100</f>
        <v>0</v>
      </c>
      <c r="P310" s="726">
        <f>SQRT((G310^2)+((GlobalWarmingPotentials!$B$11*J310)^2)+((GlobalWarmingPotentials!$C$11*M310)^2))</f>
        <v>0</v>
      </c>
      <c r="Q310" s="29"/>
    </row>
    <row r="311" spans="1:17" x14ac:dyDescent="0.25">
      <c r="A311" t="str">
        <f>ShipTransport!A13</f>
        <v xml:space="preserve"> - Ship Maintenance</v>
      </c>
      <c r="B311" s="710">
        <f>(Unitflowchart!$S$315/Unitflowchart!$S$357)*ShipTransport!J13*Unitflowchart!$S$330</f>
        <v>0</v>
      </c>
      <c r="C311" s="24">
        <f t="shared" si="58"/>
        <v>0</v>
      </c>
      <c r="D311" s="726">
        <f>(Unitflowchart!$S$315/Unitflowchart!$S$357)*ShipTransport!K13*Unitflowchart!$S$330</f>
        <v>0</v>
      </c>
      <c r="E311" s="710">
        <f>(Unitflowchart!$S$315/Unitflowchart!$S$357)*ShipTransport!P13*Unitflowchart!$S$330</f>
        <v>0</v>
      </c>
      <c r="F311" s="24">
        <f t="shared" si="59"/>
        <v>0</v>
      </c>
      <c r="G311" s="726">
        <f>(Unitflowchart!$S$315/Unitflowchart!$S$357)*ShipTransport!Q13*Unitflowchart!$S$330</f>
        <v>0</v>
      </c>
      <c r="H311" s="707">
        <f>(Unitflowchart!$S$315/Unitflowchart!$S$357)*ShipTransport!V13*Unitflowchart!$S$330</f>
        <v>0</v>
      </c>
      <c r="I311" s="24">
        <f t="shared" si="60"/>
        <v>0</v>
      </c>
      <c r="J311" s="709">
        <f>(Unitflowchart!$S$315/Unitflowchart!$S$357)*ShipTransport!W13*Unitflowchart!$S$330</f>
        <v>0</v>
      </c>
      <c r="K311" s="707">
        <f>(Unitflowchart!$S$315/Unitflowchart!$S$357)*ShipTransport!AB13*Unitflowchart!$S$330</f>
        <v>0</v>
      </c>
      <c r="L311" s="24">
        <f t="shared" si="61"/>
        <v>0</v>
      </c>
      <c r="M311" s="709">
        <f>(Unitflowchart!$S$315/Unitflowchart!$S$357)*BargeTransport!AC21*Unitflowchart!$S$328</f>
        <v>0</v>
      </c>
      <c r="N311" s="710">
        <f>E311+(GlobalWarmingPotentials!$B$11*H311)+(GlobalWarmingPotentials!$C$11*K311)</f>
        <v>0</v>
      </c>
      <c r="O311" s="24">
        <f t="shared" si="62"/>
        <v>0</v>
      </c>
      <c r="P311" s="726">
        <f>SQRT((G311^2)+((GlobalWarmingPotentials!$B$11*J311)^2)+((GlobalWarmingPotentials!$C$11*M311)^2))</f>
        <v>0</v>
      </c>
      <c r="Q311" s="29"/>
    </row>
    <row r="312" spans="1:17" x14ac:dyDescent="0.25">
      <c r="B312" s="712"/>
      <c r="D312" s="718"/>
      <c r="E312" s="712"/>
      <c r="F312" s="24"/>
      <c r="G312" s="718"/>
      <c r="H312" s="30"/>
      <c r="I312" s="24"/>
      <c r="J312" s="708"/>
      <c r="K312" s="30"/>
      <c r="L312" s="24"/>
      <c r="M312" s="708"/>
      <c r="N312" s="712"/>
      <c r="O312" s="24"/>
      <c r="P312" s="718"/>
      <c r="Q312" s="29"/>
    </row>
    <row r="313" spans="1:17" x14ac:dyDescent="0.25">
      <c r="A313" s="214" t="s">
        <v>861</v>
      </c>
      <c r="B313" s="717">
        <f>(Unitflowchart!$S$315/Unitflowchart!$S$357)*ShipTransport!J15*Unitflowchart!$S$330</f>
        <v>0</v>
      </c>
      <c r="C313" s="705">
        <f>(B313/B$359)*100</f>
        <v>0</v>
      </c>
      <c r="D313" s="727">
        <f>(Unitflowchart!$S$315/Unitflowchart!$S$357)*ShipTransport!K15*Unitflowchart!$S$330</f>
        <v>0</v>
      </c>
      <c r="E313" s="717">
        <f>(Unitflowchart!$S$315/Unitflowchart!$S$357)*ShipTransport!P15*Unitflowchart!$S$330</f>
        <v>0</v>
      </c>
      <c r="F313" s="705">
        <f>(E313/E$359)*100</f>
        <v>0</v>
      </c>
      <c r="G313" s="727">
        <f>(Unitflowchart!$S$315/Unitflowchart!$S$357)*ShipTransport!Q15*Unitflowchart!$S$330</f>
        <v>0</v>
      </c>
      <c r="H313" s="706">
        <f>(Unitflowchart!$S$315/Unitflowchart!$S$357)*ShipTransport!V15*Unitflowchart!$S$330</f>
        <v>0</v>
      </c>
      <c r="I313" s="705">
        <f>(H313/H$359)*100</f>
        <v>0</v>
      </c>
      <c r="J313" s="704">
        <f>(Unitflowchart!$S$315/Unitflowchart!$S$357)*ShipTransport!W15*Unitflowchart!$S$330</f>
        <v>0</v>
      </c>
      <c r="K313" s="706">
        <f>(Unitflowchart!$S$315/Unitflowchart!$S$357)*ShipTransport!AB15*Unitflowchart!$S$330</f>
        <v>0</v>
      </c>
      <c r="L313" s="705">
        <f>(K313/K$359)*100</f>
        <v>0</v>
      </c>
      <c r="M313" s="704">
        <f>(Unitflowchart!$S$315/Unitflowchart!$S$357)*BargeTransport!AC23*Unitflowchart!$S$328</f>
        <v>0</v>
      </c>
      <c r="N313" s="717">
        <f>E313+(GlobalWarmingPotentials!$B$11*H313)+(GlobalWarmingPotentials!$C$11*K313)</f>
        <v>0</v>
      </c>
      <c r="O313" s="705">
        <f>(N313/N$359)*100</f>
        <v>0</v>
      </c>
      <c r="P313" s="725">
        <f>SQRT((G313^2)+((GlobalWarmingPotentials!$B$11*J313)^2)+((GlobalWarmingPotentials!$C$11*M313)^2))</f>
        <v>0</v>
      </c>
      <c r="Q313" s="29"/>
    </row>
    <row r="314" spans="1:17" x14ac:dyDescent="0.25">
      <c r="B314" s="712"/>
      <c r="D314" s="718"/>
      <c r="E314" s="712"/>
      <c r="G314" s="718"/>
      <c r="H314" s="30"/>
      <c r="J314" s="708"/>
      <c r="K314" s="30"/>
      <c r="M314" s="708"/>
      <c r="N314" s="712"/>
      <c r="P314" s="718"/>
      <c r="Q314" s="29"/>
    </row>
    <row r="315" spans="1:17" x14ac:dyDescent="0.25">
      <c r="A315" s="214" t="s">
        <v>898</v>
      </c>
      <c r="B315" s="714">
        <f>B289+B297+B305+B313</f>
        <v>0</v>
      </c>
      <c r="C315" s="14">
        <f>(B315/B$359)*100</f>
        <v>0</v>
      </c>
      <c r="D315" s="722">
        <f>SQRT((D289^2)+(D297^2)+(D305^2)+(D313^2))</f>
        <v>0</v>
      </c>
      <c r="E315" s="714">
        <f t="shared" ref="E315" si="63">E289+E297+E305+E313</f>
        <v>0</v>
      </c>
      <c r="F315" s="14">
        <f t="shared" ref="F315" si="64">(E315/E$359)*100</f>
        <v>0</v>
      </c>
      <c r="G315" s="722">
        <f t="shared" ref="G315" si="65">SQRT((G289^2)+(G297^2)+(G305^2)+(G313^2))</f>
        <v>0</v>
      </c>
      <c r="H315" s="211">
        <f t="shared" ref="H315" si="66">H289+H297+H305+H313</f>
        <v>0</v>
      </c>
      <c r="I315" s="14">
        <f t="shared" ref="I315" si="67">(H315/H$359)*100</f>
        <v>0</v>
      </c>
      <c r="J315" s="212">
        <f t="shared" ref="J315" si="68">SQRT((J289^2)+(J297^2)+(J305^2)+(J313^2))</f>
        <v>0</v>
      </c>
      <c r="K315" s="211">
        <f t="shared" ref="K315" si="69">K289+K297+K305+K313</f>
        <v>0</v>
      </c>
      <c r="L315" s="14">
        <f t="shared" ref="L315" si="70">(K315/K$359)*100</f>
        <v>0</v>
      </c>
      <c r="M315" s="212">
        <f t="shared" ref="M315" si="71">SQRT((M289^2)+(M297^2)+(M305^2)+(M313^2))</f>
        <v>0</v>
      </c>
      <c r="N315" s="714">
        <f t="shared" ref="N315" si="72">N289+N297+N305+N313</f>
        <v>0</v>
      </c>
      <c r="O315" s="14">
        <f t="shared" ref="O315" si="73">(N315/N$359)*100</f>
        <v>0</v>
      </c>
      <c r="P315" s="722">
        <f t="shared" ref="P315" si="74">SQRT((P289^2)+(P297^2)+(P305^2)+(P313^2))</f>
        <v>0</v>
      </c>
      <c r="Q315" s="29"/>
    </row>
    <row r="316" spans="1:17" x14ac:dyDescent="0.25">
      <c r="B316" s="712"/>
      <c r="D316" s="718"/>
      <c r="E316" s="712"/>
      <c r="G316" s="718"/>
      <c r="H316" s="30"/>
      <c r="J316" s="708"/>
      <c r="K316" s="30"/>
      <c r="M316" s="708"/>
      <c r="N316" s="712"/>
      <c r="P316" s="718"/>
      <c r="Q316" s="29"/>
    </row>
    <row r="317" spans="1:17" x14ac:dyDescent="0.25">
      <c r="A317" s="384" t="s">
        <v>890</v>
      </c>
      <c r="B317" s="712"/>
      <c r="D317" s="718"/>
      <c r="E317" s="712"/>
      <c r="G317" s="718"/>
      <c r="H317" s="30"/>
      <c r="J317" s="708"/>
      <c r="K317" s="30"/>
      <c r="M317" s="708"/>
      <c r="N317" s="712"/>
      <c r="P317" s="718"/>
      <c r="Q317" s="29"/>
    </row>
    <row r="318" spans="1:17" x14ac:dyDescent="0.25">
      <c r="B318" s="712"/>
      <c r="D318" s="718"/>
      <c r="E318" s="712"/>
      <c r="G318" s="718"/>
      <c r="H318" s="30"/>
      <c r="J318" s="708"/>
      <c r="K318" s="30"/>
      <c r="M318" s="708"/>
      <c r="N318" s="712"/>
      <c r="P318" s="718"/>
      <c r="Q318" s="29"/>
    </row>
    <row r="319" spans="1:17" x14ac:dyDescent="0.25">
      <c r="A319" s="150" t="str">
        <f>RoadTransportEthanolStage3!A42</f>
        <v xml:space="preserve"> - Diesel Fuel</v>
      </c>
      <c r="B319" s="715">
        <f>(Unitflowchart!$S$336/Unitflowchart!$S$357)*RoadTransportEthanolStage3!J42*Unitflowchart!$S$345</f>
        <v>0</v>
      </c>
      <c r="C319" s="25">
        <f>(B319/B$359)*100</f>
        <v>0</v>
      </c>
      <c r="D319" s="481">
        <f>(Unitflowchart!$S$336/Unitflowchart!$S$357)*RoadTransportEthanolStage3!K42*Unitflowchart!$S$345</f>
        <v>0</v>
      </c>
      <c r="E319" s="715">
        <f>(Unitflowchart!$S$336/Unitflowchart!$S$357)*RoadTransportEthanolStage3!P42*Unitflowchart!$S$345</f>
        <v>0</v>
      </c>
      <c r="F319" s="25">
        <f>(E319/E$359)*100</f>
        <v>0</v>
      </c>
      <c r="G319" s="481">
        <f>(Unitflowchart!$S$336/Unitflowchart!$S$357)*RoadTransportEthanolStage3!Q42*Unitflowchart!$S$345</f>
        <v>0</v>
      </c>
      <c r="H319" s="730">
        <f>(Unitflowchart!$S$336/Unitflowchart!$S$357)*RoadTransportEthanolStage3!V42*Unitflowchart!$S$345</f>
        <v>0</v>
      </c>
      <c r="I319" s="25">
        <f>(H319/H$359)*100</f>
        <v>0</v>
      </c>
      <c r="J319" s="733">
        <f>(Unitflowchart!$S$336/Unitflowchart!$S$357)*RoadTransportEthanolStage3!W42*Unitflowchart!$S$345</f>
        <v>0</v>
      </c>
      <c r="K319" s="730">
        <f>(Unitflowchart!$S$336/Unitflowchart!$S$357)*RoadTransportEthanolStage3!AB42*Unitflowchart!$S$345</f>
        <v>0</v>
      </c>
      <c r="L319" s="25">
        <f>(K319/K$359)*100</f>
        <v>0</v>
      </c>
      <c r="M319" s="732">
        <f>(Unitflowchart!$S$336/Unitflowchart!$S$357)*RoadTransportEthanolStage3!AC42*Unitflowchart!$S$345</f>
        <v>0</v>
      </c>
      <c r="N319" s="711">
        <f>E319+(GlobalWarmingPotentials!$B$11*H319)+(GlobalWarmingPotentials!$C$11*K319)</f>
        <v>0</v>
      </c>
      <c r="O319" s="25">
        <f>(N319/N$359)*100</f>
        <v>0</v>
      </c>
      <c r="P319" s="740">
        <f>SQRT((G319^2)+((GlobalWarmingPotentials!$B$11*J319)^2)+((GlobalWarmingPotentials!$C$11*M319)^2))</f>
        <v>0</v>
      </c>
      <c r="Q319" s="29"/>
    </row>
    <row r="320" spans="1:17" x14ac:dyDescent="0.25">
      <c r="A320" s="13" t="str">
        <f>RoadTransportEthanolStage3!A43</f>
        <v xml:space="preserve"> - Vehicle</v>
      </c>
      <c r="B320" s="715">
        <f>(Unitflowchart!$S$336/Unitflowchart!$S$357)*RoadTransportEthanolStage3!J43*Unitflowchart!$S$345</f>
        <v>0</v>
      </c>
      <c r="C320" s="25">
        <f>(B320/B$359)*100</f>
        <v>0</v>
      </c>
      <c r="D320" s="481">
        <f>(Unitflowchart!$S$336/Unitflowchart!$S$357)*RoadTransportEthanolStage3!K43*Unitflowchart!$S$345</f>
        <v>0</v>
      </c>
      <c r="E320" s="715">
        <f>(Unitflowchart!$S$336/Unitflowchart!$S$357)*RoadTransportEthanolStage3!P43*Unitflowchart!$S$345</f>
        <v>0</v>
      </c>
      <c r="F320" s="25">
        <f>(E320/E$359)*100</f>
        <v>0</v>
      </c>
      <c r="G320" s="481">
        <f>(Unitflowchart!$S$336/Unitflowchart!$S$357)*RoadTransportEthanolStage3!Q43*Unitflowchart!$S$345</f>
        <v>0</v>
      </c>
      <c r="H320" s="730">
        <f>(Unitflowchart!$S$336/Unitflowchart!$S$357)*RoadTransportEthanolStage3!V43*Unitflowchart!$S$345</f>
        <v>0</v>
      </c>
      <c r="I320" s="25">
        <f>(H320/H$359)*100</f>
        <v>0</v>
      </c>
      <c r="J320" s="733">
        <f>(Unitflowchart!$S$336/Unitflowchart!$S$357)*RoadTransportEthanolStage3!W43*Unitflowchart!$S$345</f>
        <v>0</v>
      </c>
      <c r="K320" s="730">
        <f>(Unitflowchart!$S$336/Unitflowchart!$S$357)*RoadTransportEthanolStage3!AB43*Unitflowchart!$S$345</f>
        <v>0</v>
      </c>
      <c r="L320" s="25">
        <f>(K320/K$359)*100</f>
        <v>0</v>
      </c>
      <c r="M320" s="732">
        <f>(Unitflowchart!$S$336/Unitflowchart!$S$357)*RoadTransportEthanolStage3!AC43*Unitflowchart!$S$345</f>
        <v>0</v>
      </c>
      <c r="N320" s="711">
        <f>E320+(GlobalWarmingPotentials!$B$11*H320)+(GlobalWarmingPotentials!$C$11*K320)</f>
        <v>0</v>
      </c>
      <c r="O320" s="25">
        <f t="shared" ref="O320:O321" si="75">(N320/N$359)*100</f>
        <v>0</v>
      </c>
      <c r="P320" s="740">
        <f>SQRT((G320^2)+((GlobalWarmingPotentials!$B$11*J320)^2)+((GlobalWarmingPotentials!$C$11*M320)^2))</f>
        <v>0</v>
      </c>
      <c r="Q320" s="29"/>
    </row>
    <row r="321" spans="1:17" x14ac:dyDescent="0.25">
      <c r="A321" s="13" t="str">
        <f>RoadTransportEthanolStage3!A44</f>
        <v xml:space="preserve"> - Maintenance</v>
      </c>
      <c r="B321" s="715">
        <f>(Unitflowchart!$S$336/Unitflowchart!$S$357)*RoadTransportEthanolStage3!J44*Unitflowchart!$S$345</f>
        <v>0</v>
      </c>
      <c r="C321" s="25">
        <f>(B321/B$359)*100</f>
        <v>0</v>
      </c>
      <c r="D321" s="481">
        <f>(Unitflowchart!$S$336/Unitflowchart!$S$357)*RoadTransportEthanolStage3!K44*Unitflowchart!$S$345</f>
        <v>0</v>
      </c>
      <c r="E321" s="715">
        <f>(Unitflowchart!$S$336/Unitflowchart!$S$357)*RoadTransportEthanolStage3!P44*Unitflowchart!$S$345</f>
        <v>0</v>
      </c>
      <c r="F321" s="25">
        <f>(E321/E$359)*100</f>
        <v>0</v>
      </c>
      <c r="G321" s="481">
        <f>(Unitflowchart!$S$336/Unitflowchart!$S$357)*RoadTransportEthanolStage3!Q44*Unitflowchart!$S$345</f>
        <v>0</v>
      </c>
      <c r="H321" s="730">
        <f>(Unitflowchart!$S$336/Unitflowchart!$S$357)*RoadTransportEthanolStage3!V44*Unitflowchart!$S$345</f>
        <v>0</v>
      </c>
      <c r="I321" s="25">
        <f>(H321/H$359)*100</f>
        <v>0</v>
      </c>
      <c r="J321" s="733">
        <f>(Unitflowchart!$S$336/Unitflowchart!$S$357)*RoadTransportEthanolStage3!W44*Unitflowchart!$S$345</f>
        <v>0</v>
      </c>
      <c r="K321" s="730">
        <f>(Unitflowchart!$S$336/Unitflowchart!$S$357)*RoadTransportEthanolStage3!AB44*Unitflowchart!$S$345</f>
        <v>0</v>
      </c>
      <c r="L321" s="25">
        <f>(K321/K$359)*100</f>
        <v>0</v>
      </c>
      <c r="M321" s="732">
        <f>(Unitflowchart!$S$336/Unitflowchart!$S$357)*RoadTransportEthanolStage3!AC44*Unitflowchart!$S$345</f>
        <v>0</v>
      </c>
      <c r="N321" s="711">
        <f>E321+(GlobalWarmingPotentials!$B$11*H321)+(GlobalWarmingPotentials!$C$11*K321)</f>
        <v>0</v>
      </c>
      <c r="O321" s="25">
        <f t="shared" si="75"/>
        <v>0</v>
      </c>
      <c r="P321" s="740">
        <f>SQRT((G321^2)+((GlobalWarmingPotentials!$B$11*J321)^2)+((GlobalWarmingPotentials!$C$11*M321)^2))</f>
        <v>0</v>
      </c>
      <c r="Q321" s="29"/>
    </row>
    <row r="322" spans="1:17" s="42" customFormat="1" x14ac:dyDescent="0.25">
      <c r="B322" s="746"/>
      <c r="C322" s="863"/>
      <c r="D322" s="759"/>
      <c r="E322" s="746"/>
      <c r="F322" s="863"/>
      <c r="G322" s="759"/>
      <c r="H322" s="763"/>
      <c r="I322" s="863"/>
      <c r="J322" s="806"/>
      <c r="K322" s="763"/>
      <c r="L322" s="863"/>
      <c r="M322" s="764"/>
      <c r="N322" s="713"/>
      <c r="O322" s="152"/>
      <c r="P322" s="209"/>
      <c r="Q322" s="823"/>
    </row>
    <row r="323" spans="1:17" x14ac:dyDescent="0.25">
      <c r="A323" s="214" t="s">
        <v>893</v>
      </c>
      <c r="B323" s="714">
        <f>(Unitflowchart!$S$336/Unitflowchart!$S$357)*RoadTransportEthanolStage3!J46*Unitflowchart!$S$345</f>
        <v>0</v>
      </c>
      <c r="C323" s="14">
        <f>(B323/B$359)*100</f>
        <v>0</v>
      </c>
      <c r="D323" s="722">
        <f>(Unitflowchart!$S$336/Unitflowchart!$S$357)*RoadTransportEthanolStage3!K46*Unitflowchart!$S$345</f>
        <v>0</v>
      </c>
      <c r="E323" s="714">
        <f>(Unitflowchart!$S$336/Unitflowchart!$S$357)*RoadTransportEthanolStage3!P46*Unitflowchart!$S$345</f>
        <v>0</v>
      </c>
      <c r="F323" s="14">
        <f>(E323/E$359)*100</f>
        <v>0</v>
      </c>
      <c r="G323" s="722">
        <f>(Unitflowchart!$S$336/Unitflowchart!$S$357)*RoadTransportEthanolStage3!Q46*Unitflowchart!$S$345</f>
        <v>0</v>
      </c>
      <c r="H323" s="211">
        <f>(Unitflowchart!$S$336/Unitflowchart!$S$357)*RoadTransportEthanolStage3!V46*Unitflowchart!$S$345</f>
        <v>0</v>
      </c>
      <c r="I323" s="14">
        <f>(H323/H$359)*100</f>
        <v>0</v>
      </c>
      <c r="J323" s="728">
        <f>(Unitflowchart!$S$336/Unitflowchart!$S$357)*RoadTransportEthanolStage3!W46*Unitflowchart!$S$345</f>
        <v>0</v>
      </c>
      <c r="K323" s="211">
        <f>(Unitflowchart!$S$336/Unitflowchart!$S$357)*RoadTransportEthanolStage3!AB46*Unitflowchart!$S$345</f>
        <v>0</v>
      </c>
      <c r="L323" s="14">
        <f>(K323/K$359)*100</f>
        <v>0</v>
      </c>
      <c r="M323" s="212">
        <f>(Unitflowchart!$S$336/Unitflowchart!$S$357)*RoadTransportEthanolStage3!AC46*Unitflowchart!$S$345</f>
        <v>0</v>
      </c>
      <c r="N323" s="717">
        <f>E323+(GlobalWarmingPotentials!$B$11*H323)+(GlobalWarmingPotentials!$C$11*K323)</f>
        <v>0</v>
      </c>
      <c r="O323" s="214">
        <f>(N323/N$359)*100</f>
        <v>0</v>
      </c>
      <c r="P323" s="725">
        <f>SQRT((G323^2)+((GlobalWarmingPotentials!$B$11*J323)^2)+((GlobalWarmingPotentials!$C$11*M323)^2))</f>
        <v>0</v>
      </c>
      <c r="Q323" s="29"/>
    </row>
    <row r="324" spans="1:17" x14ac:dyDescent="0.25">
      <c r="B324" s="712"/>
      <c r="D324" s="718"/>
      <c r="E324" s="712"/>
      <c r="G324" s="718"/>
      <c r="H324" s="30"/>
      <c r="J324" s="708"/>
      <c r="K324" s="30"/>
      <c r="M324" s="708"/>
      <c r="N324" s="712"/>
      <c r="P324" s="718"/>
      <c r="Q324" s="29"/>
    </row>
    <row r="325" spans="1:17" x14ac:dyDescent="0.25">
      <c r="A325" s="384" t="s">
        <v>891</v>
      </c>
      <c r="B325" s="712"/>
      <c r="D325" s="718"/>
      <c r="E325" s="712"/>
      <c r="G325" s="718"/>
      <c r="H325" s="30"/>
      <c r="J325" s="708"/>
      <c r="K325" s="30"/>
      <c r="M325" s="708"/>
      <c r="N325" s="712"/>
      <c r="P325" s="718"/>
      <c r="Q325" s="29"/>
    </row>
    <row r="326" spans="1:17" x14ac:dyDescent="0.25">
      <c r="B326" s="712"/>
      <c r="D326" s="718"/>
      <c r="E326" s="712"/>
      <c r="G326" s="718"/>
      <c r="H326" s="30"/>
      <c r="J326" s="708"/>
      <c r="K326" s="30"/>
      <c r="M326" s="708"/>
      <c r="N326" s="712"/>
      <c r="P326" s="718"/>
      <c r="Q326" s="29"/>
    </row>
    <row r="327" spans="1:17" x14ac:dyDescent="0.25">
      <c r="A327" s="13" t="str">
        <f>RailTransport!A11</f>
        <v xml:space="preserve"> - Gas Oil</v>
      </c>
      <c r="B327" s="710">
        <f>(Unitflowchart!$S$336/Unitflowchart!$S$357)*RailTransport!J11*Unitflowchart!$S$347</f>
        <v>0</v>
      </c>
      <c r="C327" s="24">
        <f>(B327/B$359)*100</f>
        <v>0</v>
      </c>
      <c r="D327" s="726">
        <f>(Unitflowchart!$S$336/Unitflowchart!$S$357)*RailTransport!K11*Unitflowchart!$S$347</f>
        <v>0</v>
      </c>
      <c r="E327" s="710">
        <f>(Unitflowchart!$S$336/Unitflowchart!$S$357)*RailTransport!P11*Unitflowchart!$S$347</f>
        <v>0</v>
      </c>
      <c r="F327" s="24">
        <f>(E327/E$359)*100</f>
        <v>0</v>
      </c>
      <c r="G327" s="726">
        <f>(Unitflowchart!$S$336/Unitflowchart!$S$357)*RailTransport!Q11*Unitflowchart!$S$347</f>
        <v>0</v>
      </c>
      <c r="H327" s="707">
        <f>(Unitflowchart!$S$336/Unitflowchart!$S$357)*RailTransport!V11*Unitflowchart!$S$347</f>
        <v>0</v>
      </c>
      <c r="I327" s="24">
        <f>(H327/H$359)*100</f>
        <v>0</v>
      </c>
      <c r="J327" s="709">
        <f>(Unitflowchart!$S$336/Unitflowchart!$S$357)*RailTransport!W11*Unitflowchart!$S$347</f>
        <v>0</v>
      </c>
      <c r="K327" s="707">
        <f>(Unitflowchart!$S$336/Unitflowchart!$S$357)*RailTransport!AB11*Unitflowchart!$S$347</f>
        <v>0</v>
      </c>
      <c r="L327" s="24">
        <f>(K327/K$359)*100</f>
        <v>0</v>
      </c>
      <c r="M327" s="709">
        <f>(Unitflowchart!$S$336/Unitflowchart!$S$357)*RailTransport!AC11*Unitflowchart!$S$347</f>
        <v>0</v>
      </c>
      <c r="N327" s="710">
        <f>E327+(GlobalWarmingPotentials!$B$11*H327)+(GlobalWarmingPotentials!$C$11*K327)</f>
        <v>0</v>
      </c>
      <c r="O327" s="24">
        <f>(N327/N$359)*100</f>
        <v>0</v>
      </c>
      <c r="P327" s="726">
        <f>SQRT((G327^2)+((GlobalWarmingPotentials!$B$11*J327)^2)+((GlobalWarmingPotentials!$C$11*M327)^2))</f>
        <v>0</v>
      </c>
      <c r="Q327" s="29"/>
    </row>
    <row r="328" spans="1:17" x14ac:dyDescent="0.25">
      <c r="A328" s="13" t="str">
        <f>RailTransport!A12</f>
        <v xml:space="preserve"> - Capital Equipment</v>
      </c>
      <c r="B328" s="710">
        <f>(Unitflowchart!$S$336/Unitflowchart!$S$357)*RailTransport!J12*Unitflowchart!$S$347</f>
        <v>0</v>
      </c>
      <c r="C328" s="24">
        <f t="shared" ref="C328:C329" si="76">(B328/B$359)*100</f>
        <v>0</v>
      </c>
      <c r="D328" s="726">
        <f>(Unitflowchart!$S$336/Unitflowchart!$S$357)*RailTransport!K12*Unitflowchart!$S$347</f>
        <v>0</v>
      </c>
      <c r="E328" s="710">
        <f>(Unitflowchart!$S$336/Unitflowchart!$S$357)*RailTransport!P12*Unitflowchart!$S$347</f>
        <v>0</v>
      </c>
      <c r="F328" s="24">
        <f t="shared" ref="F328:F329" si="77">(E328/E$359)*100</f>
        <v>0</v>
      </c>
      <c r="G328" s="726">
        <f>(Unitflowchart!$S$336/Unitflowchart!$S$357)*RailTransport!Q12*Unitflowchart!$S$347</f>
        <v>0</v>
      </c>
      <c r="H328" s="707">
        <f>(Unitflowchart!$S$336/Unitflowchart!$S$357)*RailTransport!V12*Unitflowchart!$S$347</f>
        <v>0</v>
      </c>
      <c r="I328" s="24">
        <f t="shared" ref="I328:I329" si="78">(H328/H$359)*100</f>
        <v>0</v>
      </c>
      <c r="J328" s="709">
        <f>(Unitflowchart!$S$336/Unitflowchart!$S$357)*RailTransport!W12*Unitflowchart!$S$347</f>
        <v>0</v>
      </c>
      <c r="K328" s="707">
        <f>(Unitflowchart!$S$336/Unitflowchart!$S$357)*RailTransport!AB12*Unitflowchart!$S$347</f>
        <v>0</v>
      </c>
      <c r="L328" s="24">
        <f t="shared" ref="L328:L329" si="79">(K328/K$359)*100</f>
        <v>0</v>
      </c>
      <c r="M328" s="709">
        <f>(Unitflowchart!$S$336/Unitflowchart!$S$357)*RailTransport!AC12*Unitflowchart!$S$347</f>
        <v>0</v>
      </c>
      <c r="N328" s="710">
        <f>E328+(GlobalWarmingPotentials!$B$11*H328)+(GlobalWarmingPotentials!$C$11*K328)</f>
        <v>0</v>
      </c>
      <c r="O328" s="24">
        <f t="shared" ref="O328:O329" si="80">(N328/N$359)*100</f>
        <v>0</v>
      </c>
      <c r="P328" s="726">
        <f>SQRT((G328^2)+((GlobalWarmingPotentials!$B$11*J328)^2)+((GlobalWarmingPotentials!$C$11*M328)^2))</f>
        <v>0</v>
      </c>
      <c r="Q328" s="29"/>
    </row>
    <row r="329" spans="1:17" x14ac:dyDescent="0.25">
      <c r="A329" s="13" t="str">
        <f>RailTransport!A13</f>
        <v xml:space="preserve"> - Maintenance</v>
      </c>
      <c r="B329" s="710">
        <f>(Unitflowchart!$S$336/Unitflowchart!$S$357)*RailTransport!J13*Unitflowchart!$S$347</f>
        <v>0</v>
      </c>
      <c r="C329" s="24">
        <f t="shared" si="76"/>
        <v>0</v>
      </c>
      <c r="D329" s="726">
        <f>(Unitflowchart!$S$336/Unitflowchart!$S$357)*RailTransport!K13*Unitflowchart!$S$347</f>
        <v>0</v>
      </c>
      <c r="E329" s="710">
        <f>(Unitflowchart!$S$336/Unitflowchart!$S$357)*RailTransport!P13*Unitflowchart!$S$347</f>
        <v>0</v>
      </c>
      <c r="F329" s="24">
        <f t="shared" si="77"/>
        <v>0</v>
      </c>
      <c r="G329" s="726">
        <f>(Unitflowchart!$S$336/Unitflowchart!$S$357)*RailTransport!Q13*Unitflowchart!$S$347</f>
        <v>0</v>
      </c>
      <c r="H329" s="707">
        <f>(Unitflowchart!$S$336/Unitflowchart!$S$357)*RailTransport!V13*Unitflowchart!$S$347</f>
        <v>0</v>
      </c>
      <c r="I329" s="24">
        <f t="shared" si="78"/>
        <v>0</v>
      </c>
      <c r="J329" s="709">
        <f>(Unitflowchart!$S$336/Unitflowchart!$S$357)*RailTransport!W13*Unitflowchart!$S$347</f>
        <v>0</v>
      </c>
      <c r="K329" s="707">
        <f>(Unitflowchart!$S$336/Unitflowchart!$S$357)*RailTransport!AB13*Unitflowchart!$S$347</f>
        <v>0</v>
      </c>
      <c r="L329" s="24">
        <f t="shared" si="79"/>
        <v>0</v>
      </c>
      <c r="M329" s="709">
        <f>(Unitflowchart!$S$336/Unitflowchart!$S$357)*RailTransport!AC13*Unitflowchart!$S$347</f>
        <v>0</v>
      </c>
      <c r="N329" s="710">
        <f>E329+(GlobalWarmingPotentials!$B$11*H329)+(GlobalWarmingPotentials!$C$11*K329)</f>
        <v>0</v>
      </c>
      <c r="O329" s="24">
        <f t="shared" si="80"/>
        <v>0</v>
      </c>
      <c r="P329" s="726">
        <f>SQRT((G329^2)+((GlobalWarmingPotentials!$B$11*J329)^2)+((GlobalWarmingPotentials!$C$11*M329)^2))</f>
        <v>0</v>
      </c>
      <c r="Q329" s="29"/>
    </row>
    <row r="330" spans="1:17" x14ac:dyDescent="0.25">
      <c r="B330" s="712"/>
      <c r="C330" s="24"/>
      <c r="D330" s="718"/>
      <c r="E330" s="712"/>
      <c r="F330" s="24"/>
      <c r="G330" s="718"/>
      <c r="H330" s="30"/>
      <c r="I330" s="24"/>
      <c r="J330" s="708"/>
      <c r="K330" s="30"/>
      <c r="L330" s="24"/>
      <c r="M330" s="708"/>
      <c r="N330" s="712"/>
      <c r="O330" s="24"/>
      <c r="P330" s="718"/>
      <c r="Q330" s="29"/>
    </row>
    <row r="331" spans="1:17" x14ac:dyDescent="0.25">
      <c r="A331" s="214" t="s">
        <v>892</v>
      </c>
      <c r="B331" s="717">
        <f>(Unitflowchart!$S$336/Unitflowchart!$S$357)*RailTransport!J15*Unitflowchart!$S$347</f>
        <v>0</v>
      </c>
      <c r="C331" s="705">
        <f>(B331/B$359)*100</f>
        <v>0</v>
      </c>
      <c r="D331" s="727">
        <f>(Unitflowchart!$S$336/Unitflowchart!$S$357)*RailTransport!K15*Unitflowchart!$S$347</f>
        <v>0</v>
      </c>
      <c r="E331" s="717">
        <f>(Unitflowchart!$S$336/Unitflowchart!$S$357)*RailTransport!P15*Unitflowchart!$S$347</f>
        <v>0</v>
      </c>
      <c r="F331" s="705">
        <f>(E331/E$359)*100</f>
        <v>0</v>
      </c>
      <c r="G331" s="727">
        <f>(Unitflowchart!$S$336/Unitflowchart!$S$357)*RailTransport!Q15*Unitflowchart!$S$347</f>
        <v>0</v>
      </c>
      <c r="H331" s="706">
        <f>(Unitflowchart!$S$336/Unitflowchart!$S$357)*RailTransport!V15*Unitflowchart!$S$347</f>
        <v>0</v>
      </c>
      <c r="I331" s="705">
        <f>(H331/H$359)*100</f>
        <v>0</v>
      </c>
      <c r="J331" s="704">
        <f>(Unitflowchart!$S$336/Unitflowchart!$S$357)*RailTransport!W15*Unitflowchart!$S$347</f>
        <v>0</v>
      </c>
      <c r="K331" s="706">
        <f>(Unitflowchart!$S$336/Unitflowchart!$S$357)*RailTransport!AB15*Unitflowchart!$S$347</f>
        <v>0</v>
      </c>
      <c r="L331" s="705">
        <f>(K331/K$359)*100</f>
        <v>0</v>
      </c>
      <c r="M331" s="704">
        <f>(Unitflowchart!$S$336/Unitflowchart!$S$357)*RailTransport!AC15*Unitflowchart!$S$347</f>
        <v>0</v>
      </c>
      <c r="N331" s="717">
        <f>E331+(GlobalWarmingPotentials!$B$11*H331)+(GlobalWarmingPotentials!$C$11*K331)</f>
        <v>0</v>
      </c>
      <c r="O331" s="705">
        <f>(N331/N$359)*100</f>
        <v>0</v>
      </c>
      <c r="P331" s="725">
        <f>SQRT((G331^2)+((GlobalWarmingPotentials!$B$11*J331)^2)+((GlobalWarmingPotentials!$C$11*M331)^2))</f>
        <v>0</v>
      </c>
      <c r="Q331" s="29"/>
    </row>
    <row r="332" spans="1:17" x14ac:dyDescent="0.25">
      <c r="B332" s="712"/>
      <c r="D332" s="718"/>
      <c r="E332" s="712"/>
      <c r="G332" s="718"/>
      <c r="H332" s="30"/>
      <c r="J332" s="708"/>
      <c r="K332" s="30"/>
      <c r="M332" s="708"/>
      <c r="N332" s="712"/>
      <c r="P332" s="718"/>
      <c r="Q332" s="29"/>
    </row>
    <row r="333" spans="1:17" x14ac:dyDescent="0.25">
      <c r="A333" s="384" t="s">
        <v>894</v>
      </c>
      <c r="B333" s="712"/>
      <c r="D333" s="718"/>
      <c r="E333" s="712"/>
      <c r="G333" s="718"/>
      <c r="H333" s="30"/>
      <c r="J333" s="708"/>
      <c r="K333" s="30"/>
      <c r="M333" s="708"/>
      <c r="N333" s="712"/>
      <c r="P333" s="718"/>
      <c r="Q333" s="29"/>
    </row>
    <row r="334" spans="1:17" x14ac:dyDescent="0.25">
      <c r="B334" s="712"/>
      <c r="D334" s="718"/>
      <c r="E334" s="712"/>
      <c r="G334" s="718"/>
      <c r="H334" s="30"/>
      <c r="J334" s="708"/>
      <c r="K334" s="30"/>
      <c r="M334" s="708"/>
      <c r="N334" s="712"/>
      <c r="P334" s="718"/>
      <c r="Q334" s="29"/>
    </row>
    <row r="335" spans="1:17" x14ac:dyDescent="0.25">
      <c r="A335" s="13" t="str">
        <f>BargeTransport!A11</f>
        <v xml:space="preserve"> - Marine Diesel</v>
      </c>
      <c r="B335" s="710">
        <f>(Unitflowchart!$S$336/Unitflowchart!$S$357)*BargeTransport!J11*Unitflowchart!$S$349</f>
        <v>0</v>
      </c>
      <c r="C335" s="24">
        <f>(B335/B$359)*100</f>
        <v>0</v>
      </c>
      <c r="D335" s="726">
        <f>(Unitflowchart!$S$336/Unitflowchart!$S$357)*BargeTransport!K11*Unitflowchart!$S$349</f>
        <v>0</v>
      </c>
      <c r="E335" s="710">
        <f>(Unitflowchart!$S$336/Unitflowchart!$S$357)*BargeTransport!P11*Unitflowchart!$S$349</f>
        <v>0</v>
      </c>
      <c r="F335" s="24">
        <f>(E335/E$359)*100</f>
        <v>0</v>
      </c>
      <c r="G335" s="726">
        <f>(Unitflowchart!$S$336/Unitflowchart!$S$357)*BargeTransport!Q11*Unitflowchart!$S$349</f>
        <v>0</v>
      </c>
      <c r="H335" s="707">
        <f>(Unitflowchart!$S$336/Unitflowchart!$S$357)*BargeTransport!V11*Unitflowchart!$S$349</f>
        <v>0</v>
      </c>
      <c r="I335" s="24">
        <f>(H335/H$359)*100</f>
        <v>0</v>
      </c>
      <c r="J335" s="709">
        <f>(Unitflowchart!$S$336/Unitflowchart!$S$357)*BargeTransport!W11*Unitflowchart!$S$349</f>
        <v>0</v>
      </c>
      <c r="K335" s="707">
        <f>(Unitflowchart!$S$336/Unitflowchart!$S$357)*BargeTransport!AB11*Unitflowchart!$S$349</f>
        <v>0</v>
      </c>
      <c r="L335" s="24">
        <f>(K335/K$359)*100</f>
        <v>0</v>
      </c>
      <c r="M335" s="709">
        <f>(Unitflowchart!$S$336/Unitflowchart!$S$357)*BargeTransport!AC11*Unitflowchart!$S$349</f>
        <v>0</v>
      </c>
      <c r="N335" s="710">
        <f>E335+(GlobalWarmingPotentials!$B$11*H335)+(GlobalWarmingPotentials!$C$11*K335)</f>
        <v>0</v>
      </c>
      <c r="O335" s="24">
        <f>(N335/N$359)*100</f>
        <v>0</v>
      </c>
      <c r="P335" s="726">
        <f>SQRT((G335^2)+((GlobalWarmingPotentials!$B$11*J335)^2)+((GlobalWarmingPotentials!$C$11*M335)^2))</f>
        <v>0</v>
      </c>
      <c r="Q335" s="29"/>
    </row>
    <row r="336" spans="1:17" x14ac:dyDescent="0.25">
      <c r="A336" s="13" t="str">
        <f>BargeTransport!A12</f>
        <v xml:space="preserve"> - Barge Construction</v>
      </c>
      <c r="B336" s="710">
        <f>(Unitflowchart!$S$336/Unitflowchart!$S$357)*BargeTransport!J12*Unitflowchart!$S$349</f>
        <v>0</v>
      </c>
      <c r="C336" s="24">
        <f t="shared" ref="C336:C337" si="81">(B336/B$359)*100</f>
        <v>0</v>
      </c>
      <c r="D336" s="726">
        <f>(Unitflowchart!$S$336/Unitflowchart!$S$357)*BargeTransport!K12*Unitflowchart!$S$349</f>
        <v>0</v>
      </c>
      <c r="E336" s="710">
        <f>(Unitflowchart!$S$336/Unitflowchart!$S$357)*BargeTransport!P12*Unitflowchart!$S$349</f>
        <v>0</v>
      </c>
      <c r="F336" s="24">
        <f t="shared" ref="F336:F337" si="82">(E336/E$359)*100</f>
        <v>0</v>
      </c>
      <c r="G336" s="726">
        <f>(Unitflowchart!$S$336/Unitflowchart!$S$357)*BargeTransport!Q12*Unitflowchart!$S$349</f>
        <v>0</v>
      </c>
      <c r="H336" s="707">
        <f>(Unitflowchart!$S$336/Unitflowchart!$S$357)*BargeTransport!V12*Unitflowchart!$S$349</f>
        <v>0</v>
      </c>
      <c r="I336" s="24">
        <f t="shared" ref="I336:I337" si="83">(H336/H$359)*100</f>
        <v>0</v>
      </c>
      <c r="J336" s="709">
        <f>(Unitflowchart!$S$336/Unitflowchart!$S$357)*BargeTransport!W12*Unitflowchart!$S$349</f>
        <v>0</v>
      </c>
      <c r="K336" s="707">
        <f>(Unitflowchart!$S$336/Unitflowchart!$S$357)*BargeTransport!AB12*Unitflowchart!$S$349</f>
        <v>0</v>
      </c>
      <c r="L336" s="24">
        <f t="shared" ref="L336:L337" si="84">(K336/K$359)*100</f>
        <v>0</v>
      </c>
      <c r="M336" s="709">
        <f>(Unitflowchart!$S$336/Unitflowchart!$S$357)*BargeTransport!AC12*Unitflowchart!$S$349</f>
        <v>0</v>
      </c>
      <c r="N336" s="710">
        <f>E336+(GlobalWarmingPotentials!$B$11*H336)+(GlobalWarmingPotentials!$C$11*K336)</f>
        <v>0</v>
      </c>
      <c r="O336" s="24">
        <f t="shared" ref="O336:O337" si="85">(N336/N$359)*100</f>
        <v>0</v>
      </c>
      <c r="P336" s="726">
        <f>SQRT((G336^2)+((GlobalWarmingPotentials!$B$11*J336)^2)+((GlobalWarmingPotentials!$C$11*M336)^2))</f>
        <v>0</v>
      </c>
      <c r="Q336" s="29"/>
    </row>
    <row r="337" spans="1:17" x14ac:dyDescent="0.25">
      <c r="A337" s="13" t="str">
        <f>BargeTransport!A13</f>
        <v xml:space="preserve"> - Barge Maintenance</v>
      </c>
      <c r="B337" s="710">
        <f>(Unitflowchart!$S$336/Unitflowchart!$S$357)*BargeTransport!J13*Unitflowchart!$S$349</f>
        <v>0</v>
      </c>
      <c r="C337" s="24">
        <f t="shared" si="81"/>
        <v>0</v>
      </c>
      <c r="D337" s="726">
        <f>(Unitflowchart!$S$336/Unitflowchart!$S$357)*BargeTransport!K13*Unitflowchart!$S$349</f>
        <v>0</v>
      </c>
      <c r="E337" s="710">
        <f>(Unitflowchart!$S$336/Unitflowchart!$S$357)*BargeTransport!P13*Unitflowchart!$S$349</f>
        <v>0</v>
      </c>
      <c r="F337" s="24">
        <f t="shared" si="82"/>
        <v>0</v>
      </c>
      <c r="G337" s="726">
        <f>(Unitflowchart!$S$336/Unitflowchart!$S$357)*BargeTransport!Q13*Unitflowchart!$S$349</f>
        <v>0</v>
      </c>
      <c r="H337" s="707">
        <f>(Unitflowchart!$S$336/Unitflowchart!$S$357)*BargeTransport!V13*Unitflowchart!$S$349</f>
        <v>0</v>
      </c>
      <c r="I337" s="24">
        <f t="shared" si="83"/>
        <v>0</v>
      </c>
      <c r="J337" s="709">
        <f>(Unitflowchart!$S$336/Unitflowchart!$S$357)*BargeTransport!W13*Unitflowchart!$S$349</f>
        <v>0</v>
      </c>
      <c r="K337" s="707">
        <f>(Unitflowchart!$S$336/Unitflowchart!$S$357)*BargeTransport!AB13*Unitflowchart!$S$349</f>
        <v>0</v>
      </c>
      <c r="L337" s="24">
        <f t="shared" si="84"/>
        <v>0</v>
      </c>
      <c r="M337" s="709">
        <f>(Unitflowchart!$S$336/Unitflowchart!$S$357)*BargeTransport!AC13*Unitflowchart!$S$349</f>
        <v>0</v>
      </c>
      <c r="N337" s="710">
        <f>E337+(GlobalWarmingPotentials!$B$11*H337)+(GlobalWarmingPotentials!$C$11*K337)</f>
        <v>0</v>
      </c>
      <c r="O337" s="24">
        <f t="shared" si="85"/>
        <v>0</v>
      </c>
      <c r="P337" s="726">
        <f>SQRT((G337^2)+((GlobalWarmingPotentials!$B$11*J337)^2)+((GlobalWarmingPotentials!$C$11*M337)^2))</f>
        <v>0</v>
      </c>
      <c r="Q337" s="29"/>
    </row>
    <row r="338" spans="1:17" x14ac:dyDescent="0.25">
      <c r="B338" s="712"/>
      <c r="D338" s="718"/>
      <c r="E338" s="712"/>
      <c r="G338" s="718"/>
      <c r="H338" s="30"/>
      <c r="J338" s="708"/>
      <c r="K338" s="30"/>
      <c r="M338" s="708"/>
      <c r="N338" s="712"/>
      <c r="P338" s="718"/>
      <c r="Q338" s="29"/>
    </row>
    <row r="339" spans="1:17" x14ac:dyDescent="0.25">
      <c r="A339" s="214" t="s">
        <v>895</v>
      </c>
      <c r="B339" s="717">
        <f>(Unitflowchart!$S$336/Unitflowchart!$S$357)*BargeTransport!J15*Unitflowchart!$S$349</f>
        <v>0</v>
      </c>
      <c r="C339" s="705">
        <f>(B339/B$359)*100</f>
        <v>0</v>
      </c>
      <c r="D339" s="727">
        <f>(Unitflowchart!$S$336/Unitflowchart!$S$357)*BargeTransport!K15*Unitflowchart!$S$349</f>
        <v>0</v>
      </c>
      <c r="E339" s="717">
        <f>(Unitflowchart!$S$336/Unitflowchart!$S$357)*BargeTransport!P15*Unitflowchart!$S$349</f>
        <v>0</v>
      </c>
      <c r="F339" s="705">
        <f>(E339/E$359)*100</f>
        <v>0</v>
      </c>
      <c r="G339" s="727">
        <f>(Unitflowchart!$S$336/Unitflowchart!$S$357)*BargeTransport!Q15*Unitflowchart!$S$349</f>
        <v>0</v>
      </c>
      <c r="H339" s="706">
        <f>(Unitflowchart!$S$336/Unitflowchart!$S$357)*BargeTransport!V15*Unitflowchart!$S$349</f>
        <v>0</v>
      </c>
      <c r="I339" s="705">
        <f>(H339/H$359)*100</f>
        <v>0</v>
      </c>
      <c r="J339" s="704">
        <f>(Unitflowchart!$S$336/Unitflowchart!$S$357)*BargeTransport!W15*Unitflowchart!$S$349</f>
        <v>0</v>
      </c>
      <c r="K339" s="706">
        <f>(Unitflowchart!$S$336/Unitflowchart!$S$357)*BargeTransport!AB15*Unitflowchart!$S$349</f>
        <v>0</v>
      </c>
      <c r="L339" s="705">
        <f>(K339/K$359)*100</f>
        <v>0</v>
      </c>
      <c r="M339" s="704">
        <f>(Unitflowchart!$S$336/Unitflowchart!$S$357)*BargeTransport!AC15*Unitflowchart!$S$349</f>
        <v>0</v>
      </c>
      <c r="N339" s="717">
        <f>E339+(GlobalWarmingPotentials!$B$11*H339)+(GlobalWarmingPotentials!$C$11*K339)</f>
        <v>0</v>
      </c>
      <c r="O339" s="705">
        <f>(N339/N$359)*100</f>
        <v>0</v>
      </c>
      <c r="P339" s="725">
        <f>SQRT((G339^2)+((GlobalWarmingPotentials!$B$11*J339)^2)+((GlobalWarmingPotentials!$C$11*M339)^2))</f>
        <v>0</v>
      </c>
      <c r="Q339" s="29"/>
    </row>
    <row r="340" spans="1:17" x14ac:dyDescent="0.25">
      <c r="B340" s="712"/>
      <c r="D340" s="718"/>
      <c r="E340" s="712"/>
      <c r="G340" s="718"/>
      <c r="H340" s="30"/>
      <c r="J340" s="708"/>
      <c r="K340" s="30"/>
      <c r="M340" s="708"/>
      <c r="N340" s="712"/>
      <c r="P340" s="718"/>
      <c r="Q340" s="29"/>
    </row>
    <row r="341" spans="1:17" x14ac:dyDescent="0.25">
      <c r="A341" s="384" t="s">
        <v>896</v>
      </c>
      <c r="B341" s="712"/>
      <c r="D341" s="718"/>
      <c r="E341" s="712"/>
      <c r="G341" s="718"/>
      <c r="H341" s="30"/>
      <c r="J341" s="708"/>
      <c r="K341" s="30"/>
      <c r="M341" s="708"/>
      <c r="N341" s="712"/>
      <c r="P341" s="718"/>
      <c r="Q341" s="29"/>
    </row>
    <row r="342" spans="1:17" x14ac:dyDescent="0.25">
      <c r="B342" s="712"/>
      <c r="D342" s="718"/>
      <c r="E342" s="712"/>
      <c r="G342" s="718"/>
      <c r="H342" s="30"/>
      <c r="J342" s="708"/>
      <c r="K342" s="30"/>
      <c r="M342" s="708"/>
      <c r="N342" s="712"/>
      <c r="P342" s="718"/>
      <c r="Q342" s="29"/>
    </row>
    <row r="343" spans="1:17" x14ac:dyDescent="0.25">
      <c r="A343" s="13" t="str">
        <f>ShipTransport!A11</f>
        <v xml:space="preserve"> - Marine Diesel</v>
      </c>
      <c r="B343" s="710">
        <f>(Unitflowchart!$S$336/Unitflowchart!$S$357)*ShipTransport!J11*Unitflowchart!$S$351</f>
        <v>0</v>
      </c>
      <c r="C343" s="24">
        <f>(B343/B$359)*100</f>
        <v>0</v>
      </c>
      <c r="D343" s="726">
        <f>(Unitflowchart!$S$336/Unitflowchart!$S$357)*ShipTransport!K11*Unitflowchart!$S$351</f>
        <v>0</v>
      </c>
      <c r="E343" s="710">
        <f>(Unitflowchart!$S$336/Unitflowchart!$S$357)*ShipTransport!P11*Unitflowchart!$S$351</f>
        <v>0</v>
      </c>
      <c r="F343" s="24">
        <f>(E343/E$359)*100</f>
        <v>0</v>
      </c>
      <c r="G343" s="726">
        <f>(Unitflowchart!$S$336/Unitflowchart!$S$357)*ShipTransport!Q11*Unitflowchart!$S$351</f>
        <v>0</v>
      </c>
      <c r="H343" s="707">
        <f>(Unitflowchart!$S$336/Unitflowchart!$S$357)*ShipTransport!V11*Unitflowchart!$S$351</f>
        <v>0</v>
      </c>
      <c r="I343" s="24">
        <f>(H343/H$359)*100</f>
        <v>0</v>
      </c>
      <c r="J343" s="709">
        <f>(Unitflowchart!$S$336/Unitflowchart!$S$357)*ShipTransport!W11*Unitflowchart!$S$351</f>
        <v>0</v>
      </c>
      <c r="K343" s="707">
        <f>(Unitflowchart!$S$336/Unitflowchart!$S$357)*ShipTransport!AB11*Unitflowchart!$S$351</f>
        <v>0</v>
      </c>
      <c r="L343" s="24">
        <f>(K343/K$359)*100</f>
        <v>0</v>
      </c>
      <c r="M343" s="709">
        <f>(Unitflowchart!$S$336/Unitflowchart!$S$357)*ShipTransport!AC11*Unitflowchart!$S$351</f>
        <v>0</v>
      </c>
      <c r="N343" s="710">
        <f>E343+(GlobalWarmingPotentials!$B$11*H343)+(GlobalWarmingPotentials!$C$11*K343)</f>
        <v>0</v>
      </c>
      <c r="O343" s="24">
        <f>(N343/N$359)*100</f>
        <v>0</v>
      </c>
      <c r="P343" s="726">
        <f>SQRT((G343^2)+((GlobalWarmingPotentials!$B$11*J343)^2)+((GlobalWarmingPotentials!$C$11*M343)^2))</f>
        <v>0</v>
      </c>
      <c r="Q343" s="29"/>
    </row>
    <row r="344" spans="1:17" x14ac:dyDescent="0.25">
      <c r="A344" s="13" t="str">
        <f>ShipTransport!A12</f>
        <v xml:space="preserve"> - Ship Construction</v>
      </c>
      <c r="B344" s="710">
        <f>(Unitflowchart!$S$336/Unitflowchart!$S$357)*ShipTransport!J12*Unitflowchart!$S$351</f>
        <v>0</v>
      </c>
      <c r="C344" s="24">
        <f t="shared" ref="C344:C345" si="86">(B344/B$359)*100</f>
        <v>0</v>
      </c>
      <c r="D344" s="726">
        <f>(Unitflowchart!$S$336/Unitflowchart!$S$357)*ShipTransport!K12*Unitflowchart!$S$351</f>
        <v>0</v>
      </c>
      <c r="E344" s="710">
        <f>(Unitflowchart!$S$336/Unitflowchart!$S$357)*ShipTransport!P12*Unitflowchart!$S$351</f>
        <v>0</v>
      </c>
      <c r="F344" s="24">
        <f t="shared" ref="F344:F345" si="87">(E344/E$359)*100</f>
        <v>0</v>
      </c>
      <c r="G344" s="726">
        <f>(Unitflowchart!$S$336/Unitflowchart!$S$357)*ShipTransport!Q12*Unitflowchart!$S$351</f>
        <v>0</v>
      </c>
      <c r="H344" s="707">
        <f>(Unitflowchart!$S$336/Unitflowchart!$S$357)*ShipTransport!V12*Unitflowchart!$S$351</f>
        <v>0</v>
      </c>
      <c r="I344" s="24">
        <f t="shared" ref="I344:I345" si="88">(H344/H$359)*100</f>
        <v>0</v>
      </c>
      <c r="J344" s="709">
        <f>(Unitflowchart!$S$336/Unitflowchart!$S$357)*ShipTransport!W12*Unitflowchart!$S$351</f>
        <v>0</v>
      </c>
      <c r="K344" s="707">
        <f>(Unitflowchart!$S$336/Unitflowchart!$S$357)*ShipTransport!AB12*Unitflowchart!$S$351</f>
        <v>0</v>
      </c>
      <c r="L344" s="24">
        <f t="shared" ref="L344:L345" si="89">(K344/K$359)*100</f>
        <v>0</v>
      </c>
      <c r="M344" s="709">
        <f>(Unitflowchart!$S$336/Unitflowchart!$S$357)*ShipTransport!AC12*Unitflowchart!$S$351</f>
        <v>0</v>
      </c>
      <c r="N344" s="710">
        <f>E344+(GlobalWarmingPotentials!$B$11*H344)+(GlobalWarmingPotentials!$C$11*K344)</f>
        <v>0</v>
      </c>
      <c r="O344" s="24">
        <f t="shared" ref="O344:O345" si="90">(N344/N$359)*100</f>
        <v>0</v>
      </c>
      <c r="P344" s="726">
        <f>SQRT((G344^2)+((GlobalWarmingPotentials!$B$11*J344)^2)+((GlobalWarmingPotentials!$C$11*M344)^2))</f>
        <v>0</v>
      </c>
      <c r="Q344" s="29"/>
    </row>
    <row r="345" spans="1:17" x14ac:dyDescent="0.25">
      <c r="A345" s="13" t="str">
        <f>ShipTransport!A13</f>
        <v xml:space="preserve"> - Ship Maintenance</v>
      </c>
      <c r="B345" s="710">
        <f>(Unitflowchart!$S$336/Unitflowchart!$S$357)*ShipTransport!J13*Unitflowchart!$S$351</f>
        <v>0</v>
      </c>
      <c r="C345" s="24">
        <f t="shared" si="86"/>
        <v>0</v>
      </c>
      <c r="D345" s="726">
        <f>(Unitflowchart!$S$336/Unitflowchart!$S$357)*ShipTransport!K13*Unitflowchart!$S$351</f>
        <v>0</v>
      </c>
      <c r="E345" s="710">
        <f>(Unitflowchart!$S$336/Unitflowchart!$S$357)*ShipTransport!P13*Unitflowchart!$S$351</f>
        <v>0</v>
      </c>
      <c r="F345" s="24">
        <f t="shared" si="87"/>
        <v>0</v>
      </c>
      <c r="G345" s="726">
        <f>(Unitflowchart!$S$336/Unitflowchart!$S$357)*ShipTransport!Q13*Unitflowchart!$S$351</f>
        <v>0</v>
      </c>
      <c r="H345" s="707">
        <f>(Unitflowchart!$S$336/Unitflowchart!$S$357)*ShipTransport!V13*Unitflowchart!$S$351</f>
        <v>0</v>
      </c>
      <c r="I345" s="24">
        <f t="shared" si="88"/>
        <v>0</v>
      </c>
      <c r="J345" s="709">
        <f>(Unitflowchart!$S$336/Unitflowchart!$S$357)*ShipTransport!W13*Unitflowchart!$S$351</f>
        <v>0</v>
      </c>
      <c r="K345" s="707">
        <f>(Unitflowchart!$S$336/Unitflowchart!$S$357)*ShipTransport!AB13*Unitflowchart!$S$351</f>
        <v>0</v>
      </c>
      <c r="L345" s="24">
        <f t="shared" si="89"/>
        <v>0</v>
      </c>
      <c r="M345" s="709">
        <f>(Unitflowchart!$S$336/Unitflowchart!$S$357)*ShipTransport!AC13*Unitflowchart!$S$351</f>
        <v>0</v>
      </c>
      <c r="N345" s="710">
        <f>E345+(GlobalWarmingPotentials!$B$11*H345)+(GlobalWarmingPotentials!$C$11*K345)</f>
        <v>0</v>
      </c>
      <c r="O345" s="24">
        <f t="shared" si="90"/>
        <v>0</v>
      </c>
      <c r="P345" s="726">
        <f>SQRT((G345^2)+((GlobalWarmingPotentials!$B$11*J345)^2)+((GlobalWarmingPotentials!$C$11*M345)^2))</f>
        <v>0</v>
      </c>
      <c r="Q345" s="29"/>
    </row>
    <row r="346" spans="1:17" x14ac:dyDescent="0.25">
      <c r="B346" s="712"/>
      <c r="C346" s="24"/>
      <c r="D346" s="718"/>
      <c r="E346" s="712"/>
      <c r="F346" s="24"/>
      <c r="G346" s="718"/>
      <c r="H346" s="30"/>
      <c r="I346" s="24"/>
      <c r="J346" s="708"/>
      <c r="K346" s="30"/>
      <c r="L346" s="24"/>
      <c r="M346" s="708"/>
      <c r="N346" s="712"/>
      <c r="O346" s="24"/>
      <c r="P346" s="718"/>
      <c r="Q346" s="29"/>
    </row>
    <row r="347" spans="1:17" x14ac:dyDescent="0.25">
      <c r="A347" s="214" t="s">
        <v>897</v>
      </c>
      <c r="B347" s="717">
        <f>(Unitflowchart!$S$336/Unitflowchart!$S$357)*ShipTransport!J15*Unitflowchart!$S$351</f>
        <v>0</v>
      </c>
      <c r="C347" s="705">
        <f>(B347/B$359)*100</f>
        <v>0</v>
      </c>
      <c r="D347" s="727">
        <f>(Unitflowchart!$S$336/Unitflowchart!$S$357)*ShipTransport!K15*Unitflowchart!$S$351</f>
        <v>0</v>
      </c>
      <c r="E347" s="717">
        <f>(Unitflowchart!$S$336/Unitflowchart!$S$357)*ShipTransport!P15*Unitflowchart!$S$351</f>
        <v>0</v>
      </c>
      <c r="F347" s="705">
        <f>(E347/E$359)*100</f>
        <v>0</v>
      </c>
      <c r="G347" s="727">
        <f>(Unitflowchart!$S$336/Unitflowchart!$S$357)*ShipTransport!Q15*Unitflowchart!$S$351</f>
        <v>0</v>
      </c>
      <c r="H347" s="706">
        <f>(Unitflowchart!$S$336/Unitflowchart!$S$357)*ShipTransport!V15*Unitflowchart!$S$351</f>
        <v>0</v>
      </c>
      <c r="I347" s="705">
        <f>(H347/H$359)*100</f>
        <v>0</v>
      </c>
      <c r="J347" s="704">
        <f>(Unitflowchart!$S$336/Unitflowchart!$S$357)*ShipTransport!W15*Unitflowchart!$S$351</f>
        <v>0</v>
      </c>
      <c r="K347" s="706">
        <f>(Unitflowchart!$S$336/Unitflowchart!$S$357)*ShipTransport!AB15*Unitflowchart!$S$351</f>
        <v>0</v>
      </c>
      <c r="L347" s="705">
        <f>(K347/K$359)*100</f>
        <v>0</v>
      </c>
      <c r="M347" s="704">
        <f>(Unitflowchart!$S$336/Unitflowchart!$S$357)*ShipTransport!AC15*Unitflowchart!$S$351</f>
        <v>0</v>
      </c>
      <c r="N347" s="717">
        <f>E347+(GlobalWarmingPotentials!$B$11*H347)+(GlobalWarmingPotentials!$C$11*K347)</f>
        <v>0</v>
      </c>
      <c r="O347" s="705">
        <f>(N347/N$359)*100</f>
        <v>0</v>
      </c>
      <c r="P347" s="725">
        <f>SQRT((G347^2)+((GlobalWarmingPotentials!$B$11*J347)^2)+((GlobalWarmingPotentials!$C$11*M347)^2))</f>
        <v>0</v>
      </c>
      <c r="Q347" s="29"/>
    </row>
    <row r="348" spans="1:17" x14ac:dyDescent="0.25">
      <c r="A348" s="22"/>
      <c r="B348" s="712"/>
      <c r="D348" s="718"/>
      <c r="E348" s="712"/>
      <c r="G348" s="718"/>
      <c r="H348" s="30"/>
      <c r="J348" s="708"/>
      <c r="K348" s="30"/>
      <c r="M348" s="708"/>
      <c r="N348" s="712"/>
      <c r="P348" s="718"/>
      <c r="Q348" s="29"/>
    </row>
    <row r="349" spans="1:17" x14ac:dyDescent="0.25">
      <c r="A349" s="214" t="s">
        <v>886</v>
      </c>
      <c r="B349" s="717">
        <f>B323+B331+B339+B347</f>
        <v>0</v>
      </c>
      <c r="C349" s="705">
        <f>(B349/B$359)*100</f>
        <v>0</v>
      </c>
      <c r="D349" s="727">
        <f>SQRT((D323^2)+(D331^2)+(D339^2)+(D347^2))</f>
        <v>0</v>
      </c>
      <c r="E349" s="717">
        <f t="shared" ref="E349" si="91">E323+E331+E339+E347</f>
        <v>0</v>
      </c>
      <c r="F349" s="705">
        <f t="shared" ref="F349" si="92">(E349/E$359)*100</f>
        <v>0</v>
      </c>
      <c r="G349" s="727">
        <f t="shared" ref="G349" si="93">SQRT((G323^2)+(G331^2)+(G339^2)+(G347^2))</f>
        <v>0</v>
      </c>
      <c r="H349" s="706">
        <f t="shared" ref="H349" si="94">H323+H331+H339+H347</f>
        <v>0</v>
      </c>
      <c r="I349" s="705">
        <f t="shared" ref="I349" si="95">(H349/H$359)*100</f>
        <v>0</v>
      </c>
      <c r="J349" s="704">
        <f t="shared" ref="J349" si="96">SQRT((J323^2)+(J331^2)+(J339^2)+(J347^2))</f>
        <v>0</v>
      </c>
      <c r="K349" s="706">
        <f t="shared" ref="K349" si="97">K323+K331+K339+K347</f>
        <v>0</v>
      </c>
      <c r="L349" s="705">
        <f t="shared" ref="L349" si="98">(K349/K$359)*100</f>
        <v>0</v>
      </c>
      <c r="M349" s="704">
        <f t="shared" ref="M349" si="99">SQRT((M323^2)+(M331^2)+(M339^2)+(M347^2))</f>
        <v>0</v>
      </c>
      <c r="N349" s="717">
        <f t="shared" ref="N349" si="100">N323+N331+N339+N347</f>
        <v>0</v>
      </c>
      <c r="O349" s="705">
        <f t="shared" ref="O349" si="101">(N349/N$359)*100</f>
        <v>0</v>
      </c>
      <c r="P349" s="725">
        <f t="shared" ref="P349" si="102">SQRT((P323^2)+(P331^2)+(P339^2)+(P347^2))</f>
        <v>0</v>
      </c>
      <c r="Q349" s="29"/>
    </row>
    <row r="350" spans="1:17" x14ac:dyDescent="0.25">
      <c r="B350" s="712"/>
      <c r="D350" s="718"/>
      <c r="E350" s="712"/>
      <c r="G350" s="718"/>
      <c r="H350" s="30"/>
      <c r="J350" s="708"/>
      <c r="K350" s="30"/>
      <c r="M350" s="708"/>
      <c r="N350" s="712"/>
      <c r="P350" s="718"/>
      <c r="Q350" s="29"/>
    </row>
    <row r="351" spans="1:17" x14ac:dyDescent="0.25">
      <c r="A351" s="384" t="s">
        <v>854</v>
      </c>
      <c r="B351" s="712"/>
      <c r="D351" s="718"/>
      <c r="E351" s="712"/>
      <c r="G351" s="718"/>
      <c r="H351" s="30"/>
      <c r="J351" s="708"/>
      <c r="K351" s="30"/>
      <c r="M351" s="708"/>
      <c r="N351" s="712"/>
      <c r="P351" s="718"/>
      <c r="Q351" s="29"/>
    </row>
    <row r="352" spans="1:17" x14ac:dyDescent="0.25">
      <c r="B352" s="712"/>
      <c r="D352" s="718"/>
      <c r="E352" s="712"/>
      <c r="G352" s="718"/>
      <c r="H352" s="30"/>
      <c r="J352" s="708"/>
      <c r="K352" s="30"/>
      <c r="M352" s="708"/>
      <c r="N352" s="712"/>
      <c r="P352" s="718"/>
      <c r="Q352" s="29"/>
    </row>
    <row r="353" spans="1:17" x14ac:dyDescent="0.25">
      <c r="A353" t="str">
        <f>Biorefinery!A16</f>
        <v xml:space="preserve"> - Plant Construction</v>
      </c>
      <c r="B353" s="715">
        <f>Unitflowchart!$S$286/Unitflowchart!$S$357*(Biorefinery!J16)</f>
        <v>0</v>
      </c>
      <c r="C353" s="25">
        <f t="shared" ref="C353" si="103">(B353/B$359)*100</f>
        <v>0</v>
      </c>
      <c r="D353" s="355">
        <f>Unitflowchart!$S$286/Unitflowchart!$S$357*(Biorefinery!K16)</f>
        <v>0</v>
      </c>
      <c r="E353" s="715">
        <f>Unitflowchart!$S$286/Unitflowchart!$S$357*(Biorefinery!P16)</f>
        <v>0</v>
      </c>
      <c r="F353" s="25">
        <f t="shared" ref="F353" si="104">(E353/E$359)*100</f>
        <v>0</v>
      </c>
      <c r="G353" s="355">
        <f>Unitflowchart!$S$286/Unitflowchart!$S$357*(Biorefinery!Q16)</f>
        <v>0</v>
      </c>
      <c r="H353" s="730">
        <f>Unitflowchart!$S$286/Unitflowchart!$S$357*(Biorefinery!V16)</f>
        <v>0</v>
      </c>
      <c r="I353" s="25">
        <f t="shared" ref="I353" si="105">(H353/H$359)*100</f>
        <v>0</v>
      </c>
      <c r="J353" s="733">
        <f>Unitflowchart!$S$286/Unitflowchart!$S$357*(Biorefinery!W16)</f>
        <v>0</v>
      </c>
      <c r="K353" s="730">
        <f>Unitflowchart!$S$286/Unitflowchart!$S$357*(Biorefinery!AB16)</f>
        <v>0</v>
      </c>
      <c r="L353" s="25">
        <f t="shared" ref="L353" si="106">(K353/K$359)*100</f>
        <v>0</v>
      </c>
      <c r="M353" s="733">
        <f>Unitflowchart!$S$286/Unitflowchart!$S$357*(Biorefinery!AC16)</f>
        <v>0</v>
      </c>
      <c r="N353" s="711">
        <f>E353+(GlobalWarmingPotentials!$B$11*H353)+(GlobalWarmingPotentials!$C$11*K353)</f>
        <v>0</v>
      </c>
      <c r="O353" s="25">
        <f t="shared" ref="O353:O355" si="107">(N353/N$359)*100</f>
        <v>0</v>
      </c>
      <c r="P353" s="740">
        <f>SQRT((G353^2)+((GlobalWarmingPotentials!$B$11*J353)^2)+((GlobalWarmingPotentials!$C$11*M353)^2))</f>
        <v>0</v>
      </c>
      <c r="Q353" s="29"/>
    </row>
    <row r="354" spans="1:17" x14ac:dyDescent="0.25">
      <c r="A354" t="str">
        <f>Biorefinery!A17</f>
        <v xml:space="preserve"> - Plant Maintenance</v>
      </c>
      <c r="B354" s="715">
        <f>Unitflowchart!$S$286/Unitflowchart!$S$357*(Biorefinery!J17)</f>
        <v>0</v>
      </c>
      <c r="C354" s="25">
        <f t="shared" ref="C354:C355" si="108">(B354/B$359)*100</f>
        <v>0</v>
      </c>
      <c r="D354" s="355">
        <f>Unitflowchart!$S$286/Unitflowchart!$S$357*(Biorefinery!K17)</f>
        <v>0</v>
      </c>
      <c r="E354" s="715">
        <f>Unitflowchart!$S$286/Unitflowchart!$S$357*(Biorefinery!P17)</f>
        <v>0</v>
      </c>
      <c r="F354" s="25">
        <f t="shared" ref="F354:F355" si="109">(E354/E$359)*100</f>
        <v>0</v>
      </c>
      <c r="G354" s="355">
        <f>Unitflowchart!$S$286/Unitflowchart!$S$357*(Biorefinery!Q17)</f>
        <v>0</v>
      </c>
      <c r="H354" s="730">
        <f>Unitflowchart!$S$286/Unitflowchart!$S$357*(Biorefinery!V17)</f>
        <v>0</v>
      </c>
      <c r="I354" s="25">
        <f t="shared" ref="I354:I355" si="110">(H354/H$359)*100</f>
        <v>0</v>
      </c>
      <c r="J354" s="733">
        <f>Unitflowchart!$S$286/Unitflowchart!$S$357*(Biorefinery!W17)</f>
        <v>0</v>
      </c>
      <c r="K354" s="730">
        <f>Unitflowchart!$S$286/Unitflowchart!$S$357*(Biorefinery!AB17)</f>
        <v>0</v>
      </c>
      <c r="L354" s="25">
        <f t="shared" ref="L354:L355" si="111">(K354/K$359)*100</f>
        <v>0</v>
      </c>
      <c r="M354" s="733">
        <f>Unitflowchart!$S$286/Unitflowchart!$S$357*(Biorefinery!AC17)</f>
        <v>0</v>
      </c>
      <c r="N354" s="711">
        <f>E354+(GlobalWarmingPotentials!$B$11*H354)+(GlobalWarmingPotentials!$C$11*K354)</f>
        <v>0</v>
      </c>
      <c r="O354" s="25">
        <f t="shared" si="107"/>
        <v>0</v>
      </c>
      <c r="P354" s="740">
        <f>SQRT((G354^2)+((GlobalWarmingPotentials!$B$11*J354)^2)+((GlobalWarmingPotentials!$C$11*M354)^2))</f>
        <v>0</v>
      </c>
      <c r="Q354" s="29"/>
    </row>
    <row r="355" spans="1:17" x14ac:dyDescent="0.25">
      <c r="A355" t="str">
        <f>Biorefinery!A18</f>
        <v xml:space="preserve"> - Plant Decommissioning</v>
      </c>
      <c r="B355" s="715">
        <f>Unitflowchart!$S$286/Unitflowchart!$S$357*(Biorefinery!J18)</f>
        <v>0</v>
      </c>
      <c r="C355" s="25">
        <f t="shared" si="108"/>
        <v>0</v>
      </c>
      <c r="D355" s="355">
        <f>Unitflowchart!$S$286/Unitflowchart!$S$357*(Biorefinery!K18)</f>
        <v>0</v>
      </c>
      <c r="E355" s="715">
        <f>Unitflowchart!$S$286/Unitflowchart!$S$357*(Biorefinery!P18)</f>
        <v>0</v>
      </c>
      <c r="F355" s="25">
        <f t="shared" si="109"/>
        <v>0</v>
      </c>
      <c r="G355" s="355">
        <f>Unitflowchart!$S$286/Unitflowchart!$S$357*(Biorefinery!Q18)</f>
        <v>0</v>
      </c>
      <c r="H355" s="730">
        <f>Unitflowchart!$S$286/Unitflowchart!$S$357*(Biorefinery!V18)</f>
        <v>0</v>
      </c>
      <c r="I355" s="25">
        <f t="shared" si="110"/>
        <v>0</v>
      </c>
      <c r="J355" s="733">
        <f>Unitflowchart!$S$286/Unitflowchart!$S$357*(Biorefinery!W18)</f>
        <v>0</v>
      </c>
      <c r="K355" s="730">
        <f>Unitflowchart!$S$286/Unitflowchart!$S$357*(Biorefinery!AB18)</f>
        <v>0</v>
      </c>
      <c r="L355" s="25">
        <f t="shared" si="111"/>
        <v>0</v>
      </c>
      <c r="M355" s="733">
        <f>Unitflowchart!$S$286/Unitflowchart!$S$357*(Biorefinery!AC18)</f>
        <v>0</v>
      </c>
      <c r="N355" s="711">
        <f>E355+(GlobalWarmingPotentials!$B$11*H355)+(GlobalWarmingPotentials!$C$11*K355)</f>
        <v>0</v>
      </c>
      <c r="O355" s="25">
        <f t="shared" si="107"/>
        <v>0</v>
      </c>
      <c r="P355" s="740">
        <f>SQRT((G355^2)+((GlobalWarmingPotentials!$B$11*J355)^2)+((GlobalWarmingPotentials!$C$11*M355)^2))</f>
        <v>0</v>
      </c>
      <c r="Q355" s="29"/>
    </row>
    <row r="356" spans="1:17" x14ac:dyDescent="0.25">
      <c r="B356" s="712"/>
      <c r="C356" s="153"/>
      <c r="D356" s="718"/>
      <c r="E356" s="712"/>
      <c r="F356" s="153"/>
      <c r="G356" s="718"/>
      <c r="H356" s="30"/>
      <c r="I356" s="153"/>
      <c r="J356" s="708"/>
      <c r="K356" s="30"/>
      <c r="L356" s="153"/>
      <c r="M356" s="708"/>
      <c r="N356" s="712"/>
      <c r="O356" s="153"/>
      <c r="P356" s="718"/>
      <c r="Q356" s="29"/>
    </row>
    <row r="357" spans="1:17" x14ac:dyDescent="0.25">
      <c r="A357" s="214" t="s">
        <v>882</v>
      </c>
      <c r="B357" s="714">
        <f>Unitflowchart!$S$286/Unitflowchart!$S$357*(Biorefinery!J20)</f>
        <v>0</v>
      </c>
      <c r="C357" s="14">
        <f t="shared" ref="C357" si="112">(B357/B$359)*100</f>
        <v>0</v>
      </c>
      <c r="D357" s="722">
        <f>Unitflowchart!$S$286/Unitflowchart!$S$357*(Biorefinery!K20)</f>
        <v>0</v>
      </c>
      <c r="E357" s="714">
        <f>Unitflowchart!$S$286/Unitflowchart!$S$357*(Biorefinery!P20)</f>
        <v>0</v>
      </c>
      <c r="F357" s="14">
        <f t="shared" ref="F357" si="113">(E357/E$359)*100</f>
        <v>0</v>
      </c>
      <c r="G357" s="722">
        <f>Unitflowchart!$S$286/Unitflowchart!$S$357*(Biorefinery!Q20)</f>
        <v>0</v>
      </c>
      <c r="H357" s="211">
        <f>Unitflowchart!$S$286/Unitflowchart!$S$357*(Biorefinery!V20)</f>
        <v>0</v>
      </c>
      <c r="I357" s="14">
        <f t="shared" ref="I357" si="114">(H357/H$359)*100</f>
        <v>0</v>
      </c>
      <c r="J357" s="728">
        <f>Unitflowchart!$S$286/Unitflowchart!$S$357*(Biorefinery!W20)</f>
        <v>0</v>
      </c>
      <c r="K357" s="211">
        <f>Unitflowchart!$S$286/Unitflowchart!$S$357*(Biorefinery!AB20)</f>
        <v>0</v>
      </c>
      <c r="L357" s="14">
        <f t="shared" ref="L357" si="115">(K357/K$359)*100</f>
        <v>0</v>
      </c>
      <c r="M357" s="212">
        <f>Unitflowchart!$S$286/Unitflowchart!$S$357*(Biorefinery!AC20)</f>
        <v>0</v>
      </c>
      <c r="N357" s="714">
        <f>E357+(GlobalWarmingPotentials!$B$11*H357)+(GlobalWarmingPotentials!$C$11*K357)</f>
        <v>0</v>
      </c>
      <c r="O357" s="14">
        <f>(N357/N$359)*100</f>
        <v>0</v>
      </c>
      <c r="P357" s="741">
        <f>SQRT((G357^2)+((GlobalWarmingPotentials!$B$11*J357)^2)+((GlobalWarmingPotentials!$C$11*M357)^2))</f>
        <v>0</v>
      </c>
      <c r="Q357" s="29"/>
    </row>
    <row r="358" spans="1:17" x14ac:dyDescent="0.25">
      <c r="B358" s="712"/>
      <c r="D358" s="718"/>
      <c r="E358" s="712"/>
      <c r="G358" s="718"/>
      <c r="H358" s="30"/>
      <c r="J358" s="708"/>
      <c r="K358" s="731"/>
      <c r="M358" s="734"/>
      <c r="N358" s="718"/>
      <c r="P358" s="718"/>
      <c r="Q358" s="29"/>
    </row>
    <row r="359" spans="1:17" x14ac:dyDescent="0.25">
      <c r="A359" s="865" t="s">
        <v>417</v>
      </c>
      <c r="B359" s="809">
        <f>B106+B140+B174+B180+B204+B211+B218+B197+B225+B237+B246+B281+B315+B349+B357</f>
        <v>19029.924609561138</v>
      </c>
      <c r="C359" s="14">
        <f>(B359/B$359)*100</f>
        <v>100</v>
      </c>
      <c r="D359" s="810">
        <f>SQRT((D106^2)+(D140^2)+(D174^2)+(D180^2)+(D204^2)+(D211^2)+(D218^2)+(D197^2)+(D225^2)+(D237^2)+(D246^2)+(D281^2)+(D315^2)+(D349^2)+(D357^2))</f>
        <v>927.66717480673935</v>
      </c>
      <c r="E359" s="809">
        <f>E106+E140+E174+E180+E204+E211+E218+E197+E225+E237+E246+E281+E315+E349+E357</f>
        <v>1196.1892112040041</v>
      </c>
      <c r="F359" s="14">
        <f>(E359/E$359)*100</f>
        <v>100</v>
      </c>
      <c r="G359" s="810">
        <f>SQRT((G106^2)+(G140^2)+(G174^2)+(G180^2)+(G204^2)+(G211^2)+(G218^2)+(G197^2)+(G225^2)+(G237^2)+(G246^2)+(G281^2)+(G315^2)+(G349^2)+(G357^2))</f>
        <v>56.544037044773241</v>
      </c>
      <c r="H359" s="809">
        <f>H106+H140+H174+H180+H204+H211+H218+H197+H225+H237+H246+H281+H315+H349+H357</f>
        <v>1.7832423172462333</v>
      </c>
      <c r="I359" s="14">
        <f>(H359/H$359)*100</f>
        <v>100</v>
      </c>
      <c r="J359" s="810">
        <f>SQRT((J106^2)+(J140^2)+(J174^2)+(J180^2)+(J204^2)+(J211^2)+(J218^2)+(J197^2)+(J225^2)+(J237^2)+(J246^2)+(J281^2)+(J315^2)+(J349^2)+(J357^2))</f>
        <v>0.11344195657432668</v>
      </c>
      <c r="K359" s="809">
        <f>K106+K140+K174+K180+K204+K211+K218+K197+K225+K237+K246+K281+K315+K349+K357</f>
        <v>1.8152365665531598</v>
      </c>
      <c r="L359" s="14">
        <f>(K359/K$359)*100</f>
        <v>100</v>
      </c>
      <c r="M359" s="810">
        <f>SQRT((M106^2)+(M140^2)+(M174^2)+(M180^2)+(M204^2)+(M211^2)+(M218^2)+(M197^2)+(M225^2)+(M237^2)+(M246^2)+(M281^2)+(M315^2)+(M349^2)+(M357^2))</f>
        <v>0.1393550548877141</v>
      </c>
      <c r="N359" s="809">
        <f>N106+N140+N174+N180+N204+N211+N218+N197+N225+N237+N246+N281+N315+N349+N357</f>
        <v>1774.513808200403</v>
      </c>
      <c r="O359" s="14">
        <f>(N359/N$359)*100</f>
        <v>100</v>
      </c>
      <c r="P359" s="810">
        <f>SQRT((P106^2)+(P140^2)+(P174^2)+(P180^2)+(P204^2)+(P211^2)+(P218^2)+(P197^2)+(P225^2)+(P237^2)+(P246^2)+(P281^2)+(P315^2)+(P349^2)+(P357^2))</f>
        <v>70.03944466155464</v>
      </c>
      <c r="Q359" s="29"/>
    </row>
    <row r="360" spans="1:17" x14ac:dyDescent="0.25">
      <c r="A360" s="352"/>
      <c r="B360" s="352"/>
      <c r="D360" s="352"/>
      <c r="E360" s="352"/>
      <c r="G360" s="352"/>
      <c r="H360" s="352"/>
      <c r="J360" s="352"/>
      <c r="K360" s="352"/>
      <c r="M360" s="352"/>
      <c r="N360" s="352"/>
      <c r="P360" s="352"/>
      <c r="Q360" s="23"/>
    </row>
    <row r="361" spans="1:17" x14ac:dyDescent="0.25">
      <c r="B361" s="23"/>
      <c r="E361" s="23"/>
      <c r="G361" s="23"/>
      <c r="H361" s="23"/>
      <c r="J361" s="23"/>
      <c r="K361" s="23"/>
      <c r="M361" s="23"/>
      <c r="N361" s="23"/>
      <c r="P361" s="23"/>
    </row>
    <row r="362" spans="1:17" x14ac:dyDescent="0.25">
      <c r="B362" s="23"/>
      <c r="E362" s="23"/>
      <c r="G362" s="23"/>
      <c r="H362" s="23"/>
      <c r="J362" s="23"/>
      <c r="K362" s="23"/>
      <c r="M362" s="23"/>
      <c r="N362" s="23"/>
      <c r="P362" s="23"/>
    </row>
    <row r="363" spans="1:17" x14ac:dyDescent="0.25">
      <c r="B363" s="23"/>
      <c r="E363" s="23"/>
      <c r="G363" s="23"/>
      <c r="H363" s="23"/>
      <c r="J363" s="23"/>
      <c r="K363" s="23"/>
      <c r="M363" s="23"/>
      <c r="N363" s="23"/>
      <c r="P363" s="23"/>
    </row>
    <row r="364" spans="1:17" x14ac:dyDescent="0.25">
      <c r="B364" s="23"/>
      <c r="E364" s="23"/>
      <c r="G364" s="23"/>
      <c r="H364" s="23"/>
      <c r="J364" s="23"/>
      <c r="K364" s="23"/>
      <c r="M364" s="23"/>
      <c r="N364" s="23"/>
      <c r="P364" s="23"/>
    </row>
    <row r="365" spans="1:17" x14ac:dyDescent="0.25">
      <c r="B365" s="23"/>
      <c r="E365" s="23"/>
      <c r="G365" s="23"/>
      <c r="H365" s="23"/>
      <c r="J365" s="23"/>
      <c r="K365" s="23"/>
      <c r="M365" s="23"/>
      <c r="N365" s="23"/>
      <c r="P365" s="23"/>
    </row>
    <row r="366" spans="1:17" x14ac:dyDescent="0.25">
      <c r="B366" s="23"/>
      <c r="E366" s="23"/>
      <c r="G366" s="23"/>
      <c r="H366" s="23"/>
      <c r="J366" s="23"/>
      <c r="K366" s="23"/>
      <c r="M366" s="23"/>
      <c r="N366" s="23"/>
      <c r="P366" s="23"/>
    </row>
    <row r="367" spans="1:17" x14ac:dyDescent="0.25">
      <c r="B367" s="23"/>
      <c r="E367" s="23"/>
      <c r="G367" s="23"/>
      <c r="H367" s="23"/>
      <c r="J367" s="23"/>
      <c r="K367" s="23"/>
      <c r="M367" s="23"/>
      <c r="N367" s="23"/>
      <c r="P367" s="23"/>
    </row>
    <row r="368" spans="1:17" x14ac:dyDescent="0.25">
      <c r="B368" s="23"/>
      <c r="E368" s="23"/>
      <c r="G368" s="23"/>
      <c r="H368" s="23"/>
      <c r="J368" s="23"/>
      <c r="K368" s="23"/>
      <c r="M368" s="23"/>
      <c r="N368" s="23"/>
      <c r="P368" s="23"/>
    </row>
    <row r="369" spans="2:16" x14ac:dyDescent="0.25">
      <c r="B369" s="23"/>
      <c r="E369" s="23"/>
      <c r="G369" s="23"/>
      <c r="H369" s="23"/>
      <c r="J369" s="23"/>
      <c r="K369" s="23"/>
      <c r="M369" s="23"/>
      <c r="N369" s="23"/>
      <c r="P369" s="23"/>
    </row>
    <row r="370" spans="2:16" x14ac:dyDescent="0.25">
      <c r="B370" s="23"/>
      <c r="E370" s="23"/>
      <c r="G370" s="23"/>
      <c r="H370" s="23"/>
      <c r="J370" s="23"/>
      <c r="K370" s="23"/>
      <c r="M370" s="23"/>
      <c r="N370" s="23"/>
      <c r="P370" s="23"/>
    </row>
    <row r="371" spans="2:16" x14ac:dyDescent="0.25">
      <c r="B371" s="23"/>
      <c r="E371" s="23"/>
      <c r="G371" s="23"/>
      <c r="H371" s="23"/>
      <c r="J371" s="23"/>
      <c r="K371" s="23"/>
      <c r="M371" s="23"/>
      <c r="N371" s="23"/>
      <c r="P371" s="23"/>
    </row>
    <row r="372" spans="2:16" x14ac:dyDescent="0.25">
      <c r="B372" s="23"/>
      <c r="E372" s="23"/>
      <c r="G372" s="23"/>
      <c r="H372" s="23"/>
      <c r="J372" s="23"/>
      <c r="K372" s="23"/>
      <c r="M372" s="23"/>
      <c r="N372" s="23"/>
      <c r="P372" s="23"/>
    </row>
    <row r="373" spans="2:16" x14ac:dyDescent="0.25">
      <c r="B373" s="23"/>
      <c r="E373" s="23"/>
      <c r="G373" s="23"/>
      <c r="H373" s="23"/>
      <c r="J373" s="23"/>
      <c r="K373" s="23"/>
      <c r="M373" s="23"/>
      <c r="N373" s="23"/>
      <c r="P373" s="23"/>
    </row>
    <row r="374" spans="2:16" x14ac:dyDescent="0.25">
      <c r="B374" s="23"/>
      <c r="E374" s="23"/>
      <c r="G374" s="23"/>
      <c r="H374" s="23"/>
      <c r="J374" s="23"/>
      <c r="K374" s="23"/>
      <c r="M374" s="23"/>
      <c r="N374" s="23"/>
      <c r="P374" s="23"/>
    </row>
    <row r="375" spans="2:16" x14ac:dyDescent="0.25">
      <c r="B375" s="23"/>
      <c r="E375" s="23"/>
      <c r="G375" s="23"/>
      <c r="H375" s="23"/>
      <c r="J375" s="23"/>
      <c r="K375" s="23"/>
      <c r="M375" s="23"/>
      <c r="N375" s="23"/>
      <c r="P375" s="23"/>
    </row>
    <row r="376" spans="2:16" x14ac:dyDescent="0.25">
      <c r="B376" s="23"/>
      <c r="E376" s="23"/>
      <c r="G376" s="23"/>
      <c r="H376" s="23"/>
      <c r="J376" s="23"/>
      <c r="K376" s="23"/>
      <c r="M376" s="23"/>
      <c r="N376" s="23"/>
      <c r="P376" s="23"/>
    </row>
    <row r="377" spans="2:16" x14ac:dyDescent="0.25">
      <c r="B377" s="23"/>
      <c r="E377" s="23"/>
      <c r="G377" s="23"/>
      <c r="H377" s="23"/>
      <c r="J377" s="23"/>
      <c r="K377" s="23"/>
      <c r="M377" s="23"/>
      <c r="N377" s="23"/>
      <c r="P377" s="23"/>
    </row>
    <row r="378" spans="2:16" x14ac:dyDescent="0.25">
      <c r="B378" s="23"/>
      <c r="E378" s="23"/>
      <c r="G378" s="23"/>
      <c r="H378" s="23"/>
      <c r="J378" s="23"/>
      <c r="K378" s="23"/>
      <c r="M378" s="23"/>
      <c r="N378" s="23"/>
      <c r="P378" s="23"/>
    </row>
    <row r="379" spans="2:16" x14ac:dyDescent="0.25">
      <c r="B379" s="23"/>
      <c r="E379" s="23"/>
      <c r="G379" s="23"/>
      <c r="H379" s="23"/>
      <c r="J379" s="23"/>
      <c r="K379" s="23"/>
      <c r="M379" s="23"/>
      <c r="N379" s="23"/>
      <c r="P379" s="23"/>
    </row>
    <row r="380" spans="2:16" x14ac:dyDescent="0.25">
      <c r="B380" s="23"/>
      <c r="E380" s="23"/>
      <c r="G380" s="23"/>
      <c r="H380" s="23"/>
      <c r="J380" s="23"/>
      <c r="K380" s="23"/>
      <c r="M380" s="23"/>
      <c r="N380" s="23"/>
      <c r="P380" s="23"/>
    </row>
    <row r="381" spans="2:16" x14ac:dyDescent="0.25">
      <c r="B381" s="23"/>
      <c r="E381" s="23"/>
      <c r="G381" s="23"/>
      <c r="H381" s="23"/>
      <c r="J381" s="23"/>
      <c r="K381" s="23"/>
      <c r="M381" s="23"/>
      <c r="N381" s="23"/>
      <c r="P381" s="23"/>
    </row>
    <row r="382" spans="2:16" x14ac:dyDescent="0.25">
      <c r="B382" s="23"/>
      <c r="E382" s="23"/>
      <c r="G382" s="23"/>
      <c r="H382" s="23"/>
      <c r="J382" s="23"/>
      <c r="K382" s="23"/>
      <c r="M382" s="23"/>
      <c r="N382" s="23"/>
      <c r="P382" s="23"/>
    </row>
    <row r="383" spans="2:16" x14ac:dyDescent="0.25">
      <c r="B383" s="23"/>
      <c r="E383" s="23"/>
      <c r="G383" s="23"/>
      <c r="H383" s="23"/>
      <c r="J383" s="23"/>
      <c r="K383" s="23"/>
      <c r="M383" s="23"/>
      <c r="N383" s="23"/>
      <c r="P383" s="23"/>
    </row>
    <row r="384" spans="2:16" x14ac:dyDescent="0.25">
      <c r="B384" s="23"/>
      <c r="E384" s="23"/>
      <c r="G384" s="23"/>
      <c r="H384" s="23"/>
      <c r="J384" s="23"/>
      <c r="K384" s="23"/>
      <c r="M384" s="23"/>
      <c r="N384" s="23"/>
      <c r="P384" s="23"/>
    </row>
    <row r="385" spans="2:16" x14ac:dyDescent="0.25">
      <c r="B385" s="23"/>
      <c r="E385" s="23"/>
      <c r="G385" s="23"/>
      <c r="H385" s="23"/>
      <c r="J385" s="23"/>
      <c r="K385" s="23"/>
      <c r="M385" s="23"/>
      <c r="N385" s="23"/>
      <c r="P385" s="23"/>
    </row>
    <row r="386" spans="2:16" x14ac:dyDescent="0.25">
      <c r="B386" s="23"/>
      <c r="E386" s="23"/>
      <c r="G386" s="23"/>
      <c r="H386" s="23"/>
      <c r="J386" s="23"/>
      <c r="K386" s="23"/>
      <c r="M386" s="23"/>
      <c r="N386" s="23"/>
      <c r="P386" s="23"/>
    </row>
    <row r="387" spans="2:16" x14ac:dyDescent="0.25">
      <c r="B387" s="23"/>
      <c r="E387" s="23"/>
      <c r="G387" s="23"/>
      <c r="H387" s="23"/>
      <c r="J387" s="23"/>
      <c r="K387" s="23"/>
      <c r="M387" s="23"/>
      <c r="N387" s="23"/>
      <c r="P387" s="23"/>
    </row>
    <row r="388" spans="2:16" x14ac:dyDescent="0.25">
      <c r="B388" s="23"/>
      <c r="E388" s="23"/>
      <c r="G388" s="23"/>
      <c r="H388" s="23"/>
      <c r="J388" s="23"/>
      <c r="K388" s="23"/>
      <c r="M388" s="23"/>
      <c r="N388" s="23"/>
      <c r="P388" s="23"/>
    </row>
    <row r="389" spans="2:16" x14ac:dyDescent="0.25">
      <c r="B389" s="23"/>
      <c r="E389" s="23"/>
      <c r="G389" s="23"/>
      <c r="H389" s="23"/>
      <c r="J389" s="23"/>
      <c r="K389" s="23"/>
      <c r="M389" s="23"/>
      <c r="N389" s="23"/>
      <c r="P389" s="23"/>
    </row>
    <row r="390" spans="2:16" x14ac:dyDescent="0.25">
      <c r="B390" s="23"/>
      <c r="E390" s="23"/>
      <c r="G390" s="23"/>
      <c r="H390" s="23"/>
      <c r="J390" s="23"/>
      <c r="K390" s="23"/>
      <c r="M390" s="23"/>
      <c r="N390" s="23"/>
      <c r="P390" s="23"/>
    </row>
    <row r="391" spans="2:16" x14ac:dyDescent="0.25">
      <c r="B391" s="23"/>
      <c r="E391" s="23"/>
      <c r="G391" s="23"/>
      <c r="H391" s="23"/>
      <c r="J391" s="23"/>
      <c r="K391" s="23"/>
      <c r="M391" s="23"/>
      <c r="N391" s="23"/>
      <c r="P391" s="23"/>
    </row>
    <row r="392" spans="2:16" x14ac:dyDescent="0.25">
      <c r="B392" s="23"/>
      <c r="E392" s="23"/>
      <c r="G392" s="23"/>
      <c r="H392" s="23"/>
      <c r="J392" s="23"/>
      <c r="K392" s="23"/>
      <c r="M392" s="23"/>
      <c r="N392" s="23"/>
      <c r="P392" s="23"/>
    </row>
    <row r="393" spans="2:16" x14ac:dyDescent="0.25">
      <c r="B393" s="23"/>
      <c r="E393" s="23"/>
      <c r="G393" s="23"/>
      <c r="H393" s="23"/>
      <c r="J393" s="23"/>
      <c r="K393" s="23"/>
      <c r="M393" s="23"/>
      <c r="N393" s="23"/>
      <c r="P393" s="23"/>
    </row>
    <row r="394" spans="2:16" x14ac:dyDescent="0.25">
      <c r="B394" s="23"/>
      <c r="E394" s="23"/>
      <c r="G394" s="23"/>
      <c r="H394" s="23"/>
      <c r="J394" s="23"/>
      <c r="K394" s="23"/>
      <c r="M394" s="23"/>
      <c r="N394" s="23"/>
      <c r="P394" s="23"/>
    </row>
    <row r="395" spans="2:16" x14ac:dyDescent="0.25">
      <c r="B395" s="23"/>
      <c r="E395" s="23"/>
      <c r="G395" s="23"/>
      <c r="H395" s="23"/>
      <c r="J395" s="23"/>
      <c r="K395" s="23"/>
      <c r="M395" s="23"/>
      <c r="N395" s="23"/>
      <c r="P395" s="23"/>
    </row>
    <row r="396" spans="2:16" x14ac:dyDescent="0.25">
      <c r="B396" s="23"/>
      <c r="E396" s="23"/>
      <c r="G396" s="23"/>
      <c r="H396" s="23"/>
      <c r="J396" s="23"/>
      <c r="K396" s="23"/>
      <c r="M396" s="23"/>
      <c r="N396" s="23"/>
      <c r="P396" s="23"/>
    </row>
    <row r="397" spans="2:16" x14ac:dyDescent="0.25">
      <c r="B397" s="23"/>
      <c r="E397" s="23"/>
      <c r="G397" s="23"/>
      <c r="H397" s="23"/>
      <c r="J397" s="23"/>
      <c r="K397" s="23"/>
      <c r="M397" s="23"/>
      <c r="N397" s="23"/>
      <c r="P397" s="23"/>
    </row>
    <row r="398" spans="2:16" x14ac:dyDescent="0.25">
      <c r="B398" s="23"/>
      <c r="E398" s="23"/>
      <c r="G398" s="23"/>
      <c r="H398" s="23"/>
      <c r="J398" s="23"/>
      <c r="K398" s="23"/>
      <c r="M398" s="23"/>
      <c r="N398" s="23"/>
      <c r="P398" s="23"/>
    </row>
    <row r="399" spans="2:16" x14ac:dyDescent="0.25">
      <c r="B399" s="23"/>
      <c r="E399" s="23"/>
      <c r="G399" s="23"/>
      <c r="H399" s="23"/>
      <c r="J399" s="23"/>
      <c r="K399" s="23"/>
      <c r="M399" s="23"/>
      <c r="N399" s="23"/>
      <c r="P399" s="23"/>
    </row>
    <row r="400" spans="2:16" x14ac:dyDescent="0.25">
      <c r="B400" s="23"/>
      <c r="E400" s="23"/>
      <c r="G400" s="23"/>
      <c r="H400" s="23"/>
      <c r="J400" s="23"/>
      <c r="K400" s="23"/>
      <c r="M400" s="23"/>
      <c r="N400" s="23"/>
      <c r="P400" s="23"/>
    </row>
    <row r="401" spans="2:16" x14ac:dyDescent="0.25">
      <c r="B401" s="23"/>
      <c r="E401" s="23"/>
      <c r="G401" s="23"/>
      <c r="H401" s="23"/>
      <c r="J401" s="23"/>
      <c r="K401" s="23"/>
      <c r="M401" s="23"/>
      <c r="N401" s="23"/>
      <c r="P401" s="23"/>
    </row>
    <row r="402" spans="2:16" x14ac:dyDescent="0.25">
      <c r="B402" s="23"/>
      <c r="E402" s="23"/>
      <c r="G402" s="23"/>
      <c r="H402" s="23"/>
      <c r="J402" s="23"/>
      <c r="K402" s="23"/>
      <c r="M402" s="23"/>
      <c r="N402" s="23"/>
      <c r="P402" s="23"/>
    </row>
    <row r="403" spans="2:16" x14ac:dyDescent="0.25">
      <c r="B403" s="23"/>
      <c r="E403" s="23"/>
      <c r="G403" s="23"/>
      <c r="H403" s="23"/>
      <c r="J403" s="23"/>
      <c r="K403" s="23"/>
      <c r="M403" s="23"/>
      <c r="N403" s="23"/>
      <c r="P403" s="23"/>
    </row>
    <row r="404" spans="2:16" x14ac:dyDescent="0.25">
      <c r="B404" s="23"/>
      <c r="E404" s="23"/>
      <c r="G404" s="23"/>
      <c r="H404" s="23"/>
      <c r="J404" s="23"/>
      <c r="K404" s="23"/>
      <c r="M404" s="23"/>
      <c r="N404" s="23"/>
      <c r="P404" s="23"/>
    </row>
    <row r="405" spans="2:16" x14ac:dyDescent="0.25">
      <c r="B405" s="23"/>
      <c r="E405" s="23"/>
      <c r="G405" s="23"/>
      <c r="H405" s="23"/>
      <c r="J405" s="23"/>
      <c r="K405" s="23"/>
      <c r="M405" s="23"/>
      <c r="N405" s="23"/>
      <c r="P405" s="23"/>
    </row>
    <row r="406" spans="2:16" x14ac:dyDescent="0.25">
      <c r="B406" s="23"/>
      <c r="E406" s="23"/>
      <c r="G406" s="23"/>
      <c r="H406" s="23"/>
      <c r="J406" s="23"/>
      <c r="K406" s="23"/>
      <c r="M406" s="23"/>
      <c r="N406" s="23"/>
      <c r="P406" s="23"/>
    </row>
    <row r="407" spans="2:16" x14ac:dyDescent="0.25">
      <c r="B407" s="23"/>
      <c r="E407" s="23"/>
      <c r="G407" s="23"/>
      <c r="H407" s="23"/>
      <c r="J407" s="23"/>
      <c r="K407" s="23"/>
      <c r="M407" s="23"/>
      <c r="N407" s="23"/>
      <c r="P407" s="23"/>
    </row>
    <row r="408" spans="2:16" x14ac:dyDescent="0.25">
      <c r="B408" s="23"/>
      <c r="E408" s="23"/>
      <c r="G408" s="23"/>
      <c r="H408" s="23"/>
      <c r="J408" s="23"/>
      <c r="K408" s="23"/>
      <c r="M408" s="23"/>
      <c r="N408" s="23"/>
      <c r="P408" s="23"/>
    </row>
    <row r="409" spans="2:16" x14ac:dyDescent="0.25">
      <c r="B409" s="23"/>
      <c r="E409" s="23"/>
      <c r="G409" s="23"/>
      <c r="H409" s="23"/>
      <c r="J409" s="23"/>
      <c r="K409" s="23"/>
      <c r="M409" s="23"/>
      <c r="N409" s="23"/>
      <c r="P409" s="23"/>
    </row>
    <row r="410" spans="2:16" x14ac:dyDescent="0.25">
      <c r="B410" s="23"/>
      <c r="E410" s="23"/>
      <c r="G410" s="23"/>
      <c r="H410" s="23"/>
      <c r="J410" s="23"/>
      <c r="K410" s="23"/>
      <c r="M410" s="23"/>
      <c r="N410" s="23"/>
      <c r="P410" s="23"/>
    </row>
    <row r="411" spans="2:16" x14ac:dyDescent="0.25">
      <c r="B411" s="23"/>
      <c r="E411" s="23"/>
      <c r="G411" s="23"/>
      <c r="H411" s="23"/>
      <c r="J411" s="23"/>
      <c r="K411" s="23"/>
      <c r="M411" s="23"/>
      <c r="N411" s="23"/>
      <c r="P411" s="23"/>
    </row>
    <row r="412" spans="2:16" x14ac:dyDescent="0.25">
      <c r="B412" s="23"/>
      <c r="E412" s="23"/>
      <c r="G412" s="23"/>
      <c r="H412" s="23"/>
      <c r="J412" s="23"/>
      <c r="K412" s="23"/>
      <c r="M412" s="23"/>
      <c r="N412" s="23"/>
      <c r="P412" s="23"/>
    </row>
    <row r="413" spans="2:16" x14ac:dyDescent="0.25">
      <c r="B413" s="23"/>
      <c r="E413" s="23"/>
      <c r="G413" s="23"/>
      <c r="H413" s="23"/>
      <c r="J413" s="23"/>
      <c r="K413" s="23"/>
      <c r="M413" s="23"/>
      <c r="N413" s="23"/>
      <c r="P413" s="23"/>
    </row>
    <row r="414" spans="2:16" x14ac:dyDescent="0.25">
      <c r="B414" s="23"/>
      <c r="E414" s="23"/>
      <c r="G414" s="23"/>
      <c r="H414" s="23"/>
      <c r="J414" s="23"/>
      <c r="K414" s="23"/>
      <c r="M414" s="23"/>
      <c r="N414" s="23"/>
      <c r="P414" s="23"/>
    </row>
    <row r="415" spans="2:16" x14ac:dyDescent="0.25">
      <c r="B415" s="23"/>
      <c r="E415" s="23"/>
      <c r="G415" s="23"/>
      <c r="H415" s="23"/>
      <c r="J415" s="23"/>
      <c r="K415" s="23"/>
      <c r="M415" s="23"/>
      <c r="N415" s="23"/>
      <c r="P415" s="23"/>
    </row>
    <row r="416" spans="2:16" x14ac:dyDescent="0.25">
      <c r="B416" s="23"/>
      <c r="E416" s="23"/>
      <c r="G416" s="23"/>
      <c r="H416" s="23"/>
      <c r="J416" s="23"/>
      <c r="K416" s="23"/>
      <c r="M416" s="23"/>
      <c r="N416" s="23"/>
      <c r="P416" s="23"/>
    </row>
    <row r="417" spans="2:16" x14ac:dyDescent="0.25">
      <c r="B417" s="23"/>
      <c r="E417" s="23"/>
      <c r="G417" s="23"/>
      <c r="H417" s="23"/>
      <c r="J417" s="23"/>
      <c r="K417" s="23"/>
      <c r="M417" s="23"/>
      <c r="N417" s="23"/>
      <c r="P417" s="23"/>
    </row>
    <row r="418" spans="2:16" x14ac:dyDescent="0.25">
      <c r="B418" s="23"/>
      <c r="E418" s="23"/>
      <c r="G418" s="23"/>
      <c r="H418" s="23"/>
      <c r="J418" s="23"/>
      <c r="K418" s="23"/>
      <c r="M418" s="23"/>
      <c r="N418" s="23"/>
      <c r="P418" s="23"/>
    </row>
    <row r="419" spans="2:16" x14ac:dyDescent="0.25">
      <c r="B419" s="23"/>
      <c r="E419" s="23"/>
      <c r="G419" s="23"/>
      <c r="H419" s="23"/>
      <c r="J419" s="23"/>
      <c r="K419" s="23"/>
      <c r="M419" s="23"/>
      <c r="N419" s="23"/>
      <c r="P419" s="23"/>
    </row>
    <row r="420" spans="2:16" x14ac:dyDescent="0.25">
      <c r="B420" s="23"/>
      <c r="E420" s="23"/>
      <c r="G420" s="23"/>
      <c r="H420" s="23"/>
      <c r="J420" s="23"/>
      <c r="K420" s="23"/>
      <c r="M420" s="23"/>
      <c r="N420" s="23"/>
      <c r="P420" s="23"/>
    </row>
    <row r="421" spans="2:16" x14ac:dyDescent="0.25">
      <c r="B421" s="23"/>
      <c r="E421" s="23"/>
      <c r="G421" s="23"/>
      <c r="H421" s="23"/>
      <c r="J421" s="23"/>
      <c r="K421" s="23"/>
      <c r="M421" s="23"/>
      <c r="N421" s="23"/>
      <c r="P421" s="23"/>
    </row>
    <row r="422" spans="2:16" x14ac:dyDescent="0.25">
      <c r="B422" s="23"/>
      <c r="E422" s="23"/>
      <c r="G422" s="23"/>
      <c r="H422" s="23"/>
      <c r="J422" s="23"/>
      <c r="K422" s="23"/>
      <c r="M422" s="23"/>
      <c r="N422" s="23"/>
      <c r="P422" s="23"/>
    </row>
    <row r="423" spans="2:16" x14ac:dyDescent="0.25">
      <c r="B423" s="23"/>
      <c r="E423" s="23"/>
      <c r="G423" s="23"/>
      <c r="H423" s="23"/>
      <c r="J423" s="23"/>
      <c r="K423" s="23"/>
      <c r="M423" s="23"/>
      <c r="N423" s="23"/>
      <c r="P423" s="23"/>
    </row>
    <row r="424" spans="2:16" x14ac:dyDescent="0.25">
      <c r="B424" s="23"/>
      <c r="E424" s="23"/>
      <c r="G424" s="23"/>
      <c r="H424" s="23"/>
      <c r="J424" s="23"/>
      <c r="K424" s="23"/>
      <c r="M424" s="23"/>
      <c r="N424" s="23"/>
      <c r="P424" s="23"/>
    </row>
    <row r="425" spans="2:16" x14ac:dyDescent="0.25">
      <c r="B425" s="23"/>
      <c r="E425" s="23"/>
      <c r="G425" s="23"/>
      <c r="H425" s="23"/>
      <c r="J425" s="23"/>
      <c r="K425" s="23"/>
      <c r="M425" s="23"/>
      <c r="N425" s="23"/>
      <c r="P425" s="23"/>
    </row>
    <row r="426" spans="2:16" x14ac:dyDescent="0.25">
      <c r="B426" s="23"/>
      <c r="E426" s="23"/>
      <c r="G426" s="23"/>
      <c r="H426" s="23"/>
      <c r="J426" s="23"/>
      <c r="K426" s="23"/>
      <c r="M426" s="23"/>
      <c r="N426" s="23"/>
      <c r="P426" s="23"/>
    </row>
    <row r="427" spans="2:16" x14ac:dyDescent="0.25">
      <c r="B427" s="23"/>
      <c r="E427" s="23"/>
      <c r="G427" s="23"/>
      <c r="H427" s="23"/>
      <c r="J427" s="23"/>
      <c r="K427" s="23"/>
      <c r="M427" s="23"/>
      <c r="N427" s="23"/>
      <c r="P427" s="23"/>
    </row>
    <row r="428" spans="2:16" x14ac:dyDescent="0.25">
      <c r="B428" s="23"/>
      <c r="E428" s="23"/>
      <c r="G428" s="23"/>
      <c r="H428" s="23"/>
      <c r="J428" s="23"/>
      <c r="K428" s="23"/>
      <c r="M428" s="23"/>
      <c r="N428" s="23"/>
      <c r="P428" s="23"/>
    </row>
    <row r="429" spans="2:16" x14ac:dyDescent="0.25">
      <c r="B429" s="23"/>
      <c r="E429" s="23"/>
      <c r="G429" s="23"/>
      <c r="H429" s="23"/>
      <c r="J429" s="23"/>
      <c r="K429" s="23"/>
      <c r="M429" s="23"/>
      <c r="N429" s="23"/>
      <c r="P429" s="23"/>
    </row>
    <row r="430" spans="2:16" x14ac:dyDescent="0.25">
      <c r="B430" s="23"/>
      <c r="E430" s="23"/>
      <c r="G430" s="23"/>
      <c r="H430" s="23"/>
      <c r="J430" s="23"/>
      <c r="K430" s="23"/>
      <c r="M430" s="23"/>
      <c r="N430" s="23"/>
      <c r="P430" s="23"/>
    </row>
    <row r="431" spans="2:16" x14ac:dyDescent="0.25">
      <c r="B431" s="23"/>
      <c r="E431" s="23"/>
      <c r="G431" s="23"/>
      <c r="H431" s="23"/>
      <c r="J431" s="23"/>
      <c r="K431" s="23"/>
      <c r="M431" s="23"/>
      <c r="N431" s="23"/>
      <c r="P431" s="23"/>
    </row>
    <row r="432" spans="2:16" x14ac:dyDescent="0.25">
      <c r="B432" s="23"/>
      <c r="E432" s="23"/>
      <c r="G432" s="23"/>
      <c r="H432" s="23"/>
      <c r="J432" s="23"/>
      <c r="K432" s="23"/>
      <c r="M432" s="23"/>
      <c r="N432" s="23"/>
      <c r="P432" s="23"/>
    </row>
    <row r="433" spans="2:16" x14ac:dyDescent="0.25">
      <c r="B433" s="23"/>
      <c r="E433" s="23"/>
      <c r="G433" s="23"/>
      <c r="H433" s="23"/>
      <c r="J433" s="23"/>
      <c r="K433" s="23"/>
      <c r="M433" s="23"/>
      <c r="N433" s="23"/>
      <c r="P433" s="23"/>
    </row>
    <row r="434" spans="2:16" x14ac:dyDescent="0.25">
      <c r="B434" s="23"/>
      <c r="E434" s="23"/>
      <c r="G434" s="23"/>
      <c r="H434" s="23"/>
      <c r="J434" s="23"/>
      <c r="K434" s="23"/>
      <c r="M434" s="23"/>
      <c r="N434" s="23"/>
      <c r="P434" s="23"/>
    </row>
    <row r="435" spans="2:16" x14ac:dyDescent="0.25">
      <c r="B435" s="23"/>
      <c r="E435" s="23"/>
      <c r="G435" s="23"/>
      <c r="H435" s="23"/>
      <c r="J435" s="23"/>
      <c r="K435" s="23"/>
      <c r="M435" s="23"/>
      <c r="N435" s="23"/>
      <c r="P435" s="23"/>
    </row>
    <row r="436" spans="2:16" x14ac:dyDescent="0.25">
      <c r="B436" s="23"/>
      <c r="E436" s="23"/>
      <c r="G436" s="23"/>
      <c r="H436" s="23"/>
      <c r="J436" s="23"/>
      <c r="K436" s="23"/>
      <c r="M436" s="23"/>
      <c r="N436" s="23"/>
      <c r="P436" s="23"/>
    </row>
    <row r="437" spans="2:16" x14ac:dyDescent="0.25">
      <c r="B437" s="23"/>
      <c r="E437" s="23"/>
      <c r="G437" s="23"/>
      <c r="H437" s="23"/>
      <c r="J437" s="23"/>
      <c r="K437" s="23"/>
      <c r="M437" s="23"/>
      <c r="N437" s="23"/>
      <c r="P437" s="23"/>
    </row>
    <row r="438" spans="2:16" x14ac:dyDescent="0.25">
      <c r="B438" s="23"/>
      <c r="E438" s="23"/>
      <c r="G438" s="23"/>
      <c r="H438" s="23"/>
      <c r="J438" s="23"/>
      <c r="K438" s="23"/>
      <c r="M438" s="23"/>
      <c r="N438" s="23"/>
      <c r="P438" s="23"/>
    </row>
    <row r="439" spans="2:16" x14ac:dyDescent="0.25">
      <c r="B439" s="23"/>
      <c r="E439" s="23"/>
      <c r="G439" s="23"/>
      <c r="H439" s="23"/>
      <c r="J439" s="23"/>
      <c r="K439" s="23"/>
      <c r="M439" s="23"/>
      <c r="N439" s="23"/>
      <c r="P439" s="23"/>
    </row>
    <row r="440" spans="2:16" x14ac:dyDescent="0.25">
      <c r="B440" s="23"/>
      <c r="E440" s="23"/>
      <c r="G440" s="23"/>
      <c r="H440" s="23"/>
      <c r="J440" s="23"/>
      <c r="K440" s="23"/>
      <c r="M440" s="23"/>
      <c r="N440" s="23"/>
      <c r="P440" s="23"/>
    </row>
    <row r="441" spans="2:16" x14ac:dyDescent="0.25">
      <c r="B441" s="23"/>
      <c r="E441" s="23"/>
      <c r="G441" s="23"/>
      <c r="H441" s="23"/>
      <c r="J441" s="23"/>
      <c r="K441" s="23"/>
      <c r="M441" s="23"/>
      <c r="N441" s="23"/>
      <c r="P441" s="23"/>
    </row>
    <row r="442" spans="2:16" x14ac:dyDescent="0.25">
      <c r="B442" s="23"/>
      <c r="E442" s="23"/>
      <c r="G442" s="23"/>
      <c r="H442" s="23"/>
      <c r="J442" s="23"/>
      <c r="K442" s="23"/>
      <c r="M442" s="23"/>
      <c r="N442" s="23"/>
      <c r="P442" s="23"/>
    </row>
    <row r="443" spans="2:16" x14ac:dyDescent="0.25">
      <c r="B443" s="23"/>
      <c r="E443" s="23"/>
      <c r="G443" s="23"/>
      <c r="H443" s="23"/>
      <c r="J443" s="23"/>
      <c r="K443" s="23"/>
      <c r="M443" s="23"/>
      <c r="N443" s="23"/>
      <c r="P443" s="23"/>
    </row>
    <row r="444" spans="2:16" x14ac:dyDescent="0.25">
      <c r="B444" s="23"/>
      <c r="E444" s="23"/>
      <c r="G444" s="23"/>
      <c r="H444" s="23"/>
      <c r="J444" s="23"/>
      <c r="K444" s="23"/>
      <c r="M444" s="23"/>
      <c r="N444" s="23"/>
      <c r="P444" s="23"/>
    </row>
    <row r="445" spans="2:16" x14ac:dyDescent="0.25">
      <c r="B445" s="23"/>
      <c r="E445" s="23"/>
      <c r="G445" s="23"/>
      <c r="H445" s="23"/>
      <c r="J445" s="23"/>
      <c r="K445" s="23"/>
      <c r="M445" s="23"/>
      <c r="N445" s="23"/>
      <c r="P445" s="23"/>
    </row>
    <row r="446" spans="2:16" x14ac:dyDescent="0.25">
      <c r="B446" s="23"/>
      <c r="E446" s="23"/>
      <c r="G446" s="23"/>
      <c r="H446" s="23"/>
      <c r="J446" s="23"/>
      <c r="K446" s="23"/>
      <c r="M446" s="23"/>
      <c r="N446" s="23"/>
      <c r="P446" s="23"/>
    </row>
    <row r="447" spans="2:16" x14ac:dyDescent="0.25">
      <c r="B447" s="23"/>
      <c r="E447" s="23"/>
      <c r="G447" s="23"/>
      <c r="H447" s="23"/>
      <c r="J447" s="23"/>
      <c r="K447" s="23"/>
      <c r="M447" s="23"/>
      <c r="N447" s="23"/>
      <c r="P447" s="23"/>
    </row>
    <row r="448" spans="2:16" x14ac:dyDescent="0.25">
      <c r="B448" s="23"/>
      <c r="E448" s="23"/>
      <c r="G448" s="23"/>
      <c r="H448" s="23"/>
      <c r="J448" s="23"/>
      <c r="K448" s="23"/>
      <c r="M448" s="23"/>
      <c r="N448" s="23"/>
      <c r="P448" s="23"/>
    </row>
    <row r="449" spans="2:16" x14ac:dyDescent="0.25">
      <c r="B449" s="23"/>
      <c r="E449" s="23"/>
      <c r="G449" s="23"/>
      <c r="H449" s="23"/>
      <c r="J449" s="23"/>
      <c r="K449" s="23"/>
      <c r="M449" s="23"/>
      <c r="N449" s="23"/>
      <c r="P449" s="23"/>
    </row>
    <row r="450" spans="2:16" x14ac:dyDescent="0.25">
      <c r="B450" s="23"/>
      <c r="E450" s="23"/>
      <c r="G450" s="23"/>
      <c r="H450" s="23"/>
      <c r="J450" s="23"/>
      <c r="K450" s="23"/>
      <c r="M450" s="23"/>
      <c r="N450" s="23"/>
      <c r="P450" s="23"/>
    </row>
    <row r="451" spans="2:16" x14ac:dyDescent="0.25">
      <c r="B451" s="23"/>
      <c r="E451" s="23"/>
      <c r="G451" s="23"/>
      <c r="H451" s="23"/>
      <c r="J451" s="23"/>
      <c r="K451" s="23"/>
      <c r="M451" s="23"/>
      <c r="N451" s="23"/>
      <c r="P451" s="23"/>
    </row>
    <row r="452" spans="2:16" x14ac:dyDescent="0.25">
      <c r="B452" s="23"/>
      <c r="E452" s="23"/>
      <c r="G452" s="23"/>
      <c r="H452" s="23"/>
      <c r="J452" s="23"/>
      <c r="K452" s="23"/>
      <c r="M452" s="23"/>
      <c r="N452" s="23"/>
      <c r="P452" s="23"/>
    </row>
    <row r="453" spans="2:16" x14ac:dyDescent="0.25">
      <c r="B453" s="23"/>
      <c r="E453" s="23"/>
      <c r="G453" s="23"/>
      <c r="H453" s="23"/>
      <c r="J453" s="23"/>
      <c r="K453" s="23"/>
      <c r="M453" s="23"/>
      <c r="N453" s="23"/>
      <c r="P453" s="23"/>
    </row>
    <row r="454" spans="2:16" x14ac:dyDescent="0.25">
      <c r="B454" s="23"/>
      <c r="E454" s="23"/>
      <c r="G454" s="23"/>
      <c r="H454" s="23"/>
      <c r="J454" s="23"/>
      <c r="K454" s="23"/>
      <c r="M454" s="23"/>
      <c r="N454" s="23"/>
      <c r="P454" s="23"/>
    </row>
    <row r="455" spans="2:16" x14ac:dyDescent="0.25">
      <c r="B455" s="23"/>
      <c r="E455" s="23"/>
      <c r="G455" s="23"/>
      <c r="H455" s="23"/>
      <c r="J455" s="23"/>
      <c r="K455" s="23"/>
      <c r="M455" s="23"/>
      <c r="N455" s="23"/>
      <c r="P455" s="23"/>
    </row>
    <row r="456" spans="2:16" x14ac:dyDescent="0.25">
      <c r="B456" s="23"/>
      <c r="E456" s="23"/>
      <c r="G456" s="23"/>
      <c r="H456" s="23"/>
      <c r="J456" s="23"/>
      <c r="K456" s="23"/>
      <c r="M456" s="23"/>
      <c r="N456" s="23"/>
      <c r="P456" s="23"/>
    </row>
    <row r="457" spans="2:16" x14ac:dyDescent="0.25">
      <c r="B457" s="23"/>
      <c r="E457" s="23"/>
      <c r="G457" s="23"/>
      <c r="H457" s="23"/>
      <c r="J457" s="23"/>
      <c r="K457" s="23"/>
      <c r="M457" s="23"/>
      <c r="N457" s="23"/>
      <c r="P457" s="23"/>
    </row>
    <row r="458" spans="2:16" x14ac:dyDescent="0.25">
      <c r="B458" s="23"/>
      <c r="E458" s="23"/>
      <c r="G458" s="23"/>
      <c r="H458" s="23"/>
      <c r="J458" s="23"/>
      <c r="K458" s="23"/>
      <c r="M458" s="23"/>
      <c r="N458" s="23"/>
      <c r="P458" s="23"/>
    </row>
    <row r="459" spans="2:16" x14ac:dyDescent="0.25">
      <c r="B459" s="23"/>
      <c r="E459" s="23"/>
      <c r="G459" s="23"/>
      <c r="H459" s="23"/>
      <c r="J459" s="23"/>
      <c r="K459" s="23"/>
      <c r="M459" s="23"/>
      <c r="N459" s="23"/>
      <c r="P459" s="23"/>
    </row>
    <row r="460" spans="2:16" x14ac:dyDescent="0.25">
      <c r="B460" s="23"/>
      <c r="E460" s="23"/>
      <c r="G460" s="23"/>
      <c r="H460" s="23"/>
      <c r="J460" s="23"/>
      <c r="K460" s="23"/>
      <c r="M460" s="23"/>
      <c r="N460" s="23"/>
      <c r="P460" s="23"/>
    </row>
    <row r="461" spans="2:16" x14ac:dyDescent="0.25">
      <c r="B461" s="23"/>
      <c r="E461" s="23"/>
      <c r="G461" s="23"/>
      <c r="H461" s="23"/>
      <c r="J461" s="23"/>
      <c r="K461" s="23"/>
      <c r="M461" s="23"/>
      <c r="N461" s="23"/>
      <c r="P461" s="23"/>
    </row>
    <row r="462" spans="2:16" x14ac:dyDescent="0.25">
      <c r="B462" s="23"/>
      <c r="E462" s="23"/>
      <c r="G462" s="23"/>
      <c r="H462" s="23"/>
      <c r="J462" s="23"/>
      <c r="K462" s="23"/>
      <c r="M462" s="23"/>
      <c r="N462" s="23"/>
      <c r="P462" s="23"/>
    </row>
    <row r="463" spans="2:16" x14ac:dyDescent="0.25">
      <c r="B463" s="23"/>
      <c r="E463" s="23"/>
      <c r="G463" s="23"/>
      <c r="H463" s="23"/>
      <c r="J463" s="23"/>
      <c r="K463" s="23"/>
      <c r="M463" s="23"/>
      <c r="N463" s="23"/>
      <c r="P463" s="23"/>
    </row>
    <row r="464" spans="2:16" x14ac:dyDescent="0.25">
      <c r="B464" s="23"/>
      <c r="E464" s="23"/>
      <c r="G464" s="23"/>
      <c r="H464" s="23"/>
      <c r="J464" s="23"/>
      <c r="K464" s="23"/>
      <c r="M464" s="23"/>
      <c r="N464" s="23"/>
      <c r="P464" s="23"/>
    </row>
    <row r="465" spans="2:16" x14ac:dyDescent="0.25">
      <c r="B465" s="23"/>
      <c r="E465" s="23"/>
      <c r="G465" s="23"/>
      <c r="H465" s="23"/>
      <c r="J465" s="23"/>
      <c r="K465" s="23"/>
      <c r="M465" s="23"/>
      <c r="N465" s="23"/>
      <c r="P465" s="23"/>
    </row>
    <row r="466" spans="2:16" x14ac:dyDescent="0.25">
      <c r="B466" s="23"/>
      <c r="E466" s="23"/>
      <c r="G466" s="23"/>
      <c r="H466" s="23"/>
      <c r="J466" s="23"/>
      <c r="K466" s="23"/>
      <c r="M466" s="23"/>
      <c r="N466" s="23"/>
      <c r="P466" s="23"/>
    </row>
    <row r="467" spans="2:16" x14ac:dyDescent="0.25">
      <c r="B467" s="23"/>
      <c r="E467" s="23"/>
      <c r="G467" s="23"/>
      <c r="H467" s="23"/>
      <c r="J467" s="23"/>
      <c r="K467" s="23"/>
      <c r="M467" s="23"/>
      <c r="N467" s="23"/>
      <c r="P467" s="23"/>
    </row>
    <row r="468" spans="2:16" x14ac:dyDescent="0.25">
      <c r="B468" s="23"/>
      <c r="E468" s="23"/>
      <c r="G468" s="23"/>
      <c r="H468" s="23"/>
      <c r="J468" s="23"/>
      <c r="K468" s="23"/>
      <c r="M468" s="23"/>
      <c r="N468" s="23"/>
      <c r="P468" s="23"/>
    </row>
    <row r="469" spans="2:16" x14ac:dyDescent="0.25">
      <c r="B469" s="23"/>
      <c r="E469" s="23"/>
      <c r="G469" s="23"/>
      <c r="H469" s="23"/>
      <c r="J469" s="23"/>
      <c r="K469" s="23"/>
      <c r="M469" s="23"/>
      <c r="N469" s="23"/>
      <c r="P469" s="23"/>
    </row>
    <row r="470" spans="2:16" x14ac:dyDescent="0.25">
      <c r="B470" s="23"/>
      <c r="E470" s="23"/>
      <c r="G470" s="23"/>
      <c r="H470" s="23"/>
      <c r="J470" s="23"/>
      <c r="K470" s="23"/>
      <c r="M470" s="23"/>
      <c r="N470" s="23"/>
      <c r="P470" s="23"/>
    </row>
    <row r="471" spans="2:16" x14ac:dyDescent="0.25">
      <c r="B471" s="23"/>
      <c r="E471" s="23"/>
      <c r="G471" s="23"/>
      <c r="H471" s="23"/>
      <c r="J471" s="23"/>
      <c r="K471" s="23"/>
      <c r="M471" s="23"/>
      <c r="N471" s="23"/>
      <c r="P471" s="23"/>
    </row>
    <row r="472" spans="2:16" x14ac:dyDescent="0.25">
      <c r="B472" s="23"/>
      <c r="E472" s="23"/>
      <c r="G472" s="23"/>
      <c r="H472" s="23"/>
      <c r="J472" s="23"/>
      <c r="K472" s="23"/>
      <c r="M472" s="23"/>
      <c r="N472" s="23"/>
      <c r="P472" s="23"/>
    </row>
    <row r="473" spans="2:16" x14ac:dyDescent="0.25">
      <c r="B473" s="23"/>
      <c r="E473" s="23"/>
      <c r="G473" s="23"/>
      <c r="H473" s="23"/>
      <c r="J473" s="23"/>
      <c r="K473" s="23"/>
      <c r="M473" s="23"/>
      <c r="N473" s="23"/>
      <c r="P473" s="23"/>
    </row>
    <row r="474" spans="2:16" x14ac:dyDescent="0.25">
      <c r="B474" s="23"/>
      <c r="E474" s="23"/>
      <c r="G474" s="23"/>
      <c r="H474" s="23"/>
      <c r="J474" s="23"/>
      <c r="K474" s="23"/>
      <c r="M474" s="23"/>
      <c r="N474" s="23"/>
      <c r="P474" s="23"/>
    </row>
    <row r="475" spans="2:16" x14ac:dyDescent="0.25">
      <c r="B475" s="23"/>
      <c r="E475" s="23"/>
      <c r="G475" s="23"/>
      <c r="H475" s="23"/>
      <c r="J475" s="23"/>
      <c r="K475" s="23"/>
      <c r="M475" s="23"/>
      <c r="N475" s="23"/>
      <c r="P475" s="23"/>
    </row>
    <row r="476" spans="2:16" x14ac:dyDescent="0.25">
      <c r="B476" s="23"/>
      <c r="E476" s="23"/>
      <c r="G476" s="23"/>
      <c r="H476" s="23"/>
      <c r="J476" s="23"/>
      <c r="K476" s="23"/>
      <c r="M476" s="23"/>
      <c r="N476" s="23"/>
      <c r="P476" s="23"/>
    </row>
    <row r="477" spans="2:16" x14ac:dyDescent="0.25">
      <c r="B477" s="23"/>
      <c r="E477" s="23"/>
      <c r="G477" s="23"/>
      <c r="H477" s="23"/>
      <c r="J477" s="23"/>
      <c r="K477" s="23"/>
      <c r="M477" s="23"/>
      <c r="N477" s="23"/>
      <c r="P477" s="23"/>
    </row>
    <row r="478" spans="2:16" x14ac:dyDescent="0.25">
      <c r="B478" s="23"/>
      <c r="E478" s="23"/>
      <c r="G478" s="23"/>
      <c r="H478" s="23"/>
      <c r="J478" s="23"/>
      <c r="K478" s="23"/>
      <c r="M478" s="23"/>
      <c r="N478" s="23"/>
      <c r="P478" s="23"/>
    </row>
    <row r="479" spans="2:16" x14ac:dyDescent="0.25">
      <c r="B479" s="23"/>
      <c r="E479" s="23"/>
      <c r="G479" s="23"/>
      <c r="H479" s="23"/>
      <c r="J479" s="23"/>
      <c r="K479" s="23"/>
      <c r="M479" s="23"/>
      <c r="N479" s="23"/>
      <c r="P479" s="23"/>
    </row>
    <row r="480" spans="2:16" x14ac:dyDescent="0.25">
      <c r="B480" s="23"/>
      <c r="E480" s="23"/>
      <c r="G480" s="23"/>
      <c r="H480" s="23"/>
      <c r="J480" s="23"/>
      <c r="K480" s="23"/>
      <c r="M480" s="23"/>
      <c r="N480" s="23"/>
      <c r="P480" s="23"/>
    </row>
    <row r="481" spans="2:16" x14ac:dyDescent="0.25">
      <c r="B481" s="23"/>
      <c r="E481" s="23"/>
      <c r="G481" s="23"/>
      <c r="H481" s="23"/>
      <c r="J481" s="23"/>
      <c r="K481" s="23"/>
      <c r="M481" s="23"/>
      <c r="N481" s="23"/>
      <c r="P481" s="23"/>
    </row>
    <row r="482" spans="2:16" x14ac:dyDescent="0.25">
      <c r="B482" s="23"/>
      <c r="E482" s="23"/>
      <c r="G482" s="23"/>
      <c r="H482" s="23"/>
      <c r="J482" s="23"/>
      <c r="K482" s="23"/>
      <c r="M482" s="23"/>
      <c r="N482" s="23"/>
      <c r="P482" s="23"/>
    </row>
    <row r="483" spans="2:16" x14ac:dyDescent="0.25">
      <c r="B483" s="23"/>
      <c r="E483" s="23"/>
      <c r="G483" s="23"/>
      <c r="H483" s="23"/>
      <c r="J483" s="23"/>
      <c r="K483" s="23"/>
      <c r="M483" s="23"/>
      <c r="N483" s="23"/>
      <c r="P483" s="23"/>
    </row>
    <row r="484" spans="2:16" x14ac:dyDescent="0.25">
      <c r="B484" s="23"/>
      <c r="E484" s="23"/>
      <c r="G484" s="23"/>
      <c r="H484" s="23"/>
      <c r="J484" s="23"/>
      <c r="K484" s="23"/>
      <c r="M484" s="23"/>
      <c r="N484" s="23"/>
      <c r="P484" s="23"/>
    </row>
    <row r="485" spans="2:16" x14ac:dyDescent="0.25">
      <c r="B485" s="23"/>
      <c r="E485" s="23"/>
      <c r="G485" s="23"/>
      <c r="H485" s="23"/>
      <c r="J485" s="23"/>
      <c r="K485" s="23"/>
      <c r="M485" s="23"/>
      <c r="N485" s="23"/>
      <c r="P485" s="23"/>
    </row>
    <row r="486" spans="2:16" x14ac:dyDescent="0.25">
      <c r="B486" s="23"/>
      <c r="E486" s="23"/>
      <c r="G486" s="23"/>
      <c r="H486" s="23"/>
      <c r="J486" s="23"/>
      <c r="K486" s="23"/>
      <c r="M486" s="23"/>
      <c r="N486" s="23"/>
      <c r="P486" s="23"/>
    </row>
    <row r="487" spans="2:16" x14ac:dyDescent="0.25">
      <c r="B487" s="23"/>
      <c r="E487" s="23"/>
      <c r="G487" s="23"/>
      <c r="H487" s="23"/>
      <c r="J487" s="23"/>
      <c r="K487" s="23"/>
      <c r="M487" s="23"/>
      <c r="N487" s="23"/>
      <c r="P487" s="23"/>
    </row>
    <row r="488" spans="2:16" x14ac:dyDescent="0.25">
      <c r="B488" s="23"/>
      <c r="E488" s="23"/>
      <c r="G488" s="23"/>
      <c r="H488" s="23"/>
      <c r="J488" s="23"/>
      <c r="K488" s="23"/>
      <c r="M488" s="23"/>
      <c r="N488" s="23"/>
      <c r="P488" s="23"/>
    </row>
    <row r="489" spans="2:16" x14ac:dyDescent="0.25">
      <c r="B489" s="23"/>
      <c r="E489" s="23"/>
      <c r="G489" s="23"/>
      <c r="H489" s="23"/>
      <c r="J489" s="23"/>
      <c r="K489" s="23"/>
      <c r="M489" s="23"/>
      <c r="N489" s="23"/>
      <c r="P489" s="23"/>
    </row>
    <row r="490" spans="2:16" x14ac:dyDescent="0.25">
      <c r="B490" s="23"/>
      <c r="E490" s="23"/>
      <c r="G490" s="23"/>
      <c r="H490" s="23"/>
      <c r="J490" s="23"/>
      <c r="K490" s="23"/>
      <c r="M490" s="23"/>
      <c r="N490" s="23"/>
      <c r="P490" s="23"/>
    </row>
    <row r="491" spans="2:16" x14ac:dyDescent="0.25">
      <c r="B491" s="23"/>
      <c r="E491" s="23"/>
      <c r="G491" s="23"/>
      <c r="H491" s="23"/>
      <c r="J491" s="23"/>
      <c r="K491" s="23"/>
      <c r="M491" s="23"/>
      <c r="N491" s="23"/>
      <c r="P491" s="23"/>
    </row>
    <row r="492" spans="2:16" x14ac:dyDescent="0.25">
      <c r="B492" s="23"/>
      <c r="E492" s="23"/>
      <c r="G492" s="23"/>
      <c r="H492" s="23"/>
      <c r="J492" s="23"/>
      <c r="K492" s="23"/>
      <c r="M492" s="23"/>
      <c r="N492" s="23"/>
      <c r="P492" s="23"/>
    </row>
    <row r="493" spans="2:16" x14ac:dyDescent="0.25">
      <c r="B493" s="23"/>
      <c r="E493" s="23"/>
      <c r="G493" s="23"/>
      <c r="H493" s="23"/>
      <c r="J493" s="23"/>
      <c r="K493" s="23"/>
      <c r="M493" s="23"/>
      <c r="N493" s="23"/>
      <c r="P493" s="23"/>
    </row>
    <row r="494" spans="2:16" x14ac:dyDescent="0.25">
      <c r="B494" s="23"/>
      <c r="E494" s="23"/>
      <c r="G494" s="23"/>
      <c r="H494" s="23"/>
      <c r="J494" s="23"/>
      <c r="K494" s="23"/>
      <c r="M494" s="23"/>
      <c r="N494" s="23"/>
      <c r="P494" s="23"/>
    </row>
    <row r="495" spans="2:16" x14ac:dyDescent="0.25">
      <c r="B495" s="23"/>
      <c r="E495" s="23"/>
      <c r="G495" s="23"/>
      <c r="H495" s="23"/>
      <c r="J495" s="23"/>
      <c r="K495" s="23"/>
      <c r="M495" s="23"/>
      <c r="N495" s="23"/>
      <c r="P495" s="23"/>
    </row>
    <row r="496" spans="2:16" x14ac:dyDescent="0.25">
      <c r="B496" s="23"/>
      <c r="E496" s="23"/>
      <c r="G496" s="23"/>
      <c r="H496" s="23"/>
      <c r="J496" s="23"/>
      <c r="K496" s="23"/>
      <c r="M496" s="23"/>
      <c r="N496" s="23"/>
      <c r="P496" s="23"/>
    </row>
    <row r="497" spans="2:16" x14ac:dyDescent="0.25">
      <c r="B497" s="23"/>
      <c r="E497" s="23"/>
      <c r="G497" s="23"/>
      <c r="H497" s="23"/>
      <c r="J497" s="23"/>
      <c r="K497" s="23"/>
      <c r="M497" s="23"/>
      <c r="N497" s="23"/>
      <c r="P497" s="23"/>
    </row>
    <row r="498" spans="2:16" x14ac:dyDescent="0.25">
      <c r="B498" s="23"/>
      <c r="E498" s="23"/>
      <c r="G498" s="23"/>
      <c r="H498" s="23"/>
      <c r="J498" s="23"/>
      <c r="K498" s="23"/>
      <c r="M498" s="23"/>
      <c r="N498" s="23"/>
      <c r="P498" s="23"/>
    </row>
    <row r="499" spans="2:16" x14ac:dyDescent="0.25">
      <c r="B499" s="23"/>
      <c r="E499" s="23"/>
      <c r="G499" s="23"/>
      <c r="H499" s="23"/>
      <c r="J499" s="23"/>
      <c r="K499" s="23"/>
      <c r="M499" s="23"/>
      <c r="N499" s="23"/>
      <c r="P499" s="23"/>
    </row>
    <row r="500" spans="2:16" x14ac:dyDescent="0.25">
      <c r="B500" s="23"/>
      <c r="E500" s="23"/>
      <c r="G500" s="23"/>
      <c r="H500" s="23"/>
      <c r="J500" s="23"/>
      <c r="K500" s="23"/>
      <c r="M500" s="23"/>
      <c r="N500" s="23"/>
      <c r="P500" s="23"/>
    </row>
    <row r="501" spans="2:16" x14ac:dyDescent="0.25">
      <c r="B501" s="23"/>
      <c r="E501" s="23"/>
      <c r="G501" s="23"/>
      <c r="H501" s="23"/>
      <c r="J501" s="23"/>
      <c r="K501" s="23"/>
      <c r="M501" s="23"/>
      <c r="N501" s="23"/>
      <c r="P501" s="23"/>
    </row>
    <row r="502" spans="2:16" x14ac:dyDescent="0.25">
      <c r="B502" s="23"/>
      <c r="E502" s="23"/>
      <c r="G502" s="23"/>
      <c r="H502" s="23"/>
      <c r="J502" s="23"/>
      <c r="K502" s="23"/>
      <c r="M502" s="23"/>
      <c r="N502" s="23"/>
      <c r="P502" s="23"/>
    </row>
    <row r="503" spans="2:16" x14ac:dyDescent="0.25">
      <c r="B503" s="23"/>
      <c r="E503" s="23"/>
      <c r="G503" s="23"/>
      <c r="H503" s="23"/>
      <c r="J503" s="23"/>
      <c r="K503" s="23"/>
      <c r="M503" s="23"/>
      <c r="N503" s="23"/>
      <c r="P503" s="23"/>
    </row>
    <row r="504" spans="2:16" x14ac:dyDescent="0.25">
      <c r="B504" s="23"/>
      <c r="E504" s="23"/>
      <c r="G504" s="23"/>
      <c r="H504" s="23"/>
      <c r="J504" s="23"/>
      <c r="K504" s="23"/>
      <c r="M504" s="23"/>
      <c r="N504" s="23"/>
      <c r="P504" s="23"/>
    </row>
    <row r="505" spans="2:16" x14ac:dyDescent="0.25">
      <c r="B505" s="23"/>
      <c r="E505" s="23"/>
      <c r="G505" s="23"/>
      <c r="H505" s="23"/>
      <c r="J505" s="23"/>
      <c r="K505" s="23"/>
      <c r="M505" s="23"/>
      <c r="N505" s="23"/>
      <c r="P505" s="23"/>
    </row>
    <row r="506" spans="2:16" x14ac:dyDescent="0.25">
      <c r="B506" s="23"/>
      <c r="E506" s="23"/>
      <c r="G506" s="23"/>
      <c r="H506" s="23"/>
      <c r="J506" s="23"/>
      <c r="K506" s="23"/>
      <c r="M506" s="23"/>
      <c r="N506" s="23"/>
      <c r="P506" s="23"/>
    </row>
    <row r="507" spans="2:16" x14ac:dyDescent="0.25">
      <c r="B507" s="23"/>
      <c r="E507" s="23"/>
      <c r="G507" s="23"/>
      <c r="H507" s="23"/>
      <c r="J507" s="23"/>
      <c r="K507" s="23"/>
      <c r="M507" s="23"/>
      <c r="N507" s="23"/>
      <c r="P507" s="23"/>
    </row>
    <row r="508" spans="2:16" x14ac:dyDescent="0.25">
      <c r="B508" s="23"/>
      <c r="E508" s="23"/>
      <c r="G508" s="23"/>
      <c r="H508" s="23"/>
      <c r="J508" s="23"/>
      <c r="K508" s="23"/>
      <c r="M508" s="23"/>
      <c r="N508" s="23"/>
      <c r="P508" s="23"/>
    </row>
    <row r="509" spans="2:16" x14ac:dyDescent="0.25">
      <c r="B509" s="23"/>
      <c r="E509" s="23"/>
      <c r="G509" s="23"/>
      <c r="H509" s="23"/>
      <c r="J509" s="23"/>
      <c r="K509" s="23"/>
      <c r="M509" s="23"/>
      <c r="N509" s="23"/>
      <c r="P509" s="23"/>
    </row>
    <row r="510" spans="2:16" x14ac:dyDescent="0.25">
      <c r="B510" s="23"/>
      <c r="E510" s="23"/>
      <c r="G510" s="23"/>
      <c r="H510" s="23"/>
      <c r="J510" s="23"/>
      <c r="K510" s="23"/>
      <c r="M510" s="23"/>
      <c r="N510" s="23"/>
      <c r="P510" s="23"/>
    </row>
    <row r="511" spans="2:16" x14ac:dyDescent="0.25">
      <c r="B511" s="23"/>
      <c r="E511" s="23"/>
      <c r="G511" s="23"/>
      <c r="H511" s="23"/>
      <c r="J511" s="23"/>
      <c r="K511" s="23"/>
      <c r="M511" s="23"/>
      <c r="N511" s="23"/>
      <c r="P511" s="23"/>
    </row>
    <row r="512" spans="2:16" x14ac:dyDescent="0.25">
      <c r="B512" s="23"/>
      <c r="E512" s="23"/>
      <c r="G512" s="23"/>
      <c r="H512" s="23"/>
      <c r="J512" s="23"/>
      <c r="K512" s="23"/>
      <c r="M512" s="23"/>
      <c r="N512" s="23"/>
      <c r="P512" s="23"/>
    </row>
    <row r="513" spans="2:16" x14ac:dyDescent="0.25">
      <c r="B513" s="23"/>
      <c r="E513" s="23"/>
      <c r="G513" s="23"/>
      <c r="H513" s="23"/>
      <c r="J513" s="23"/>
      <c r="K513" s="23"/>
      <c r="M513" s="23"/>
      <c r="N513" s="23"/>
      <c r="P513" s="23"/>
    </row>
    <row r="514" spans="2:16" x14ac:dyDescent="0.25">
      <c r="B514" s="23"/>
      <c r="E514" s="23"/>
      <c r="G514" s="23"/>
      <c r="H514" s="23"/>
      <c r="J514" s="23"/>
      <c r="K514" s="23"/>
      <c r="M514" s="23"/>
      <c r="N514" s="23"/>
      <c r="P514" s="23"/>
    </row>
    <row r="515" spans="2:16" x14ac:dyDescent="0.25">
      <c r="B515" s="23"/>
      <c r="E515" s="23"/>
      <c r="G515" s="23"/>
      <c r="H515" s="23"/>
      <c r="J515" s="23"/>
      <c r="K515" s="23"/>
      <c r="M515" s="23"/>
      <c r="N515" s="23"/>
      <c r="P515" s="23"/>
    </row>
    <row r="516" spans="2:16" x14ac:dyDescent="0.25">
      <c r="B516" s="23"/>
      <c r="E516" s="23"/>
      <c r="G516" s="23"/>
      <c r="H516" s="23"/>
      <c r="J516" s="23"/>
      <c r="K516" s="23"/>
      <c r="M516" s="23"/>
      <c r="N516" s="23"/>
      <c r="P516" s="23"/>
    </row>
    <row r="517" spans="2:16" x14ac:dyDescent="0.25">
      <c r="B517" s="23"/>
      <c r="E517" s="23"/>
      <c r="G517" s="23"/>
      <c r="H517" s="23"/>
      <c r="J517" s="23"/>
      <c r="K517" s="23"/>
      <c r="M517" s="23"/>
      <c r="N517" s="23"/>
      <c r="P517" s="23"/>
    </row>
    <row r="518" spans="2:16" x14ac:dyDescent="0.25">
      <c r="B518" s="23"/>
      <c r="E518" s="23"/>
      <c r="G518" s="23"/>
      <c r="H518" s="23"/>
      <c r="J518" s="23"/>
      <c r="K518" s="23"/>
      <c r="M518" s="23"/>
      <c r="N518" s="23"/>
      <c r="P518" s="23"/>
    </row>
    <row r="519" spans="2:16" x14ac:dyDescent="0.25">
      <c r="B519" s="23"/>
      <c r="E519" s="23"/>
      <c r="G519" s="23"/>
      <c r="H519" s="23"/>
      <c r="J519" s="23"/>
      <c r="K519" s="23"/>
      <c r="M519" s="23"/>
      <c r="N519" s="23"/>
      <c r="P519" s="23"/>
    </row>
    <row r="520" spans="2:16" x14ac:dyDescent="0.25">
      <c r="B520" s="23"/>
      <c r="E520" s="23"/>
      <c r="G520" s="23"/>
      <c r="H520" s="23"/>
      <c r="J520" s="23"/>
      <c r="K520" s="23"/>
      <c r="M520" s="23"/>
      <c r="N520" s="23"/>
      <c r="P520" s="23"/>
    </row>
    <row r="521" spans="2:16" x14ac:dyDescent="0.25">
      <c r="B521" s="23"/>
      <c r="E521" s="23"/>
      <c r="G521" s="23"/>
      <c r="H521" s="23"/>
      <c r="J521" s="23"/>
      <c r="K521" s="23"/>
      <c r="M521" s="23"/>
      <c r="N521" s="23"/>
      <c r="P521" s="23"/>
    </row>
    <row r="522" spans="2:16" x14ac:dyDescent="0.25">
      <c r="B522" s="23"/>
      <c r="E522" s="23"/>
      <c r="G522" s="23"/>
      <c r="H522" s="23"/>
      <c r="J522" s="23"/>
      <c r="K522" s="23"/>
      <c r="M522" s="23"/>
      <c r="N522" s="23"/>
      <c r="P522" s="23"/>
    </row>
    <row r="523" spans="2:16" x14ac:dyDescent="0.25">
      <c r="B523" s="23"/>
      <c r="E523" s="23"/>
      <c r="G523" s="23"/>
      <c r="H523" s="23"/>
      <c r="J523" s="23"/>
      <c r="K523" s="23"/>
      <c r="M523" s="23"/>
      <c r="N523" s="23"/>
      <c r="P523" s="23"/>
    </row>
    <row r="524" spans="2:16" x14ac:dyDescent="0.25">
      <c r="B524" s="23"/>
      <c r="E524" s="23"/>
      <c r="G524" s="23"/>
      <c r="H524" s="23"/>
      <c r="J524" s="23"/>
      <c r="K524" s="23"/>
      <c r="M524" s="23"/>
      <c r="N524" s="23"/>
      <c r="P524" s="23"/>
    </row>
    <row r="525" spans="2:16" x14ac:dyDescent="0.25">
      <c r="B525" s="23"/>
      <c r="E525" s="23"/>
      <c r="G525" s="23"/>
      <c r="H525" s="23"/>
      <c r="J525" s="23"/>
      <c r="K525" s="23"/>
      <c r="M525" s="23"/>
      <c r="N525" s="23"/>
      <c r="P525" s="23"/>
    </row>
    <row r="526" spans="2:16" x14ac:dyDescent="0.25">
      <c r="B526" s="23"/>
      <c r="E526" s="23"/>
      <c r="G526" s="23"/>
      <c r="H526" s="23"/>
      <c r="J526" s="23"/>
      <c r="K526" s="23"/>
      <c r="M526" s="23"/>
      <c r="N526" s="23"/>
      <c r="P526" s="23"/>
    </row>
    <row r="527" spans="2:16" x14ac:dyDescent="0.25">
      <c r="B527" s="23"/>
      <c r="E527" s="23"/>
      <c r="G527" s="23"/>
      <c r="H527" s="23"/>
      <c r="J527" s="23"/>
      <c r="K527" s="23"/>
      <c r="M527" s="23"/>
      <c r="N527" s="23"/>
      <c r="P527" s="23"/>
    </row>
    <row r="528" spans="2:16" x14ac:dyDescent="0.25">
      <c r="B528" s="23"/>
      <c r="E528" s="23"/>
      <c r="G528" s="23"/>
      <c r="H528" s="23"/>
      <c r="J528" s="23"/>
      <c r="K528" s="23"/>
      <c r="M528" s="23"/>
      <c r="N528" s="23"/>
      <c r="P528" s="23"/>
    </row>
    <row r="529" spans="2:16" x14ac:dyDescent="0.25">
      <c r="B529" s="23"/>
      <c r="E529" s="23"/>
      <c r="G529" s="23"/>
      <c r="H529" s="23"/>
      <c r="J529" s="23"/>
      <c r="K529" s="23"/>
      <c r="M529" s="23"/>
      <c r="N529" s="23"/>
      <c r="P529" s="23"/>
    </row>
    <row r="530" spans="2:16" x14ac:dyDescent="0.25">
      <c r="B530" s="23"/>
      <c r="E530" s="23"/>
      <c r="G530" s="23"/>
      <c r="H530" s="23"/>
      <c r="J530" s="23"/>
      <c r="K530" s="23"/>
      <c r="M530" s="23"/>
      <c r="N530" s="23"/>
      <c r="P530" s="23"/>
    </row>
    <row r="531" spans="2:16" x14ac:dyDescent="0.25">
      <c r="B531" s="23"/>
      <c r="E531" s="23"/>
      <c r="G531" s="23"/>
      <c r="H531" s="23"/>
      <c r="J531" s="23"/>
      <c r="K531" s="23"/>
      <c r="M531" s="23"/>
      <c r="N531" s="23"/>
      <c r="P531" s="23"/>
    </row>
    <row r="532" spans="2:16" x14ac:dyDescent="0.25">
      <c r="B532" s="23"/>
      <c r="E532" s="23"/>
      <c r="G532" s="23"/>
      <c r="H532" s="23"/>
      <c r="J532" s="23"/>
      <c r="K532" s="23"/>
      <c r="M532" s="23"/>
      <c r="N532" s="23"/>
      <c r="P532" s="23"/>
    </row>
    <row r="533" spans="2:16" x14ac:dyDescent="0.25">
      <c r="B533" s="23"/>
      <c r="E533" s="23"/>
      <c r="G533" s="23"/>
      <c r="H533" s="23"/>
      <c r="J533" s="23"/>
      <c r="K533" s="23"/>
      <c r="M533" s="23"/>
      <c r="N533" s="23"/>
      <c r="P533" s="23"/>
    </row>
    <row r="534" spans="2:16" x14ac:dyDescent="0.25">
      <c r="B534" s="23"/>
      <c r="E534" s="23"/>
      <c r="G534" s="23"/>
      <c r="H534" s="23"/>
      <c r="J534" s="23"/>
      <c r="K534" s="23"/>
      <c r="M534" s="23"/>
      <c r="N534" s="23"/>
      <c r="P534" s="23"/>
    </row>
    <row r="535" spans="2:16" x14ac:dyDescent="0.25">
      <c r="B535" s="23"/>
      <c r="E535" s="23"/>
      <c r="G535" s="23"/>
      <c r="H535" s="23"/>
      <c r="J535" s="23"/>
      <c r="K535" s="23"/>
      <c r="M535" s="23"/>
      <c r="N535" s="23"/>
      <c r="P535" s="23"/>
    </row>
    <row r="536" spans="2:16" x14ac:dyDescent="0.25">
      <c r="B536" s="23"/>
      <c r="E536" s="23"/>
      <c r="G536" s="23"/>
      <c r="H536" s="23"/>
      <c r="J536" s="23"/>
      <c r="K536" s="23"/>
      <c r="M536" s="23"/>
      <c r="N536" s="23"/>
      <c r="P536" s="23"/>
    </row>
    <row r="537" spans="2:16" x14ac:dyDescent="0.25">
      <c r="B537" s="23"/>
      <c r="E537" s="23"/>
      <c r="G537" s="23"/>
      <c r="H537" s="23"/>
      <c r="J537" s="23"/>
      <c r="K537" s="23"/>
      <c r="M537" s="23"/>
      <c r="N537" s="23"/>
      <c r="P537" s="23"/>
    </row>
    <row r="538" spans="2:16" x14ac:dyDescent="0.25">
      <c r="B538" s="23"/>
      <c r="E538" s="23"/>
      <c r="G538" s="23"/>
      <c r="H538" s="23"/>
      <c r="J538" s="23"/>
      <c r="K538" s="23"/>
      <c r="M538" s="23"/>
      <c r="N538" s="23"/>
      <c r="P538" s="23"/>
    </row>
    <row r="539" spans="2:16" x14ac:dyDescent="0.25">
      <c r="B539" s="23"/>
      <c r="E539" s="23"/>
      <c r="G539" s="23"/>
      <c r="H539" s="23"/>
      <c r="J539" s="23"/>
      <c r="K539" s="23"/>
      <c r="M539" s="23"/>
      <c r="N539" s="23"/>
      <c r="P539" s="23"/>
    </row>
    <row r="540" spans="2:16" x14ac:dyDescent="0.25">
      <c r="B540" s="23"/>
      <c r="E540" s="23"/>
      <c r="G540" s="23"/>
      <c r="H540" s="23"/>
      <c r="J540" s="23"/>
      <c r="K540" s="23"/>
      <c r="M540" s="23"/>
      <c r="N540" s="23"/>
      <c r="P540" s="23"/>
    </row>
    <row r="541" spans="2:16" x14ac:dyDescent="0.25">
      <c r="B541" s="23"/>
      <c r="E541" s="23"/>
      <c r="G541" s="23"/>
      <c r="H541" s="23"/>
      <c r="J541" s="23"/>
      <c r="K541" s="23"/>
      <c r="M541" s="23"/>
      <c r="N541" s="23"/>
      <c r="P541" s="23"/>
    </row>
    <row r="542" spans="2:16" x14ac:dyDescent="0.25">
      <c r="B542" s="23"/>
      <c r="E542" s="23"/>
      <c r="G542" s="23"/>
      <c r="H542" s="23"/>
      <c r="J542" s="23"/>
      <c r="K542" s="23"/>
      <c r="M542" s="23"/>
      <c r="N542" s="23"/>
      <c r="P542" s="23"/>
    </row>
    <row r="543" spans="2:16" x14ac:dyDescent="0.25">
      <c r="B543" s="23"/>
      <c r="E543" s="23"/>
      <c r="G543" s="23"/>
      <c r="H543" s="23"/>
      <c r="J543" s="23"/>
      <c r="K543" s="23"/>
      <c r="M543" s="23"/>
      <c r="N543" s="23"/>
      <c r="P543" s="23"/>
    </row>
    <row r="544" spans="2:16" x14ac:dyDescent="0.25">
      <c r="B544" s="23"/>
      <c r="E544" s="23"/>
      <c r="G544" s="23"/>
      <c r="H544" s="23"/>
      <c r="J544" s="23"/>
      <c r="K544" s="23"/>
      <c r="M544" s="23"/>
      <c r="N544" s="23"/>
      <c r="P544" s="23"/>
    </row>
    <row r="545" spans="2:16" x14ac:dyDescent="0.25">
      <c r="B545" s="23"/>
      <c r="E545" s="23"/>
      <c r="G545" s="23"/>
      <c r="H545" s="23"/>
      <c r="J545" s="23"/>
      <c r="K545" s="23"/>
      <c r="M545" s="23"/>
      <c r="N545" s="23"/>
      <c r="P545" s="23"/>
    </row>
    <row r="546" spans="2:16" x14ac:dyDescent="0.25">
      <c r="B546" s="23"/>
      <c r="E546" s="23"/>
      <c r="G546" s="23"/>
      <c r="H546" s="23"/>
      <c r="J546" s="23"/>
      <c r="K546" s="23"/>
      <c r="M546" s="23"/>
      <c r="N546" s="23"/>
      <c r="P546" s="23"/>
    </row>
    <row r="547" spans="2:16" x14ac:dyDescent="0.25">
      <c r="B547" s="23"/>
      <c r="E547" s="23"/>
      <c r="G547" s="23"/>
      <c r="H547" s="23"/>
      <c r="J547" s="23"/>
      <c r="K547" s="23"/>
      <c r="M547" s="23"/>
      <c r="N547" s="23"/>
      <c r="P547" s="23"/>
    </row>
    <row r="548" spans="2:16" x14ac:dyDescent="0.25">
      <c r="B548" s="23"/>
      <c r="E548" s="23"/>
      <c r="G548" s="23"/>
      <c r="H548" s="23"/>
      <c r="J548" s="23"/>
      <c r="K548" s="23"/>
      <c r="M548" s="23"/>
      <c r="N548" s="23"/>
      <c r="P548" s="23"/>
    </row>
    <row r="549" spans="2:16" x14ac:dyDescent="0.25">
      <c r="B549" s="23"/>
      <c r="E549" s="23"/>
      <c r="G549" s="23"/>
      <c r="H549" s="23"/>
      <c r="J549" s="23"/>
      <c r="K549" s="23"/>
      <c r="M549" s="23"/>
      <c r="N549" s="23"/>
      <c r="P549" s="23"/>
    </row>
    <row r="550" spans="2:16" x14ac:dyDescent="0.25">
      <c r="B550" s="23"/>
      <c r="E550" s="23"/>
      <c r="G550" s="23"/>
      <c r="H550" s="23"/>
      <c r="J550" s="23"/>
      <c r="K550" s="23"/>
      <c r="M550" s="23"/>
      <c r="N550" s="23"/>
      <c r="P550" s="23"/>
    </row>
    <row r="551" spans="2:16" x14ac:dyDescent="0.25">
      <c r="B551" s="23"/>
      <c r="E551" s="23"/>
      <c r="G551" s="23"/>
      <c r="H551" s="23"/>
      <c r="J551" s="23"/>
      <c r="K551" s="23"/>
      <c r="M551" s="23"/>
      <c r="N551" s="23"/>
      <c r="P551" s="23"/>
    </row>
    <row r="552" spans="2:16" x14ac:dyDescent="0.25">
      <c r="B552" s="23"/>
      <c r="E552" s="23"/>
      <c r="G552" s="23"/>
      <c r="H552" s="23"/>
      <c r="J552" s="23"/>
      <c r="K552" s="23"/>
      <c r="M552" s="23"/>
      <c r="N552" s="23"/>
      <c r="P552" s="23"/>
    </row>
    <row r="553" spans="2:16" x14ac:dyDescent="0.25">
      <c r="B553" s="23"/>
      <c r="E553" s="23"/>
      <c r="G553" s="23"/>
      <c r="H553" s="23"/>
      <c r="J553" s="23"/>
      <c r="K553" s="23"/>
      <c r="M553" s="23"/>
      <c r="N553" s="23"/>
      <c r="P553" s="23"/>
    </row>
    <row r="554" spans="2:16" x14ac:dyDescent="0.25">
      <c r="B554" s="23"/>
      <c r="E554" s="23"/>
      <c r="G554" s="23"/>
      <c r="H554" s="23"/>
      <c r="J554" s="23"/>
      <c r="K554" s="23"/>
      <c r="M554" s="23"/>
      <c r="N554" s="23"/>
      <c r="P554" s="23"/>
    </row>
    <row r="555" spans="2:16" x14ac:dyDescent="0.25">
      <c r="B555" s="23"/>
      <c r="E555" s="23"/>
      <c r="G555" s="23"/>
      <c r="H555" s="23"/>
      <c r="J555" s="23"/>
      <c r="K555" s="23"/>
      <c r="M555" s="23"/>
      <c r="N555" s="23"/>
      <c r="P555" s="23"/>
    </row>
    <row r="556" spans="2:16" x14ac:dyDescent="0.25">
      <c r="B556" s="23"/>
      <c r="E556" s="23"/>
      <c r="G556" s="23"/>
      <c r="H556" s="23"/>
      <c r="J556" s="23"/>
      <c r="K556" s="23"/>
      <c r="M556" s="23"/>
      <c r="N556" s="23"/>
      <c r="P556" s="23"/>
    </row>
    <row r="557" spans="2:16" x14ac:dyDescent="0.25">
      <c r="B557" s="23"/>
      <c r="E557" s="23"/>
      <c r="G557" s="23"/>
      <c r="H557" s="23"/>
      <c r="J557" s="23"/>
      <c r="K557" s="23"/>
      <c r="M557" s="23"/>
      <c r="N557" s="23"/>
      <c r="P557" s="23"/>
    </row>
    <row r="558" spans="2:16" x14ac:dyDescent="0.25">
      <c r="B558" s="23"/>
      <c r="E558" s="23"/>
      <c r="G558" s="23"/>
      <c r="H558" s="23"/>
      <c r="J558" s="23"/>
      <c r="K558" s="23"/>
      <c r="M558" s="23"/>
      <c r="N558" s="23"/>
      <c r="P558" s="23"/>
    </row>
    <row r="559" spans="2:16" x14ac:dyDescent="0.25">
      <c r="B559" s="23"/>
      <c r="E559" s="23"/>
      <c r="G559" s="23"/>
      <c r="H559" s="23"/>
      <c r="J559" s="23"/>
      <c r="K559" s="23"/>
      <c r="M559" s="23"/>
      <c r="N559" s="23"/>
      <c r="P559" s="23"/>
    </row>
    <row r="560" spans="2:16" x14ac:dyDescent="0.25">
      <c r="B560" s="23"/>
      <c r="E560" s="23"/>
      <c r="G560" s="23"/>
      <c r="H560" s="23"/>
      <c r="J560" s="23"/>
      <c r="K560" s="23"/>
      <c r="M560" s="23"/>
      <c r="N560" s="23"/>
      <c r="P560" s="23"/>
    </row>
    <row r="561" spans="2:16" x14ac:dyDescent="0.25">
      <c r="B561" s="23"/>
      <c r="E561" s="23"/>
      <c r="G561" s="23"/>
      <c r="H561" s="23"/>
      <c r="J561" s="23"/>
      <c r="K561" s="23"/>
      <c r="M561" s="23"/>
      <c r="N561" s="23"/>
      <c r="P561" s="23"/>
    </row>
    <row r="562" spans="2:16" x14ac:dyDescent="0.25">
      <c r="B562" s="23"/>
      <c r="E562" s="23"/>
      <c r="G562" s="23"/>
      <c r="H562" s="23"/>
      <c r="J562" s="23"/>
      <c r="K562" s="23"/>
      <c r="M562" s="23"/>
      <c r="N562" s="23"/>
      <c r="P562" s="23"/>
    </row>
    <row r="563" spans="2:16" x14ac:dyDescent="0.25">
      <c r="B563" s="23"/>
      <c r="E563" s="23"/>
      <c r="G563" s="23"/>
      <c r="H563" s="23"/>
      <c r="J563" s="23"/>
      <c r="K563" s="23"/>
      <c r="M563" s="23"/>
      <c r="N563" s="23"/>
      <c r="P563" s="23"/>
    </row>
    <row r="564" spans="2:16" x14ac:dyDescent="0.25">
      <c r="B564" s="23"/>
      <c r="E564" s="23"/>
      <c r="G564" s="23"/>
      <c r="H564" s="23"/>
      <c r="J564" s="23"/>
      <c r="K564" s="23"/>
      <c r="M564" s="23"/>
      <c r="N564" s="23"/>
      <c r="P564" s="23"/>
    </row>
    <row r="565" spans="2:16" x14ac:dyDescent="0.25">
      <c r="B565" s="23"/>
      <c r="E565" s="23"/>
      <c r="G565" s="23"/>
      <c r="H565" s="23"/>
      <c r="J565" s="23"/>
      <c r="K565" s="23"/>
      <c r="M565" s="23"/>
      <c r="N565" s="23"/>
      <c r="P565" s="23"/>
    </row>
    <row r="566" spans="2:16" x14ac:dyDescent="0.25">
      <c r="B566" s="23"/>
      <c r="E566" s="23"/>
      <c r="G566" s="23"/>
      <c r="H566" s="23"/>
      <c r="J566" s="23"/>
      <c r="K566" s="23"/>
      <c r="M566" s="23"/>
      <c r="N566" s="23"/>
      <c r="P566" s="23"/>
    </row>
    <row r="567" spans="2:16" x14ac:dyDescent="0.25">
      <c r="B567" s="23"/>
      <c r="E567" s="23"/>
      <c r="G567" s="23"/>
      <c r="H567" s="23"/>
      <c r="J567" s="23"/>
      <c r="K567" s="23"/>
      <c r="M567" s="23"/>
      <c r="N567" s="23"/>
      <c r="P567" s="23"/>
    </row>
    <row r="568" spans="2:16" x14ac:dyDescent="0.25">
      <c r="B568" s="23"/>
      <c r="E568" s="23"/>
      <c r="G568" s="23"/>
      <c r="H568" s="23"/>
      <c r="J568" s="23"/>
      <c r="K568" s="23"/>
      <c r="M568" s="23"/>
      <c r="N568" s="23"/>
      <c r="P568" s="23"/>
    </row>
    <row r="569" spans="2:16" x14ac:dyDescent="0.25">
      <c r="B569" s="23"/>
      <c r="E569" s="23"/>
      <c r="G569" s="23"/>
      <c r="H569" s="23"/>
      <c r="J569" s="23"/>
      <c r="K569" s="23"/>
      <c r="M569" s="23"/>
      <c r="N569" s="23"/>
      <c r="P569" s="23"/>
    </row>
    <row r="570" spans="2:16" x14ac:dyDescent="0.25">
      <c r="B570" s="23"/>
      <c r="E570" s="23"/>
      <c r="G570" s="23"/>
      <c r="H570" s="23"/>
      <c r="J570" s="23"/>
      <c r="K570" s="23"/>
      <c r="M570" s="23"/>
      <c r="N570" s="23"/>
      <c r="P570" s="23"/>
    </row>
    <row r="571" spans="2:16" x14ac:dyDescent="0.25">
      <c r="B571" s="23"/>
      <c r="E571" s="23"/>
      <c r="G571" s="23"/>
      <c r="H571" s="23"/>
      <c r="J571" s="23"/>
      <c r="K571" s="23"/>
      <c r="M571" s="23"/>
      <c r="N571" s="23"/>
      <c r="P571" s="23"/>
    </row>
    <row r="572" spans="2:16" x14ac:dyDescent="0.25">
      <c r="B572" s="23"/>
      <c r="E572" s="23"/>
      <c r="G572" s="23"/>
      <c r="H572" s="23"/>
      <c r="J572" s="23"/>
      <c r="K572" s="23"/>
      <c r="M572" s="23"/>
      <c r="N572" s="23"/>
      <c r="P572" s="23"/>
    </row>
    <row r="573" spans="2:16" x14ac:dyDescent="0.25">
      <c r="B573" s="23"/>
      <c r="E573" s="23"/>
      <c r="G573" s="23"/>
      <c r="H573" s="23"/>
      <c r="J573" s="23"/>
      <c r="K573" s="23"/>
      <c r="M573" s="23"/>
      <c r="N573" s="23"/>
      <c r="P573" s="23"/>
    </row>
    <row r="574" spans="2:16" x14ac:dyDescent="0.25">
      <c r="B574" s="23"/>
      <c r="E574" s="23"/>
      <c r="G574" s="23"/>
      <c r="H574" s="23"/>
      <c r="J574" s="23"/>
      <c r="K574" s="23"/>
      <c r="M574" s="23"/>
      <c r="N574" s="23"/>
      <c r="P574" s="23"/>
    </row>
    <row r="575" spans="2:16" x14ac:dyDescent="0.25">
      <c r="B575" s="23"/>
      <c r="E575" s="23"/>
      <c r="G575" s="23"/>
      <c r="H575" s="23"/>
      <c r="J575" s="23"/>
      <c r="K575" s="23"/>
      <c r="M575" s="23"/>
      <c r="N575" s="23"/>
      <c r="P575" s="23"/>
    </row>
    <row r="576" spans="2:16" x14ac:dyDescent="0.25">
      <c r="B576" s="23"/>
      <c r="E576" s="23"/>
      <c r="G576" s="23"/>
      <c r="H576" s="23"/>
      <c r="J576" s="23"/>
      <c r="K576" s="23"/>
      <c r="M576" s="23"/>
      <c r="N576" s="23"/>
      <c r="P576" s="23"/>
    </row>
    <row r="577" spans="2:16" x14ac:dyDescent="0.25">
      <c r="B577" s="23"/>
      <c r="E577" s="23"/>
      <c r="G577" s="23"/>
      <c r="H577" s="23"/>
      <c r="J577" s="23"/>
      <c r="K577" s="23"/>
      <c r="M577" s="23"/>
      <c r="N577" s="23"/>
      <c r="P577" s="23"/>
    </row>
    <row r="578" spans="2:16" x14ac:dyDescent="0.25">
      <c r="B578" s="23"/>
      <c r="E578" s="23"/>
      <c r="G578" s="23"/>
      <c r="H578" s="23"/>
      <c r="J578" s="23"/>
      <c r="K578" s="23"/>
      <c r="M578" s="23"/>
      <c r="N578" s="23"/>
      <c r="P578" s="23"/>
    </row>
    <row r="579" spans="2:16" x14ac:dyDescent="0.25">
      <c r="B579" s="23"/>
      <c r="E579" s="23"/>
      <c r="G579" s="23"/>
      <c r="H579" s="23"/>
      <c r="J579" s="23"/>
      <c r="K579" s="23"/>
      <c r="M579" s="23"/>
      <c r="N579" s="23"/>
      <c r="P579" s="23"/>
    </row>
    <row r="580" spans="2:16" x14ac:dyDescent="0.25">
      <c r="B580" s="23"/>
      <c r="E580" s="23"/>
      <c r="G580" s="23"/>
      <c r="H580" s="23"/>
      <c r="J580" s="23"/>
      <c r="K580" s="23"/>
      <c r="M580" s="23"/>
      <c r="N580" s="23"/>
      <c r="P580" s="23"/>
    </row>
    <row r="581" spans="2:16" x14ac:dyDescent="0.25">
      <c r="B581" s="23"/>
      <c r="E581" s="23"/>
      <c r="G581" s="23"/>
      <c r="H581" s="23"/>
      <c r="J581" s="23"/>
      <c r="K581" s="23"/>
      <c r="M581" s="23"/>
      <c r="N581" s="23"/>
      <c r="P581" s="23"/>
    </row>
    <row r="582" spans="2:16" x14ac:dyDescent="0.25">
      <c r="B582" s="23"/>
      <c r="E582" s="23"/>
      <c r="G582" s="23"/>
      <c r="H582" s="23"/>
      <c r="J582" s="23"/>
      <c r="K582" s="23"/>
      <c r="M582" s="23"/>
      <c r="N582" s="23"/>
      <c r="P582" s="23"/>
    </row>
    <row r="583" spans="2:16" x14ac:dyDescent="0.25">
      <c r="B583" s="23"/>
      <c r="E583" s="23"/>
      <c r="G583" s="23"/>
      <c r="H583" s="23"/>
      <c r="J583" s="23"/>
      <c r="K583" s="23"/>
      <c r="M583" s="23"/>
      <c r="N583" s="23"/>
      <c r="P583" s="23"/>
    </row>
    <row r="584" spans="2:16" x14ac:dyDescent="0.25">
      <c r="B584" s="23"/>
      <c r="E584" s="23"/>
      <c r="G584" s="23"/>
      <c r="H584" s="23"/>
      <c r="J584" s="23"/>
      <c r="K584" s="23"/>
      <c r="M584" s="23"/>
      <c r="N584" s="23"/>
      <c r="P584" s="23"/>
    </row>
    <row r="585" spans="2:16" x14ac:dyDescent="0.25">
      <c r="B585" s="23"/>
      <c r="E585" s="23"/>
      <c r="G585" s="23"/>
      <c r="H585" s="23"/>
      <c r="J585" s="23"/>
      <c r="K585" s="23"/>
      <c r="M585" s="23"/>
      <c r="N585" s="23"/>
      <c r="P585" s="23"/>
    </row>
    <row r="586" spans="2:16" x14ac:dyDescent="0.25">
      <c r="B586" s="23"/>
      <c r="E586" s="23"/>
      <c r="G586" s="23"/>
      <c r="H586" s="23"/>
      <c r="J586" s="23"/>
      <c r="K586" s="23"/>
      <c r="M586" s="23"/>
      <c r="N586" s="23"/>
      <c r="P586" s="23"/>
    </row>
    <row r="587" spans="2:16" x14ac:dyDescent="0.25">
      <c r="B587" s="23"/>
      <c r="E587" s="23"/>
      <c r="G587" s="23"/>
      <c r="H587" s="23"/>
      <c r="J587" s="23"/>
      <c r="K587" s="23"/>
      <c r="M587" s="23"/>
      <c r="N587" s="23"/>
      <c r="P587" s="23"/>
    </row>
    <row r="588" spans="2:16" x14ac:dyDescent="0.25">
      <c r="B588" s="23"/>
      <c r="E588" s="23"/>
      <c r="G588" s="23"/>
      <c r="H588" s="23"/>
      <c r="J588" s="23"/>
      <c r="K588" s="23"/>
      <c r="M588" s="23"/>
      <c r="N588" s="23"/>
      <c r="P588" s="23"/>
    </row>
    <row r="589" spans="2:16" x14ac:dyDescent="0.25">
      <c r="B589" s="23"/>
      <c r="E589" s="23"/>
      <c r="G589" s="23"/>
      <c r="H589" s="23"/>
      <c r="J589" s="23"/>
      <c r="K589" s="23"/>
      <c r="M589" s="23"/>
      <c r="N589" s="23"/>
      <c r="P589" s="23"/>
    </row>
    <row r="590" spans="2:16" x14ac:dyDescent="0.25">
      <c r="B590" s="23"/>
      <c r="E590" s="23"/>
      <c r="G590" s="23"/>
      <c r="H590" s="23"/>
      <c r="J590" s="23"/>
      <c r="K590" s="23"/>
      <c r="M590" s="23"/>
      <c r="N590" s="23"/>
      <c r="P590" s="23"/>
    </row>
    <row r="591" spans="2:16" x14ac:dyDescent="0.25">
      <c r="B591" s="23"/>
      <c r="E591" s="23"/>
      <c r="G591" s="23"/>
      <c r="H591" s="23"/>
      <c r="J591" s="23"/>
      <c r="K591" s="23"/>
      <c r="M591" s="23"/>
      <c r="N591" s="23"/>
      <c r="P591" s="23"/>
    </row>
    <row r="592" spans="2:16" x14ac:dyDescent="0.25">
      <c r="B592" s="23"/>
      <c r="E592" s="23"/>
      <c r="G592" s="23"/>
      <c r="H592" s="23"/>
      <c r="J592" s="23"/>
      <c r="K592" s="23"/>
      <c r="M592" s="23"/>
      <c r="N592" s="23"/>
      <c r="P592" s="23"/>
    </row>
    <row r="593" spans="2:16" x14ac:dyDescent="0.25">
      <c r="B593" s="23"/>
      <c r="E593" s="23"/>
      <c r="G593" s="23"/>
      <c r="H593" s="23"/>
      <c r="J593" s="23"/>
      <c r="K593" s="23"/>
      <c r="M593" s="23"/>
      <c r="N593" s="23"/>
      <c r="P593" s="23"/>
    </row>
    <row r="594" spans="2:16" x14ac:dyDescent="0.25">
      <c r="B594" s="23"/>
      <c r="E594" s="23"/>
      <c r="G594" s="23"/>
      <c r="H594" s="23"/>
      <c r="J594" s="23"/>
      <c r="K594" s="23"/>
      <c r="M594" s="23"/>
      <c r="N594" s="23"/>
      <c r="P594" s="23"/>
    </row>
    <row r="595" spans="2:16" x14ac:dyDescent="0.25">
      <c r="B595" s="23"/>
      <c r="E595" s="23"/>
      <c r="G595" s="23"/>
      <c r="H595" s="23"/>
      <c r="J595" s="23"/>
      <c r="K595" s="23"/>
      <c r="M595" s="23"/>
      <c r="N595" s="23"/>
      <c r="P595" s="23"/>
    </row>
    <row r="596" spans="2:16" x14ac:dyDescent="0.25">
      <c r="B596" s="23"/>
      <c r="E596" s="23"/>
      <c r="G596" s="23"/>
      <c r="H596" s="23"/>
      <c r="J596" s="23"/>
      <c r="K596" s="23"/>
      <c r="M596" s="23"/>
      <c r="N596" s="23"/>
      <c r="P596" s="23"/>
    </row>
    <row r="597" spans="2:16" x14ac:dyDescent="0.25">
      <c r="B597" s="23"/>
      <c r="E597" s="23"/>
      <c r="G597" s="23"/>
      <c r="H597" s="23"/>
      <c r="J597" s="23"/>
      <c r="K597" s="23"/>
      <c r="M597" s="23"/>
      <c r="N597" s="23"/>
      <c r="P597" s="23"/>
    </row>
    <row r="598" spans="2:16" x14ac:dyDescent="0.25">
      <c r="B598" s="23"/>
      <c r="E598" s="23"/>
      <c r="G598" s="23"/>
      <c r="H598" s="23"/>
      <c r="J598" s="23"/>
      <c r="K598" s="23"/>
      <c r="M598" s="23"/>
      <c r="N598" s="23"/>
      <c r="P598" s="23"/>
    </row>
    <row r="599" spans="2:16" x14ac:dyDescent="0.25">
      <c r="B599" s="23"/>
      <c r="E599" s="23"/>
      <c r="G599" s="23"/>
      <c r="H599" s="23"/>
      <c r="J599" s="23"/>
      <c r="K599" s="23"/>
      <c r="M599" s="23"/>
      <c r="N599" s="23"/>
      <c r="P599" s="23"/>
    </row>
    <row r="600" spans="2:16" x14ac:dyDescent="0.25">
      <c r="B600" s="23"/>
      <c r="E600" s="23"/>
      <c r="G600" s="23"/>
      <c r="H600" s="23"/>
      <c r="J600" s="23"/>
      <c r="K600" s="23"/>
      <c r="M600" s="23"/>
      <c r="N600" s="23"/>
      <c r="P600" s="23"/>
    </row>
    <row r="601" spans="2:16" x14ac:dyDescent="0.25">
      <c r="B601" s="23"/>
      <c r="E601" s="23"/>
      <c r="G601" s="23"/>
      <c r="H601" s="23"/>
      <c r="J601" s="23"/>
      <c r="K601" s="23"/>
      <c r="M601" s="23"/>
      <c r="N601" s="23"/>
      <c r="P601" s="23"/>
    </row>
    <row r="602" spans="2:16" x14ac:dyDescent="0.25">
      <c r="B602" s="23"/>
      <c r="E602" s="23"/>
      <c r="G602" s="23"/>
      <c r="H602" s="23"/>
      <c r="J602" s="23"/>
      <c r="K602" s="23"/>
      <c r="M602" s="23"/>
      <c r="N602" s="23"/>
      <c r="P602" s="23"/>
    </row>
    <row r="603" spans="2:16" x14ac:dyDescent="0.25">
      <c r="B603" s="23"/>
      <c r="E603" s="23"/>
      <c r="G603" s="23"/>
      <c r="H603" s="23"/>
      <c r="J603" s="23"/>
      <c r="K603" s="23"/>
      <c r="M603" s="23"/>
      <c r="N603" s="23"/>
      <c r="P603" s="23"/>
    </row>
    <row r="604" spans="2:16" x14ac:dyDescent="0.25">
      <c r="B604" s="23"/>
      <c r="E604" s="23"/>
      <c r="G604" s="23"/>
      <c r="H604" s="23"/>
      <c r="J604" s="23"/>
      <c r="K604" s="23"/>
      <c r="M604" s="23"/>
      <c r="N604" s="23"/>
      <c r="P604" s="23"/>
    </row>
    <row r="605" spans="2:16" x14ac:dyDescent="0.25">
      <c r="B605" s="23"/>
      <c r="E605" s="23"/>
      <c r="G605" s="23"/>
      <c r="H605" s="23"/>
      <c r="J605" s="23"/>
      <c r="K605" s="23"/>
      <c r="M605" s="23"/>
      <c r="N605" s="23"/>
      <c r="P605" s="23"/>
    </row>
    <row r="606" spans="2:16" x14ac:dyDescent="0.25">
      <c r="B606" s="23"/>
      <c r="E606" s="23"/>
      <c r="G606" s="23"/>
      <c r="H606" s="23"/>
      <c r="J606" s="23"/>
      <c r="K606" s="23"/>
      <c r="M606" s="23"/>
      <c r="N606" s="23"/>
      <c r="P606" s="23"/>
    </row>
    <row r="607" spans="2:16" x14ac:dyDescent="0.25">
      <c r="B607" s="23"/>
      <c r="E607" s="23"/>
      <c r="G607" s="23"/>
      <c r="H607" s="23"/>
      <c r="J607" s="23"/>
      <c r="K607" s="23"/>
      <c r="M607" s="23"/>
      <c r="N607" s="23"/>
      <c r="P607" s="23"/>
    </row>
    <row r="608" spans="2:16" x14ac:dyDescent="0.25">
      <c r="B608" s="23"/>
      <c r="E608" s="23"/>
      <c r="G608" s="23"/>
      <c r="H608" s="23"/>
      <c r="J608" s="23"/>
      <c r="K608" s="23"/>
      <c r="M608" s="23"/>
      <c r="N608" s="23"/>
      <c r="P608" s="23"/>
    </row>
    <row r="609" spans="2:16" x14ac:dyDescent="0.25">
      <c r="B609" s="23"/>
      <c r="E609" s="23"/>
      <c r="G609" s="23"/>
      <c r="H609" s="23"/>
      <c r="J609" s="23"/>
      <c r="K609" s="23"/>
      <c r="M609" s="23"/>
      <c r="N609" s="23"/>
      <c r="P609" s="23"/>
    </row>
    <row r="610" spans="2:16" x14ac:dyDescent="0.25">
      <c r="B610" s="23"/>
      <c r="E610" s="23"/>
      <c r="G610" s="23"/>
      <c r="H610" s="23"/>
      <c r="J610" s="23"/>
      <c r="K610" s="23"/>
      <c r="M610" s="23"/>
      <c r="N610" s="23"/>
      <c r="P610" s="23"/>
    </row>
    <row r="611" spans="2:16" x14ac:dyDescent="0.25">
      <c r="B611" s="23"/>
      <c r="E611" s="23"/>
      <c r="G611" s="23"/>
      <c r="H611" s="23"/>
      <c r="J611" s="23"/>
      <c r="K611" s="23"/>
      <c r="M611" s="23"/>
      <c r="N611" s="23"/>
      <c r="P611" s="23"/>
    </row>
    <row r="612" spans="2:16" x14ac:dyDescent="0.25">
      <c r="B612" s="23"/>
      <c r="E612" s="23"/>
      <c r="G612" s="23"/>
      <c r="H612" s="23"/>
      <c r="J612" s="23"/>
      <c r="K612" s="23"/>
      <c r="M612" s="23"/>
      <c r="N612" s="23"/>
      <c r="P612" s="23"/>
    </row>
    <row r="613" spans="2:16" x14ac:dyDescent="0.25">
      <c r="B613" s="23"/>
      <c r="E613" s="23"/>
      <c r="G613" s="23"/>
      <c r="H613" s="23"/>
      <c r="J613" s="23"/>
      <c r="K613" s="23"/>
      <c r="M613" s="23"/>
      <c r="N613" s="23"/>
      <c r="P613" s="23"/>
    </row>
    <row r="614" spans="2:16" x14ac:dyDescent="0.25">
      <c r="B614" s="23"/>
      <c r="E614" s="23"/>
      <c r="G614" s="23"/>
      <c r="H614" s="23"/>
      <c r="J614" s="23"/>
      <c r="K614" s="23"/>
      <c r="M614" s="23"/>
      <c r="N614" s="23"/>
      <c r="P614" s="23"/>
    </row>
    <row r="615" spans="2:16" x14ac:dyDescent="0.25">
      <c r="B615" s="23"/>
      <c r="E615" s="23"/>
      <c r="G615" s="23"/>
      <c r="H615" s="23"/>
      <c r="J615" s="23"/>
      <c r="K615" s="23"/>
      <c r="M615" s="23"/>
      <c r="N615" s="23"/>
      <c r="P615" s="23"/>
    </row>
    <row r="616" spans="2:16" x14ac:dyDescent="0.25">
      <c r="B616" s="23"/>
      <c r="E616" s="23"/>
      <c r="G616" s="23"/>
      <c r="H616" s="23"/>
      <c r="J616" s="23"/>
      <c r="K616" s="23"/>
      <c r="M616" s="23"/>
      <c r="N616" s="23"/>
      <c r="P616" s="23"/>
    </row>
    <row r="617" spans="2:16" x14ac:dyDescent="0.25">
      <c r="B617" s="23"/>
      <c r="E617" s="23"/>
      <c r="G617" s="23"/>
      <c r="H617" s="23"/>
      <c r="J617" s="23"/>
      <c r="K617" s="23"/>
      <c r="M617" s="23"/>
      <c r="N617" s="23"/>
      <c r="P617" s="23"/>
    </row>
    <row r="618" spans="2:16" x14ac:dyDescent="0.25">
      <c r="B618" s="23"/>
      <c r="E618" s="23"/>
      <c r="G618" s="23"/>
      <c r="H618" s="23"/>
      <c r="J618" s="23"/>
      <c r="K618" s="23"/>
      <c r="M618" s="23"/>
      <c r="N618" s="23"/>
      <c r="P618" s="23"/>
    </row>
    <row r="619" spans="2:16" x14ac:dyDescent="0.25">
      <c r="B619" s="23"/>
      <c r="E619" s="23"/>
      <c r="G619" s="23"/>
      <c r="H619" s="23"/>
      <c r="J619" s="23"/>
      <c r="K619" s="23"/>
      <c r="M619" s="23"/>
      <c r="N619" s="23"/>
      <c r="P619" s="23"/>
    </row>
    <row r="620" spans="2:16" x14ac:dyDescent="0.25">
      <c r="B620" s="23"/>
      <c r="E620" s="23"/>
      <c r="G620" s="23"/>
      <c r="H620" s="23"/>
      <c r="J620" s="23"/>
      <c r="K620" s="23"/>
      <c r="M620" s="23"/>
      <c r="N620" s="23"/>
      <c r="P620" s="23"/>
    </row>
    <row r="621" spans="2:16" x14ac:dyDescent="0.25">
      <c r="B621" s="23"/>
      <c r="E621" s="23"/>
      <c r="G621" s="23"/>
      <c r="H621" s="23"/>
      <c r="J621" s="23"/>
      <c r="K621" s="23"/>
      <c r="M621" s="23"/>
      <c r="N621" s="23"/>
      <c r="P621" s="23"/>
    </row>
    <row r="622" spans="2:16" x14ac:dyDescent="0.25">
      <c r="B622" s="23"/>
      <c r="E622" s="23"/>
      <c r="G622" s="23"/>
      <c r="H622" s="23"/>
      <c r="J622" s="23"/>
      <c r="K622" s="23"/>
      <c r="M622" s="23"/>
      <c r="N622" s="23"/>
      <c r="P622" s="23"/>
    </row>
    <row r="623" spans="2:16" x14ac:dyDescent="0.25">
      <c r="B623" s="23"/>
      <c r="E623" s="23"/>
      <c r="G623" s="23"/>
      <c r="H623" s="23"/>
      <c r="J623" s="23"/>
      <c r="K623" s="23"/>
      <c r="M623" s="23"/>
      <c r="N623" s="23"/>
      <c r="P623" s="23"/>
    </row>
    <row r="624" spans="2:16" x14ac:dyDescent="0.25">
      <c r="B624" s="23"/>
      <c r="E624" s="23"/>
      <c r="G624" s="23"/>
      <c r="H624" s="23"/>
      <c r="J624" s="23"/>
      <c r="K624" s="23"/>
      <c r="M624" s="23"/>
      <c r="N624" s="23"/>
      <c r="P624" s="23"/>
    </row>
    <row r="625" spans="2:16" x14ac:dyDescent="0.25">
      <c r="B625" s="23"/>
      <c r="E625" s="23"/>
      <c r="G625" s="23"/>
      <c r="H625" s="23"/>
      <c r="J625" s="23"/>
      <c r="K625" s="23"/>
      <c r="M625" s="23"/>
      <c r="N625" s="23"/>
      <c r="P625" s="23"/>
    </row>
    <row r="626" spans="2:16" x14ac:dyDescent="0.25">
      <c r="B626" s="23"/>
      <c r="E626" s="23"/>
      <c r="G626" s="23"/>
      <c r="H626" s="23"/>
      <c r="J626" s="23"/>
      <c r="K626" s="23"/>
      <c r="M626" s="23"/>
      <c r="N626" s="23"/>
      <c r="P626" s="23"/>
    </row>
    <row r="627" spans="2:16" x14ac:dyDescent="0.25">
      <c r="B627" s="23"/>
      <c r="E627" s="23"/>
      <c r="G627" s="23"/>
      <c r="H627" s="23"/>
      <c r="J627" s="23"/>
      <c r="K627" s="23"/>
      <c r="M627" s="23"/>
      <c r="N627" s="23"/>
      <c r="P627" s="23"/>
    </row>
    <row r="628" spans="2:16" x14ac:dyDescent="0.25">
      <c r="B628" s="23"/>
      <c r="E628" s="23"/>
      <c r="G628" s="23"/>
      <c r="H628" s="23"/>
      <c r="J628" s="23"/>
      <c r="K628" s="23"/>
      <c r="M628" s="23"/>
      <c r="N628" s="23"/>
      <c r="P628" s="23"/>
    </row>
    <row r="629" spans="2:16" x14ac:dyDescent="0.25">
      <c r="B629" s="23"/>
      <c r="E629" s="23"/>
      <c r="G629" s="23"/>
      <c r="H629" s="23"/>
      <c r="J629" s="23"/>
      <c r="K629" s="23"/>
      <c r="M629" s="23"/>
      <c r="N629" s="23"/>
      <c r="P629" s="23"/>
    </row>
    <row r="630" spans="2:16" x14ac:dyDescent="0.25">
      <c r="B630" s="23"/>
      <c r="E630" s="23"/>
      <c r="G630" s="23"/>
      <c r="H630" s="23"/>
      <c r="J630" s="23"/>
      <c r="K630" s="23"/>
      <c r="M630" s="23"/>
      <c r="N630" s="23"/>
      <c r="P630" s="23"/>
    </row>
    <row r="631" spans="2:16" x14ac:dyDescent="0.25">
      <c r="B631" s="23"/>
      <c r="E631" s="23"/>
      <c r="G631" s="23"/>
      <c r="H631" s="23"/>
      <c r="J631" s="23"/>
      <c r="K631" s="23"/>
      <c r="M631" s="23"/>
      <c r="N631" s="23"/>
      <c r="P631" s="23"/>
    </row>
    <row r="632" spans="2:16" x14ac:dyDescent="0.25">
      <c r="B632" s="23"/>
      <c r="E632" s="23"/>
      <c r="G632" s="23"/>
      <c r="H632" s="23"/>
      <c r="J632" s="23"/>
      <c r="K632" s="23"/>
      <c r="M632" s="23"/>
      <c r="N632" s="23"/>
      <c r="P632" s="23"/>
    </row>
    <row r="633" spans="2:16" x14ac:dyDescent="0.25">
      <c r="B633" s="23"/>
      <c r="E633" s="23"/>
      <c r="G633" s="23"/>
      <c r="H633" s="23"/>
      <c r="J633" s="23"/>
      <c r="K633" s="23"/>
      <c r="M633" s="23"/>
      <c r="N633" s="23"/>
      <c r="P633" s="23"/>
    </row>
    <row r="634" spans="2:16" x14ac:dyDescent="0.25">
      <c r="B634" s="23"/>
      <c r="E634" s="23"/>
      <c r="G634" s="23"/>
      <c r="H634" s="23"/>
      <c r="J634" s="23"/>
      <c r="K634" s="23"/>
      <c r="M634" s="23"/>
      <c r="N634" s="23"/>
      <c r="P634" s="23"/>
    </row>
    <row r="635" spans="2:16" x14ac:dyDescent="0.25">
      <c r="B635" s="23"/>
      <c r="E635" s="23"/>
      <c r="G635" s="23"/>
      <c r="H635" s="23"/>
      <c r="J635" s="23"/>
      <c r="K635" s="23"/>
      <c r="M635" s="23"/>
      <c r="N635" s="23"/>
      <c r="P635" s="23"/>
    </row>
    <row r="636" spans="2:16" x14ac:dyDescent="0.25">
      <c r="B636" s="23"/>
      <c r="E636" s="23"/>
      <c r="G636" s="23"/>
      <c r="H636" s="23"/>
      <c r="J636" s="23"/>
      <c r="K636" s="23"/>
      <c r="M636" s="23"/>
      <c r="N636" s="23"/>
      <c r="P636" s="23"/>
    </row>
    <row r="637" spans="2:16" x14ac:dyDescent="0.25">
      <c r="B637" s="23"/>
      <c r="E637" s="23"/>
      <c r="G637" s="23"/>
      <c r="H637" s="23"/>
      <c r="J637" s="23"/>
      <c r="K637" s="23"/>
      <c r="M637" s="23"/>
      <c r="N637" s="23"/>
      <c r="P637" s="23"/>
    </row>
    <row r="638" spans="2:16" x14ac:dyDescent="0.25">
      <c r="B638" s="23"/>
      <c r="E638" s="23"/>
      <c r="G638" s="23"/>
      <c r="H638" s="23"/>
      <c r="J638" s="23"/>
      <c r="K638" s="23"/>
      <c r="M638" s="23"/>
      <c r="N638" s="23"/>
      <c r="P638" s="23"/>
    </row>
    <row r="639" spans="2:16" x14ac:dyDescent="0.25">
      <c r="B639" s="23"/>
      <c r="E639" s="23"/>
      <c r="G639" s="23"/>
      <c r="H639" s="23"/>
      <c r="J639" s="23"/>
      <c r="K639" s="23"/>
      <c r="M639" s="23"/>
      <c r="N639" s="23"/>
      <c r="P639" s="23"/>
    </row>
    <row r="640" spans="2:16" x14ac:dyDescent="0.25">
      <c r="B640" s="23"/>
      <c r="E640" s="23"/>
      <c r="G640" s="23"/>
      <c r="H640" s="23"/>
      <c r="J640" s="23"/>
      <c r="K640" s="23"/>
      <c r="M640" s="23"/>
      <c r="N640" s="23"/>
      <c r="P640" s="23"/>
    </row>
    <row r="641" spans="2:16" x14ac:dyDescent="0.25">
      <c r="B641" s="23"/>
      <c r="E641" s="23"/>
      <c r="G641" s="23"/>
      <c r="H641" s="23"/>
      <c r="J641" s="23"/>
      <c r="K641" s="23"/>
      <c r="M641" s="23"/>
      <c r="N641" s="23"/>
      <c r="P641" s="23"/>
    </row>
    <row r="642" spans="2:16" x14ac:dyDescent="0.25">
      <c r="B642" s="23"/>
      <c r="E642" s="23"/>
      <c r="G642" s="23"/>
      <c r="H642" s="23"/>
      <c r="J642" s="23"/>
      <c r="K642" s="23"/>
      <c r="M642" s="23"/>
      <c r="N642" s="23"/>
      <c r="P642" s="23"/>
    </row>
    <row r="643" spans="2:16" x14ac:dyDescent="0.25">
      <c r="B643" s="23"/>
      <c r="E643" s="23"/>
      <c r="G643" s="23"/>
      <c r="H643" s="23"/>
      <c r="J643" s="23"/>
      <c r="K643" s="23"/>
      <c r="M643" s="23"/>
      <c r="N643" s="23"/>
      <c r="P643" s="23"/>
    </row>
    <row r="644" spans="2:16" x14ac:dyDescent="0.25">
      <c r="B644" s="23"/>
      <c r="E644" s="23"/>
      <c r="G644" s="23"/>
      <c r="H644" s="23"/>
      <c r="J644" s="23"/>
      <c r="K644" s="23"/>
      <c r="M644" s="23"/>
      <c r="N644" s="23"/>
      <c r="P644" s="23"/>
    </row>
    <row r="645" spans="2:16" x14ac:dyDescent="0.25">
      <c r="B645" s="23"/>
      <c r="E645" s="23"/>
      <c r="G645" s="23"/>
      <c r="H645" s="23"/>
      <c r="J645" s="23"/>
      <c r="K645" s="23"/>
      <c r="M645" s="23"/>
      <c r="N645" s="23"/>
      <c r="P645" s="23"/>
    </row>
    <row r="646" spans="2:16" x14ac:dyDescent="0.25">
      <c r="B646" s="23"/>
      <c r="E646" s="23"/>
      <c r="G646" s="23"/>
      <c r="H646" s="23"/>
      <c r="J646" s="23"/>
      <c r="K646" s="23"/>
      <c r="M646" s="23"/>
      <c r="N646" s="23"/>
      <c r="P646" s="23"/>
    </row>
    <row r="647" spans="2:16" x14ac:dyDescent="0.25">
      <c r="B647" s="23"/>
      <c r="E647" s="23"/>
      <c r="G647" s="23"/>
      <c r="H647" s="23"/>
      <c r="J647" s="23"/>
      <c r="K647" s="23"/>
      <c r="M647" s="23"/>
      <c r="N647" s="23"/>
      <c r="P647" s="23"/>
    </row>
    <row r="648" spans="2:16" x14ac:dyDescent="0.25">
      <c r="B648" s="23"/>
      <c r="E648" s="23"/>
      <c r="G648" s="23"/>
      <c r="H648" s="23"/>
      <c r="J648" s="23"/>
      <c r="K648" s="23"/>
      <c r="M648" s="23"/>
      <c r="N648" s="23"/>
      <c r="P648" s="23"/>
    </row>
    <row r="649" spans="2:16" x14ac:dyDescent="0.25">
      <c r="B649" s="23"/>
      <c r="E649" s="23"/>
      <c r="G649" s="23"/>
      <c r="H649" s="23"/>
      <c r="J649" s="23"/>
      <c r="K649" s="23"/>
      <c r="M649" s="23"/>
      <c r="N649" s="23"/>
      <c r="P649" s="23"/>
    </row>
    <row r="650" spans="2:16" x14ac:dyDescent="0.25">
      <c r="B650" s="23"/>
      <c r="E650" s="23"/>
      <c r="G650" s="23"/>
      <c r="H650" s="23"/>
      <c r="J650" s="23"/>
      <c r="K650" s="23"/>
      <c r="M650" s="23"/>
      <c r="N650" s="23"/>
      <c r="P650" s="23"/>
    </row>
    <row r="651" spans="2:16" x14ac:dyDescent="0.25">
      <c r="B651" s="23"/>
      <c r="E651" s="23"/>
      <c r="G651" s="23"/>
      <c r="H651" s="23"/>
      <c r="J651" s="23"/>
      <c r="K651" s="23"/>
      <c r="M651" s="23"/>
      <c r="N651" s="23"/>
      <c r="P651" s="23"/>
    </row>
    <row r="652" spans="2:16" x14ac:dyDescent="0.25">
      <c r="B652" s="23"/>
      <c r="E652" s="23"/>
      <c r="G652" s="23"/>
      <c r="H652" s="23"/>
      <c r="J652" s="23"/>
      <c r="K652" s="23"/>
      <c r="M652" s="23"/>
      <c r="N652" s="23"/>
      <c r="P652" s="23"/>
    </row>
    <row r="653" spans="2:16" x14ac:dyDescent="0.25">
      <c r="B653" s="23"/>
      <c r="E653" s="23"/>
      <c r="G653" s="23"/>
      <c r="H653" s="23"/>
      <c r="J653" s="23"/>
      <c r="K653" s="23"/>
      <c r="M653" s="23"/>
      <c r="N653" s="23"/>
      <c r="P653" s="23"/>
    </row>
    <row r="654" spans="2:16" x14ac:dyDescent="0.25">
      <c r="B654" s="23"/>
      <c r="E654" s="23"/>
      <c r="G654" s="23"/>
      <c r="H654" s="23"/>
      <c r="J654" s="23"/>
      <c r="K654" s="23"/>
      <c r="M654" s="23"/>
      <c r="N654" s="23"/>
      <c r="P654" s="23"/>
    </row>
    <row r="655" spans="2:16" x14ac:dyDescent="0.25">
      <c r="B655" s="23"/>
      <c r="E655" s="23"/>
      <c r="G655" s="23"/>
      <c r="H655" s="23"/>
      <c r="J655" s="23"/>
      <c r="K655" s="23"/>
      <c r="M655" s="23"/>
      <c r="N655" s="23"/>
      <c r="P655" s="23"/>
    </row>
    <row r="656" spans="2:16" x14ac:dyDescent="0.25">
      <c r="B656" s="23"/>
      <c r="E656" s="23"/>
      <c r="G656" s="23"/>
      <c r="H656" s="23"/>
      <c r="J656" s="23"/>
      <c r="K656" s="23"/>
      <c r="M656" s="23"/>
      <c r="N656" s="23"/>
      <c r="P656" s="23"/>
    </row>
    <row r="657" spans="2:16" x14ac:dyDescent="0.25">
      <c r="B657" s="23"/>
      <c r="E657" s="23"/>
      <c r="G657" s="23"/>
      <c r="H657" s="23"/>
      <c r="J657" s="23"/>
      <c r="K657" s="23"/>
      <c r="M657" s="23"/>
      <c r="N657" s="23"/>
      <c r="P657" s="23"/>
    </row>
    <row r="658" spans="2:16" x14ac:dyDescent="0.25">
      <c r="B658" s="23"/>
      <c r="E658" s="23"/>
      <c r="G658" s="23"/>
      <c r="H658" s="23"/>
      <c r="J658" s="23"/>
      <c r="K658" s="23"/>
      <c r="M658" s="23"/>
      <c r="N658" s="23"/>
      <c r="P658" s="23"/>
    </row>
    <row r="659" spans="2:16" x14ac:dyDescent="0.25">
      <c r="B659" s="23"/>
      <c r="E659" s="23"/>
      <c r="G659" s="23"/>
      <c r="H659" s="23"/>
      <c r="J659" s="23"/>
      <c r="K659" s="23"/>
      <c r="M659" s="23"/>
      <c r="N659" s="23"/>
      <c r="P659" s="23"/>
    </row>
    <row r="660" spans="2:16" x14ac:dyDescent="0.25">
      <c r="B660" s="23"/>
      <c r="E660" s="23"/>
      <c r="G660" s="23"/>
      <c r="H660" s="23"/>
      <c r="J660" s="23"/>
      <c r="K660" s="23"/>
      <c r="M660" s="23"/>
      <c r="N660" s="23"/>
      <c r="P660" s="23"/>
    </row>
    <row r="661" spans="2:16" x14ac:dyDescent="0.25">
      <c r="B661" s="23"/>
      <c r="E661" s="23"/>
      <c r="G661" s="23"/>
      <c r="H661" s="23"/>
      <c r="J661" s="23"/>
      <c r="K661" s="23"/>
      <c r="M661" s="23"/>
      <c r="N661" s="23"/>
      <c r="P661" s="23"/>
    </row>
    <row r="662" spans="2:16" x14ac:dyDescent="0.25">
      <c r="B662" s="23"/>
      <c r="E662" s="23"/>
      <c r="G662" s="23"/>
      <c r="H662" s="23"/>
      <c r="J662" s="23"/>
      <c r="K662" s="23"/>
      <c r="M662" s="23"/>
      <c r="N662" s="23"/>
      <c r="P662" s="23"/>
    </row>
    <row r="663" spans="2:16" x14ac:dyDescent="0.25">
      <c r="B663" s="23"/>
      <c r="E663" s="23"/>
      <c r="G663" s="23"/>
      <c r="H663" s="23"/>
      <c r="J663" s="23"/>
      <c r="K663" s="23"/>
      <c r="M663" s="23"/>
      <c r="N663" s="23"/>
      <c r="P663" s="23"/>
    </row>
    <row r="664" spans="2:16" x14ac:dyDescent="0.25">
      <c r="B664" s="23"/>
      <c r="E664" s="23"/>
      <c r="G664" s="23"/>
      <c r="H664" s="23"/>
      <c r="J664" s="23"/>
      <c r="K664" s="23"/>
      <c r="M664" s="23"/>
      <c r="N664" s="23"/>
      <c r="P664" s="23"/>
    </row>
    <row r="665" spans="2:16" x14ac:dyDescent="0.25">
      <c r="B665" s="23"/>
      <c r="E665" s="23"/>
      <c r="G665" s="23"/>
      <c r="H665" s="23"/>
      <c r="J665" s="23"/>
      <c r="K665" s="23"/>
      <c r="M665" s="23"/>
      <c r="N665" s="23"/>
      <c r="P665" s="23"/>
    </row>
    <row r="666" spans="2:16" x14ac:dyDescent="0.25">
      <c r="B666" s="23"/>
      <c r="E666" s="23"/>
      <c r="G666" s="23"/>
      <c r="H666" s="23"/>
      <c r="J666" s="23"/>
      <c r="K666" s="23"/>
      <c r="M666" s="23"/>
      <c r="N666" s="23"/>
      <c r="P666" s="23"/>
    </row>
    <row r="667" spans="2:16" x14ac:dyDescent="0.25">
      <c r="B667" s="23"/>
      <c r="E667" s="23"/>
      <c r="G667" s="23"/>
      <c r="H667" s="23"/>
      <c r="J667" s="23"/>
      <c r="K667" s="23"/>
      <c r="M667" s="23"/>
      <c r="N667" s="23"/>
      <c r="P667" s="23"/>
    </row>
    <row r="668" spans="2:16" x14ac:dyDescent="0.25">
      <c r="B668" s="23"/>
      <c r="E668" s="23"/>
      <c r="G668" s="23"/>
      <c r="H668" s="23"/>
      <c r="J668" s="23"/>
      <c r="K668" s="23"/>
      <c r="M668" s="23"/>
      <c r="N668" s="23"/>
      <c r="P668" s="23"/>
    </row>
    <row r="669" spans="2:16" x14ac:dyDescent="0.25">
      <c r="B669" s="23"/>
      <c r="E669" s="23"/>
      <c r="G669" s="23"/>
      <c r="H669" s="23"/>
      <c r="J669" s="23"/>
      <c r="K669" s="23"/>
      <c r="M669" s="23"/>
      <c r="N669" s="23"/>
      <c r="P669" s="23"/>
    </row>
    <row r="670" spans="2:16" x14ac:dyDescent="0.25">
      <c r="B670" s="23"/>
      <c r="E670" s="23"/>
      <c r="G670" s="23"/>
      <c r="H670" s="23"/>
      <c r="J670" s="23"/>
      <c r="K670" s="23"/>
      <c r="M670" s="23"/>
      <c r="N670" s="23"/>
      <c r="P670" s="23"/>
    </row>
    <row r="671" spans="2:16" x14ac:dyDescent="0.25">
      <c r="B671" s="23"/>
      <c r="E671" s="23"/>
      <c r="G671" s="23"/>
      <c r="H671" s="23"/>
      <c r="J671" s="23"/>
      <c r="K671" s="23"/>
      <c r="M671" s="23"/>
      <c r="N671" s="23"/>
      <c r="P671" s="23"/>
    </row>
    <row r="672" spans="2:16" x14ac:dyDescent="0.25">
      <c r="B672" s="23"/>
      <c r="E672" s="23"/>
      <c r="G672" s="23"/>
      <c r="H672" s="23"/>
      <c r="J672" s="23"/>
      <c r="K672" s="23"/>
      <c r="M672" s="23"/>
      <c r="N672" s="23"/>
      <c r="P672" s="23"/>
    </row>
    <row r="673" spans="2:16" x14ac:dyDescent="0.25">
      <c r="B673" s="23"/>
      <c r="E673" s="23"/>
      <c r="G673" s="23"/>
      <c r="H673" s="23"/>
      <c r="J673" s="23"/>
      <c r="K673" s="23"/>
      <c r="M673" s="23"/>
      <c r="N673" s="23"/>
      <c r="P673" s="23"/>
    </row>
    <row r="674" spans="2:16" x14ac:dyDescent="0.25">
      <c r="B674" s="23"/>
      <c r="E674" s="23"/>
      <c r="G674" s="23"/>
      <c r="H674" s="23"/>
      <c r="J674" s="23"/>
      <c r="K674" s="23"/>
      <c r="M674" s="23"/>
      <c r="N674" s="23"/>
      <c r="P674" s="23"/>
    </row>
    <row r="675" spans="2:16" x14ac:dyDescent="0.25">
      <c r="B675" s="23"/>
      <c r="E675" s="23"/>
      <c r="G675" s="23"/>
      <c r="H675" s="23"/>
      <c r="J675" s="23"/>
      <c r="K675" s="23"/>
      <c r="M675" s="23"/>
      <c r="N675" s="23"/>
      <c r="P675" s="23"/>
    </row>
    <row r="676" spans="2:16" x14ac:dyDescent="0.25">
      <c r="B676" s="23"/>
      <c r="E676" s="23"/>
      <c r="G676" s="23"/>
      <c r="H676" s="23"/>
      <c r="J676" s="23"/>
      <c r="K676" s="23"/>
      <c r="M676" s="23"/>
      <c r="N676" s="23"/>
      <c r="P676" s="23"/>
    </row>
    <row r="677" spans="2:16" x14ac:dyDescent="0.25">
      <c r="B677" s="23"/>
      <c r="E677" s="23"/>
      <c r="G677" s="23"/>
      <c r="H677" s="23"/>
      <c r="J677" s="23"/>
      <c r="K677" s="23"/>
      <c r="M677" s="23"/>
      <c r="N677" s="23"/>
      <c r="P677" s="23"/>
    </row>
    <row r="678" spans="2:16" x14ac:dyDescent="0.25">
      <c r="B678" s="23"/>
      <c r="E678" s="23"/>
      <c r="G678" s="23"/>
      <c r="H678" s="23"/>
      <c r="J678" s="23"/>
      <c r="K678" s="23"/>
      <c r="M678" s="23"/>
      <c r="N678" s="23"/>
      <c r="P678" s="23"/>
    </row>
    <row r="679" spans="2:16" x14ac:dyDescent="0.25">
      <c r="B679" s="23"/>
      <c r="E679" s="23"/>
      <c r="G679" s="23"/>
      <c r="H679" s="23"/>
      <c r="J679" s="23"/>
      <c r="K679" s="23"/>
      <c r="M679" s="23"/>
      <c r="N679" s="23"/>
      <c r="P679" s="23"/>
    </row>
    <row r="680" spans="2:16" x14ac:dyDescent="0.25">
      <c r="B680" s="23"/>
      <c r="E680" s="23"/>
      <c r="G680" s="23"/>
      <c r="H680" s="23"/>
      <c r="J680" s="23"/>
      <c r="K680" s="23"/>
      <c r="M680" s="23"/>
      <c r="N680" s="23"/>
      <c r="P680" s="23"/>
    </row>
    <row r="681" spans="2:16" x14ac:dyDescent="0.25">
      <c r="B681" s="23"/>
      <c r="E681" s="23"/>
      <c r="G681" s="23"/>
      <c r="H681" s="23"/>
      <c r="J681" s="23"/>
      <c r="K681" s="23"/>
      <c r="M681" s="23"/>
      <c r="N681" s="23"/>
      <c r="P681" s="23"/>
    </row>
    <row r="682" spans="2:16" x14ac:dyDescent="0.25">
      <c r="B682" s="23"/>
      <c r="E682" s="23"/>
      <c r="G682" s="23"/>
      <c r="H682" s="23"/>
      <c r="J682" s="23"/>
      <c r="K682" s="23"/>
      <c r="M682" s="23"/>
      <c r="N682" s="23"/>
      <c r="P682" s="23"/>
    </row>
    <row r="683" spans="2:16" x14ac:dyDescent="0.25">
      <c r="B683" s="23"/>
      <c r="E683" s="23"/>
      <c r="G683" s="23"/>
      <c r="H683" s="23"/>
      <c r="J683" s="23"/>
      <c r="K683" s="23"/>
      <c r="M683" s="23"/>
      <c r="N683" s="23"/>
      <c r="P683" s="23"/>
    </row>
    <row r="684" spans="2:16" x14ac:dyDescent="0.25">
      <c r="B684" s="23"/>
      <c r="E684" s="23"/>
      <c r="G684" s="23"/>
      <c r="H684" s="23"/>
      <c r="J684" s="23"/>
      <c r="K684" s="23"/>
      <c r="M684" s="23"/>
      <c r="N684" s="23"/>
      <c r="P684" s="23"/>
    </row>
    <row r="685" spans="2:16" x14ac:dyDescent="0.25">
      <c r="B685" s="23"/>
      <c r="E685" s="23"/>
      <c r="G685" s="23"/>
      <c r="H685" s="23"/>
      <c r="J685" s="23"/>
      <c r="K685" s="23"/>
      <c r="M685" s="23"/>
      <c r="N685" s="23"/>
      <c r="P685" s="23"/>
    </row>
    <row r="686" spans="2:16" x14ac:dyDescent="0.25">
      <c r="B686" s="23"/>
      <c r="E686" s="23"/>
      <c r="G686" s="23"/>
      <c r="H686" s="23"/>
      <c r="J686" s="23"/>
      <c r="K686" s="23"/>
      <c r="M686" s="23"/>
      <c r="N686" s="23"/>
      <c r="P686" s="23"/>
    </row>
    <row r="687" spans="2:16" x14ac:dyDescent="0.25">
      <c r="B687" s="23"/>
      <c r="E687" s="23"/>
      <c r="G687" s="23"/>
      <c r="H687" s="23"/>
      <c r="J687" s="23"/>
      <c r="K687" s="23"/>
      <c r="M687" s="23"/>
      <c r="N687" s="23"/>
      <c r="P687" s="23"/>
    </row>
    <row r="688" spans="2:16" x14ac:dyDescent="0.25">
      <c r="B688" s="23"/>
      <c r="E688" s="23"/>
      <c r="G688" s="23"/>
      <c r="H688" s="23"/>
      <c r="J688" s="23"/>
      <c r="K688" s="23"/>
      <c r="M688" s="23"/>
      <c r="N688" s="23"/>
      <c r="P688" s="23"/>
    </row>
    <row r="689" spans="2:16" x14ac:dyDescent="0.25">
      <c r="B689" s="23"/>
      <c r="E689" s="23"/>
      <c r="G689" s="23"/>
      <c r="H689" s="23"/>
      <c r="J689" s="23"/>
      <c r="K689" s="23"/>
      <c r="M689" s="23"/>
      <c r="N689" s="23"/>
      <c r="P689" s="23"/>
    </row>
    <row r="690" spans="2:16" x14ac:dyDescent="0.25">
      <c r="B690" s="23"/>
      <c r="E690" s="23"/>
      <c r="G690" s="23"/>
      <c r="H690" s="23"/>
      <c r="J690" s="23"/>
      <c r="K690" s="23"/>
      <c r="M690" s="23"/>
      <c r="N690" s="23"/>
      <c r="P690" s="23"/>
    </row>
    <row r="691" spans="2:16" x14ac:dyDescent="0.25">
      <c r="B691" s="23"/>
      <c r="E691" s="23"/>
      <c r="G691" s="23"/>
      <c r="H691" s="23"/>
      <c r="J691" s="23"/>
      <c r="K691" s="23"/>
      <c r="M691" s="23"/>
      <c r="N691" s="23"/>
      <c r="P691" s="23"/>
    </row>
    <row r="692" spans="2:16" x14ac:dyDescent="0.25">
      <c r="B692" s="23"/>
      <c r="E692" s="23"/>
      <c r="G692" s="23"/>
      <c r="H692" s="23"/>
      <c r="J692" s="23"/>
      <c r="K692" s="23"/>
      <c r="M692" s="23"/>
      <c r="N692" s="23"/>
      <c r="P692" s="23"/>
    </row>
    <row r="693" spans="2:16" x14ac:dyDescent="0.25">
      <c r="B693" s="23"/>
      <c r="E693" s="23"/>
      <c r="G693" s="23"/>
      <c r="H693" s="23"/>
      <c r="J693" s="23"/>
      <c r="K693" s="23"/>
      <c r="M693" s="23"/>
      <c r="N693" s="23"/>
      <c r="P693" s="23"/>
    </row>
    <row r="694" spans="2:16" x14ac:dyDescent="0.25">
      <c r="B694" s="23"/>
      <c r="E694" s="23"/>
      <c r="G694" s="23"/>
      <c r="H694" s="23"/>
      <c r="J694" s="23"/>
      <c r="K694" s="23"/>
      <c r="M694" s="23"/>
      <c r="N694" s="23"/>
      <c r="P694" s="23"/>
    </row>
    <row r="695" spans="2:16" x14ac:dyDescent="0.25">
      <c r="B695" s="23"/>
      <c r="E695" s="23"/>
      <c r="G695" s="23"/>
      <c r="H695" s="23"/>
      <c r="J695" s="23"/>
      <c r="K695" s="23"/>
      <c r="M695" s="23"/>
      <c r="N695" s="23"/>
      <c r="P695" s="23"/>
    </row>
    <row r="696" spans="2:16" x14ac:dyDescent="0.25">
      <c r="B696" s="23"/>
      <c r="E696" s="23"/>
      <c r="G696" s="23"/>
      <c r="H696" s="23"/>
      <c r="J696" s="23"/>
      <c r="K696" s="23"/>
      <c r="M696" s="23"/>
      <c r="N696" s="23"/>
      <c r="P696" s="23"/>
    </row>
    <row r="697" spans="2:16" x14ac:dyDescent="0.25">
      <c r="B697" s="23"/>
      <c r="E697" s="23"/>
      <c r="G697" s="23"/>
      <c r="H697" s="23"/>
      <c r="J697" s="23"/>
      <c r="K697" s="23"/>
      <c r="M697" s="23"/>
      <c r="N697" s="23"/>
      <c r="P697" s="23"/>
    </row>
    <row r="698" spans="2:16" x14ac:dyDescent="0.25">
      <c r="B698" s="23"/>
      <c r="E698" s="23"/>
      <c r="G698" s="23"/>
      <c r="H698" s="23"/>
      <c r="J698" s="23"/>
      <c r="K698" s="23"/>
      <c r="M698" s="23"/>
      <c r="N698" s="23"/>
      <c r="P698" s="23"/>
    </row>
    <row r="699" spans="2:16" x14ac:dyDescent="0.25">
      <c r="B699" s="23"/>
      <c r="E699" s="23"/>
      <c r="G699" s="23"/>
      <c r="H699" s="23"/>
      <c r="J699" s="23"/>
      <c r="K699" s="23"/>
      <c r="M699" s="23"/>
      <c r="N699" s="23"/>
      <c r="P699" s="23"/>
    </row>
    <row r="700" spans="2:16" x14ac:dyDescent="0.25">
      <c r="B700" s="23"/>
      <c r="E700" s="23"/>
      <c r="G700" s="23"/>
      <c r="H700" s="23"/>
      <c r="J700" s="23"/>
      <c r="K700" s="23"/>
      <c r="M700" s="23"/>
      <c r="N700" s="23"/>
      <c r="P700" s="23"/>
    </row>
    <row r="701" spans="2:16" x14ac:dyDescent="0.25">
      <c r="B701" s="23"/>
      <c r="E701" s="23"/>
      <c r="G701" s="23"/>
      <c r="H701" s="23"/>
      <c r="J701" s="23"/>
      <c r="K701" s="23"/>
      <c r="M701" s="23"/>
      <c r="N701" s="23"/>
      <c r="P701" s="23"/>
    </row>
    <row r="702" spans="2:16" x14ac:dyDescent="0.25">
      <c r="B702" s="23"/>
      <c r="E702" s="23"/>
      <c r="G702" s="23"/>
      <c r="H702" s="23"/>
      <c r="J702" s="23"/>
      <c r="K702" s="23"/>
      <c r="M702" s="23"/>
      <c r="N702" s="23"/>
      <c r="P702" s="23"/>
    </row>
    <row r="703" spans="2:16" x14ac:dyDescent="0.25">
      <c r="B703" s="23"/>
      <c r="E703" s="23"/>
      <c r="G703" s="23"/>
      <c r="H703" s="23"/>
      <c r="J703" s="23"/>
      <c r="K703" s="23"/>
      <c r="M703" s="23"/>
      <c r="N703" s="23"/>
      <c r="P703" s="23"/>
    </row>
    <row r="704" spans="2:16" x14ac:dyDescent="0.25">
      <c r="B704" s="23"/>
      <c r="E704" s="23"/>
      <c r="G704" s="23"/>
      <c r="H704" s="23"/>
      <c r="J704" s="23"/>
      <c r="K704" s="23"/>
      <c r="M704" s="23"/>
      <c r="N704" s="23"/>
      <c r="P704" s="23"/>
    </row>
    <row r="705" spans="2:16" x14ac:dyDescent="0.25">
      <c r="B705" s="23"/>
      <c r="E705" s="23"/>
      <c r="G705" s="23"/>
      <c r="H705" s="23"/>
      <c r="J705" s="23"/>
      <c r="K705" s="23"/>
      <c r="M705" s="23"/>
      <c r="N705" s="23"/>
      <c r="P705" s="23"/>
    </row>
    <row r="706" spans="2:16" x14ac:dyDescent="0.25">
      <c r="B706" s="23"/>
      <c r="E706" s="23"/>
      <c r="G706" s="23"/>
      <c r="H706" s="23"/>
      <c r="J706" s="23"/>
      <c r="K706" s="23"/>
      <c r="M706" s="23"/>
      <c r="N706" s="23"/>
      <c r="P706" s="23"/>
    </row>
    <row r="707" spans="2:16" x14ac:dyDescent="0.25">
      <c r="B707" s="23"/>
      <c r="E707" s="23"/>
      <c r="G707" s="23"/>
      <c r="H707" s="23"/>
      <c r="J707" s="23"/>
      <c r="K707" s="23"/>
      <c r="M707" s="23"/>
      <c r="N707" s="23"/>
      <c r="P707" s="23"/>
    </row>
    <row r="708" spans="2:16" x14ac:dyDescent="0.25">
      <c r="B708" s="23"/>
      <c r="E708" s="23"/>
      <c r="G708" s="23"/>
      <c r="H708" s="23"/>
      <c r="J708" s="23"/>
      <c r="K708" s="23"/>
      <c r="M708" s="23"/>
      <c r="N708" s="23"/>
      <c r="P708" s="23"/>
    </row>
    <row r="709" spans="2:16" x14ac:dyDescent="0.25">
      <c r="B709" s="23"/>
      <c r="E709" s="23"/>
      <c r="G709" s="23"/>
      <c r="H709" s="23"/>
      <c r="J709" s="23"/>
      <c r="K709" s="23"/>
      <c r="M709" s="23"/>
      <c r="N709" s="23"/>
      <c r="P709" s="23"/>
    </row>
    <row r="710" spans="2:16" x14ac:dyDescent="0.25">
      <c r="B710" s="23"/>
      <c r="E710" s="23"/>
      <c r="G710" s="23"/>
      <c r="H710" s="23"/>
      <c r="J710" s="23"/>
      <c r="K710" s="23"/>
      <c r="M710" s="23"/>
      <c r="N710" s="23"/>
      <c r="P710" s="23"/>
    </row>
    <row r="711" spans="2:16" x14ac:dyDescent="0.25">
      <c r="B711" s="23"/>
      <c r="E711" s="23"/>
      <c r="G711" s="23"/>
      <c r="H711" s="23"/>
      <c r="J711" s="23"/>
      <c r="K711" s="23"/>
      <c r="M711" s="23"/>
      <c r="N711" s="23"/>
      <c r="P711" s="23"/>
    </row>
    <row r="712" spans="2:16" x14ac:dyDescent="0.25">
      <c r="B712" s="23"/>
      <c r="E712" s="23"/>
      <c r="G712" s="23"/>
      <c r="H712" s="23"/>
      <c r="J712" s="23"/>
      <c r="K712" s="23"/>
      <c r="M712" s="23"/>
      <c r="N712" s="23"/>
      <c r="P712" s="23"/>
    </row>
    <row r="713" spans="2:16" x14ac:dyDescent="0.25">
      <c r="B713" s="23"/>
      <c r="E713" s="23"/>
      <c r="G713" s="23"/>
      <c r="H713" s="23"/>
      <c r="J713" s="23"/>
      <c r="K713" s="23"/>
      <c r="M713" s="23"/>
      <c r="N713" s="23"/>
      <c r="P713" s="23"/>
    </row>
    <row r="714" spans="2:16" x14ac:dyDescent="0.25">
      <c r="B714" s="23"/>
      <c r="E714" s="23"/>
      <c r="G714" s="23"/>
      <c r="H714" s="23"/>
      <c r="J714" s="23"/>
      <c r="K714" s="23"/>
      <c r="M714" s="23"/>
      <c r="N714" s="23"/>
      <c r="P714" s="23"/>
    </row>
    <row r="715" spans="2:16" x14ac:dyDescent="0.25">
      <c r="B715" s="23"/>
      <c r="E715" s="23"/>
      <c r="G715" s="23"/>
      <c r="H715" s="23"/>
      <c r="J715" s="23"/>
      <c r="K715" s="23"/>
      <c r="M715" s="23"/>
      <c r="N715" s="23"/>
      <c r="P715" s="23"/>
    </row>
    <row r="716" spans="2:16" x14ac:dyDescent="0.25">
      <c r="B716" s="23"/>
      <c r="E716" s="23"/>
      <c r="G716" s="23"/>
      <c r="H716" s="23"/>
      <c r="J716" s="23"/>
      <c r="K716" s="23"/>
      <c r="M716" s="23"/>
      <c r="N716" s="23"/>
      <c r="P716" s="23"/>
    </row>
    <row r="717" spans="2:16" x14ac:dyDescent="0.25">
      <c r="B717" s="23"/>
      <c r="E717" s="23"/>
      <c r="G717" s="23"/>
      <c r="H717" s="23"/>
      <c r="J717" s="23"/>
      <c r="K717" s="23"/>
      <c r="M717" s="23"/>
      <c r="N717" s="23"/>
      <c r="P717" s="23"/>
    </row>
    <row r="718" spans="2:16" x14ac:dyDescent="0.25">
      <c r="B718" s="23"/>
      <c r="E718" s="23"/>
      <c r="G718" s="23"/>
      <c r="H718" s="23"/>
      <c r="J718" s="23"/>
      <c r="K718" s="23"/>
      <c r="M718" s="23"/>
      <c r="N718" s="23"/>
      <c r="P718" s="23"/>
    </row>
    <row r="719" spans="2:16" x14ac:dyDescent="0.25">
      <c r="B719" s="23"/>
      <c r="E719" s="23"/>
      <c r="G719" s="23"/>
      <c r="H719" s="23"/>
      <c r="J719" s="23"/>
      <c r="K719" s="23"/>
      <c r="M719" s="23"/>
      <c r="N719" s="23"/>
      <c r="P719" s="23"/>
    </row>
    <row r="720" spans="2:16" x14ac:dyDescent="0.25">
      <c r="B720" s="23"/>
      <c r="E720" s="23"/>
      <c r="G720" s="23"/>
      <c r="H720" s="23"/>
      <c r="J720" s="23"/>
      <c r="K720" s="23"/>
      <c r="M720" s="23"/>
      <c r="N720" s="23"/>
      <c r="P720" s="23"/>
    </row>
    <row r="721" spans="2:16" x14ac:dyDescent="0.25">
      <c r="B721" s="23"/>
      <c r="E721" s="23"/>
      <c r="G721" s="23"/>
      <c r="H721" s="23"/>
      <c r="J721" s="23"/>
      <c r="K721" s="23"/>
      <c r="M721" s="23"/>
      <c r="N721" s="23"/>
      <c r="P721" s="23"/>
    </row>
    <row r="722" spans="2:16" x14ac:dyDescent="0.25">
      <c r="B722" s="23"/>
      <c r="E722" s="23"/>
      <c r="G722" s="23"/>
      <c r="H722" s="23"/>
      <c r="J722" s="23"/>
      <c r="K722" s="23"/>
      <c r="M722" s="23"/>
      <c r="N722" s="23"/>
      <c r="P722" s="23"/>
    </row>
    <row r="723" spans="2:16" x14ac:dyDescent="0.25">
      <c r="B723" s="23"/>
      <c r="E723" s="23"/>
      <c r="G723" s="23"/>
      <c r="H723" s="23"/>
      <c r="J723" s="23"/>
      <c r="K723" s="23"/>
      <c r="M723" s="23"/>
      <c r="N723" s="23"/>
      <c r="P723" s="23"/>
    </row>
    <row r="724" spans="2:16" x14ac:dyDescent="0.25">
      <c r="B724" s="23"/>
      <c r="E724" s="23"/>
      <c r="G724" s="23"/>
      <c r="H724" s="23"/>
      <c r="J724" s="23"/>
      <c r="K724" s="23"/>
      <c r="M724" s="23"/>
      <c r="N724" s="23"/>
      <c r="P724" s="23"/>
    </row>
    <row r="725" spans="2:16" x14ac:dyDescent="0.25">
      <c r="B725" s="23"/>
      <c r="E725" s="23"/>
      <c r="G725" s="23"/>
      <c r="H725" s="23"/>
      <c r="J725" s="23"/>
      <c r="K725" s="23"/>
      <c r="M725" s="23"/>
      <c r="N725" s="23"/>
      <c r="P725" s="23"/>
    </row>
    <row r="726" spans="2:16" x14ac:dyDescent="0.25">
      <c r="B726" s="23"/>
      <c r="E726" s="23"/>
      <c r="G726" s="23"/>
      <c r="H726" s="23"/>
      <c r="J726" s="23"/>
      <c r="K726" s="23"/>
      <c r="M726" s="23"/>
      <c r="N726" s="23"/>
      <c r="P726" s="23"/>
    </row>
    <row r="727" spans="2:16" x14ac:dyDescent="0.25">
      <c r="B727" s="23"/>
      <c r="E727" s="23"/>
      <c r="G727" s="23"/>
      <c r="H727" s="23"/>
      <c r="J727" s="23"/>
      <c r="K727" s="23"/>
      <c r="M727" s="23"/>
      <c r="N727" s="23"/>
      <c r="P727" s="23"/>
    </row>
    <row r="728" spans="2:16" x14ac:dyDescent="0.25">
      <c r="B728" s="23"/>
      <c r="E728" s="23"/>
      <c r="G728" s="23"/>
      <c r="H728" s="23"/>
      <c r="J728" s="23"/>
      <c r="K728" s="23"/>
      <c r="M728" s="23"/>
      <c r="N728" s="23"/>
      <c r="P728" s="23"/>
    </row>
    <row r="729" spans="2:16" x14ac:dyDescent="0.25">
      <c r="B729" s="23"/>
      <c r="E729" s="23"/>
      <c r="G729" s="23"/>
      <c r="H729" s="23"/>
      <c r="J729" s="23"/>
      <c r="K729" s="23"/>
      <c r="M729" s="23"/>
      <c r="N729" s="23"/>
      <c r="P729" s="23"/>
    </row>
    <row r="730" spans="2:16" x14ac:dyDescent="0.25">
      <c r="B730" s="23"/>
      <c r="E730" s="23"/>
      <c r="G730" s="23"/>
      <c r="H730" s="23"/>
      <c r="J730" s="23"/>
      <c r="K730" s="23"/>
      <c r="M730" s="23"/>
      <c r="N730" s="23"/>
      <c r="P730" s="23"/>
    </row>
    <row r="731" spans="2:16" x14ac:dyDescent="0.25">
      <c r="B731" s="23"/>
      <c r="E731" s="23"/>
      <c r="G731" s="23"/>
      <c r="H731" s="23"/>
      <c r="J731" s="23"/>
      <c r="K731" s="23"/>
      <c r="M731" s="23"/>
      <c r="N731" s="23"/>
      <c r="P731" s="23"/>
    </row>
    <row r="732" spans="2:16" x14ac:dyDescent="0.25">
      <c r="B732" s="23"/>
      <c r="E732" s="23"/>
      <c r="G732" s="23"/>
      <c r="H732" s="23"/>
      <c r="J732" s="23"/>
      <c r="K732" s="23"/>
      <c r="M732" s="23"/>
      <c r="N732" s="23"/>
      <c r="P732" s="23"/>
    </row>
    <row r="733" spans="2:16" x14ac:dyDescent="0.25">
      <c r="B733" s="23"/>
      <c r="E733" s="23"/>
      <c r="G733" s="23"/>
      <c r="H733" s="23"/>
      <c r="J733" s="23"/>
      <c r="K733" s="23"/>
      <c r="M733" s="23"/>
      <c r="N733" s="23"/>
      <c r="P733" s="23"/>
    </row>
    <row r="734" spans="2:16" x14ac:dyDescent="0.25">
      <c r="B734" s="23"/>
      <c r="E734" s="23"/>
      <c r="G734" s="23"/>
      <c r="H734" s="23"/>
      <c r="J734" s="23"/>
      <c r="K734" s="23"/>
      <c r="M734" s="23"/>
      <c r="N734" s="23"/>
      <c r="P734" s="23"/>
    </row>
    <row r="735" spans="2:16" x14ac:dyDescent="0.25">
      <c r="B735" s="23"/>
      <c r="E735" s="23"/>
      <c r="G735" s="23"/>
      <c r="H735" s="23"/>
      <c r="J735" s="23"/>
      <c r="K735" s="23"/>
      <c r="M735" s="23"/>
      <c r="N735" s="23"/>
      <c r="P735" s="23"/>
    </row>
    <row r="736" spans="2:16" x14ac:dyDescent="0.25">
      <c r="B736" s="23"/>
      <c r="E736" s="23"/>
      <c r="G736" s="23"/>
      <c r="H736" s="23"/>
      <c r="J736" s="23"/>
      <c r="K736" s="23"/>
      <c r="M736" s="23"/>
      <c r="N736" s="23"/>
      <c r="P736" s="23"/>
    </row>
    <row r="737" spans="2:16" x14ac:dyDescent="0.25">
      <c r="B737" s="23"/>
      <c r="E737" s="23"/>
      <c r="G737" s="23"/>
      <c r="H737" s="23"/>
      <c r="J737" s="23"/>
      <c r="K737" s="23"/>
      <c r="M737" s="23"/>
      <c r="N737" s="23"/>
      <c r="P737" s="23"/>
    </row>
    <row r="738" spans="2:16" x14ac:dyDescent="0.25">
      <c r="B738" s="23"/>
      <c r="E738" s="23"/>
      <c r="G738" s="23"/>
      <c r="H738" s="23"/>
      <c r="J738" s="23"/>
      <c r="K738" s="23"/>
      <c r="M738" s="23"/>
      <c r="N738" s="23"/>
      <c r="P738" s="23"/>
    </row>
    <row r="739" spans="2:16" x14ac:dyDescent="0.25">
      <c r="B739" s="23"/>
      <c r="E739" s="23"/>
      <c r="G739" s="23"/>
      <c r="H739" s="23"/>
      <c r="J739" s="23"/>
      <c r="K739" s="23"/>
      <c r="M739" s="23"/>
      <c r="N739" s="23"/>
      <c r="P739" s="23"/>
    </row>
    <row r="740" spans="2:16" x14ac:dyDescent="0.25">
      <c r="B740" s="23"/>
      <c r="E740" s="23"/>
      <c r="G740" s="23"/>
      <c r="H740" s="23"/>
      <c r="J740" s="23"/>
      <c r="K740" s="23"/>
      <c r="M740" s="23"/>
      <c r="N740" s="23"/>
      <c r="P740" s="23"/>
    </row>
    <row r="741" spans="2:16" x14ac:dyDescent="0.25">
      <c r="B741" s="23"/>
      <c r="E741" s="23"/>
      <c r="G741" s="23"/>
      <c r="H741" s="23"/>
      <c r="J741" s="23"/>
      <c r="K741" s="23"/>
      <c r="M741" s="23"/>
      <c r="N741" s="23"/>
      <c r="P741" s="23"/>
    </row>
    <row r="742" spans="2:16" x14ac:dyDescent="0.25">
      <c r="B742" s="23"/>
      <c r="E742" s="23"/>
      <c r="G742" s="23"/>
      <c r="H742" s="23"/>
      <c r="J742" s="23"/>
      <c r="K742" s="23"/>
      <c r="M742" s="23"/>
      <c r="N742" s="23"/>
      <c r="P742" s="23"/>
    </row>
    <row r="743" spans="2:16" x14ac:dyDescent="0.25">
      <c r="B743" s="23"/>
      <c r="E743" s="23"/>
      <c r="G743" s="23"/>
      <c r="H743" s="23"/>
      <c r="J743" s="23"/>
      <c r="K743" s="23"/>
      <c r="M743" s="23"/>
      <c r="N743" s="23"/>
      <c r="P743" s="23"/>
    </row>
    <row r="744" spans="2:16" x14ac:dyDescent="0.25">
      <c r="B744" s="23"/>
      <c r="E744" s="23"/>
      <c r="G744" s="23"/>
      <c r="H744" s="23"/>
      <c r="J744" s="23"/>
      <c r="K744" s="23"/>
      <c r="M744" s="23"/>
      <c r="N744" s="23"/>
      <c r="P744" s="23"/>
    </row>
    <row r="745" spans="2:16" x14ac:dyDescent="0.25">
      <c r="B745" s="23"/>
      <c r="E745" s="23"/>
      <c r="G745" s="23"/>
      <c r="H745" s="23"/>
      <c r="J745" s="23"/>
      <c r="K745" s="23"/>
      <c r="M745" s="23"/>
      <c r="N745" s="23"/>
      <c r="P745" s="23"/>
    </row>
    <row r="746" spans="2:16" x14ac:dyDescent="0.25">
      <c r="B746" s="23"/>
      <c r="E746" s="23"/>
      <c r="G746" s="23"/>
      <c r="H746" s="23"/>
      <c r="J746" s="23"/>
      <c r="K746" s="23"/>
      <c r="M746" s="23"/>
      <c r="N746" s="23"/>
      <c r="P746" s="23"/>
    </row>
    <row r="747" spans="2:16" x14ac:dyDescent="0.25">
      <c r="B747" s="23"/>
      <c r="E747" s="23"/>
      <c r="G747" s="23"/>
      <c r="H747" s="23"/>
      <c r="J747" s="23"/>
      <c r="K747" s="23"/>
      <c r="M747" s="23"/>
      <c r="N747" s="23"/>
      <c r="P747" s="23"/>
    </row>
    <row r="748" spans="2:16" x14ac:dyDescent="0.25">
      <c r="B748" s="23"/>
      <c r="E748" s="23"/>
      <c r="G748" s="23"/>
      <c r="H748" s="23"/>
      <c r="J748" s="23"/>
      <c r="K748" s="23"/>
      <c r="M748" s="23"/>
      <c r="N748" s="23"/>
      <c r="P748" s="23"/>
    </row>
    <row r="749" spans="2:16" x14ac:dyDescent="0.25">
      <c r="B749" s="23"/>
      <c r="E749" s="23"/>
      <c r="G749" s="23"/>
      <c r="H749" s="23"/>
      <c r="J749" s="23"/>
      <c r="K749" s="23"/>
      <c r="M749" s="23"/>
      <c r="N749" s="23"/>
      <c r="P749" s="23"/>
    </row>
    <row r="750" spans="2:16" x14ac:dyDescent="0.25">
      <c r="B750" s="23"/>
      <c r="E750" s="23"/>
      <c r="G750" s="23"/>
      <c r="H750" s="23"/>
      <c r="J750" s="23"/>
      <c r="K750" s="23"/>
      <c r="M750" s="23"/>
      <c r="N750" s="23"/>
      <c r="P750" s="23"/>
    </row>
    <row r="751" spans="2:16" x14ac:dyDescent="0.25">
      <c r="B751" s="23"/>
      <c r="E751" s="23"/>
      <c r="G751" s="23"/>
      <c r="H751" s="23"/>
      <c r="J751" s="23"/>
      <c r="K751" s="23"/>
      <c r="M751" s="23"/>
      <c r="N751" s="23"/>
      <c r="P751" s="23"/>
    </row>
    <row r="752" spans="2:16" x14ac:dyDescent="0.25">
      <c r="B752" s="23"/>
      <c r="E752" s="23"/>
      <c r="G752" s="23"/>
      <c r="H752" s="23"/>
      <c r="J752" s="23"/>
      <c r="K752" s="23"/>
      <c r="M752" s="23"/>
      <c r="N752" s="23"/>
      <c r="P752" s="23"/>
    </row>
    <row r="753" spans="2:16" x14ac:dyDescent="0.25">
      <c r="B753" s="23"/>
      <c r="E753" s="23"/>
      <c r="G753" s="23"/>
      <c r="H753" s="23"/>
      <c r="J753" s="23"/>
      <c r="K753" s="23"/>
      <c r="M753" s="23"/>
      <c r="N753" s="23"/>
      <c r="P753" s="23"/>
    </row>
    <row r="754" spans="2:16" x14ac:dyDescent="0.25">
      <c r="B754" s="23"/>
      <c r="E754" s="23"/>
      <c r="G754" s="23"/>
      <c r="H754" s="23"/>
      <c r="J754" s="23"/>
      <c r="K754" s="23"/>
      <c r="M754" s="23"/>
      <c r="N754" s="23"/>
      <c r="P754" s="23"/>
    </row>
    <row r="755" spans="2:16" x14ac:dyDescent="0.25">
      <c r="B755" s="23"/>
      <c r="E755" s="23"/>
      <c r="G755" s="23"/>
      <c r="H755" s="23"/>
      <c r="J755" s="23"/>
      <c r="K755" s="23"/>
      <c r="M755" s="23"/>
      <c r="N755" s="23"/>
      <c r="P755" s="23"/>
    </row>
    <row r="756" spans="2:16" x14ac:dyDescent="0.25">
      <c r="B756" s="23"/>
      <c r="E756" s="23"/>
      <c r="G756" s="23"/>
      <c r="H756" s="23"/>
      <c r="J756" s="23"/>
      <c r="K756" s="23"/>
      <c r="M756" s="23"/>
      <c r="N756" s="23"/>
      <c r="P756" s="23"/>
    </row>
    <row r="757" spans="2:16" x14ac:dyDescent="0.25">
      <c r="B757" s="23"/>
      <c r="E757" s="23"/>
      <c r="G757" s="23"/>
      <c r="H757" s="23"/>
      <c r="J757" s="23"/>
      <c r="K757" s="23"/>
      <c r="M757" s="23"/>
      <c r="N757" s="23"/>
      <c r="P757" s="23"/>
    </row>
    <row r="758" spans="2:16" x14ac:dyDescent="0.25">
      <c r="B758" s="23"/>
      <c r="E758" s="23"/>
      <c r="G758" s="23"/>
      <c r="H758" s="23"/>
      <c r="J758" s="23"/>
      <c r="K758" s="23"/>
      <c r="M758" s="23"/>
      <c r="N758" s="23"/>
      <c r="P758" s="23"/>
    </row>
    <row r="759" spans="2:16" x14ac:dyDescent="0.25">
      <c r="B759" s="23"/>
      <c r="E759" s="23"/>
      <c r="G759" s="23"/>
      <c r="H759" s="23"/>
      <c r="J759" s="23"/>
      <c r="K759" s="23"/>
      <c r="M759" s="23"/>
      <c r="N759" s="23"/>
      <c r="P759" s="23"/>
    </row>
    <row r="760" spans="2:16" x14ac:dyDescent="0.25">
      <c r="B760" s="23"/>
      <c r="E760" s="23"/>
      <c r="G760" s="23"/>
      <c r="H760" s="23"/>
      <c r="J760" s="23"/>
      <c r="K760" s="23"/>
      <c r="M760" s="23"/>
      <c r="N760" s="23"/>
      <c r="P760" s="23"/>
    </row>
    <row r="761" spans="2:16" x14ac:dyDescent="0.25">
      <c r="B761" s="23"/>
      <c r="E761" s="23"/>
      <c r="G761" s="23"/>
      <c r="H761" s="23"/>
      <c r="J761" s="23"/>
      <c r="K761" s="23"/>
      <c r="M761" s="23"/>
      <c r="N761" s="23"/>
      <c r="P761" s="23"/>
    </row>
    <row r="762" spans="2:16" x14ac:dyDescent="0.25">
      <c r="B762" s="23"/>
      <c r="E762" s="23"/>
      <c r="G762" s="23"/>
      <c r="H762" s="23"/>
      <c r="J762" s="23"/>
      <c r="K762" s="23"/>
      <c r="M762" s="23"/>
      <c r="N762" s="23"/>
      <c r="P762" s="23"/>
    </row>
    <row r="763" spans="2:16" x14ac:dyDescent="0.25">
      <c r="B763" s="23"/>
      <c r="E763" s="23"/>
      <c r="G763" s="23"/>
      <c r="H763" s="23"/>
      <c r="J763" s="23"/>
      <c r="K763" s="23"/>
      <c r="M763" s="23"/>
      <c r="N763" s="23"/>
      <c r="P763" s="23"/>
    </row>
    <row r="764" spans="2:16" x14ac:dyDescent="0.25">
      <c r="B764" s="23"/>
      <c r="E764" s="23"/>
      <c r="G764" s="23"/>
      <c r="H764" s="23"/>
      <c r="J764" s="23"/>
      <c r="K764" s="23"/>
      <c r="M764" s="23"/>
      <c r="N764" s="23"/>
      <c r="P764" s="23"/>
    </row>
    <row r="765" spans="2:16" x14ac:dyDescent="0.25">
      <c r="B765" s="23"/>
      <c r="E765" s="23"/>
      <c r="G765" s="23"/>
      <c r="H765" s="23"/>
      <c r="J765" s="23"/>
      <c r="K765" s="23"/>
      <c r="M765" s="23"/>
      <c r="N765" s="23"/>
      <c r="P765" s="23"/>
    </row>
    <row r="766" spans="2:16" x14ac:dyDescent="0.25">
      <c r="B766" s="23"/>
      <c r="E766" s="23"/>
      <c r="G766" s="23"/>
      <c r="H766" s="23"/>
      <c r="J766" s="23"/>
      <c r="K766" s="23"/>
      <c r="M766" s="23"/>
      <c r="N766" s="23"/>
      <c r="P766" s="23"/>
    </row>
    <row r="767" spans="2:16" x14ac:dyDescent="0.25">
      <c r="B767" s="23"/>
      <c r="E767" s="23"/>
      <c r="G767" s="23"/>
      <c r="H767" s="23"/>
      <c r="J767" s="23"/>
      <c r="K767" s="23"/>
      <c r="M767" s="23"/>
      <c r="N767" s="23"/>
      <c r="P767" s="23"/>
    </row>
    <row r="768" spans="2:16" x14ac:dyDescent="0.25">
      <c r="B768" s="23"/>
      <c r="E768" s="23"/>
      <c r="G768" s="23"/>
      <c r="H768" s="23"/>
      <c r="J768" s="23"/>
      <c r="K768" s="23"/>
      <c r="M768" s="23"/>
      <c r="N768" s="23"/>
      <c r="P768" s="23"/>
    </row>
    <row r="769" spans="2:16" x14ac:dyDescent="0.25">
      <c r="B769" s="23"/>
      <c r="E769" s="23"/>
      <c r="G769" s="23"/>
      <c r="H769" s="23"/>
      <c r="J769" s="23"/>
      <c r="K769" s="23"/>
      <c r="M769" s="23"/>
      <c r="N769" s="23"/>
      <c r="P769" s="23"/>
    </row>
    <row r="770" spans="2:16" x14ac:dyDescent="0.25">
      <c r="B770" s="23"/>
      <c r="E770" s="23"/>
      <c r="G770" s="23"/>
      <c r="H770" s="23"/>
      <c r="J770" s="23"/>
      <c r="K770" s="23"/>
      <c r="M770" s="23"/>
      <c r="N770" s="23"/>
      <c r="P770" s="23"/>
    </row>
    <row r="771" spans="2:16" x14ac:dyDescent="0.25">
      <c r="B771" s="23"/>
      <c r="E771" s="23"/>
      <c r="G771" s="23"/>
      <c r="H771" s="23"/>
      <c r="J771" s="23"/>
      <c r="K771" s="23"/>
      <c r="M771" s="23"/>
      <c r="N771" s="23"/>
      <c r="P771" s="23"/>
    </row>
    <row r="772" spans="2:16" x14ac:dyDescent="0.25">
      <c r="B772" s="23"/>
      <c r="E772" s="23"/>
      <c r="G772" s="23"/>
      <c r="H772" s="23"/>
      <c r="J772" s="23"/>
      <c r="K772" s="23"/>
      <c r="M772" s="23"/>
      <c r="N772" s="23"/>
      <c r="P772" s="23"/>
    </row>
    <row r="773" spans="2:16" x14ac:dyDescent="0.25">
      <c r="B773" s="23"/>
      <c r="E773" s="23"/>
      <c r="G773" s="23"/>
      <c r="H773" s="23"/>
      <c r="J773" s="23"/>
      <c r="K773" s="23"/>
      <c r="M773" s="23"/>
      <c r="N773" s="23"/>
      <c r="P773" s="23"/>
    </row>
    <row r="774" spans="2:16" x14ac:dyDescent="0.25">
      <c r="B774" s="23"/>
      <c r="E774" s="23"/>
      <c r="G774" s="23"/>
      <c r="H774" s="23"/>
      <c r="J774" s="23"/>
      <c r="K774" s="23"/>
      <c r="M774" s="23"/>
      <c r="N774" s="23"/>
      <c r="P774" s="23"/>
    </row>
    <row r="775" spans="2:16" x14ac:dyDescent="0.25">
      <c r="B775" s="23"/>
      <c r="E775" s="23"/>
      <c r="G775" s="23"/>
      <c r="H775" s="23"/>
      <c r="J775" s="23"/>
      <c r="K775" s="23"/>
      <c r="M775" s="23"/>
      <c r="N775" s="23"/>
      <c r="P775" s="23"/>
    </row>
    <row r="776" spans="2:16" x14ac:dyDescent="0.25">
      <c r="B776" s="23"/>
      <c r="E776" s="23"/>
      <c r="G776" s="23"/>
      <c r="H776" s="23"/>
      <c r="J776" s="23"/>
      <c r="K776" s="23"/>
      <c r="M776" s="23"/>
      <c r="N776" s="23"/>
      <c r="P776" s="23"/>
    </row>
    <row r="777" spans="2:16" x14ac:dyDescent="0.25">
      <c r="B777" s="23"/>
      <c r="E777" s="23"/>
      <c r="G777" s="23"/>
      <c r="H777" s="23"/>
      <c r="J777" s="23"/>
      <c r="K777" s="23"/>
      <c r="M777" s="23"/>
      <c r="N777" s="23"/>
      <c r="P777" s="23"/>
    </row>
    <row r="778" spans="2:16" x14ac:dyDescent="0.25">
      <c r="B778" s="23"/>
      <c r="E778" s="23"/>
      <c r="G778" s="23"/>
      <c r="H778" s="23"/>
      <c r="J778" s="23"/>
      <c r="K778" s="23"/>
      <c r="M778" s="23"/>
      <c r="N778" s="23"/>
      <c r="P778" s="23"/>
    </row>
    <row r="779" spans="2:16" x14ac:dyDescent="0.25">
      <c r="B779" s="23"/>
      <c r="E779" s="23"/>
      <c r="G779" s="23"/>
      <c r="H779" s="23"/>
      <c r="J779" s="23"/>
      <c r="K779" s="23"/>
      <c r="M779" s="23"/>
      <c r="N779" s="23"/>
      <c r="P779" s="23"/>
    </row>
    <row r="780" spans="2:16" x14ac:dyDescent="0.25">
      <c r="B780" s="23"/>
      <c r="E780" s="23"/>
      <c r="G780" s="23"/>
      <c r="H780" s="23"/>
      <c r="J780" s="23"/>
      <c r="K780" s="23"/>
      <c r="M780" s="23"/>
      <c r="N780" s="23"/>
      <c r="P780" s="23"/>
    </row>
    <row r="781" spans="2:16" x14ac:dyDescent="0.25">
      <c r="B781" s="23"/>
      <c r="E781" s="23"/>
      <c r="G781" s="23"/>
      <c r="H781" s="23"/>
      <c r="J781" s="23"/>
      <c r="K781" s="23"/>
      <c r="M781" s="23"/>
      <c r="N781" s="23"/>
      <c r="P781" s="23"/>
    </row>
    <row r="782" spans="2:16" x14ac:dyDescent="0.25">
      <c r="B782" s="23"/>
      <c r="E782" s="23"/>
      <c r="G782" s="23"/>
      <c r="H782" s="23"/>
      <c r="J782" s="23"/>
      <c r="K782" s="23"/>
      <c r="M782" s="23"/>
      <c r="N782" s="23"/>
      <c r="P782" s="23"/>
    </row>
    <row r="783" spans="2:16" x14ac:dyDescent="0.25">
      <c r="B783" s="23"/>
      <c r="E783" s="23"/>
      <c r="G783" s="23"/>
      <c r="H783" s="23"/>
      <c r="J783" s="23"/>
      <c r="K783" s="23"/>
      <c r="M783" s="23"/>
      <c r="N783" s="23"/>
      <c r="P783" s="23"/>
    </row>
    <row r="784" spans="2:16" x14ac:dyDescent="0.25">
      <c r="B784" s="23"/>
      <c r="E784" s="23"/>
      <c r="G784" s="23"/>
      <c r="H784" s="23"/>
      <c r="J784" s="23"/>
      <c r="K784" s="23"/>
      <c r="M784" s="23"/>
      <c r="N784" s="23"/>
      <c r="P784" s="23"/>
    </row>
    <row r="785" spans="2:16" x14ac:dyDescent="0.25">
      <c r="B785" s="23"/>
      <c r="E785" s="23"/>
      <c r="G785" s="23"/>
      <c r="H785" s="23"/>
      <c r="J785" s="23"/>
      <c r="K785" s="23"/>
      <c r="M785" s="23"/>
      <c r="N785" s="23"/>
      <c r="P785" s="23"/>
    </row>
    <row r="786" spans="2:16" x14ac:dyDescent="0.25">
      <c r="B786" s="23"/>
      <c r="E786" s="23"/>
      <c r="G786" s="23"/>
      <c r="H786" s="23"/>
      <c r="J786" s="23"/>
      <c r="K786" s="23"/>
      <c r="M786" s="23"/>
      <c r="N786" s="23"/>
      <c r="P786" s="23"/>
    </row>
    <row r="787" spans="2:16" x14ac:dyDescent="0.25">
      <c r="B787" s="23"/>
      <c r="E787" s="23"/>
      <c r="G787" s="23"/>
      <c r="H787" s="23"/>
      <c r="J787" s="23"/>
      <c r="K787" s="23"/>
      <c r="M787" s="23"/>
      <c r="N787" s="23"/>
      <c r="P787" s="23"/>
    </row>
    <row r="788" spans="2:16" x14ac:dyDescent="0.25">
      <c r="B788" s="23"/>
      <c r="E788" s="23"/>
      <c r="G788" s="23"/>
      <c r="H788" s="23"/>
      <c r="J788" s="23"/>
      <c r="K788" s="23"/>
      <c r="M788" s="23"/>
      <c r="N788" s="23"/>
      <c r="P788" s="23"/>
    </row>
    <row r="789" spans="2:16" x14ac:dyDescent="0.25">
      <c r="B789" s="23"/>
      <c r="E789" s="23"/>
      <c r="G789" s="23"/>
      <c r="H789" s="23"/>
      <c r="J789" s="23"/>
      <c r="K789" s="23"/>
      <c r="M789" s="23"/>
      <c r="N789" s="23"/>
      <c r="P789" s="23"/>
    </row>
    <row r="790" spans="2:16" x14ac:dyDescent="0.25">
      <c r="B790" s="23"/>
      <c r="E790" s="23"/>
      <c r="G790" s="23"/>
      <c r="H790" s="23"/>
      <c r="J790" s="23"/>
      <c r="K790" s="23"/>
      <c r="M790" s="23"/>
      <c r="N790" s="23"/>
      <c r="P790" s="23"/>
    </row>
    <row r="791" spans="2:16" x14ac:dyDescent="0.25">
      <c r="B791" s="23"/>
      <c r="E791" s="23"/>
      <c r="G791" s="23"/>
      <c r="H791" s="23"/>
      <c r="J791" s="23"/>
      <c r="K791" s="23"/>
      <c r="M791" s="23"/>
      <c r="N791" s="23"/>
      <c r="P791" s="23"/>
    </row>
    <row r="792" spans="2:16" x14ac:dyDescent="0.25">
      <c r="B792" s="23"/>
      <c r="E792" s="23"/>
      <c r="G792" s="23"/>
      <c r="H792" s="23"/>
      <c r="J792" s="23"/>
      <c r="K792" s="23"/>
      <c r="M792" s="23"/>
      <c r="N792" s="23"/>
      <c r="P792" s="23"/>
    </row>
    <row r="793" spans="2:16" x14ac:dyDescent="0.25">
      <c r="B793" s="23"/>
      <c r="E793" s="23"/>
      <c r="G793" s="23"/>
      <c r="H793" s="23"/>
      <c r="J793" s="23"/>
      <c r="K793" s="23"/>
      <c r="M793" s="23"/>
      <c r="N793" s="23"/>
      <c r="P793" s="23"/>
    </row>
    <row r="794" spans="2:16" x14ac:dyDescent="0.25">
      <c r="B794" s="23"/>
      <c r="E794" s="23"/>
      <c r="G794" s="23"/>
      <c r="H794" s="23"/>
      <c r="J794" s="23"/>
      <c r="K794" s="23"/>
      <c r="M794" s="23"/>
      <c r="N794" s="23"/>
      <c r="P794" s="23"/>
    </row>
    <row r="795" spans="2:16" x14ac:dyDescent="0.25">
      <c r="B795" s="23"/>
      <c r="E795" s="23"/>
      <c r="G795" s="23"/>
      <c r="H795" s="23"/>
      <c r="J795" s="23"/>
      <c r="K795" s="23"/>
      <c r="M795" s="23"/>
      <c r="N795" s="23"/>
      <c r="P795" s="23"/>
    </row>
    <row r="796" spans="2:16" x14ac:dyDescent="0.25">
      <c r="B796" s="23"/>
      <c r="E796" s="23"/>
      <c r="G796" s="23"/>
      <c r="H796" s="23"/>
      <c r="J796" s="23"/>
      <c r="K796" s="23"/>
      <c r="M796" s="23"/>
      <c r="N796" s="23"/>
      <c r="P796" s="23"/>
    </row>
    <row r="797" spans="2:16" x14ac:dyDescent="0.25">
      <c r="B797" s="23"/>
      <c r="E797" s="23"/>
      <c r="G797" s="23"/>
      <c r="H797" s="23"/>
      <c r="J797" s="23"/>
      <c r="K797" s="23"/>
      <c r="M797" s="23"/>
      <c r="N797" s="23"/>
      <c r="P797" s="23"/>
    </row>
    <row r="798" spans="2:16" x14ac:dyDescent="0.25">
      <c r="B798" s="23"/>
      <c r="E798" s="23"/>
      <c r="G798" s="23"/>
      <c r="H798" s="23"/>
      <c r="J798" s="23"/>
      <c r="K798" s="23"/>
      <c r="M798" s="23"/>
      <c r="N798" s="23"/>
      <c r="P798" s="23"/>
    </row>
    <row r="799" spans="2:16" x14ac:dyDescent="0.25">
      <c r="B799" s="23"/>
      <c r="E799" s="23"/>
      <c r="G799" s="23"/>
      <c r="H799" s="23"/>
      <c r="J799" s="23"/>
      <c r="K799" s="23"/>
      <c r="M799" s="23"/>
      <c r="N799" s="23"/>
      <c r="P799" s="23"/>
    </row>
    <row r="800" spans="2:16" x14ac:dyDescent="0.25">
      <c r="B800" s="23"/>
      <c r="E800" s="23"/>
      <c r="G800" s="23"/>
      <c r="H800" s="23"/>
      <c r="J800" s="23"/>
      <c r="K800" s="23"/>
      <c r="M800" s="23"/>
      <c r="N800" s="23"/>
      <c r="P800" s="23"/>
    </row>
    <row r="801" spans="2:16" x14ac:dyDescent="0.25">
      <c r="B801" s="23"/>
      <c r="E801" s="23"/>
      <c r="G801" s="23"/>
      <c r="H801" s="23"/>
      <c r="J801" s="23"/>
      <c r="K801" s="23"/>
      <c r="M801" s="23"/>
      <c r="N801" s="23"/>
      <c r="P801" s="23"/>
    </row>
    <row r="802" spans="2:16" x14ac:dyDescent="0.25">
      <c r="B802" s="23"/>
      <c r="E802" s="23"/>
      <c r="G802" s="23"/>
      <c r="H802" s="23"/>
      <c r="J802" s="23"/>
      <c r="K802" s="23"/>
      <c r="M802" s="23"/>
      <c r="N802" s="23"/>
      <c r="P802" s="23"/>
    </row>
    <row r="803" spans="2:16" x14ac:dyDescent="0.25">
      <c r="B803" s="23"/>
      <c r="E803" s="23"/>
      <c r="G803" s="23"/>
      <c r="H803" s="23"/>
      <c r="J803" s="23"/>
      <c r="K803" s="23"/>
      <c r="M803" s="23"/>
      <c r="N803" s="23"/>
      <c r="P803" s="23"/>
    </row>
    <row r="804" spans="2:16" x14ac:dyDescent="0.25">
      <c r="B804" s="23"/>
      <c r="E804" s="23"/>
      <c r="G804" s="23"/>
      <c r="H804" s="23"/>
      <c r="J804" s="23"/>
      <c r="K804" s="23"/>
      <c r="M804" s="23"/>
      <c r="N804" s="23"/>
      <c r="P804" s="23"/>
    </row>
    <row r="805" spans="2:16" x14ac:dyDescent="0.25">
      <c r="B805" s="23"/>
      <c r="E805" s="23"/>
      <c r="G805" s="23"/>
      <c r="H805" s="23"/>
      <c r="J805" s="23"/>
      <c r="K805" s="23"/>
      <c r="M805" s="23"/>
      <c r="N805" s="23"/>
      <c r="P805" s="23"/>
    </row>
    <row r="806" spans="2:16" x14ac:dyDescent="0.25">
      <c r="B806" s="23"/>
      <c r="E806" s="23"/>
      <c r="G806" s="23"/>
      <c r="H806" s="23"/>
      <c r="J806" s="23"/>
      <c r="K806" s="23"/>
      <c r="M806" s="23"/>
      <c r="N806" s="23"/>
      <c r="P806" s="23"/>
    </row>
    <row r="807" spans="2:16" x14ac:dyDescent="0.25">
      <c r="B807" s="23"/>
      <c r="E807" s="23"/>
      <c r="G807" s="23"/>
      <c r="H807" s="23"/>
      <c r="J807" s="23"/>
      <c r="K807" s="23"/>
      <c r="M807" s="23"/>
      <c r="N807" s="23"/>
      <c r="P807" s="23"/>
    </row>
    <row r="808" spans="2:16" x14ac:dyDescent="0.25">
      <c r="B808" s="23"/>
      <c r="E808" s="23"/>
      <c r="G808" s="23"/>
      <c r="H808" s="23"/>
      <c r="J808" s="23"/>
      <c r="K808" s="23"/>
      <c r="M808" s="23"/>
      <c r="N808" s="23"/>
      <c r="P808" s="23"/>
    </row>
    <row r="809" spans="2:16" x14ac:dyDescent="0.25">
      <c r="B809" s="23"/>
      <c r="E809" s="23"/>
      <c r="G809" s="23"/>
      <c r="H809" s="23"/>
      <c r="J809" s="23"/>
      <c r="K809" s="23"/>
      <c r="M809" s="23"/>
      <c r="N809" s="23"/>
      <c r="P809" s="23"/>
    </row>
    <row r="810" spans="2:16" x14ac:dyDescent="0.25">
      <c r="B810" s="23"/>
      <c r="E810" s="23"/>
      <c r="G810" s="23"/>
      <c r="H810" s="23"/>
      <c r="J810" s="23"/>
      <c r="K810" s="23"/>
      <c r="M810" s="23"/>
      <c r="N810" s="23"/>
      <c r="P810" s="23"/>
    </row>
    <row r="811" spans="2:16" x14ac:dyDescent="0.25">
      <c r="B811" s="23"/>
      <c r="E811" s="23"/>
      <c r="G811" s="23"/>
      <c r="H811" s="23"/>
      <c r="J811" s="23"/>
      <c r="K811" s="23"/>
      <c r="M811" s="23"/>
      <c r="N811" s="23"/>
      <c r="P811" s="23"/>
    </row>
    <row r="812" spans="2:16" x14ac:dyDescent="0.25">
      <c r="B812" s="23"/>
      <c r="E812" s="23"/>
      <c r="G812" s="23"/>
      <c r="H812" s="23"/>
      <c r="J812" s="23"/>
      <c r="K812" s="23"/>
      <c r="M812" s="23"/>
      <c r="N812" s="23"/>
      <c r="P812" s="23"/>
    </row>
    <row r="813" spans="2:16" x14ac:dyDescent="0.25">
      <c r="B813" s="23"/>
      <c r="E813" s="23"/>
      <c r="G813" s="23"/>
      <c r="H813" s="23"/>
      <c r="J813" s="23"/>
      <c r="K813" s="23"/>
      <c r="M813" s="23"/>
      <c r="N813" s="23"/>
      <c r="P813" s="23"/>
    </row>
    <row r="814" spans="2:16" x14ac:dyDescent="0.25">
      <c r="B814" s="23"/>
      <c r="E814" s="23"/>
      <c r="G814" s="23"/>
      <c r="H814" s="23"/>
      <c r="J814" s="23"/>
      <c r="K814" s="23"/>
      <c r="M814" s="23"/>
      <c r="N814" s="23"/>
      <c r="P814" s="23"/>
    </row>
    <row r="815" spans="2:16" x14ac:dyDescent="0.25">
      <c r="B815" s="23"/>
      <c r="E815" s="23"/>
      <c r="G815" s="23"/>
      <c r="H815" s="23"/>
      <c r="J815" s="23"/>
      <c r="K815" s="23"/>
      <c r="M815" s="23"/>
      <c r="N815" s="23"/>
      <c r="P815" s="23"/>
    </row>
    <row r="816" spans="2:16" x14ac:dyDescent="0.25">
      <c r="B816" s="23"/>
      <c r="E816" s="23"/>
      <c r="G816" s="23"/>
      <c r="H816" s="23"/>
      <c r="J816" s="23"/>
      <c r="K816" s="23"/>
      <c r="M816" s="23"/>
      <c r="N816" s="23"/>
      <c r="P816" s="23"/>
    </row>
    <row r="817" spans="2:16" x14ac:dyDescent="0.25">
      <c r="B817" s="23"/>
      <c r="E817" s="23"/>
      <c r="G817" s="23"/>
      <c r="H817" s="23"/>
      <c r="J817" s="23"/>
      <c r="K817" s="23"/>
      <c r="M817" s="23"/>
      <c r="N817" s="23"/>
      <c r="P817" s="23"/>
    </row>
    <row r="818" spans="2:16" x14ac:dyDescent="0.25">
      <c r="B818" s="23"/>
      <c r="E818" s="23"/>
      <c r="G818" s="23"/>
      <c r="H818" s="23"/>
      <c r="J818" s="23"/>
      <c r="K818" s="23"/>
      <c r="M818" s="23"/>
      <c r="N818" s="23"/>
      <c r="P818" s="23"/>
    </row>
    <row r="819" spans="2:16" x14ac:dyDescent="0.25">
      <c r="B819" s="23"/>
      <c r="E819" s="23"/>
      <c r="G819" s="23"/>
      <c r="H819" s="23"/>
      <c r="J819" s="23"/>
      <c r="K819" s="23"/>
      <c r="M819" s="23"/>
      <c r="N819" s="23"/>
      <c r="P819" s="23"/>
    </row>
    <row r="820" spans="2:16" x14ac:dyDescent="0.25">
      <c r="B820" s="23"/>
      <c r="E820" s="23"/>
      <c r="G820" s="23"/>
      <c r="H820" s="23"/>
      <c r="J820" s="23"/>
      <c r="K820" s="23"/>
      <c r="M820" s="23"/>
      <c r="N820" s="23"/>
      <c r="P820" s="23"/>
    </row>
    <row r="821" spans="2:16" x14ac:dyDescent="0.25">
      <c r="B821" s="23"/>
      <c r="E821" s="23"/>
      <c r="G821" s="23"/>
      <c r="H821" s="23"/>
      <c r="J821" s="23"/>
      <c r="K821" s="23"/>
      <c r="M821" s="23"/>
      <c r="N821" s="23"/>
      <c r="P821" s="23"/>
    </row>
    <row r="822" spans="2:16" x14ac:dyDescent="0.25">
      <c r="B822" s="23"/>
      <c r="E822" s="23"/>
      <c r="G822" s="23"/>
      <c r="H822" s="23"/>
      <c r="J822" s="23"/>
      <c r="K822" s="23"/>
      <c r="M822" s="23"/>
      <c r="N822" s="23"/>
      <c r="P822" s="23"/>
    </row>
    <row r="823" spans="2:16" x14ac:dyDescent="0.25">
      <c r="B823" s="23"/>
      <c r="E823" s="23"/>
      <c r="G823" s="23"/>
      <c r="H823" s="23"/>
      <c r="J823" s="23"/>
      <c r="K823" s="23"/>
      <c r="M823" s="23"/>
      <c r="N823" s="23"/>
      <c r="P823" s="23"/>
    </row>
    <row r="824" spans="2:16" x14ac:dyDescent="0.25">
      <c r="B824" s="23"/>
      <c r="E824" s="23"/>
      <c r="G824" s="23"/>
      <c r="H824" s="23"/>
      <c r="J824" s="23"/>
      <c r="K824" s="23"/>
      <c r="M824" s="23"/>
      <c r="N824" s="23"/>
      <c r="P824" s="23"/>
    </row>
    <row r="825" spans="2:16" x14ac:dyDescent="0.25">
      <c r="B825" s="23"/>
      <c r="E825" s="23"/>
      <c r="G825" s="23"/>
      <c r="H825" s="23"/>
      <c r="J825" s="23"/>
      <c r="K825" s="23"/>
      <c r="M825" s="23"/>
      <c r="N825" s="23"/>
      <c r="P825" s="23"/>
    </row>
    <row r="826" spans="2:16" x14ac:dyDescent="0.25">
      <c r="B826" s="23"/>
      <c r="E826" s="23"/>
      <c r="G826" s="23"/>
      <c r="H826" s="23"/>
      <c r="J826" s="23"/>
      <c r="K826" s="23"/>
      <c r="M826" s="23"/>
      <c r="N826" s="23"/>
      <c r="P826" s="23"/>
    </row>
    <row r="827" spans="2:16" x14ac:dyDescent="0.25">
      <c r="B827" s="23"/>
      <c r="E827" s="23"/>
      <c r="G827" s="23"/>
      <c r="H827" s="23"/>
      <c r="J827" s="23"/>
      <c r="K827" s="23"/>
      <c r="M827" s="23"/>
      <c r="N827" s="23"/>
      <c r="P827" s="23"/>
    </row>
    <row r="828" spans="2:16" x14ac:dyDescent="0.25">
      <c r="B828" s="23"/>
      <c r="E828" s="23"/>
      <c r="G828" s="23"/>
      <c r="H828" s="23"/>
      <c r="J828" s="23"/>
      <c r="K828" s="23"/>
      <c r="M828" s="23"/>
      <c r="N828" s="23"/>
      <c r="P828" s="23"/>
    </row>
    <row r="829" spans="2:16" x14ac:dyDescent="0.25">
      <c r="B829" s="23"/>
      <c r="E829" s="23"/>
      <c r="G829" s="23"/>
      <c r="H829" s="23"/>
      <c r="J829" s="23"/>
      <c r="K829" s="23"/>
      <c r="M829" s="23"/>
      <c r="N829" s="23"/>
      <c r="P829" s="23"/>
    </row>
    <row r="830" spans="2:16" x14ac:dyDescent="0.25">
      <c r="B830" s="23"/>
      <c r="E830" s="23"/>
      <c r="G830" s="23"/>
      <c r="H830" s="23"/>
      <c r="J830" s="23"/>
      <c r="K830" s="23"/>
      <c r="M830" s="23"/>
      <c r="N830" s="23"/>
      <c r="P830" s="23"/>
    </row>
    <row r="831" spans="2:16" x14ac:dyDescent="0.25">
      <c r="B831" s="23"/>
      <c r="E831" s="23"/>
      <c r="G831" s="23"/>
      <c r="H831" s="23"/>
      <c r="J831" s="23"/>
      <c r="K831" s="23"/>
      <c r="M831" s="23"/>
      <c r="N831" s="23"/>
      <c r="P831" s="23"/>
    </row>
    <row r="832" spans="2:16" x14ac:dyDescent="0.25">
      <c r="B832" s="23"/>
      <c r="E832" s="23"/>
      <c r="G832" s="23"/>
      <c r="H832" s="23"/>
      <c r="J832" s="23"/>
      <c r="K832" s="23"/>
      <c r="M832" s="23"/>
      <c r="N832" s="23"/>
      <c r="P832" s="23"/>
    </row>
    <row r="833" spans="2:16" x14ac:dyDescent="0.25">
      <c r="B833" s="23"/>
      <c r="E833" s="23"/>
      <c r="G833" s="23"/>
      <c r="H833" s="23"/>
      <c r="J833" s="23"/>
      <c r="K833" s="23"/>
      <c r="M833" s="23"/>
      <c r="N833" s="23"/>
      <c r="P833" s="23"/>
    </row>
    <row r="834" spans="2:16" x14ac:dyDescent="0.25">
      <c r="B834" s="23"/>
      <c r="E834" s="23"/>
      <c r="G834" s="23"/>
      <c r="H834" s="23"/>
      <c r="J834" s="23"/>
      <c r="K834" s="23"/>
      <c r="M834" s="23"/>
      <c r="N834" s="23"/>
      <c r="P834" s="23"/>
    </row>
    <row r="835" spans="2:16" x14ac:dyDescent="0.25">
      <c r="B835" s="23"/>
      <c r="E835" s="23"/>
      <c r="G835" s="23"/>
      <c r="H835" s="23"/>
      <c r="J835" s="23"/>
      <c r="K835" s="23"/>
      <c r="M835" s="23"/>
      <c r="N835" s="23"/>
      <c r="P835" s="23"/>
    </row>
    <row r="836" spans="2:16" x14ac:dyDescent="0.25">
      <c r="B836" s="23"/>
      <c r="E836" s="23"/>
      <c r="G836" s="23"/>
      <c r="H836" s="23"/>
      <c r="J836" s="23"/>
      <c r="K836" s="23"/>
      <c r="M836" s="23"/>
      <c r="N836" s="23"/>
      <c r="P836" s="23"/>
    </row>
    <row r="837" spans="2:16" x14ac:dyDescent="0.25">
      <c r="B837" s="23"/>
      <c r="E837" s="23"/>
      <c r="G837" s="23"/>
      <c r="H837" s="23"/>
      <c r="J837" s="23"/>
      <c r="K837" s="23"/>
      <c r="M837" s="23"/>
      <c r="N837" s="23"/>
      <c r="P837" s="23"/>
    </row>
    <row r="838" spans="2:16" x14ac:dyDescent="0.25">
      <c r="B838" s="23"/>
      <c r="E838" s="23"/>
      <c r="G838" s="23"/>
      <c r="H838" s="23"/>
      <c r="J838" s="23"/>
      <c r="K838" s="23"/>
      <c r="M838" s="23"/>
      <c r="N838" s="23"/>
      <c r="P838" s="23"/>
    </row>
    <row r="839" spans="2:16" x14ac:dyDescent="0.25">
      <c r="B839" s="23"/>
      <c r="E839" s="23"/>
      <c r="G839" s="23"/>
      <c r="H839" s="23"/>
      <c r="J839" s="23"/>
      <c r="K839" s="23"/>
      <c r="M839" s="23"/>
      <c r="N839" s="23"/>
      <c r="P839" s="23"/>
    </row>
    <row r="840" spans="2:16" x14ac:dyDescent="0.25">
      <c r="B840" s="23"/>
      <c r="E840" s="23"/>
      <c r="G840" s="23"/>
      <c r="H840" s="23"/>
      <c r="J840" s="23"/>
      <c r="K840" s="23"/>
      <c r="M840" s="23"/>
      <c r="N840" s="23"/>
      <c r="P840" s="23"/>
    </row>
    <row r="841" spans="2:16" x14ac:dyDescent="0.25">
      <c r="B841" s="23"/>
      <c r="E841" s="23"/>
      <c r="G841" s="23"/>
      <c r="H841" s="23"/>
      <c r="J841" s="23"/>
      <c r="K841" s="23"/>
      <c r="M841" s="23"/>
      <c r="N841" s="23"/>
      <c r="P841" s="23"/>
    </row>
    <row r="842" spans="2:16" x14ac:dyDescent="0.25">
      <c r="B842" s="23"/>
      <c r="E842" s="23"/>
      <c r="G842" s="23"/>
      <c r="H842" s="23"/>
      <c r="J842" s="23"/>
      <c r="K842" s="23"/>
      <c r="M842" s="23"/>
      <c r="N842" s="23"/>
      <c r="P842" s="23"/>
    </row>
    <row r="843" spans="2:16" x14ac:dyDescent="0.25">
      <c r="B843" s="23"/>
      <c r="E843" s="23"/>
      <c r="G843" s="23"/>
      <c r="H843" s="23"/>
      <c r="J843" s="23"/>
      <c r="K843" s="23"/>
      <c r="M843" s="23"/>
      <c r="N843" s="23"/>
      <c r="P843" s="23"/>
    </row>
    <row r="844" spans="2:16" x14ac:dyDescent="0.25">
      <c r="B844" s="23"/>
      <c r="E844" s="23"/>
      <c r="G844" s="23"/>
      <c r="H844" s="23"/>
      <c r="J844" s="23"/>
      <c r="K844" s="23"/>
      <c r="M844" s="23"/>
      <c r="N844" s="23"/>
      <c r="P844" s="23"/>
    </row>
    <row r="845" spans="2:16" x14ac:dyDescent="0.25">
      <c r="B845" s="23"/>
      <c r="E845" s="23"/>
      <c r="G845" s="23"/>
      <c r="H845" s="23"/>
      <c r="J845" s="23"/>
      <c r="K845" s="23"/>
      <c r="M845" s="23"/>
      <c r="N845" s="23"/>
      <c r="P845" s="23"/>
    </row>
    <row r="846" spans="2:16" x14ac:dyDescent="0.25">
      <c r="B846" s="23"/>
      <c r="E846" s="23"/>
      <c r="G846" s="23"/>
      <c r="H846" s="23"/>
      <c r="J846" s="23"/>
      <c r="K846" s="23"/>
      <c r="M846" s="23"/>
      <c r="N846" s="23"/>
      <c r="P846" s="23"/>
    </row>
    <row r="847" spans="2:16" x14ac:dyDescent="0.25">
      <c r="B847" s="23"/>
      <c r="E847" s="23"/>
      <c r="G847" s="23"/>
      <c r="H847" s="23"/>
      <c r="J847" s="23"/>
      <c r="K847" s="23"/>
      <c r="M847" s="23"/>
      <c r="N847" s="23"/>
      <c r="P847" s="23"/>
    </row>
    <row r="848" spans="2:16" x14ac:dyDescent="0.25">
      <c r="B848" s="23"/>
      <c r="E848" s="23"/>
      <c r="G848" s="23"/>
      <c r="H848" s="23"/>
      <c r="J848" s="23"/>
      <c r="K848" s="23"/>
      <c r="M848" s="23"/>
      <c r="N848" s="23"/>
      <c r="P848" s="23"/>
    </row>
    <row r="849" spans="2:16" x14ac:dyDescent="0.25">
      <c r="B849" s="23"/>
      <c r="E849" s="23"/>
      <c r="G849" s="23"/>
      <c r="H849" s="23"/>
      <c r="J849" s="23"/>
      <c r="K849" s="23"/>
      <c r="M849" s="23"/>
      <c r="N849" s="23"/>
      <c r="P849" s="23"/>
    </row>
    <row r="850" spans="2:16" x14ac:dyDescent="0.25">
      <c r="B850" s="23"/>
      <c r="E850" s="23"/>
      <c r="G850" s="23"/>
      <c r="H850" s="23"/>
      <c r="J850" s="23"/>
      <c r="K850" s="23"/>
      <c r="M850" s="23"/>
      <c r="N850" s="23"/>
      <c r="P850" s="23"/>
    </row>
    <row r="851" spans="2:16" x14ac:dyDescent="0.25">
      <c r="B851" s="23"/>
      <c r="E851" s="23"/>
      <c r="G851" s="23"/>
      <c r="H851" s="23"/>
      <c r="J851" s="23"/>
      <c r="K851" s="23"/>
      <c r="M851" s="23"/>
      <c r="N851" s="23"/>
      <c r="P851" s="23"/>
    </row>
    <row r="852" spans="2:16" x14ac:dyDescent="0.25">
      <c r="B852" s="23"/>
      <c r="E852" s="23"/>
      <c r="G852" s="23"/>
      <c r="H852" s="23"/>
      <c r="J852" s="23"/>
      <c r="K852" s="23"/>
      <c r="M852" s="23"/>
      <c r="N852" s="23"/>
      <c r="P852" s="23"/>
    </row>
    <row r="853" spans="2:16" x14ac:dyDescent="0.25">
      <c r="B853" s="23"/>
      <c r="E853" s="23"/>
      <c r="G853" s="23"/>
      <c r="H853" s="23"/>
      <c r="J853" s="23"/>
      <c r="K853" s="23"/>
      <c r="M853" s="23"/>
      <c r="N853" s="23"/>
      <c r="P853" s="23"/>
    </row>
    <row r="854" spans="2:16" x14ac:dyDescent="0.25">
      <c r="B854" s="23"/>
      <c r="E854" s="23"/>
      <c r="G854" s="23"/>
      <c r="H854" s="23"/>
      <c r="J854" s="23"/>
      <c r="K854" s="23"/>
      <c r="M854" s="23"/>
      <c r="N854" s="23"/>
      <c r="P854" s="23"/>
    </row>
    <row r="855" spans="2:16" x14ac:dyDescent="0.25">
      <c r="B855" s="23"/>
      <c r="E855" s="23"/>
      <c r="G855" s="23"/>
      <c r="H855" s="23"/>
      <c r="J855" s="23"/>
      <c r="K855" s="23"/>
      <c r="M855" s="23"/>
      <c r="N855" s="23"/>
      <c r="P855" s="23"/>
    </row>
    <row r="856" spans="2:16" x14ac:dyDescent="0.25">
      <c r="B856" s="23"/>
      <c r="E856" s="23"/>
      <c r="G856" s="23"/>
      <c r="H856" s="23"/>
      <c r="J856" s="23"/>
      <c r="K856" s="23"/>
      <c r="M856" s="23"/>
      <c r="N856" s="23"/>
      <c r="P856" s="23"/>
    </row>
    <row r="857" spans="2:16" x14ac:dyDescent="0.25">
      <c r="B857" s="23"/>
      <c r="E857" s="23"/>
      <c r="G857" s="23"/>
      <c r="H857" s="23"/>
      <c r="J857" s="23"/>
      <c r="K857" s="23"/>
      <c r="M857" s="23"/>
      <c r="N857" s="23"/>
      <c r="P857" s="23"/>
    </row>
    <row r="858" spans="2:16" x14ac:dyDescent="0.25">
      <c r="B858" s="23"/>
      <c r="E858" s="23"/>
      <c r="G858" s="23"/>
      <c r="H858" s="23"/>
      <c r="J858" s="23"/>
      <c r="K858" s="23"/>
      <c r="M858" s="23"/>
      <c r="N858" s="23"/>
      <c r="P858" s="23"/>
    </row>
    <row r="859" spans="2:16" x14ac:dyDescent="0.25">
      <c r="B859" s="23"/>
      <c r="E859" s="23"/>
      <c r="G859" s="23"/>
      <c r="H859" s="23"/>
      <c r="J859" s="23"/>
      <c r="K859" s="23"/>
      <c r="M859" s="23"/>
      <c r="N859" s="23"/>
      <c r="P859" s="23"/>
    </row>
    <row r="860" spans="2:16" x14ac:dyDescent="0.25">
      <c r="B860" s="23"/>
      <c r="E860" s="23"/>
      <c r="G860" s="23"/>
      <c r="H860" s="23"/>
      <c r="J860" s="23"/>
      <c r="K860" s="23"/>
      <c r="M860" s="23"/>
      <c r="N860" s="23"/>
      <c r="P860" s="23"/>
    </row>
    <row r="861" spans="2:16" x14ac:dyDescent="0.25">
      <c r="B861" s="23"/>
      <c r="E861" s="23"/>
      <c r="G861" s="23"/>
      <c r="H861" s="23"/>
      <c r="J861" s="23"/>
      <c r="K861" s="23"/>
      <c r="M861" s="23"/>
      <c r="N861" s="23"/>
      <c r="P861" s="23"/>
    </row>
    <row r="862" spans="2:16" x14ac:dyDescent="0.25">
      <c r="B862" s="23"/>
      <c r="E862" s="23"/>
      <c r="G862" s="23"/>
      <c r="H862" s="23"/>
      <c r="J862" s="23"/>
      <c r="K862" s="23"/>
      <c r="M862" s="23"/>
      <c r="N862" s="23"/>
      <c r="P862" s="23"/>
    </row>
    <row r="863" spans="2:16" x14ac:dyDescent="0.25">
      <c r="B863" s="23"/>
      <c r="E863" s="23"/>
      <c r="G863" s="23"/>
      <c r="H863" s="23"/>
      <c r="J863" s="23"/>
      <c r="K863" s="23"/>
      <c r="M863" s="23"/>
      <c r="N863" s="23"/>
      <c r="P863" s="23"/>
    </row>
    <row r="864" spans="2:16" x14ac:dyDescent="0.25">
      <c r="B864" s="23"/>
      <c r="E864" s="23"/>
      <c r="G864" s="23"/>
      <c r="H864" s="23"/>
      <c r="J864" s="23"/>
      <c r="K864" s="23"/>
      <c r="M864" s="23"/>
      <c r="N864" s="23"/>
      <c r="P864" s="23"/>
    </row>
    <row r="865" spans="2:16" x14ac:dyDescent="0.25">
      <c r="B865" s="23"/>
      <c r="E865" s="23"/>
      <c r="G865" s="23"/>
      <c r="H865" s="23"/>
      <c r="J865" s="23"/>
      <c r="K865" s="23"/>
      <c r="M865" s="23"/>
      <c r="N865" s="23"/>
      <c r="P865" s="23"/>
    </row>
    <row r="866" spans="2:16" x14ac:dyDescent="0.25">
      <c r="B866" s="23"/>
      <c r="E866" s="23"/>
      <c r="G866" s="23"/>
      <c r="H866" s="23"/>
      <c r="J866" s="23"/>
      <c r="K866" s="23"/>
      <c r="M866" s="23"/>
      <c r="N866" s="23"/>
      <c r="P866" s="23"/>
    </row>
    <row r="867" spans="2:16" x14ac:dyDescent="0.25">
      <c r="B867" s="23"/>
      <c r="E867" s="23"/>
      <c r="G867" s="23"/>
      <c r="H867" s="23"/>
      <c r="J867" s="23"/>
      <c r="K867" s="23"/>
      <c r="M867" s="23"/>
      <c r="N867" s="23"/>
      <c r="P867" s="23"/>
    </row>
    <row r="868" spans="2:16" x14ac:dyDescent="0.25">
      <c r="B868" s="23"/>
      <c r="E868" s="23"/>
      <c r="G868" s="23"/>
      <c r="H868" s="23"/>
      <c r="J868" s="23"/>
      <c r="K868" s="23"/>
      <c r="M868" s="23"/>
      <c r="N868" s="23"/>
      <c r="P868" s="23"/>
    </row>
    <row r="869" spans="2:16" x14ac:dyDescent="0.25">
      <c r="B869" s="23"/>
      <c r="E869" s="23"/>
      <c r="G869" s="23"/>
      <c r="H869" s="23"/>
      <c r="J869" s="23"/>
      <c r="K869" s="23"/>
      <c r="M869" s="23"/>
      <c r="N869" s="23"/>
      <c r="P869" s="23"/>
    </row>
    <row r="870" spans="2:16" x14ac:dyDescent="0.25">
      <c r="B870" s="23"/>
      <c r="E870" s="23"/>
      <c r="G870" s="23"/>
      <c r="H870" s="23"/>
      <c r="J870" s="23"/>
      <c r="K870" s="23"/>
      <c r="M870" s="23"/>
      <c r="N870" s="23"/>
      <c r="P870" s="23"/>
    </row>
    <row r="871" spans="2:16" x14ac:dyDescent="0.25">
      <c r="B871" s="23"/>
      <c r="E871" s="23"/>
      <c r="G871" s="23"/>
      <c r="H871" s="23"/>
      <c r="J871" s="23"/>
      <c r="K871" s="23"/>
      <c r="M871" s="23"/>
      <c r="N871" s="23"/>
      <c r="P871" s="23"/>
    </row>
    <row r="872" spans="2:16" x14ac:dyDescent="0.25">
      <c r="B872" s="23"/>
      <c r="E872" s="23"/>
      <c r="G872" s="23"/>
      <c r="H872" s="23"/>
      <c r="J872" s="23"/>
      <c r="K872" s="23"/>
      <c r="M872" s="23"/>
      <c r="N872" s="23"/>
      <c r="P872" s="23"/>
    </row>
    <row r="873" spans="2:16" x14ac:dyDescent="0.25">
      <c r="B873" s="23"/>
      <c r="E873" s="23"/>
      <c r="G873" s="23"/>
      <c r="H873" s="23"/>
      <c r="J873" s="23"/>
      <c r="K873" s="23"/>
      <c r="M873" s="23"/>
      <c r="N873" s="23"/>
      <c r="P873" s="23"/>
    </row>
    <row r="874" spans="2:16" x14ac:dyDescent="0.25">
      <c r="B874" s="23"/>
      <c r="E874" s="23"/>
      <c r="G874" s="23"/>
      <c r="H874" s="23"/>
      <c r="J874" s="23"/>
      <c r="K874" s="23"/>
      <c r="M874" s="23"/>
      <c r="N874" s="23"/>
      <c r="P874" s="23"/>
    </row>
    <row r="875" spans="2:16" x14ac:dyDescent="0.25">
      <c r="B875" s="23"/>
      <c r="E875" s="23"/>
      <c r="G875" s="23"/>
      <c r="H875" s="23"/>
      <c r="J875" s="23"/>
      <c r="K875" s="23"/>
      <c r="M875" s="23"/>
      <c r="N875" s="23"/>
      <c r="P875" s="23"/>
    </row>
    <row r="876" spans="2:16" x14ac:dyDescent="0.25">
      <c r="B876" s="23"/>
      <c r="E876" s="23"/>
      <c r="G876" s="23"/>
      <c r="H876" s="23"/>
      <c r="J876" s="23"/>
      <c r="K876" s="23"/>
      <c r="M876" s="23"/>
      <c r="N876" s="23"/>
      <c r="P876" s="23"/>
    </row>
    <row r="877" spans="2:16" x14ac:dyDescent="0.25">
      <c r="B877" s="23"/>
      <c r="E877" s="23"/>
      <c r="G877" s="23"/>
      <c r="H877" s="23"/>
      <c r="J877" s="23"/>
      <c r="K877" s="23"/>
      <c r="M877" s="23"/>
      <c r="N877" s="23"/>
      <c r="P877" s="23"/>
    </row>
    <row r="878" spans="2:16" x14ac:dyDescent="0.25">
      <c r="B878" s="23"/>
      <c r="E878" s="23"/>
      <c r="G878" s="23"/>
      <c r="H878" s="23"/>
      <c r="J878" s="23"/>
      <c r="K878" s="23"/>
      <c r="M878" s="23"/>
      <c r="N878" s="23"/>
      <c r="P878" s="23"/>
    </row>
    <row r="879" spans="2:16" x14ac:dyDescent="0.25">
      <c r="B879" s="23"/>
      <c r="E879" s="23"/>
      <c r="G879" s="23"/>
      <c r="H879" s="23"/>
      <c r="J879" s="23"/>
      <c r="K879" s="23"/>
      <c r="M879" s="23"/>
      <c r="N879" s="23"/>
      <c r="P879" s="23"/>
    </row>
    <row r="880" spans="2:16" x14ac:dyDescent="0.25">
      <c r="B880" s="23"/>
      <c r="E880" s="23"/>
      <c r="G880" s="23"/>
      <c r="H880" s="23"/>
      <c r="J880" s="23"/>
      <c r="K880" s="23"/>
      <c r="M880" s="23"/>
      <c r="N880" s="23"/>
      <c r="P880" s="23"/>
    </row>
    <row r="881" spans="2:16" x14ac:dyDescent="0.25">
      <c r="B881" s="23"/>
      <c r="E881" s="23"/>
      <c r="G881" s="23"/>
      <c r="H881" s="23"/>
      <c r="J881" s="23"/>
      <c r="K881" s="23"/>
      <c r="M881" s="23"/>
      <c r="N881" s="23"/>
      <c r="P881" s="23"/>
    </row>
    <row r="882" spans="2:16" x14ac:dyDescent="0.25">
      <c r="B882" s="23"/>
      <c r="E882" s="23"/>
      <c r="G882" s="23"/>
      <c r="H882" s="23"/>
      <c r="J882" s="23"/>
      <c r="K882" s="23"/>
      <c r="M882" s="23"/>
      <c r="N882" s="23"/>
      <c r="P882" s="23"/>
    </row>
    <row r="883" spans="2:16" x14ac:dyDescent="0.25">
      <c r="B883" s="23"/>
      <c r="E883" s="23"/>
      <c r="G883" s="23"/>
      <c r="H883" s="23"/>
      <c r="J883" s="23"/>
      <c r="K883" s="23"/>
      <c r="M883" s="23"/>
      <c r="N883" s="23"/>
      <c r="P883" s="23"/>
    </row>
    <row r="884" spans="2:16" x14ac:dyDescent="0.25">
      <c r="B884" s="23"/>
      <c r="E884" s="23"/>
      <c r="G884" s="23"/>
      <c r="H884" s="23"/>
      <c r="J884" s="23"/>
      <c r="K884" s="23"/>
      <c r="M884" s="23"/>
      <c r="N884" s="23"/>
      <c r="P884" s="23"/>
    </row>
    <row r="885" spans="2:16" x14ac:dyDescent="0.25">
      <c r="B885" s="23"/>
      <c r="E885" s="23"/>
      <c r="G885" s="23"/>
      <c r="H885" s="23"/>
      <c r="J885" s="23"/>
      <c r="K885" s="23"/>
      <c r="M885" s="23"/>
      <c r="N885" s="23"/>
      <c r="P885" s="23"/>
    </row>
    <row r="886" spans="2:16" x14ac:dyDescent="0.25">
      <c r="B886" s="23"/>
      <c r="E886" s="23"/>
      <c r="G886" s="23"/>
      <c r="H886" s="23"/>
      <c r="J886" s="23"/>
      <c r="K886" s="23"/>
      <c r="M886" s="23"/>
      <c r="N886" s="23"/>
      <c r="P886" s="23"/>
    </row>
    <row r="887" spans="2:16" x14ac:dyDescent="0.25">
      <c r="B887" s="23"/>
      <c r="E887" s="23"/>
      <c r="G887" s="23"/>
      <c r="H887" s="23"/>
      <c r="J887" s="23"/>
      <c r="K887" s="23"/>
      <c r="M887" s="23"/>
      <c r="N887" s="23"/>
      <c r="P887" s="23"/>
    </row>
    <row r="888" spans="2:16" x14ac:dyDescent="0.25">
      <c r="B888" s="23"/>
      <c r="E888" s="23"/>
      <c r="G888" s="23"/>
      <c r="H888" s="23"/>
      <c r="J888" s="23"/>
      <c r="K888" s="23"/>
      <c r="M888" s="23"/>
      <c r="N888" s="23"/>
      <c r="P888" s="23"/>
    </row>
    <row r="889" spans="2:16" x14ac:dyDescent="0.25">
      <c r="B889" s="23"/>
      <c r="E889" s="23"/>
      <c r="G889" s="23"/>
      <c r="H889" s="23"/>
      <c r="J889" s="23"/>
      <c r="K889" s="23"/>
      <c r="M889" s="23"/>
      <c r="N889" s="23"/>
      <c r="P889" s="23"/>
    </row>
    <row r="890" spans="2:16" x14ac:dyDescent="0.25">
      <c r="B890" s="23"/>
      <c r="E890" s="23"/>
      <c r="G890" s="23"/>
      <c r="H890" s="23"/>
      <c r="J890" s="23"/>
      <c r="K890" s="23"/>
      <c r="M890" s="23"/>
      <c r="N890" s="23"/>
      <c r="P890" s="23"/>
    </row>
    <row r="891" spans="2:16" x14ac:dyDescent="0.25">
      <c r="B891" s="23"/>
      <c r="E891" s="23"/>
      <c r="G891" s="23"/>
      <c r="H891" s="23"/>
      <c r="J891" s="23"/>
      <c r="K891" s="23"/>
      <c r="M891" s="23"/>
      <c r="N891" s="23"/>
      <c r="P891" s="23"/>
    </row>
    <row r="892" spans="2:16" x14ac:dyDescent="0.25">
      <c r="B892" s="23"/>
      <c r="E892" s="23"/>
      <c r="G892" s="23"/>
      <c r="H892" s="23"/>
      <c r="J892" s="23"/>
      <c r="K892" s="23"/>
      <c r="M892" s="23"/>
      <c r="N892" s="23"/>
      <c r="P892" s="23"/>
    </row>
    <row r="893" spans="2:16" x14ac:dyDescent="0.25">
      <c r="B893" s="23"/>
      <c r="E893" s="23"/>
      <c r="G893" s="23"/>
      <c r="H893" s="23"/>
      <c r="J893" s="23"/>
      <c r="K893" s="23"/>
      <c r="M893" s="23"/>
      <c r="N893" s="23"/>
      <c r="P893" s="23"/>
    </row>
    <row r="894" spans="2:16" x14ac:dyDescent="0.25">
      <c r="B894" s="23"/>
      <c r="E894" s="23"/>
      <c r="G894" s="23"/>
      <c r="H894" s="23"/>
      <c r="J894" s="23"/>
      <c r="K894" s="23"/>
      <c r="M894" s="23"/>
      <c r="N894" s="23"/>
      <c r="P894" s="23"/>
    </row>
    <row r="895" spans="2:16" x14ac:dyDescent="0.25">
      <c r="B895" s="23"/>
      <c r="E895" s="23"/>
      <c r="G895" s="23"/>
      <c r="H895" s="23"/>
      <c r="J895" s="23"/>
      <c r="K895" s="23"/>
      <c r="M895" s="23"/>
      <c r="N895" s="23"/>
      <c r="P895" s="23"/>
    </row>
    <row r="896" spans="2:16" x14ac:dyDescent="0.25">
      <c r="B896" s="23"/>
      <c r="E896" s="23"/>
      <c r="G896" s="23"/>
      <c r="H896" s="23"/>
      <c r="J896" s="23"/>
      <c r="K896" s="23"/>
      <c r="M896" s="23"/>
      <c r="N896" s="23"/>
      <c r="P896" s="23"/>
    </row>
    <row r="897" spans="2:16" x14ac:dyDescent="0.25">
      <c r="B897" s="23"/>
      <c r="E897" s="23"/>
      <c r="G897" s="23"/>
      <c r="H897" s="23"/>
      <c r="J897" s="23"/>
      <c r="K897" s="23"/>
      <c r="M897" s="23"/>
      <c r="N897" s="23"/>
      <c r="P897" s="23"/>
    </row>
    <row r="898" spans="2:16" x14ac:dyDescent="0.25">
      <c r="B898" s="23"/>
      <c r="E898" s="23"/>
      <c r="G898" s="23"/>
      <c r="H898" s="23"/>
      <c r="J898" s="23"/>
      <c r="K898" s="23"/>
      <c r="M898" s="23"/>
      <c r="N898" s="23"/>
      <c r="P898" s="23"/>
    </row>
    <row r="899" spans="2:16" x14ac:dyDescent="0.25">
      <c r="B899" s="23"/>
      <c r="E899" s="23"/>
      <c r="G899" s="23"/>
      <c r="H899" s="23"/>
      <c r="J899" s="23"/>
      <c r="K899" s="23"/>
      <c r="M899" s="23"/>
      <c r="N899" s="23"/>
      <c r="P899" s="23"/>
    </row>
    <row r="900" spans="2:16" x14ac:dyDescent="0.25">
      <c r="B900" s="23"/>
      <c r="E900" s="23"/>
      <c r="G900" s="23"/>
      <c r="H900" s="23"/>
      <c r="J900" s="23"/>
      <c r="K900" s="23"/>
      <c r="M900" s="23"/>
      <c r="N900" s="23"/>
      <c r="P900" s="23"/>
    </row>
    <row r="901" spans="2:16" x14ac:dyDescent="0.25">
      <c r="B901" s="23"/>
      <c r="E901" s="23"/>
      <c r="G901" s="23"/>
      <c r="H901" s="23"/>
      <c r="J901" s="23"/>
      <c r="K901" s="23"/>
      <c r="M901" s="23"/>
      <c r="N901" s="23"/>
      <c r="P901" s="23"/>
    </row>
    <row r="902" spans="2:16" x14ac:dyDescent="0.25">
      <c r="B902" s="23"/>
      <c r="E902" s="23"/>
      <c r="G902" s="23"/>
      <c r="H902" s="23"/>
      <c r="J902" s="23"/>
      <c r="K902" s="23"/>
      <c r="M902" s="23"/>
      <c r="N902" s="23"/>
      <c r="P902" s="23"/>
    </row>
    <row r="903" spans="2:16" x14ac:dyDescent="0.25">
      <c r="B903" s="23"/>
      <c r="E903" s="23"/>
      <c r="G903" s="23"/>
      <c r="H903" s="23"/>
      <c r="J903" s="23"/>
      <c r="K903" s="23"/>
      <c r="M903" s="23"/>
      <c r="N903" s="23"/>
      <c r="P903" s="23"/>
    </row>
    <row r="904" spans="2:16" x14ac:dyDescent="0.25">
      <c r="B904" s="23"/>
      <c r="E904" s="23"/>
      <c r="G904" s="23"/>
      <c r="H904" s="23"/>
      <c r="J904" s="23"/>
      <c r="K904" s="23"/>
      <c r="M904" s="23"/>
      <c r="N904" s="23"/>
      <c r="P904" s="23"/>
    </row>
    <row r="905" spans="2:16" x14ac:dyDescent="0.25">
      <c r="B905" s="23"/>
      <c r="E905" s="23"/>
      <c r="G905" s="23"/>
      <c r="H905" s="23"/>
      <c r="J905" s="23"/>
      <c r="K905" s="23"/>
      <c r="M905" s="23"/>
      <c r="N905" s="23"/>
      <c r="P905" s="23"/>
    </row>
    <row r="906" spans="2:16" x14ac:dyDescent="0.25">
      <c r="B906" s="23"/>
      <c r="E906" s="23"/>
      <c r="G906" s="23"/>
      <c r="H906" s="23"/>
      <c r="J906" s="23"/>
      <c r="K906" s="23"/>
      <c r="M906" s="23"/>
      <c r="N906" s="23"/>
      <c r="P906" s="23"/>
    </row>
    <row r="907" spans="2:16" x14ac:dyDescent="0.25">
      <c r="B907" s="23"/>
      <c r="E907" s="23"/>
      <c r="G907" s="23"/>
      <c r="H907" s="23"/>
      <c r="J907" s="23"/>
      <c r="K907" s="23"/>
      <c r="M907" s="23"/>
      <c r="N907" s="23"/>
      <c r="P907" s="23"/>
    </row>
    <row r="908" spans="2:16" x14ac:dyDescent="0.25">
      <c r="B908" s="23"/>
      <c r="E908" s="23"/>
      <c r="G908" s="23"/>
      <c r="H908" s="23"/>
      <c r="J908" s="23"/>
      <c r="K908" s="23"/>
      <c r="M908" s="23"/>
      <c r="N908" s="23"/>
      <c r="P908" s="23"/>
    </row>
    <row r="909" spans="2:16" x14ac:dyDescent="0.25">
      <c r="B909" s="23"/>
      <c r="E909" s="23"/>
      <c r="G909" s="23"/>
      <c r="H909" s="23"/>
      <c r="J909" s="23"/>
      <c r="K909" s="23"/>
      <c r="M909" s="23"/>
      <c r="N909" s="23"/>
      <c r="P909" s="23"/>
    </row>
    <row r="910" spans="2:16" x14ac:dyDescent="0.25">
      <c r="B910" s="23"/>
      <c r="E910" s="23"/>
      <c r="G910" s="23"/>
      <c r="H910" s="23"/>
      <c r="J910" s="23"/>
      <c r="K910" s="23"/>
      <c r="M910" s="23"/>
      <c r="N910" s="23"/>
      <c r="P910" s="23"/>
    </row>
    <row r="911" spans="2:16" x14ac:dyDescent="0.25">
      <c r="B911" s="23"/>
      <c r="E911" s="23"/>
      <c r="G911" s="23"/>
      <c r="H911" s="23"/>
      <c r="J911" s="23"/>
      <c r="K911" s="23"/>
      <c r="M911" s="23"/>
      <c r="N911" s="23"/>
      <c r="P911" s="23"/>
    </row>
    <row r="912" spans="2:16" x14ac:dyDescent="0.25">
      <c r="B912" s="23"/>
      <c r="E912" s="23"/>
      <c r="G912" s="23"/>
      <c r="H912" s="23"/>
      <c r="J912" s="23"/>
      <c r="K912" s="23"/>
      <c r="M912" s="23"/>
      <c r="N912" s="23"/>
      <c r="P912" s="23"/>
    </row>
    <row r="913" spans="2:16" x14ac:dyDescent="0.25">
      <c r="B913" s="23"/>
      <c r="E913" s="23"/>
      <c r="G913" s="23"/>
      <c r="H913" s="23"/>
      <c r="J913" s="23"/>
      <c r="K913" s="23"/>
      <c r="M913" s="23"/>
      <c r="N913" s="23"/>
      <c r="P913" s="23"/>
    </row>
    <row r="914" spans="2:16" x14ac:dyDescent="0.25">
      <c r="B914" s="23"/>
      <c r="E914" s="23"/>
      <c r="G914" s="23"/>
      <c r="H914" s="23"/>
      <c r="J914" s="23"/>
      <c r="K914" s="23"/>
      <c r="M914" s="23"/>
      <c r="N914" s="23"/>
      <c r="P914" s="23"/>
    </row>
    <row r="915" spans="2:16" x14ac:dyDescent="0.25">
      <c r="B915" s="23"/>
      <c r="E915" s="23"/>
      <c r="G915" s="23"/>
      <c r="H915" s="23"/>
      <c r="J915" s="23"/>
      <c r="K915" s="23"/>
      <c r="M915" s="23"/>
      <c r="N915" s="23"/>
      <c r="P915" s="23"/>
    </row>
    <row r="916" spans="2:16" x14ac:dyDescent="0.25">
      <c r="B916" s="23"/>
      <c r="E916" s="23"/>
      <c r="G916" s="23"/>
      <c r="H916" s="23"/>
      <c r="J916" s="23"/>
      <c r="K916" s="23"/>
      <c r="M916" s="23"/>
      <c r="N916" s="23"/>
      <c r="P916" s="23"/>
    </row>
    <row r="917" spans="2:16" x14ac:dyDescent="0.25">
      <c r="B917" s="23"/>
      <c r="E917" s="23"/>
      <c r="G917" s="23"/>
      <c r="H917" s="23"/>
      <c r="J917" s="23"/>
      <c r="K917" s="23"/>
      <c r="M917" s="23"/>
      <c r="N917" s="23"/>
      <c r="P917" s="23"/>
    </row>
    <row r="918" spans="2:16" x14ac:dyDescent="0.25">
      <c r="B918" s="23"/>
      <c r="E918" s="23"/>
      <c r="G918" s="23"/>
      <c r="H918" s="23"/>
      <c r="J918" s="23"/>
      <c r="K918" s="23"/>
      <c r="M918" s="23"/>
      <c r="N918" s="23"/>
      <c r="P918" s="23"/>
    </row>
    <row r="919" spans="2:16" x14ac:dyDescent="0.25">
      <c r="B919" s="23"/>
      <c r="E919" s="23"/>
      <c r="G919" s="23"/>
      <c r="H919" s="23"/>
      <c r="J919" s="23"/>
      <c r="K919" s="23"/>
      <c r="M919" s="23"/>
      <c r="N919" s="23"/>
      <c r="P919" s="23"/>
    </row>
    <row r="920" spans="2:16" x14ac:dyDescent="0.25">
      <c r="B920" s="23"/>
      <c r="E920" s="23"/>
      <c r="G920" s="23"/>
      <c r="H920" s="23"/>
      <c r="J920" s="23"/>
      <c r="K920" s="23"/>
      <c r="M920" s="23"/>
      <c r="N920" s="23"/>
      <c r="P920" s="23"/>
    </row>
    <row r="921" spans="2:16" x14ac:dyDescent="0.25">
      <c r="B921" s="23"/>
      <c r="E921" s="23"/>
      <c r="G921" s="23"/>
      <c r="H921" s="23"/>
      <c r="J921" s="23"/>
      <c r="K921" s="23"/>
      <c r="M921" s="23"/>
      <c r="N921" s="23"/>
      <c r="P921" s="23"/>
    </row>
    <row r="922" spans="2:16" x14ac:dyDescent="0.25">
      <c r="B922" s="23"/>
      <c r="E922" s="23"/>
      <c r="G922" s="23"/>
      <c r="H922" s="23"/>
      <c r="J922" s="23"/>
      <c r="K922" s="23"/>
      <c r="M922" s="23"/>
      <c r="N922" s="23"/>
      <c r="P922" s="23"/>
    </row>
    <row r="923" spans="2:16" x14ac:dyDescent="0.25">
      <c r="B923" s="23"/>
      <c r="E923" s="23"/>
      <c r="G923" s="23"/>
      <c r="H923" s="23"/>
      <c r="J923" s="23"/>
      <c r="K923" s="23"/>
      <c r="M923" s="23"/>
      <c r="N923" s="23"/>
      <c r="P923" s="23"/>
    </row>
    <row r="924" spans="2:16" x14ac:dyDescent="0.25">
      <c r="B924" s="23"/>
      <c r="E924" s="23"/>
      <c r="G924" s="23"/>
      <c r="H924" s="23"/>
      <c r="J924" s="23"/>
      <c r="K924" s="23"/>
      <c r="M924" s="23"/>
      <c r="N924" s="23"/>
      <c r="P924" s="23"/>
    </row>
    <row r="925" spans="2:16" x14ac:dyDescent="0.25">
      <c r="B925" s="23"/>
      <c r="E925" s="23"/>
      <c r="G925" s="23"/>
      <c r="H925" s="23"/>
      <c r="J925" s="23"/>
      <c r="K925" s="23"/>
      <c r="M925" s="23"/>
      <c r="N925" s="23"/>
      <c r="P925" s="23"/>
    </row>
    <row r="926" spans="2:16" x14ac:dyDescent="0.25">
      <c r="B926" s="23"/>
      <c r="E926" s="23"/>
      <c r="G926" s="23"/>
      <c r="H926" s="23"/>
      <c r="J926" s="23"/>
      <c r="K926" s="23"/>
      <c r="M926" s="23"/>
      <c r="N926" s="23"/>
      <c r="P926" s="23"/>
    </row>
    <row r="927" spans="2:16" x14ac:dyDescent="0.25">
      <c r="B927" s="23"/>
      <c r="E927" s="23"/>
      <c r="G927" s="23"/>
      <c r="H927" s="23"/>
      <c r="J927" s="23"/>
      <c r="K927" s="23"/>
      <c r="M927" s="23"/>
      <c r="N927" s="23"/>
      <c r="P927" s="23"/>
    </row>
    <row r="928" spans="2:16" x14ac:dyDescent="0.25">
      <c r="B928" s="23"/>
      <c r="E928" s="23"/>
      <c r="G928" s="23"/>
      <c r="H928" s="23"/>
      <c r="J928" s="23"/>
      <c r="K928" s="23"/>
      <c r="M928" s="23"/>
      <c r="N928" s="23"/>
      <c r="P928" s="23"/>
    </row>
    <row r="929" spans="2:16" x14ac:dyDescent="0.25">
      <c r="B929" s="23"/>
      <c r="E929" s="23"/>
      <c r="G929" s="23"/>
      <c r="H929" s="23"/>
      <c r="J929" s="23"/>
      <c r="K929" s="23"/>
      <c r="M929" s="23"/>
      <c r="N929" s="23"/>
      <c r="P929" s="23"/>
    </row>
    <row r="930" spans="2:16" x14ac:dyDescent="0.25">
      <c r="B930" s="23"/>
      <c r="E930" s="23"/>
      <c r="G930" s="23"/>
      <c r="H930" s="23"/>
      <c r="J930" s="23"/>
      <c r="K930" s="23"/>
      <c r="M930" s="23"/>
      <c r="N930" s="23"/>
      <c r="P930" s="23"/>
    </row>
    <row r="931" spans="2:16" x14ac:dyDescent="0.25">
      <c r="B931" s="23"/>
      <c r="E931" s="23"/>
      <c r="G931" s="23"/>
      <c r="H931" s="23"/>
      <c r="J931" s="23"/>
      <c r="K931" s="23"/>
      <c r="M931" s="23"/>
      <c r="N931" s="23"/>
      <c r="P931" s="23"/>
    </row>
    <row r="932" spans="2:16" x14ac:dyDescent="0.25">
      <c r="B932" s="23"/>
      <c r="E932" s="23"/>
      <c r="G932" s="23"/>
      <c r="H932" s="23"/>
      <c r="J932" s="23"/>
      <c r="K932" s="23"/>
      <c r="M932" s="23"/>
      <c r="N932" s="23"/>
      <c r="P932" s="23"/>
    </row>
    <row r="933" spans="2:16" x14ac:dyDescent="0.25">
      <c r="B933" s="23"/>
      <c r="E933" s="23"/>
      <c r="G933" s="23"/>
      <c r="H933" s="23"/>
      <c r="J933" s="23"/>
      <c r="K933" s="23"/>
      <c r="M933" s="23"/>
      <c r="N933" s="23"/>
      <c r="P933" s="23"/>
    </row>
    <row r="934" spans="2:16" x14ac:dyDescent="0.25">
      <c r="B934" s="23"/>
      <c r="E934" s="23"/>
      <c r="G934" s="23"/>
      <c r="H934" s="23"/>
      <c r="J934" s="23"/>
      <c r="K934" s="23"/>
      <c r="M934" s="23"/>
      <c r="N934" s="23"/>
      <c r="P934" s="23"/>
    </row>
    <row r="935" spans="2:16" x14ac:dyDescent="0.25">
      <c r="B935" s="23"/>
      <c r="E935" s="23"/>
      <c r="G935" s="23"/>
      <c r="H935" s="23"/>
      <c r="J935" s="23"/>
      <c r="K935" s="23"/>
      <c r="M935" s="23"/>
      <c r="N935" s="23"/>
      <c r="P935" s="23"/>
    </row>
    <row r="936" spans="2:16" x14ac:dyDescent="0.25">
      <c r="B936" s="23"/>
      <c r="E936" s="23"/>
      <c r="G936" s="23"/>
      <c r="H936" s="23"/>
      <c r="J936" s="23"/>
      <c r="K936" s="23"/>
      <c r="M936" s="23"/>
      <c r="N936" s="23"/>
      <c r="P936" s="23"/>
    </row>
    <row r="937" spans="2:16" x14ac:dyDescent="0.25">
      <c r="B937" s="23"/>
      <c r="E937" s="23"/>
      <c r="G937" s="23"/>
      <c r="H937" s="23"/>
      <c r="J937" s="23"/>
      <c r="K937" s="23"/>
      <c r="M937" s="23"/>
      <c r="N937" s="23"/>
      <c r="P937" s="23"/>
    </row>
    <row r="938" spans="2:16" x14ac:dyDescent="0.25">
      <c r="B938" s="23"/>
      <c r="E938" s="23"/>
      <c r="G938" s="23"/>
      <c r="H938" s="23"/>
      <c r="J938" s="23"/>
      <c r="K938" s="23"/>
      <c r="M938" s="23"/>
      <c r="N938" s="23"/>
      <c r="P938" s="23"/>
    </row>
    <row r="939" spans="2:16" x14ac:dyDescent="0.25">
      <c r="B939" s="23"/>
      <c r="E939" s="23"/>
      <c r="G939" s="23"/>
      <c r="H939" s="23"/>
      <c r="J939" s="23"/>
      <c r="K939" s="23"/>
      <c r="M939" s="23"/>
      <c r="N939" s="23"/>
      <c r="P939" s="23"/>
    </row>
    <row r="940" spans="2:16" x14ac:dyDescent="0.25">
      <c r="B940" s="23"/>
      <c r="E940" s="23"/>
      <c r="G940" s="23"/>
      <c r="H940" s="23"/>
      <c r="J940" s="23"/>
      <c r="K940" s="23"/>
      <c r="M940" s="23"/>
      <c r="N940" s="23"/>
      <c r="P940" s="23"/>
    </row>
    <row r="941" spans="2:16" x14ac:dyDescent="0.25">
      <c r="B941" s="23"/>
      <c r="E941" s="23"/>
      <c r="G941" s="23"/>
      <c r="H941" s="23"/>
      <c r="J941" s="23"/>
      <c r="K941" s="23"/>
      <c r="M941" s="23"/>
      <c r="N941" s="23"/>
      <c r="P941" s="23"/>
    </row>
    <row r="942" spans="2:16" x14ac:dyDescent="0.25">
      <c r="B942" s="23"/>
      <c r="E942" s="23"/>
      <c r="G942" s="23"/>
      <c r="H942" s="23"/>
      <c r="J942" s="23"/>
      <c r="K942" s="23"/>
      <c r="M942" s="23"/>
      <c r="N942" s="23"/>
      <c r="P942" s="23"/>
    </row>
    <row r="943" spans="2:16" x14ac:dyDescent="0.25">
      <c r="B943" s="23"/>
      <c r="E943" s="23"/>
      <c r="G943" s="23"/>
      <c r="H943" s="23"/>
      <c r="J943" s="23"/>
      <c r="K943" s="23"/>
      <c r="M943" s="23"/>
      <c r="N943" s="23"/>
      <c r="P943" s="23"/>
    </row>
    <row r="944" spans="2:16" x14ac:dyDescent="0.25">
      <c r="B944" s="23"/>
      <c r="E944" s="23"/>
      <c r="G944" s="23"/>
      <c r="H944" s="23"/>
      <c r="J944" s="23"/>
      <c r="K944" s="23"/>
      <c r="M944" s="23"/>
      <c r="N944" s="23"/>
      <c r="P944" s="23"/>
    </row>
    <row r="945" spans="2:16" x14ac:dyDescent="0.25">
      <c r="B945" s="23"/>
      <c r="E945" s="23"/>
      <c r="G945" s="23"/>
      <c r="H945" s="23"/>
      <c r="J945" s="23"/>
      <c r="K945" s="23"/>
      <c r="M945" s="23"/>
      <c r="N945" s="23"/>
      <c r="P945" s="23"/>
    </row>
    <row r="946" spans="2:16" x14ac:dyDescent="0.25">
      <c r="B946" s="23"/>
      <c r="E946" s="23"/>
      <c r="G946" s="23"/>
      <c r="H946" s="23"/>
      <c r="J946" s="23"/>
      <c r="K946" s="23"/>
      <c r="M946" s="23"/>
      <c r="N946" s="23"/>
      <c r="P946" s="23"/>
    </row>
    <row r="947" spans="2:16" x14ac:dyDescent="0.25">
      <c r="B947" s="23"/>
      <c r="E947" s="23"/>
      <c r="G947" s="23"/>
      <c r="H947" s="23"/>
      <c r="J947" s="23"/>
      <c r="K947" s="23"/>
      <c r="M947" s="23"/>
      <c r="N947" s="23"/>
      <c r="P947" s="23"/>
    </row>
    <row r="948" spans="2:16" x14ac:dyDescent="0.25">
      <c r="B948" s="23"/>
      <c r="E948" s="23"/>
      <c r="G948" s="23"/>
      <c r="H948" s="23"/>
      <c r="J948" s="23"/>
      <c r="K948" s="23"/>
      <c r="M948" s="23"/>
      <c r="N948" s="23"/>
      <c r="P948" s="23"/>
    </row>
    <row r="949" spans="2:16" x14ac:dyDescent="0.25">
      <c r="B949" s="23"/>
      <c r="E949" s="23"/>
      <c r="G949" s="23"/>
      <c r="H949" s="23"/>
      <c r="J949" s="23"/>
      <c r="K949" s="23"/>
      <c r="M949" s="23"/>
      <c r="N949" s="23"/>
      <c r="P949" s="23"/>
    </row>
    <row r="950" spans="2:16" x14ac:dyDescent="0.25">
      <c r="B950" s="23"/>
      <c r="E950" s="23"/>
      <c r="G950" s="23"/>
      <c r="H950" s="23"/>
      <c r="J950" s="23"/>
      <c r="K950" s="23"/>
      <c r="M950" s="23"/>
      <c r="N950" s="23"/>
      <c r="P950" s="23"/>
    </row>
    <row r="951" spans="2:16" x14ac:dyDescent="0.25">
      <c r="B951" s="23"/>
      <c r="E951" s="23"/>
      <c r="G951" s="23"/>
      <c r="H951" s="23"/>
      <c r="J951" s="23"/>
      <c r="K951" s="23"/>
      <c r="M951" s="23"/>
      <c r="N951" s="23"/>
      <c r="P951" s="23"/>
    </row>
    <row r="952" spans="2:16" x14ac:dyDescent="0.25">
      <c r="B952" s="23"/>
      <c r="E952" s="23"/>
      <c r="G952" s="23"/>
      <c r="H952" s="23"/>
      <c r="J952" s="23"/>
      <c r="K952" s="23"/>
      <c r="M952" s="23"/>
      <c r="N952" s="23"/>
      <c r="P952" s="23"/>
    </row>
    <row r="953" spans="2:16" x14ac:dyDescent="0.25">
      <c r="B953" s="23"/>
      <c r="E953" s="23"/>
      <c r="G953" s="23"/>
      <c r="H953" s="23"/>
      <c r="J953" s="23"/>
      <c r="K953" s="23"/>
      <c r="M953" s="23"/>
      <c r="N953" s="23"/>
      <c r="P953" s="23"/>
    </row>
    <row r="954" spans="2:16" x14ac:dyDescent="0.25">
      <c r="B954" s="23"/>
      <c r="E954" s="23"/>
      <c r="G954" s="23"/>
      <c r="H954" s="23"/>
      <c r="J954" s="23"/>
      <c r="K954" s="23"/>
      <c r="M954" s="23"/>
      <c r="N954" s="23"/>
      <c r="P954" s="23"/>
    </row>
    <row r="955" spans="2:16" x14ac:dyDescent="0.25">
      <c r="B955" s="23"/>
      <c r="E955" s="23"/>
      <c r="G955" s="23"/>
      <c r="H955" s="23"/>
      <c r="J955" s="23"/>
      <c r="K955" s="23"/>
      <c r="M955" s="23"/>
      <c r="N955" s="23"/>
      <c r="P955" s="23"/>
    </row>
    <row r="956" spans="2:16" x14ac:dyDescent="0.25">
      <c r="B956" s="23"/>
      <c r="E956" s="23"/>
      <c r="G956" s="23"/>
      <c r="H956" s="23"/>
      <c r="J956" s="23"/>
      <c r="K956" s="23"/>
      <c r="M956" s="23"/>
      <c r="N956" s="23"/>
      <c r="P956" s="23"/>
    </row>
    <row r="957" spans="2:16" x14ac:dyDescent="0.25">
      <c r="B957" s="23"/>
      <c r="E957" s="23"/>
      <c r="G957" s="23"/>
      <c r="H957" s="23"/>
      <c r="J957" s="23"/>
      <c r="K957" s="23"/>
      <c r="M957" s="23"/>
      <c r="N957" s="23"/>
      <c r="P957" s="23"/>
    </row>
    <row r="958" spans="2:16" x14ac:dyDescent="0.25">
      <c r="B958" s="23"/>
      <c r="E958" s="23"/>
      <c r="G958" s="23"/>
      <c r="H958" s="23"/>
      <c r="J958" s="23"/>
      <c r="K958" s="23"/>
      <c r="M958" s="23"/>
      <c r="N958" s="23"/>
      <c r="P958" s="23"/>
    </row>
    <row r="959" spans="2:16" x14ac:dyDescent="0.25">
      <c r="B959" s="23"/>
      <c r="E959" s="23"/>
      <c r="G959" s="23"/>
      <c r="H959" s="23"/>
      <c r="J959" s="23"/>
      <c r="K959" s="23"/>
      <c r="M959" s="23"/>
      <c r="N959" s="23"/>
      <c r="P959" s="23"/>
    </row>
    <row r="960" spans="2:16" x14ac:dyDescent="0.25">
      <c r="B960" s="23"/>
      <c r="E960" s="23"/>
      <c r="G960" s="23"/>
      <c r="H960" s="23"/>
      <c r="J960" s="23"/>
      <c r="K960" s="23"/>
      <c r="M960" s="23"/>
      <c r="N960" s="23"/>
      <c r="P960" s="23"/>
    </row>
    <row r="961" spans="2:16" x14ac:dyDescent="0.25">
      <c r="B961" s="23"/>
      <c r="E961" s="23"/>
      <c r="G961" s="23"/>
      <c r="H961" s="23"/>
      <c r="J961" s="23"/>
      <c r="K961" s="23"/>
      <c r="M961" s="23"/>
      <c r="N961" s="23"/>
      <c r="P961" s="23"/>
    </row>
    <row r="962" spans="2:16" x14ac:dyDescent="0.25">
      <c r="B962" s="23"/>
      <c r="E962" s="23"/>
      <c r="G962" s="23"/>
      <c r="H962" s="23"/>
      <c r="J962" s="23"/>
      <c r="K962" s="23"/>
      <c r="M962" s="23"/>
      <c r="N962" s="23"/>
      <c r="P962" s="23"/>
    </row>
    <row r="963" spans="2:16" x14ac:dyDescent="0.25">
      <c r="B963" s="23"/>
      <c r="E963" s="23"/>
      <c r="G963" s="23"/>
      <c r="H963" s="23"/>
      <c r="J963" s="23"/>
      <c r="K963" s="23"/>
      <c r="M963" s="23"/>
      <c r="N963" s="23"/>
      <c r="P963" s="23"/>
    </row>
    <row r="964" spans="2:16" x14ac:dyDescent="0.25">
      <c r="B964" s="23"/>
      <c r="E964" s="23"/>
      <c r="G964" s="23"/>
      <c r="H964" s="23"/>
      <c r="J964" s="23"/>
      <c r="K964" s="23"/>
      <c r="M964" s="23"/>
      <c r="N964" s="23"/>
      <c r="P964" s="23"/>
    </row>
    <row r="965" spans="2:16" x14ac:dyDescent="0.25">
      <c r="B965" s="23"/>
      <c r="E965" s="23"/>
      <c r="G965" s="23"/>
      <c r="H965" s="23"/>
      <c r="J965" s="23"/>
      <c r="K965" s="23"/>
      <c r="M965" s="23"/>
      <c r="N965" s="23"/>
      <c r="P965" s="23"/>
    </row>
    <row r="966" spans="2:16" x14ac:dyDescent="0.25">
      <c r="B966" s="23"/>
      <c r="E966" s="23"/>
      <c r="G966" s="23"/>
      <c r="H966" s="23"/>
      <c r="J966" s="23"/>
      <c r="K966" s="23"/>
      <c r="M966" s="23"/>
      <c r="N966" s="23"/>
      <c r="P966" s="23"/>
    </row>
    <row r="967" spans="2:16" x14ac:dyDescent="0.25">
      <c r="B967" s="23"/>
      <c r="E967" s="23"/>
      <c r="G967" s="23"/>
      <c r="H967" s="23"/>
      <c r="J967" s="23"/>
      <c r="K967" s="23"/>
      <c r="M967" s="23"/>
      <c r="N967" s="23"/>
      <c r="P967" s="23"/>
    </row>
    <row r="968" spans="2:16" x14ac:dyDescent="0.25">
      <c r="B968" s="23"/>
      <c r="E968" s="23"/>
      <c r="G968" s="23"/>
      <c r="H968" s="23"/>
      <c r="J968" s="23"/>
      <c r="K968" s="23"/>
      <c r="M968" s="23"/>
      <c r="N968" s="23"/>
      <c r="P968" s="23"/>
    </row>
    <row r="969" spans="2:16" x14ac:dyDescent="0.25">
      <c r="B969" s="23"/>
      <c r="E969" s="23"/>
      <c r="G969" s="23"/>
      <c r="H969" s="23"/>
      <c r="J969" s="23"/>
      <c r="K969" s="23"/>
      <c r="M969" s="23"/>
      <c r="N969" s="23"/>
      <c r="P969" s="23"/>
    </row>
    <row r="970" spans="2:16" x14ac:dyDescent="0.25">
      <c r="B970" s="23"/>
      <c r="E970" s="23"/>
      <c r="G970" s="23"/>
      <c r="H970" s="23"/>
      <c r="J970" s="23"/>
      <c r="K970" s="23"/>
      <c r="M970" s="23"/>
      <c r="N970" s="23"/>
      <c r="P970" s="23"/>
    </row>
    <row r="971" spans="2:16" x14ac:dyDescent="0.25">
      <c r="B971" s="23"/>
      <c r="E971" s="23"/>
      <c r="G971" s="23"/>
      <c r="H971" s="23"/>
      <c r="J971" s="23"/>
      <c r="K971" s="23"/>
      <c r="M971" s="23"/>
      <c r="N971" s="23"/>
      <c r="P971" s="23"/>
    </row>
    <row r="972" spans="2:16" x14ac:dyDescent="0.25">
      <c r="B972" s="23"/>
      <c r="E972" s="23"/>
      <c r="G972" s="23"/>
      <c r="H972" s="23"/>
      <c r="J972" s="23"/>
      <c r="K972" s="23"/>
      <c r="M972" s="23"/>
      <c r="N972" s="23"/>
      <c r="P972" s="23"/>
    </row>
    <row r="973" spans="2:16" x14ac:dyDescent="0.25">
      <c r="B973" s="23"/>
      <c r="E973" s="23"/>
      <c r="G973" s="23"/>
      <c r="H973" s="23"/>
      <c r="J973" s="23"/>
      <c r="K973" s="23"/>
      <c r="M973" s="23"/>
      <c r="N973" s="23"/>
      <c r="P973" s="23"/>
    </row>
    <row r="974" spans="2:16" x14ac:dyDescent="0.25">
      <c r="B974" s="23"/>
      <c r="E974" s="23"/>
      <c r="G974" s="23"/>
      <c r="H974" s="23"/>
      <c r="J974" s="23"/>
      <c r="K974" s="23"/>
      <c r="M974" s="23"/>
      <c r="N974" s="23"/>
      <c r="P974" s="23"/>
    </row>
    <row r="975" spans="2:16" x14ac:dyDescent="0.25">
      <c r="B975" s="23"/>
      <c r="E975" s="23"/>
      <c r="G975" s="23"/>
      <c r="H975" s="23"/>
      <c r="J975" s="23"/>
      <c r="K975" s="23"/>
      <c r="M975" s="23"/>
      <c r="N975" s="23"/>
      <c r="P975" s="23"/>
    </row>
    <row r="976" spans="2:16" x14ac:dyDescent="0.25">
      <c r="B976" s="23"/>
      <c r="E976" s="23"/>
      <c r="G976" s="23"/>
      <c r="H976" s="23"/>
      <c r="J976" s="23"/>
      <c r="K976" s="23"/>
      <c r="M976" s="23"/>
      <c r="N976" s="23"/>
      <c r="P976" s="23"/>
    </row>
    <row r="977" spans="2:16" x14ac:dyDescent="0.25">
      <c r="B977" s="23"/>
      <c r="E977" s="23"/>
      <c r="G977" s="23"/>
      <c r="H977" s="23"/>
      <c r="J977" s="23"/>
      <c r="K977" s="23"/>
      <c r="M977" s="23"/>
      <c r="N977" s="23"/>
      <c r="P977" s="23"/>
    </row>
    <row r="978" spans="2:16" x14ac:dyDescent="0.25">
      <c r="B978" s="23"/>
      <c r="E978" s="23"/>
      <c r="G978" s="23"/>
      <c r="H978" s="23"/>
      <c r="J978" s="23"/>
      <c r="K978" s="23"/>
      <c r="M978" s="23"/>
      <c r="N978" s="23"/>
      <c r="P978" s="23"/>
    </row>
    <row r="979" spans="2:16" x14ac:dyDescent="0.25">
      <c r="B979" s="23"/>
      <c r="E979" s="23"/>
      <c r="G979" s="23"/>
      <c r="H979" s="23"/>
      <c r="J979" s="23"/>
      <c r="K979" s="23"/>
      <c r="M979" s="23"/>
      <c r="N979" s="23"/>
      <c r="P979" s="23"/>
    </row>
    <row r="980" spans="2:16" x14ac:dyDescent="0.25">
      <c r="B980" s="23"/>
      <c r="E980" s="23"/>
      <c r="G980" s="23"/>
      <c r="H980" s="23"/>
      <c r="J980" s="23"/>
      <c r="K980" s="23"/>
      <c r="M980" s="23"/>
      <c r="N980" s="23"/>
      <c r="P980" s="23"/>
    </row>
    <row r="981" spans="2:16" x14ac:dyDescent="0.25">
      <c r="B981" s="23"/>
      <c r="E981" s="23"/>
      <c r="G981" s="23"/>
      <c r="H981" s="23"/>
      <c r="J981" s="23"/>
      <c r="K981" s="23"/>
      <c r="M981" s="23"/>
      <c r="N981" s="23"/>
      <c r="P981" s="23"/>
    </row>
    <row r="982" spans="2:16" x14ac:dyDescent="0.25">
      <c r="B982" s="23"/>
      <c r="E982" s="23"/>
      <c r="G982" s="23"/>
      <c r="H982" s="23"/>
      <c r="J982" s="23"/>
      <c r="K982" s="23"/>
      <c r="M982" s="23"/>
      <c r="N982" s="23"/>
      <c r="P982" s="23"/>
    </row>
    <row r="983" spans="2:16" x14ac:dyDescent="0.25">
      <c r="B983" s="23"/>
      <c r="E983" s="23"/>
      <c r="G983" s="23"/>
      <c r="H983" s="23"/>
      <c r="J983" s="23"/>
      <c r="K983" s="23"/>
      <c r="M983" s="23"/>
      <c r="N983" s="23"/>
      <c r="P983" s="23"/>
    </row>
    <row r="984" spans="2:16" x14ac:dyDescent="0.25">
      <c r="B984" s="23"/>
      <c r="E984" s="23"/>
      <c r="G984" s="23"/>
      <c r="H984" s="23"/>
      <c r="J984" s="23"/>
      <c r="K984" s="23"/>
      <c r="M984" s="23"/>
      <c r="N984" s="23"/>
      <c r="P984" s="23"/>
    </row>
    <row r="985" spans="2:16" x14ac:dyDescent="0.25">
      <c r="B985" s="23"/>
      <c r="E985" s="23"/>
      <c r="G985" s="23"/>
      <c r="H985" s="23"/>
      <c r="J985" s="23"/>
      <c r="K985" s="23"/>
      <c r="M985" s="23"/>
      <c r="N985" s="23"/>
      <c r="P985" s="23"/>
    </row>
    <row r="986" spans="2:16" x14ac:dyDescent="0.25">
      <c r="B986" s="23"/>
      <c r="E986" s="23"/>
      <c r="G986" s="23"/>
      <c r="H986" s="23"/>
      <c r="J986" s="23"/>
      <c r="K986" s="23"/>
      <c r="M986" s="23"/>
      <c r="N986" s="23"/>
      <c r="P986" s="23"/>
    </row>
    <row r="987" spans="2:16" x14ac:dyDescent="0.25">
      <c r="B987" s="23"/>
      <c r="E987" s="23"/>
      <c r="G987" s="23"/>
      <c r="H987" s="23"/>
      <c r="J987" s="23"/>
      <c r="K987" s="23"/>
      <c r="M987" s="23"/>
      <c r="N987" s="23"/>
      <c r="P987" s="23"/>
    </row>
    <row r="988" spans="2:16" x14ac:dyDescent="0.25">
      <c r="B988" s="23"/>
      <c r="E988" s="23"/>
      <c r="G988" s="23"/>
      <c r="H988" s="23"/>
      <c r="J988" s="23"/>
      <c r="K988" s="23"/>
      <c r="M988" s="23"/>
      <c r="N988" s="23"/>
      <c r="P988" s="23"/>
    </row>
    <row r="989" spans="2:16" x14ac:dyDescent="0.25">
      <c r="B989" s="23"/>
      <c r="E989" s="23"/>
      <c r="G989" s="23"/>
      <c r="H989" s="23"/>
      <c r="J989" s="23"/>
      <c r="K989" s="23"/>
      <c r="M989" s="23"/>
      <c r="N989" s="23"/>
      <c r="P989" s="23"/>
    </row>
    <row r="990" spans="2:16" x14ac:dyDescent="0.25">
      <c r="B990" s="23"/>
      <c r="E990" s="23"/>
      <c r="G990" s="23"/>
      <c r="H990" s="23"/>
      <c r="J990" s="23"/>
      <c r="K990" s="23"/>
      <c r="M990" s="23"/>
      <c r="N990" s="23"/>
      <c r="P990" s="23"/>
    </row>
    <row r="991" spans="2:16" x14ac:dyDescent="0.25">
      <c r="B991" s="23"/>
      <c r="E991" s="23"/>
      <c r="G991" s="23"/>
      <c r="H991" s="23"/>
      <c r="J991" s="23"/>
      <c r="K991" s="23"/>
      <c r="M991" s="23"/>
      <c r="N991" s="23"/>
      <c r="P991" s="23"/>
    </row>
    <row r="992" spans="2:16" x14ac:dyDescent="0.25">
      <c r="B992" s="23"/>
      <c r="E992" s="23"/>
      <c r="G992" s="23"/>
      <c r="H992" s="23"/>
      <c r="J992" s="23"/>
      <c r="K992" s="23"/>
      <c r="M992" s="23"/>
      <c r="N992" s="23"/>
      <c r="P992" s="23"/>
    </row>
    <row r="993" spans="2:16" x14ac:dyDescent="0.25">
      <c r="B993" s="23"/>
      <c r="E993" s="23"/>
      <c r="G993" s="23"/>
      <c r="H993" s="23"/>
      <c r="J993" s="23"/>
      <c r="K993" s="23"/>
      <c r="M993" s="23"/>
      <c r="N993" s="23"/>
      <c r="P993" s="23"/>
    </row>
    <row r="994" spans="2:16" x14ac:dyDescent="0.25">
      <c r="B994" s="23"/>
      <c r="E994" s="23"/>
      <c r="G994" s="23"/>
      <c r="H994" s="23"/>
      <c r="J994" s="23"/>
      <c r="K994" s="23"/>
      <c r="M994" s="23"/>
      <c r="N994" s="23"/>
      <c r="P994" s="23"/>
    </row>
    <row r="995" spans="2:16" x14ac:dyDescent="0.25">
      <c r="B995" s="23"/>
      <c r="E995" s="23"/>
      <c r="G995" s="23"/>
      <c r="H995" s="23"/>
      <c r="J995" s="23"/>
      <c r="K995" s="23"/>
      <c r="M995" s="23"/>
      <c r="N995" s="23"/>
      <c r="P995" s="23"/>
    </row>
    <row r="996" spans="2:16" x14ac:dyDescent="0.25">
      <c r="B996" s="23"/>
      <c r="E996" s="23"/>
      <c r="G996" s="23"/>
      <c r="H996" s="23"/>
      <c r="J996" s="23"/>
      <c r="K996" s="23"/>
      <c r="M996" s="23"/>
      <c r="N996" s="23"/>
      <c r="P996" s="23"/>
    </row>
    <row r="997" spans="2:16" x14ac:dyDescent="0.25">
      <c r="B997" s="23"/>
      <c r="E997" s="23"/>
      <c r="G997" s="23"/>
      <c r="H997" s="23"/>
      <c r="J997" s="23"/>
      <c r="K997" s="23"/>
      <c r="M997" s="23"/>
      <c r="N997" s="23"/>
      <c r="P997" s="23"/>
    </row>
    <row r="998" spans="2:16" x14ac:dyDescent="0.25">
      <c r="B998" s="23"/>
      <c r="E998" s="23"/>
      <c r="G998" s="23"/>
      <c r="H998" s="23"/>
      <c r="J998" s="23"/>
      <c r="K998" s="23"/>
      <c r="M998" s="23"/>
      <c r="N998" s="23"/>
      <c r="P998" s="23"/>
    </row>
    <row r="999" spans="2:16" x14ac:dyDescent="0.25">
      <c r="B999" s="23"/>
      <c r="E999" s="23"/>
      <c r="G999" s="23"/>
      <c r="H999" s="23"/>
      <c r="J999" s="23"/>
      <c r="K999" s="23"/>
      <c r="M999" s="23"/>
      <c r="N999" s="23"/>
      <c r="P999" s="23"/>
    </row>
    <row r="1000" spans="2:16" x14ac:dyDescent="0.25">
      <c r="B1000" s="23"/>
      <c r="E1000" s="23"/>
      <c r="G1000" s="23"/>
      <c r="H1000" s="23"/>
      <c r="J1000" s="23"/>
      <c r="K1000" s="23"/>
      <c r="M1000" s="23"/>
      <c r="N1000" s="23"/>
      <c r="P1000" s="23"/>
    </row>
    <row r="1001" spans="2:16" x14ac:dyDescent="0.25">
      <c r="B1001" s="23"/>
      <c r="E1001" s="23"/>
      <c r="G1001" s="23"/>
      <c r="H1001" s="23"/>
      <c r="J1001" s="23"/>
      <c r="K1001" s="23"/>
      <c r="M1001" s="23"/>
      <c r="N1001" s="23"/>
      <c r="P1001" s="23"/>
    </row>
    <row r="1002" spans="2:16" x14ac:dyDescent="0.25">
      <c r="B1002" s="23"/>
      <c r="E1002" s="23"/>
      <c r="G1002" s="23"/>
      <c r="H1002" s="23"/>
      <c r="J1002" s="23"/>
      <c r="K1002" s="23"/>
      <c r="M1002" s="23"/>
      <c r="N1002" s="23"/>
      <c r="P1002" s="23"/>
    </row>
    <row r="1003" spans="2:16" x14ac:dyDescent="0.25">
      <c r="B1003" s="23"/>
      <c r="E1003" s="23"/>
      <c r="G1003" s="23"/>
      <c r="H1003" s="23"/>
      <c r="J1003" s="23"/>
      <c r="K1003" s="23"/>
      <c r="M1003" s="23"/>
      <c r="N1003" s="23"/>
      <c r="P1003" s="23"/>
    </row>
    <row r="1004" spans="2:16" x14ac:dyDescent="0.25">
      <c r="B1004" s="23"/>
      <c r="E1004" s="23"/>
      <c r="G1004" s="23"/>
      <c r="H1004" s="23"/>
      <c r="J1004" s="23"/>
      <c r="K1004" s="23"/>
      <c r="M1004" s="23"/>
      <c r="N1004" s="23"/>
      <c r="P1004" s="23"/>
    </row>
    <row r="1005" spans="2:16" x14ac:dyDescent="0.25">
      <c r="B1005" s="23"/>
      <c r="E1005" s="23"/>
      <c r="G1005" s="23"/>
      <c r="H1005" s="23"/>
      <c r="J1005" s="23"/>
      <c r="K1005" s="23"/>
      <c r="M1005" s="23"/>
      <c r="N1005" s="23"/>
      <c r="P1005" s="23"/>
    </row>
    <row r="1006" spans="2:16" x14ac:dyDescent="0.25">
      <c r="B1006" s="23"/>
      <c r="E1006" s="23"/>
      <c r="G1006" s="23"/>
      <c r="H1006" s="23"/>
      <c r="J1006" s="23"/>
      <c r="K1006" s="23"/>
      <c r="M1006" s="23"/>
      <c r="N1006" s="23"/>
      <c r="P1006" s="23"/>
    </row>
    <row r="1007" spans="2:16" x14ac:dyDescent="0.25">
      <c r="B1007" s="23"/>
      <c r="E1007" s="23"/>
      <c r="G1007" s="23"/>
      <c r="H1007" s="23"/>
      <c r="J1007" s="23"/>
      <c r="K1007" s="23"/>
      <c r="M1007" s="23"/>
      <c r="N1007" s="23"/>
      <c r="P1007" s="23"/>
    </row>
    <row r="1008" spans="2:16" x14ac:dyDescent="0.25">
      <c r="B1008" s="23"/>
      <c r="E1008" s="23"/>
      <c r="G1008" s="23"/>
      <c r="H1008" s="23"/>
      <c r="J1008" s="23"/>
      <c r="K1008" s="23"/>
      <c r="M1008" s="23"/>
      <c r="N1008" s="23"/>
      <c r="P1008" s="23"/>
    </row>
    <row r="1009" spans="2:16" x14ac:dyDescent="0.25">
      <c r="B1009" s="23"/>
      <c r="E1009" s="23"/>
      <c r="G1009" s="23"/>
      <c r="H1009" s="23"/>
      <c r="J1009" s="23"/>
      <c r="K1009" s="23"/>
      <c r="M1009" s="23"/>
      <c r="N1009" s="23"/>
      <c r="P1009" s="23"/>
    </row>
    <row r="1010" spans="2:16" x14ac:dyDescent="0.25">
      <c r="B1010" s="23"/>
      <c r="E1010" s="23"/>
      <c r="G1010" s="23"/>
      <c r="H1010" s="23"/>
      <c r="J1010" s="23"/>
      <c r="K1010" s="23"/>
      <c r="M1010" s="23"/>
      <c r="N1010" s="23"/>
      <c r="P1010" s="23"/>
    </row>
    <row r="1011" spans="2:16" x14ac:dyDescent="0.25">
      <c r="B1011" s="23"/>
      <c r="E1011" s="23"/>
      <c r="G1011" s="23"/>
      <c r="H1011" s="23"/>
      <c r="J1011" s="23"/>
      <c r="K1011" s="23"/>
      <c r="M1011" s="23"/>
      <c r="N1011" s="23"/>
      <c r="P1011" s="23"/>
    </row>
    <row r="1012" spans="2:16" x14ac:dyDescent="0.25">
      <c r="B1012" s="23"/>
      <c r="E1012" s="23"/>
      <c r="G1012" s="23"/>
      <c r="H1012" s="23"/>
      <c r="J1012" s="23"/>
      <c r="K1012" s="23"/>
      <c r="M1012" s="23"/>
      <c r="N1012" s="23"/>
      <c r="P1012" s="23"/>
    </row>
    <row r="1013" spans="2:16" x14ac:dyDescent="0.25">
      <c r="B1013" s="23"/>
      <c r="E1013" s="23"/>
      <c r="G1013" s="23"/>
      <c r="H1013" s="23"/>
      <c r="J1013" s="23"/>
      <c r="K1013" s="23"/>
      <c r="M1013" s="23"/>
      <c r="N1013" s="23"/>
      <c r="P1013" s="23"/>
    </row>
    <row r="1014" spans="2:16" x14ac:dyDescent="0.25">
      <c r="B1014" s="23"/>
      <c r="E1014" s="23"/>
      <c r="G1014" s="23"/>
      <c r="H1014" s="23"/>
      <c r="J1014" s="23"/>
      <c r="K1014" s="23"/>
      <c r="M1014" s="23"/>
      <c r="N1014" s="23"/>
      <c r="P1014" s="23"/>
    </row>
    <row r="1015" spans="2:16" x14ac:dyDescent="0.25">
      <c r="B1015" s="23"/>
      <c r="E1015" s="23"/>
      <c r="G1015" s="23"/>
      <c r="H1015" s="23"/>
      <c r="J1015" s="23"/>
      <c r="K1015" s="23"/>
      <c r="M1015" s="23"/>
      <c r="N1015" s="23"/>
      <c r="P1015" s="23"/>
    </row>
    <row r="1016" spans="2:16" x14ac:dyDescent="0.25">
      <c r="B1016" s="23"/>
      <c r="E1016" s="23"/>
      <c r="G1016" s="23"/>
      <c r="H1016" s="23"/>
      <c r="J1016" s="23"/>
      <c r="K1016" s="23"/>
      <c r="M1016" s="23"/>
      <c r="N1016" s="23"/>
      <c r="P1016" s="23"/>
    </row>
    <row r="1017" spans="2:16" x14ac:dyDescent="0.25">
      <c r="B1017" s="23"/>
      <c r="E1017" s="23"/>
      <c r="G1017" s="23"/>
      <c r="H1017" s="23"/>
      <c r="J1017" s="23"/>
      <c r="K1017" s="23"/>
      <c r="M1017" s="23"/>
      <c r="N1017" s="23"/>
      <c r="P1017" s="23"/>
    </row>
    <row r="1018" spans="2:16" x14ac:dyDescent="0.25">
      <c r="B1018" s="23"/>
      <c r="E1018" s="23"/>
      <c r="G1018" s="23"/>
      <c r="H1018" s="23"/>
      <c r="J1018" s="23"/>
      <c r="K1018" s="23"/>
      <c r="M1018" s="23"/>
      <c r="N1018" s="23"/>
      <c r="P1018" s="23"/>
    </row>
    <row r="1019" spans="2:16" x14ac:dyDescent="0.25">
      <c r="B1019" s="23"/>
      <c r="E1019" s="23"/>
      <c r="G1019" s="23"/>
      <c r="H1019" s="23"/>
      <c r="J1019" s="23"/>
      <c r="K1019" s="23"/>
      <c r="M1019" s="23"/>
      <c r="N1019" s="23"/>
      <c r="P1019" s="23"/>
    </row>
    <row r="1020" spans="2:16" x14ac:dyDescent="0.25">
      <c r="B1020" s="23"/>
      <c r="E1020" s="23"/>
      <c r="G1020" s="23"/>
      <c r="H1020" s="23"/>
      <c r="J1020" s="23"/>
      <c r="K1020" s="23"/>
      <c r="M1020" s="23"/>
      <c r="N1020" s="23"/>
      <c r="P1020" s="23"/>
    </row>
    <row r="1021" spans="2:16" x14ac:dyDescent="0.25">
      <c r="B1021" s="23"/>
      <c r="E1021" s="23"/>
      <c r="G1021" s="23"/>
      <c r="H1021" s="23"/>
      <c r="J1021" s="23"/>
      <c r="K1021" s="23"/>
      <c r="M1021" s="23"/>
      <c r="N1021" s="23"/>
      <c r="P1021" s="23"/>
    </row>
    <row r="1022" spans="2:16" x14ac:dyDescent="0.25">
      <c r="B1022" s="23"/>
      <c r="E1022" s="23"/>
      <c r="G1022" s="23"/>
      <c r="H1022" s="23"/>
      <c r="J1022" s="23"/>
      <c r="K1022" s="23"/>
      <c r="M1022" s="23"/>
      <c r="N1022" s="23"/>
      <c r="P1022" s="23"/>
    </row>
    <row r="1023" spans="2:16" x14ac:dyDescent="0.25">
      <c r="B1023" s="23"/>
      <c r="E1023" s="23"/>
      <c r="G1023" s="23"/>
      <c r="H1023" s="23"/>
      <c r="J1023" s="23"/>
      <c r="K1023" s="23"/>
      <c r="M1023" s="23"/>
      <c r="N1023" s="23"/>
      <c r="P1023" s="23"/>
    </row>
    <row r="1024" spans="2:16" x14ac:dyDescent="0.25">
      <c r="B1024" s="23"/>
      <c r="E1024" s="23"/>
      <c r="G1024" s="23"/>
      <c r="H1024" s="23"/>
      <c r="J1024" s="23"/>
      <c r="K1024" s="23"/>
      <c r="M1024" s="23"/>
      <c r="N1024" s="23"/>
      <c r="P1024" s="23"/>
    </row>
    <row r="1025" spans="2:16" x14ac:dyDescent="0.25">
      <c r="B1025" s="23"/>
      <c r="E1025" s="23"/>
      <c r="G1025" s="23"/>
      <c r="H1025" s="23"/>
      <c r="J1025" s="23"/>
      <c r="K1025" s="23"/>
      <c r="M1025" s="23"/>
      <c r="N1025" s="23"/>
      <c r="P1025" s="23"/>
    </row>
    <row r="1026" spans="2:16" x14ac:dyDescent="0.25">
      <c r="B1026" s="23"/>
      <c r="E1026" s="23"/>
      <c r="G1026" s="23"/>
      <c r="H1026" s="23"/>
      <c r="J1026" s="23"/>
      <c r="K1026" s="23"/>
      <c r="M1026" s="23"/>
      <c r="N1026" s="23"/>
      <c r="P1026" s="23"/>
    </row>
    <row r="1027" spans="2:16" x14ac:dyDescent="0.25">
      <c r="B1027" s="23"/>
      <c r="E1027" s="23"/>
      <c r="G1027" s="23"/>
      <c r="H1027" s="23"/>
      <c r="J1027" s="23"/>
      <c r="K1027" s="23"/>
      <c r="M1027" s="23"/>
      <c r="N1027" s="23"/>
      <c r="P1027" s="23"/>
    </row>
    <row r="1028" spans="2:16" x14ac:dyDescent="0.25">
      <c r="B1028" s="23"/>
      <c r="E1028" s="23"/>
      <c r="G1028" s="23"/>
      <c r="H1028" s="23"/>
      <c r="J1028" s="23"/>
      <c r="K1028" s="23"/>
      <c r="M1028" s="23"/>
      <c r="N1028" s="23"/>
      <c r="P1028" s="23"/>
    </row>
    <row r="1029" spans="2:16" x14ac:dyDescent="0.25">
      <c r="B1029" s="23"/>
      <c r="E1029" s="23"/>
      <c r="G1029" s="23"/>
      <c r="H1029" s="23"/>
      <c r="J1029" s="23"/>
      <c r="K1029" s="23"/>
      <c r="M1029" s="23"/>
      <c r="N1029" s="23"/>
      <c r="P1029" s="23"/>
    </row>
    <row r="1030" spans="2:16" x14ac:dyDescent="0.25">
      <c r="B1030" s="23"/>
      <c r="E1030" s="23"/>
      <c r="G1030" s="23"/>
      <c r="H1030" s="23"/>
      <c r="J1030" s="23"/>
      <c r="K1030" s="23"/>
      <c r="M1030" s="23"/>
      <c r="N1030" s="23"/>
      <c r="P1030" s="23"/>
    </row>
    <row r="1031" spans="2:16" x14ac:dyDescent="0.25">
      <c r="B1031" s="23"/>
      <c r="E1031" s="23"/>
      <c r="G1031" s="23"/>
      <c r="H1031" s="23"/>
      <c r="J1031" s="23"/>
      <c r="K1031" s="23"/>
      <c r="M1031" s="23"/>
      <c r="N1031" s="23"/>
      <c r="P1031" s="23"/>
    </row>
    <row r="1032" spans="2:16" x14ac:dyDescent="0.25">
      <c r="B1032" s="23"/>
      <c r="E1032" s="23"/>
      <c r="G1032" s="23"/>
      <c r="H1032" s="23"/>
      <c r="J1032" s="23"/>
      <c r="K1032" s="23"/>
      <c r="M1032" s="23"/>
      <c r="N1032" s="23"/>
      <c r="P1032" s="23"/>
    </row>
    <row r="1033" spans="2:16" x14ac:dyDescent="0.25">
      <c r="B1033" s="23"/>
      <c r="E1033" s="23"/>
      <c r="G1033" s="23"/>
      <c r="H1033" s="23"/>
      <c r="J1033" s="23"/>
      <c r="K1033" s="23"/>
      <c r="M1033" s="23"/>
      <c r="N1033" s="23"/>
      <c r="P1033" s="23"/>
    </row>
    <row r="1034" spans="2:16" x14ac:dyDescent="0.25">
      <c r="B1034" s="23"/>
      <c r="E1034" s="23"/>
      <c r="G1034" s="23"/>
      <c r="H1034" s="23"/>
      <c r="J1034" s="23"/>
      <c r="K1034" s="23"/>
      <c r="M1034" s="23"/>
      <c r="N1034" s="23"/>
      <c r="P1034" s="23"/>
    </row>
    <row r="1035" spans="2:16" x14ac:dyDescent="0.25">
      <c r="B1035" s="23"/>
      <c r="E1035" s="23"/>
      <c r="G1035" s="23"/>
      <c r="H1035" s="23"/>
      <c r="J1035" s="23"/>
      <c r="K1035" s="23"/>
      <c r="M1035" s="23"/>
      <c r="N1035" s="23"/>
      <c r="P1035" s="23"/>
    </row>
    <row r="1036" spans="2:16" x14ac:dyDescent="0.25">
      <c r="B1036" s="23"/>
      <c r="E1036" s="23"/>
      <c r="G1036" s="23"/>
      <c r="H1036" s="23"/>
      <c r="J1036" s="23"/>
      <c r="K1036" s="23"/>
      <c r="M1036" s="23"/>
      <c r="N1036" s="23"/>
      <c r="P1036" s="23"/>
    </row>
    <row r="1037" spans="2:16" x14ac:dyDescent="0.25">
      <c r="B1037" s="23"/>
      <c r="E1037" s="23"/>
      <c r="G1037" s="23"/>
      <c r="H1037" s="23"/>
      <c r="J1037" s="23"/>
      <c r="K1037" s="23"/>
      <c r="M1037" s="23"/>
      <c r="N1037" s="23"/>
      <c r="P1037" s="23"/>
    </row>
    <row r="1038" spans="2:16" x14ac:dyDescent="0.25">
      <c r="B1038" s="23"/>
      <c r="E1038" s="23"/>
      <c r="G1038" s="23"/>
      <c r="H1038" s="23"/>
      <c r="J1038" s="23"/>
      <c r="K1038" s="23"/>
      <c r="M1038" s="23"/>
      <c r="N1038" s="23"/>
      <c r="P1038" s="23"/>
    </row>
    <row r="1039" spans="2:16" x14ac:dyDescent="0.25">
      <c r="B1039" s="23"/>
      <c r="E1039" s="23"/>
      <c r="G1039" s="23"/>
      <c r="H1039" s="23"/>
      <c r="J1039" s="23"/>
      <c r="K1039" s="23"/>
      <c r="M1039" s="23"/>
      <c r="N1039" s="23"/>
      <c r="P1039" s="23"/>
    </row>
    <row r="1040" spans="2:16" x14ac:dyDescent="0.25">
      <c r="B1040" s="23"/>
      <c r="E1040" s="23"/>
      <c r="G1040" s="23"/>
      <c r="H1040" s="23"/>
      <c r="J1040" s="23"/>
      <c r="K1040" s="23"/>
      <c r="M1040" s="23"/>
      <c r="N1040" s="23"/>
      <c r="P1040" s="23"/>
    </row>
    <row r="1041" spans="2:16" x14ac:dyDescent="0.25">
      <c r="B1041" s="23"/>
      <c r="E1041" s="23"/>
      <c r="G1041" s="23"/>
      <c r="H1041" s="23"/>
      <c r="J1041" s="23"/>
      <c r="K1041" s="23"/>
      <c r="M1041" s="23"/>
      <c r="N1041" s="23"/>
      <c r="P1041" s="23"/>
    </row>
    <row r="1042" spans="2:16" x14ac:dyDescent="0.25">
      <c r="B1042" s="23"/>
      <c r="E1042" s="23"/>
      <c r="G1042" s="23"/>
      <c r="H1042" s="23"/>
      <c r="J1042" s="23"/>
      <c r="K1042" s="23"/>
      <c r="M1042" s="23"/>
      <c r="N1042" s="23"/>
      <c r="P1042" s="23"/>
    </row>
    <row r="1043" spans="2:16" x14ac:dyDescent="0.25">
      <c r="B1043" s="23"/>
      <c r="E1043" s="23"/>
      <c r="G1043" s="23"/>
      <c r="H1043" s="23"/>
      <c r="J1043" s="23"/>
      <c r="K1043" s="23"/>
      <c r="M1043" s="23"/>
      <c r="N1043" s="23"/>
      <c r="P1043" s="23"/>
    </row>
    <row r="1044" spans="2:16" x14ac:dyDescent="0.25">
      <c r="B1044" s="23"/>
      <c r="E1044" s="23"/>
      <c r="G1044" s="23"/>
      <c r="H1044" s="23"/>
      <c r="J1044" s="23"/>
      <c r="K1044" s="23"/>
      <c r="M1044" s="23"/>
      <c r="N1044" s="23"/>
      <c r="P1044" s="23"/>
    </row>
    <row r="1045" spans="2:16" x14ac:dyDescent="0.25">
      <c r="B1045" s="23"/>
      <c r="E1045" s="23"/>
      <c r="G1045" s="23"/>
      <c r="H1045" s="23"/>
      <c r="J1045" s="23"/>
      <c r="K1045" s="23"/>
      <c r="M1045" s="23"/>
      <c r="N1045" s="23"/>
      <c r="P1045" s="23"/>
    </row>
    <row r="1046" spans="2:16" x14ac:dyDescent="0.25">
      <c r="B1046" s="23"/>
      <c r="E1046" s="23"/>
      <c r="G1046" s="23"/>
      <c r="H1046" s="23"/>
      <c r="J1046" s="23"/>
      <c r="K1046" s="23"/>
      <c r="M1046" s="23"/>
      <c r="N1046" s="23"/>
      <c r="P1046" s="23"/>
    </row>
    <row r="1047" spans="2:16" x14ac:dyDescent="0.25">
      <c r="B1047" s="23"/>
      <c r="E1047" s="23"/>
      <c r="G1047" s="23"/>
      <c r="H1047" s="23"/>
      <c r="J1047" s="23"/>
      <c r="K1047" s="23"/>
      <c r="M1047" s="23"/>
      <c r="N1047" s="23"/>
      <c r="P1047" s="23"/>
    </row>
    <row r="1048" spans="2:16" x14ac:dyDescent="0.25">
      <c r="B1048" s="23"/>
      <c r="E1048" s="23"/>
      <c r="G1048" s="23"/>
      <c r="H1048" s="23"/>
      <c r="J1048" s="23"/>
      <c r="K1048" s="23"/>
      <c r="M1048" s="23"/>
      <c r="N1048" s="23"/>
      <c r="P1048" s="23"/>
    </row>
    <row r="1049" spans="2:16" x14ac:dyDescent="0.25">
      <c r="B1049" s="23"/>
      <c r="E1049" s="23"/>
      <c r="G1049" s="23"/>
      <c r="H1049" s="23"/>
      <c r="J1049" s="23"/>
      <c r="K1049" s="23"/>
      <c r="M1049" s="23"/>
      <c r="N1049" s="23"/>
      <c r="P1049" s="23"/>
    </row>
    <row r="1050" spans="2:16" x14ac:dyDescent="0.25">
      <c r="B1050" s="23"/>
      <c r="E1050" s="23"/>
      <c r="G1050" s="23"/>
      <c r="H1050" s="23"/>
      <c r="J1050" s="23"/>
      <c r="K1050" s="23"/>
      <c r="M1050" s="23"/>
      <c r="N1050" s="23"/>
      <c r="P1050" s="23"/>
    </row>
    <row r="1051" spans="2:16" x14ac:dyDescent="0.25">
      <c r="B1051" s="23"/>
      <c r="E1051" s="23"/>
      <c r="G1051" s="23"/>
      <c r="H1051" s="23"/>
      <c r="J1051" s="23"/>
      <c r="K1051" s="23"/>
      <c r="M1051" s="23"/>
      <c r="N1051" s="23"/>
      <c r="P1051" s="23"/>
    </row>
    <row r="1052" spans="2:16" x14ac:dyDescent="0.25">
      <c r="B1052" s="23"/>
      <c r="E1052" s="23"/>
      <c r="G1052" s="23"/>
      <c r="H1052" s="23"/>
      <c r="J1052" s="23"/>
      <c r="K1052" s="23"/>
      <c r="M1052" s="23"/>
      <c r="N1052" s="23"/>
      <c r="P1052" s="23"/>
    </row>
    <row r="1053" spans="2:16" x14ac:dyDescent="0.25">
      <c r="B1053" s="23"/>
      <c r="E1053" s="23"/>
      <c r="G1053" s="23"/>
      <c r="H1053" s="23"/>
      <c r="J1053" s="23"/>
      <c r="K1053" s="23"/>
      <c r="M1053" s="23"/>
      <c r="N1053" s="23"/>
      <c r="P1053" s="23"/>
    </row>
    <row r="1054" spans="2:16" x14ac:dyDescent="0.25">
      <c r="B1054" s="23"/>
      <c r="E1054" s="23"/>
      <c r="G1054" s="23"/>
      <c r="H1054" s="23"/>
      <c r="J1054" s="23"/>
      <c r="K1054" s="23"/>
      <c r="M1054" s="23"/>
      <c r="N1054" s="23"/>
      <c r="P1054" s="23"/>
    </row>
    <row r="1055" spans="2:16" x14ac:dyDescent="0.25">
      <c r="B1055" s="23"/>
      <c r="E1055" s="23"/>
      <c r="G1055" s="23"/>
      <c r="H1055" s="23"/>
      <c r="J1055" s="23"/>
      <c r="K1055" s="23"/>
      <c r="M1055" s="23"/>
      <c r="N1055" s="23"/>
      <c r="P1055" s="23"/>
    </row>
    <row r="1056" spans="2:16" x14ac:dyDescent="0.25">
      <c r="B1056" s="23"/>
      <c r="E1056" s="23"/>
      <c r="G1056" s="23"/>
      <c r="H1056" s="23"/>
      <c r="J1056" s="23"/>
      <c r="K1056" s="23"/>
      <c r="M1056" s="23"/>
      <c r="N1056" s="23"/>
      <c r="P1056" s="23"/>
    </row>
    <row r="1057" spans="2:16" x14ac:dyDescent="0.25">
      <c r="B1057" s="23"/>
      <c r="E1057" s="23"/>
      <c r="G1057" s="23"/>
      <c r="H1057" s="23"/>
      <c r="J1057" s="23"/>
      <c r="K1057" s="23"/>
      <c r="M1057" s="23"/>
      <c r="N1057" s="23"/>
      <c r="P1057" s="23"/>
    </row>
    <row r="1058" spans="2:16" x14ac:dyDescent="0.25">
      <c r="B1058" s="23"/>
      <c r="E1058" s="23"/>
      <c r="G1058" s="23"/>
      <c r="H1058" s="23"/>
      <c r="J1058" s="23"/>
      <c r="K1058" s="23"/>
      <c r="M1058" s="23"/>
      <c r="N1058" s="23"/>
      <c r="P1058" s="23"/>
    </row>
    <row r="1059" spans="2:16" x14ac:dyDescent="0.25">
      <c r="B1059" s="23"/>
      <c r="E1059" s="23"/>
      <c r="G1059" s="23"/>
      <c r="H1059" s="23"/>
      <c r="J1059" s="23"/>
      <c r="K1059" s="23"/>
      <c r="M1059" s="23"/>
      <c r="N1059" s="23"/>
      <c r="P1059" s="23"/>
    </row>
    <row r="1060" spans="2:16" x14ac:dyDescent="0.25">
      <c r="B1060" s="23"/>
      <c r="E1060" s="23"/>
      <c r="G1060" s="23"/>
      <c r="H1060" s="23"/>
      <c r="J1060" s="23"/>
      <c r="K1060" s="23"/>
      <c r="M1060" s="23"/>
      <c r="N1060" s="23"/>
      <c r="P1060" s="23"/>
    </row>
    <row r="1061" spans="2:16" x14ac:dyDescent="0.25">
      <c r="B1061" s="23"/>
      <c r="E1061" s="23"/>
      <c r="G1061" s="23"/>
      <c r="H1061" s="23"/>
      <c r="J1061" s="23"/>
      <c r="K1061" s="23"/>
      <c r="M1061" s="23"/>
      <c r="N1061" s="23"/>
      <c r="P1061" s="23"/>
    </row>
    <row r="1062" spans="2:16" x14ac:dyDescent="0.25">
      <c r="B1062" s="23"/>
      <c r="E1062" s="23"/>
      <c r="G1062" s="23"/>
      <c r="H1062" s="23"/>
      <c r="J1062" s="23"/>
      <c r="K1062" s="23"/>
      <c r="M1062" s="23"/>
      <c r="N1062" s="23"/>
      <c r="P1062" s="23"/>
    </row>
    <row r="1063" spans="2:16" x14ac:dyDescent="0.25">
      <c r="B1063" s="23"/>
      <c r="E1063" s="23"/>
      <c r="G1063" s="23"/>
      <c r="H1063" s="23"/>
      <c r="J1063" s="23"/>
      <c r="K1063" s="23"/>
      <c r="M1063" s="23"/>
      <c r="N1063" s="23"/>
      <c r="P1063" s="23"/>
    </row>
    <row r="1064" spans="2:16" x14ac:dyDescent="0.25">
      <c r="B1064" s="23"/>
      <c r="E1064" s="23"/>
      <c r="G1064" s="23"/>
      <c r="H1064" s="23"/>
      <c r="J1064" s="23"/>
      <c r="K1064" s="23"/>
      <c r="M1064" s="23"/>
      <c r="N1064" s="23"/>
      <c r="P1064" s="23"/>
    </row>
    <row r="1065" spans="2:16" x14ac:dyDescent="0.25">
      <c r="B1065" s="23"/>
      <c r="E1065" s="23"/>
      <c r="G1065" s="23"/>
      <c r="H1065" s="23"/>
      <c r="J1065" s="23"/>
      <c r="K1065" s="23"/>
      <c r="M1065" s="23"/>
      <c r="N1065" s="23"/>
      <c r="P1065" s="23"/>
    </row>
    <row r="1066" spans="2:16" x14ac:dyDescent="0.25">
      <c r="B1066" s="23"/>
      <c r="E1066" s="23"/>
      <c r="G1066" s="23"/>
      <c r="H1066" s="23"/>
      <c r="J1066" s="23"/>
      <c r="K1066" s="23"/>
      <c r="M1066" s="23"/>
      <c r="N1066" s="23"/>
      <c r="P1066" s="23"/>
    </row>
    <row r="1067" spans="2:16" x14ac:dyDescent="0.25">
      <c r="B1067" s="23"/>
      <c r="E1067" s="23"/>
      <c r="G1067" s="23"/>
      <c r="H1067" s="23"/>
      <c r="J1067" s="23"/>
      <c r="K1067" s="23"/>
      <c r="M1067" s="23"/>
      <c r="N1067" s="23"/>
      <c r="P1067" s="23"/>
    </row>
    <row r="1068" spans="2:16" x14ac:dyDescent="0.25">
      <c r="B1068" s="23"/>
      <c r="E1068" s="23"/>
      <c r="G1068" s="23"/>
      <c r="H1068" s="23"/>
      <c r="J1068" s="23"/>
      <c r="K1068" s="23"/>
      <c r="M1068" s="23"/>
      <c r="N1068" s="23"/>
      <c r="P1068" s="23"/>
    </row>
    <row r="1069" spans="2:16" x14ac:dyDescent="0.25">
      <c r="B1069" s="23"/>
      <c r="E1069" s="23"/>
      <c r="G1069" s="23"/>
      <c r="H1069" s="23"/>
      <c r="J1069" s="23"/>
      <c r="K1069" s="23"/>
      <c r="M1069" s="23"/>
      <c r="N1069" s="23"/>
      <c r="P1069" s="23"/>
    </row>
    <row r="1070" spans="2:16" x14ac:dyDescent="0.25">
      <c r="B1070" s="23"/>
      <c r="E1070" s="23"/>
      <c r="G1070" s="23"/>
      <c r="H1070" s="23"/>
      <c r="J1070" s="23"/>
      <c r="K1070" s="23"/>
      <c r="M1070" s="23"/>
      <c r="N1070" s="23"/>
      <c r="P1070" s="23"/>
    </row>
    <row r="1071" spans="2:16" x14ac:dyDescent="0.25">
      <c r="B1071" s="23"/>
      <c r="E1071" s="23"/>
      <c r="G1071" s="23"/>
      <c r="H1071" s="23"/>
      <c r="J1071" s="23"/>
      <c r="K1071" s="23"/>
      <c r="M1071" s="23"/>
      <c r="N1071" s="23"/>
      <c r="P1071" s="23"/>
    </row>
    <row r="1072" spans="2:16" x14ac:dyDescent="0.25">
      <c r="B1072" s="23"/>
      <c r="E1072" s="23"/>
      <c r="G1072" s="23"/>
      <c r="H1072" s="23"/>
      <c r="J1072" s="23"/>
      <c r="K1072" s="23"/>
      <c r="M1072" s="23"/>
      <c r="N1072" s="23"/>
      <c r="P1072" s="23"/>
    </row>
    <row r="1073" spans="2:16" x14ac:dyDescent="0.25">
      <c r="B1073" s="23"/>
      <c r="E1073" s="23"/>
      <c r="G1073" s="23"/>
      <c r="H1073" s="23"/>
      <c r="J1073" s="23"/>
      <c r="K1073" s="23"/>
      <c r="M1073" s="23"/>
      <c r="N1073" s="23"/>
      <c r="P1073" s="23"/>
    </row>
    <row r="1074" spans="2:16" x14ac:dyDescent="0.25">
      <c r="B1074" s="23"/>
      <c r="E1074" s="23"/>
      <c r="G1074" s="23"/>
      <c r="H1074" s="23"/>
      <c r="J1074" s="23"/>
      <c r="K1074" s="23"/>
      <c r="M1074" s="23"/>
      <c r="N1074" s="23"/>
      <c r="P1074" s="23"/>
    </row>
    <row r="1075" spans="2:16" x14ac:dyDescent="0.25">
      <c r="B1075" s="23"/>
      <c r="E1075" s="23"/>
      <c r="G1075" s="23"/>
      <c r="H1075" s="23"/>
      <c r="J1075" s="23"/>
      <c r="K1075" s="23"/>
      <c r="M1075" s="23"/>
      <c r="N1075" s="23"/>
      <c r="P1075" s="23"/>
    </row>
    <row r="1076" spans="2:16" x14ac:dyDescent="0.25">
      <c r="B1076" s="23"/>
      <c r="E1076" s="23"/>
      <c r="G1076" s="23"/>
      <c r="H1076" s="23"/>
      <c r="J1076" s="23"/>
      <c r="K1076" s="23"/>
      <c r="M1076" s="23"/>
      <c r="N1076" s="23"/>
      <c r="P1076" s="23"/>
    </row>
    <row r="1077" spans="2:16" x14ac:dyDescent="0.25">
      <c r="B1077" s="23"/>
      <c r="E1077" s="23"/>
      <c r="G1077" s="23"/>
      <c r="H1077" s="23"/>
      <c r="J1077" s="23"/>
      <c r="K1077" s="23"/>
      <c r="M1077" s="23"/>
      <c r="N1077" s="23"/>
      <c r="P1077" s="23"/>
    </row>
    <row r="1078" spans="2:16" x14ac:dyDescent="0.25">
      <c r="B1078" s="23"/>
      <c r="E1078" s="23"/>
      <c r="G1078" s="23"/>
      <c r="H1078" s="23"/>
      <c r="J1078" s="23"/>
      <c r="K1078" s="23"/>
      <c r="M1078" s="23"/>
      <c r="N1078" s="23"/>
      <c r="P1078" s="23"/>
    </row>
    <row r="1079" spans="2:16" x14ac:dyDescent="0.25">
      <c r="B1079" s="23"/>
      <c r="E1079" s="23"/>
      <c r="G1079" s="23"/>
      <c r="H1079" s="23"/>
      <c r="J1079" s="23"/>
      <c r="K1079" s="23"/>
      <c r="M1079" s="23"/>
      <c r="N1079" s="23"/>
      <c r="P1079" s="23"/>
    </row>
    <row r="1080" spans="2:16" x14ac:dyDescent="0.25">
      <c r="B1080" s="23"/>
      <c r="E1080" s="23"/>
      <c r="G1080" s="23"/>
      <c r="H1080" s="23"/>
      <c r="J1080" s="23"/>
      <c r="K1080" s="23"/>
      <c r="M1080" s="23"/>
      <c r="N1080" s="23"/>
      <c r="P1080" s="23"/>
    </row>
    <row r="1081" spans="2:16" x14ac:dyDescent="0.25">
      <c r="B1081" s="23"/>
      <c r="E1081" s="23"/>
      <c r="G1081" s="23"/>
      <c r="H1081" s="23"/>
      <c r="J1081" s="23"/>
      <c r="K1081" s="23"/>
      <c r="M1081" s="23"/>
      <c r="N1081" s="23"/>
      <c r="P1081" s="23"/>
    </row>
    <row r="1082" spans="2:16" x14ac:dyDescent="0.25">
      <c r="B1082" s="23"/>
      <c r="E1082" s="23"/>
      <c r="G1082" s="23"/>
      <c r="H1082" s="23"/>
      <c r="J1082" s="23"/>
      <c r="K1082" s="23"/>
      <c r="M1082" s="23"/>
      <c r="N1082" s="23"/>
      <c r="P1082" s="23"/>
    </row>
    <row r="1083" spans="2:16" x14ac:dyDescent="0.25">
      <c r="B1083" s="23"/>
      <c r="E1083" s="23"/>
      <c r="G1083" s="23"/>
      <c r="H1083" s="23"/>
      <c r="J1083" s="23"/>
      <c r="K1083" s="23"/>
      <c r="M1083" s="23"/>
      <c r="N1083" s="23"/>
      <c r="P1083" s="23"/>
    </row>
    <row r="1084" spans="2:16" x14ac:dyDescent="0.25">
      <c r="B1084" s="23"/>
      <c r="E1084" s="23"/>
      <c r="G1084" s="23"/>
      <c r="H1084" s="23"/>
      <c r="J1084" s="23"/>
      <c r="K1084" s="23"/>
      <c r="M1084" s="23"/>
      <c r="N1084" s="23"/>
      <c r="P1084" s="23"/>
    </row>
    <row r="1085" spans="2:16" x14ac:dyDescent="0.25">
      <c r="B1085" s="23"/>
      <c r="E1085" s="23"/>
      <c r="G1085" s="23"/>
      <c r="H1085" s="23"/>
      <c r="J1085" s="23"/>
      <c r="K1085" s="23"/>
      <c r="M1085" s="23"/>
      <c r="N1085" s="23"/>
      <c r="P1085" s="23"/>
    </row>
    <row r="1086" spans="2:16" x14ac:dyDescent="0.25">
      <c r="B1086" s="23"/>
      <c r="E1086" s="23"/>
      <c r="G1086" s="23"/>
      <c r="H1086" s="23"/>
      <c r="J1086" s="23"/>
      <c r="K1086" s="23"/>
      <c r="M1086" s="23"/>
      <c r="N1086" s="23"/>
      <c r="P1086" s="23"/>
    </row>
    <row r="1087" spans="2:16" x14ac:dyDescent="0.25">
      <c r="B1087" s="23"/>
      <c r="E1087" s="23"/>
      <c r="G1087" s="23"/>
      <c r="H1087" s="23"/>
      <c r="J1087" s="23"/>
      <c r="K1087" s="23"/>
      <c r="M1087" s="23"/>
      <c r="N1087" s="23"/>
      <c r="P1087" s="23"/>
    </row>
    <row r="1088" spans="2:16" x14ac:dyDescent="0.25">
      <c r="B1088" s="23"/>
      <c r="E1088" s="23"/>
      <c r="G1088" s="23"/>
      <c r="H1088" s="23"/>
      <c r="J1088" s="23"/>
      <c r="K1088" s="23"/>
      <c r="M1088" s="23"/>
      <c r="N1088" s="23"/>
      <c r="P1088" s="23"/>
    </row>
    <row r="1089" spans="2:16" x14ac:dyDescent="0.25">
      <c r="B1089" s="23"/>
      <c r="E1089" s="23"/>
      <c r="G1089" s="23"/>
      <c r="H1089" s="23"/>
      <c r="J1089" s="23"/>
      <c r="K1089" s="23"/>
      <c r="M1089" s="23"/>
      <c r="N1089" s="23"/>
      <c r="P1089" s="23"/>
    </row>
    <row r="1090" spans="2:16" x14ac:dyDescent="0.25">
      <c r="B1090" s="23"/>
      <c r="E1090" s="23"/>
      <c r="G1090" s="23"/>
      <c r="H1090" s="23"/>
      <c r="J1090" s="23"/>
      <c r="K1090" s="23"/>
      <c r="M1090" s="23"/>
      <c r="N1090" s="23"/>
      <c r="P1090" s="23"/>
    </row>
    <row r="1091" spans="2:16" x14ac:dyDescent="0.25">
      <c r="B1091" s="23"/>
      <c r="E1091" s="23"/>
      <c r="G1091" s="23"/>
      <c r="H1091" s="23"/>
      <c r="J1091" s="23"/>
      <c r="K1091" s="23"/>
      <c r="M1091" s="23"/>
      <c r="N1091" s="23"/>
      <c r="P1091" s="23"/>
    </row>
    <row r="1092" spans="2:16" x14ac:dyDescent="0.25">
      <c r="B1092" s="23"/>
      <c r="E1092" s="23"/>
      <c r="G1092" s="23"/>
      <c r="H1092" s="23"/>
      <c r="J1092" s="23"/>
      <c r="K1092" s="23"/>
      <c r="M1092" s="23"/>
      <c r="N1092" s="23"/>
      <c r="P1092" s="23"/>
    </row>
    <row r="1093" spans="2:16" x14ac:dyDescent="0.25">
      <c r="B1093" s="23"/>
      <c r="E1093" s="23"/>
      <c r="G1093" s="23"/>
      <c r="H1093" s="23"/>
      <c r="J1093" s="23"/>
      <c r="K1093" s="23"/>
      <c r="M1093" s="23"/>
      <c r="N1093" s="23"/>
      <c r="P1093" s="23"/>
    </row>
    <row r="1094" spans="2:16" x14ac:dyDescent="0.25">
      <c r="B1094" s="23"/>
      <c r="E1094" s="23"/>
      <c r="G1094" s="23"/>
      <c r="H1094" s="23"/>
      <c r="J1094" s="23"/>
      <c r="K1094" s="23"/>
      <c r="M1094" s="23"/>
      <c r="N1094" s="23"/>
      <c r="P1094" s="23"/>
    </row>
    <row r="1095" spans="2:16" x14ac:dyDescent="0.25">
      <c r="B1095" s="23"/>
      <c r="E1095" s="23"/>
      <c r="G1095" s="23"/>
      <c r="H1095" s="23"/>
      <c r="J1095" s="23"/>
      <c r="K1095" s="23"/>
      <c r="M1095" s="23"/>
      <c r="N1095" s="23"/>
      <c r="P1095" s="23"/>
    </row>
    <row r="1096" spans="2:16" x14ac:dyDescent="0.25">
      <c r="B1096" s="23"/>
      <c r="E1096" s="23"/>
      <c r="G1096" s="23"/>
      <c r="H1096" s="23"/>
      <c r="J1096" s="23"/>
      <c r="K1096" s="23"/>
      <c r="M1096" s="23"/>
      <c r="N1096" s="23"/>
      <c r="P1096" s="23"/>
    </row>
    <row r="1097" spans="2:16" x14ac:dyDescent="0.25">
      <c r="B1097" s="23"/>
      <c r="E1097" s="23"/>
      <c r="G1097" s="23"/>
      <c r="H1097" s="23"/>
      <c r="J1097" s="23"/>
      <c r="K1097" s="23"/>
      <c r="M1097" s="23"/>
      <c r="N1097" s="23"/>
      <c r="P1097" s="23"/>
    </row>
    <row r="1098" spans="2:16" x14ac:dyDescent="0.25">
      <c r="B1098" s="23"/>
      <c r="E1098" s="23"/>
      <c r="G1098" s="23"/>
      <c r="H1098" s="23"/>
      <c r="J1098" s="23"/>
      <c r="K1098" s="23"/>
      <c r="M1098" s="23"/>
      <c r="N1098" s="23"/>
      <c r="P1098" s="23"/>
    </row>
    <row r="1099" spans="2:16" x14ac:dyDescent="0.25">
      <c r="B1099" s="23"/>
      <c r="E1099" s="23"/>
      <c r="G1099" s="23"/>
      <c r="H1099" s="23"/>
      <c r="J1099" s="23"/>
      <c r="K1099" s="23"/>
      <c r="M1099" s="23"/>
      <c r="N1099" s="23"/>
      <c r="P1099" s="23"/>
    </row>
    <row r="1100" spans="2:16" x14ac:dyDescent="0.25">
      <c r="B1100" s="23"/>
      <c r="E1100" s="23"/>
      <c r="G1100" s="23"/>
      <c r="H1100" s="23"/>
      <c r="J1100" s="23"/>
      <c r="K1100" s="23"/>
      <c r="M1100" s="23"/>
      <c r="N1100" s="23"/>
      <c r="P1100" s="23"/>
    </row>
    <row r="1101" spans="2:16" x14ac:dyDescent="0.25">
      <c r="B1101" s="23"/>
      <c r="E1101" s="23"/>
      <c r="G1101" s="23"/>
      <c r="H1101" s="23"/>
      <c r="J1101" s="23"/>
      <c r="K1101" s="23"/>
      <c r="M1101" s="23"/>
      <c r="N1101" s="23"/>
      <c r="P1101" s="23"/>
    </row>
    <row r="1102" spans="2:16" x14ac:dyDescent="0.25">
      <c r="B1102" s="23"/>
      <c r="E1102" s="23"/>
      <c r="G1102" s="23"/>
      <c r="H1102" s="23"/>
      <c r="J1102" s="23"/>
      <c r="K1102" s="23"/>
      <c r="M1102" s="23"/>
      <c r="N1102" s="23"/>
      <c r="P1102" s="23"/>
    </row>
    <row r="1103" spans="2:16" x14ac:dyDescent="0.25">
      <c r="B1103" s="23"/>
      <c r="E1103" s="23"/>
      <c r="G1103" s="23"/>
      <c r="H1103" s="23"/>
      <c r="J1103" s="23"/>
      <c r="K1103" s="23"/>
      <c r="M1103" s="23"/>
      <c r="N1103" s="23"/>
      <c r="P1103" s="23"/>
    </row>
    <row r="1104" spans="2:16" x14ac:dyDescent="0.25">
      <c r="B1104" s="23"/>
      <c r="E1104" s="23"/>
      <c r="G1104" s="23"/>
      <c r="H1104" s="23"/>
      <c r="J1104" s="23"/>
      <c r="K1104" s="23"/>
      <c r="M1104" s="23"/>
      <c r="N1104" s="23"/>
      <c r="P1104" s="23"/>
    </row>
    <row r="1105" spans="2:16" x14ac:dyDescent="0.25">
      <c r="B1105" s="23"/>
      <c r="E1105" s="23"/>
      <c r="G1105" s="23"/>
      <c r="H1105" s="23"/>
      <c r="J1105" s="23"/>
      <c r="K1105" s="23"/>
      <c r="M1105" s="23"/>
      <c r="N1105" s="23"/>
      <c r="P1105" s="23"/>
    </row>
    <row r="1106" spans="2:16" x14ac:dyDescent="0.25">
      <c r="B1106" s="23"/>
      <c r="E1106" s="23"/>
      <c r="G1106" s="23"/>
      <c r="H1106" s="23"/>
      <c r="J1106" s="23"/>
      <c r="K1106" s="23"/>
      <c r="M1106" s="23"/>
      <c r="N1106" s="23"/>
      <c r="P1106" s="23"/>
    </row>
    <row r="1107" spans="2:16" x14ac:dyDescent="0.25">
      <c r="B1107" s="23"/>
      <c r="E1107" s="23"/>
      <c r="G1107" s="23"/>
      <c r="H1107" s="23"/>
      <c r="J1107" s="23"/>
      <c r="K1107" s="23"/>
      <c r="M1107" s="23"/>
      <c r="N1107" s="23"/>
      <c r="P1107" s="23"/>
    </row>
    <row r="1108" spans="2:16" x14ac:dyDescent="0.25">
      <c r="B1108" s="23"/>
      <c r="E1108" s="23"/>
      <c r="G1108" s="23"/>
      <c r="H1108" s="23"/>
      <c r="J1108" s="23"/>
      <c r="K1108" s="23"/>
      <c r="M1108" s="23"/>
      <c r="N1108" s="23"/>
      <c r="P1108" s="23"/>
    </row>
    <row r="1109" spans="2:16" x14ac:dyDescent="0.25">
      <c r="B1109" s="23"/>
      <c r="E1109" s="23"/>
      <c r="G1109" s="23"/>
      <c r="H1109" s="23"/>
      <c r="J1109" s="23"/>
      <c r="K1109" s="23"/>
      <c r="M1109" s="23"/>
      <c r="N1109" s="23"/>
      <c r="P1109" s="23"/>
    </row>
    <row r="1110" spans="2:16" x14ac:dyDescent="0.25">
      <c r="B1110" s="23"/>
      <c r="E1110" s="23"/>
      <c r="G1110" s="23"/>
      <c r="H1110" s="23"/>
      <c r="J1110" s="23"/>
      <c r="K1110" s="23"/>
      <c r="M1110" s="23"/>
      <c r="N1110" s="23"/>
      <c r="P1110" s="23"/>
    </row>
    <row r="1111" spans="2:16" x14ac:dyDescent="0.25">
      <c r="B1111" s="23"/>
      <c r="E1111" s="23"/>
      <c r="G1111" s="23"/>
      <c r="H1111" s="23"/>
      <c r="J1111" s="23"/>
      <c r="K1111" s="23"/>
      <c r="M1111" s="23"/>
      <c r="N1111" s="23"/>
      <c r="P1111" s="23"/>
    </row>
    <row r="1112" spans="2:16" x14ac:dyDescent="0.25">
      <c r="B1112" s="23"/>
      <c r="E1112" s="23"/>
      <c r="G1112" s="23"/>
      <c r="H1112" s="23"/>
      <c r="J1112" s="23"/>
      <c r="K1112" s="23"/>
      <c r="M1112" s="23"/>
      <c r="N1112" s="23"/>
      <c r="P1112" s="23"/>
    </row>
    <row r="1113" spans="2:16" x14ac:dyDescent="0.25">
      <c r="B1113" s="23"/>
      <c r="E1113" s="23"/>
      <c r="G1113" s="23"/>
      <c r="H1113" s="23"/>
      <c r="J1113" s="23"/>
      <c r="K1113" s="23"/>
      <c r="M1113" s="23"/>
      <c r="N1113" s="23"/>
      <c r="P1113" s="23"/>
    </row>
    <row r="1114" spans="2:16" x14ac:dyDescent="0.25">
      <c r="B1114" s="23"/>
      <c r="E1114" s="23"/>
      <c r="G1114" s="23"/>
      <c r="H1114" s="23"/>
      <c r="J1114" s="23"/>
      <c r="K1114" s="23"/>
      <c r="M1114" s="23"/>
      <c r="N1114" s="23"/>
      <c r="P1114" s="23"/>
    </row>
    <row r="1115" spans="2:16" x14ac:dyDescent="0.25">
      <c r="B1115" s="23"/>
      <c r="E1115" s="23"/>
      <c r="G1115" s="23"/>
      <c r="H1115" s="23"/>
      <c r="J1115" s="23"/>
      <c r="K1115" s="23"/>
      <c r="M1115" s="23"/>
      <c r="N1115" s="23"/>
      <c r="P1115" s="23"/>
    </row>
    <row r="1116" spans="2:16" x14ac:dyDescent="0.25">
      <c r="B1116" s="23"/>
      <c r="E1116" s="23"/>
      <c r="G1116" s="23"/>
      <c r="H1116" s="23"/>
      <c r="J1116" s="23"/>
      <c r="K1116" s="23"/>
      <c r="M1116" s="23"/>
      <c r="N1116" s="23"/>
      <c r="P1116" s="23"/>
    </row>
    <row r="1117" spans="2:16" x14ac:dyDescent="0.25">
      <c r="B1117" s="23"/>
      <c r="E1117" s="23"/>
      <c r="G1117" s="23"/>
      <c r="H1117" s="23"/>
      <c r="J1117" s="23"/>
      <c r="K1117" s="23"/>
      <c r="M1117" s="23"/>
      <c r="N1117" s="23"/>
      <c r="P1117" s="23"/>
    </row>
    <row r="1118" spans="2:16" x14ac:dyDescent="0.25">
      <c r="B1118" s="23"/>
      <c r="E1118" s="23"/>
      <c r="G1118" s="23"/>
      <c r="H1118" s="23"/>
      <c r="J1118" s="23"/>
      <c r="K1118" s="23"/>
      <c r="M1118" s="23"/>
      <c r="N1118" s="23"/>
      <c r="P1118" s="23"/>
    </row>
    <row r="1119" spans="2:16" x14ac:dyDescent="0.25">
      <c r="B1119" s="23"/>
      <c r="E1119" s="23"/>
      <c r="G1119" s="23"/>
      <c r="H1119" s="23"/>
      <c r="J1119" s="23"/>
      <c r="K1119" s="23"/>
      <c r="M1119" s="23"/>
      <c r="N1119" s="23"/>
      <c r="P1119" s="23"/>
    </row>
    <row r="1120" spans="2:16" x14ac:dyDescent="0.25">
      <c r="B1120" s="23"/>
      <c r="E1120" s="23"/>
      <c r="G1120" s="23"/>
      <c r="H1120" s="23"/>
      <c r="J1120" s="23"/>
      <c r="K1120" s="23"/>
      <c r="M1120" s="23"/>
      <c r="N1120" s="23"/>
      <c r="P1120" s="23"/>
    </row>
    <row r="1121" spans="2:16" x14ac:dyDescent="0.25">
      <c r="B1121" s="23"/>
      <c r="E1121" s="23"/>
      <c r="G1121" s="23"/>
      <c r="H1121" s="23"/>
      <c r="J1121" s="23"/>
      <c r="K1121" s="23"/>
      <c r="M1121" s="23"/>
      <c r="N1121" s="23"/>
      <c r="P1121" s="23"/>
    </row>
    <row r="1122" spans="2:16" x14ac:dyDescent="0.25">
      <c r="B1122" s="23"/>
      <c r="E1122" s="23"/>
      <c r="G1122" s="23"/>
      <c r="H1122" s="23"/>
      <c r="J1122" s="23"/>
      <c r="K1122" s="23"/>
      <c r="M1122" s="23"/>
      <c r="N1122" s="23"/>
      <c r="P1122" s="23"/>
    </row>
    <row r="1123" spans="2:16" x14ac:dyDescent="0.25">
      <c r="B1123" s="23"/>
      <c r="E1123" s="23"/>
      <c r="G1123" s="23"/>
      <c r="H1123" s="23"/>
      <c r="J1123" s="23"/>
      <c r="K1123" s="23"/>
      <c r="M1123" s="23"/>
      <c r="N1123" s="23"/>
      <c r="P1123" s="23"/>
    </row>
    <row r="1124" spans="2:16" x14ac:dyDescent="0.25">
      <c r="B1124" s="23"/>
      <c r="E1124" s="23"/>
      <c r="G1124" s="23"/>
      <c r="H1124" s="23"/>
      <c r="J1124" s="23"/>
      <c r="K1124" s="23"/>
      <c r="M1124" s="23"/>
      <c r="N1124" s="23"/>
      <c r="P1124" s="23"/>
    </row>
    <row r="1125" spans="2:16" x14ac:dyDescent="0.25">
      <c r="B1125" s="23"/>
      <c r="E1125" s="23"/>
      <c r="G1125" s="23"/>
      <c r="H1125" s="23"/>
      <c r="J1125" s="23"/>
      <c r="K1125" s="23"/>
      <c r="M1125" s="23"/>
      <c r="N1125" s="23"/>
      <c r="P1125" s="23"/>
    </row>
    <row r="1126" spans="2:16" x14ac:dyDescent="0.25">
      <c r="B1126" s="23"/>
      <c r="E1126" s="23"/>
      <c r="G1126" s="23"/>
      <c r="H1126" s="23"/>
      <c r="J1126" s="23"/>
      <c r="K1126" s="23"/>
      <c r="M1126" s="23"/>
      <c r="N1126" s="23"/>
      <c r="P1126" s="23"/>
    </row>
    <row r="1127" spans="2:16" x14ac:dyDescent="0.25">
      <c r="B1127" s="23"/>
      <c r="E1127" s="23"/>
      <c r="G1127" s="23"/>
      <c r="H1127" s="23"/>
      <c r="J1127" s="23"/>
      <c r="K1127" s="23"/>
      <c r="M1127" s="23"/>
      <c r="N1127" s="23"/>
      <c r="P1127" s="23"/>
    </row>
    <row r="1128" spans="2:16" x14ac:dyDescent="0.25">
      <c r="B1128" s="23"/>
      <c r="E1128" s="23"/>
      <c r="G1128" s="23"/>
      <c r="H1128" s="23"/>
      <c r="J1128" s="23"/>
      <c r="K1128" s="23"/>
      <c r="M1128" s="23"/>
      <c r="N1128" s="23"/>
      <c r="P1128" s="23"/>
    </row>
    <row r="1129" spans="2:16" x14ac:dyDescent="0.25">
      <c r="B1129" s="23"/>
      <c r="E1129" s="23"/>
      <c r="G1129" s="23"/>
      <c r="H1129" s="23"/>
      <c r="J1129" s="23"/>
      <c r="K1129" s="23"/>
      <c r="M1129" s="23"/>
      <c r="N1129" s="23"/>
      <c r="P1129" s="23"/>
    </row>
    <row r="1130" spans="2:16" x14ac:dyDescent="0.25">
      <c r="B1130" s="23"/>
      <c r="E1130" s="23"/>
      <c r="G1130" s="23"/>
      <c r="H1130" s="23"/>
      <c r="J1130" s="23"/>
      <c r="K1130" s="23"/>
      <c r="M1130" s="23"/>
      <c r="N1130" s="23"/>
      <c r="P1130" s="23"/>
    </row>
    <row r="1131" spans="2:16" x14ac:dyDescent="0.25">
      <c r="B1131" s="23"/>
      <c r="E1131" s="23"/>
      <c r="G1131" s="23"/>
      <c r="H1131" s="23"/>
      <c r="J1131" s="23"/>
      <c r="K1131" s="23"/>
      <c r="M1131" s="23"/>
      <c r="N1131" s="23"/>
      <c r="P1131" s="23"/>
    </row>
    <row r="1132" spans="2:16" x14ac:dyDescent="0.25">
      <c r="B1132" s="23"/>
      <c r="E1132" s="23"/>
      <c r="G1132" s="23"/>
      <c r="H1132" s="23"/>
      <c r="J1132" s="23"/>
      <c r="K1132" s="23"/>
      <c r="M1132" s="23"/>
      <c r="N1132" s="23"/>
      <c r="P1132" s="23"/>
    </row>
    <row r="1133" spans="2:16" x14ac:dyDescent="0.25">
      <c r="B1133" s="23"/>
      <c r="E1133" s="23"/>
      <c r="G1133" s="23"/>
      <c r="H1133" s="23"/>
      <c r="J1133" s="23"/>
      <c r="K1133" s="23"/>
      <c r="M1133" s="23"/>
      <c r="N1133" s="23"/>
      <c r="P1133" s="23"/>
    </row>
    <row r="1134" spans="2:16" x14ac:dyDescent="0.25">
      <c r="B1134" s="23"/>
      <c r="E1134" s="23"/>
      <c r="G1134" s="23"/>
      <c r="H1134" s="23"/>
      <c r="J1134" s="23"/>
      <c r="K1134" s="23"/>
      <c r="M1134" s="23"/>
      <c r="N1134" s="23"/>
      <c r="P1134" s="23"/>
    </row>
    <row r="1135" spans="2:16" x14ac:dyDescent="0.25">
      <c r="B1135" s="23"/>
      <c r="E1135" s="23"/>
      <c r="G1135" s="23"/>
      <c r="H1135" s="23"/>
      <c r="J1135" s="23"/>
      <c r="K1135" s="23"/>
      <c r="M1135" s="23"/>
      <c r="N1135" s="23"/>
      <c r="P1135" s="23"/>
    </row>
    <row r="1136" spans="2:16" x14ac:dyDescent="0.25">
      <c r="B1136" s="23"/>
      <c r="E1136" s="23"/>
      <c r="G1136" s="23"/>
      <c r="H1136" s="23"/>
      <c r="J1136" s="23"/>
      <c r="K1136" s="23"/>
      <c r="M1136" s="23"/>
      <c r="N1136" s="23"/>
      <c r="P1136" s="23"/>
    </row>
    <row r="1137" spans="2:16" x14ac:dyDescent="0.25">
      <c r="B1137" s="23"/>
      <c r="E1137" s="23"/>
      <c r="G1137" s="23"/>
      <c r="H1137" s="23"/>
      <c r="J1137" s="23"/>
      <c r="K1137" s="23"/>
      <c r="M1137" s="23"/>
      <c r="N1137" s="23"/>
      <c r="P1137" s="23"/>
    </row>
    <row r="1138" spans="2:16" x14ac:dyDescent="0.25">
      <c r="B1138" s="23"/>
      <c r="E1138" s="23"/>
      <c r="G1138" s="23"/>
      <c r="H1138" s="23"/>
      <c r="J1138" s="23"/>
      <c r="K1138" s="23"/>
      <c r="M1138" s="23"/>
      <c r="N1138" s="23"/>
      <c r="P1138" s="23"/>
    </row>
    <row r="1139" spans="2:16" x14ac:dyDescent="0.25">
      <c r="B1139" s="23"/>
      <c r="E1139" s="23"/>
      <c r="G1139" s="23"/>
      <c r="H1139" s="23"/>
      <c r="J1139" s="23"/>
      <c r="K1139" s="23"/>
      <c r="M1139" s="23"/>
      <c r="N1139" s="23"/>
      <c r="P1139" s="23"/>
    </row>
    <row r="1140" spans="2:16" x14ac:dyDescent="0.25">
      <c r="B1140" s="23"/>
      <c r="E1140" s="23"/>
      <c r="G1140" s="23"/>
      <c r="H1140" s="23"/>
      <c r="J1140" s="23"/>
      <c r="K1140" s="23"/>
      <c r="M1140" s="23"/>
      <c r="N1140" s="23"/>
      <c r="P1140" s="23"/>
    </row>
    <row r="1141" spans="2:16" x14ac:dyDescent="0.25">
      <c r="B1141" s="23"/>
      <c r="E1141" s="23"/>
      <c r="G1141" s="23"/>
      <c r="H1141" s="23"/>
      <c r="J1141" s="23"/>
      <c r="K1141" s="23"/>
      <c r="M1141" s="23"/>
      <c r="N1141" s="23"/>
      <c r="P1141" s="23"/>
    </row>
    <row r="1142" spans="2:16" x14ac:dyDescent="0.25">
      <c r="B1142" s="23"/>
      <c r="E1142" s="23"/>
      <c r="G1142" s="23"/>
      <c r="H1142" s="23"/>
      <c r="J1142" s="23"/>
      <c r="K1142" s="23"/>
      <c r="M1142" s="23"/>
      <c r="N1142" s="23"/>
      <c r="P1142" s="23"/>
    </row>
    <row r="1143" spans="2:16" x14ac:dyDescent="0.25">
      <c r="B1143" s="23"/>
      <c r="E1143" s="23"/>
      <c r="G1143" s="23"/>
      <c r="H1143" s="23"/>
      <c r="J1143" s="23"/>
      <c r="K1143" s="23"/>
      <c r="M1143" s="23"/>
      <c r="N1143" s="23"/>
      <c r="P1143" s="23"/>
    </row>
    <row r="1144" spans="2:16" x14ac:dyDescent="0.25">
      <c r="B1144" s="23"/>
      <c r="E1144" s="23"/>
      <c r="G1144" s="23"/>
      <c r="H1144" s="23"/>
      <c r="J1144" s="23"/>
      <c r="K1144" s="23"/>
      <c r="M1144" s="23"/>
      <c r="N1144" s="23"/>
      <c r="P1144" s="23"/>
    </row>
    <row r="1145" spans="2:16" x14ac:dyDescent="0.25">
      <c r="B1145" s="23"/>
      <c r="E1145" s="23"/>
      <c r="G1145" s="23"/>
      <c r="H1145" s="23"/>
      <c r="J1145" s="23"/>
      <c r="K1145" s="23"/>
      <c r="M1145" s="23"/>
      <c r="N1145" s="23"/>
      <c r="P1145" s="23"/>
    </row>
    <row r="1146" spans="2:16" x14ac:dyDescent="0.25">
      <c r="B1146" s="23"/>
      <c r="E1146" s="23"/>
      <c r="G1146" s="23"/>
      <c r="H1146" s="23"/>
      <c r="J1146" s="23"/>
      <c r="K1146" s="23"/>
      <c r="M1146" s="23"/>
      <c r="N1146" s="23"/>
      <c r="P1146" s="23"/>
    </row>
    <row r="1147" spans="2:16" x14ac:dyDescent="0.25">
      <c r="B1147" s="23"/>
      <c r="E1147" s="23"/>
      <c r="G1147" s="23"/>
      <c r="H1147" s="23"/>
      <c r="J1147" s="23"/>
      <c r="K1147" s="23"/>
      <c r="M1147" s="23"/>
      <c r="N1147" s="23"/>
      <c r="P1147" s="23"/>
    </row>
    <row r="1148" spans="2:16" x14ac:dyDescent="0.25">
      <c r="B1148" s="23"/>
      <c r="E1148" s="23"/>
      <c r="G1148" s="23"/>
      <c r="H1148" s="23"/>
      <c r="J1148" s="23"/>
      <c r="K1148" s="23"/>
      <c r="M1148" s="23"/>
      <c r="N1148" s="23"/>
      <c r="P1148" s="23"/>
    </row>
    <row r="1149" spans="2:16" x14ac:dyDescent="0.25">
      <c r="B1149" s="23"/>
      <c r="E1149" s="23"/>
      <c r="G1149" s="23"/>
      <c r="H1149" s="23"/>
      <c r="J1149" s="23"/>
      <c r="K1149" s="23"/>
      <c r="M1149" s="23"/>
      <c r="N1149" s="23"/>
      <c r="P1149" s="23"/>
    </row>
    <row r="1150" spans="2:16" x14ac:dyDescent="0.25">
      <c r="B1150" s="23"/>
      <c r="E1150" s="23"/>
      <c r="G1150" s="23"/>
      <c r="H1150" s="23"/>
      <c r="J1150" s="23"/>
      <c r="K1150" s="23"/>
      <c r="M1150" s="23"/>
      <c r="N1150" s="23"/>
      <c r="P1150" s="23"/>
    </row>
    <row r="1151" spans="2:16" x14ac:dyDescent="0.25">
      <c r="B1151" s="23"/>
      <c r="E1151" s="23"/>
      <c r="G1151" s="23"/>
      <c r="H1151" s="23"/>
      <c r="J1151" s="23"/>
      <c r="K1151" s="23"/>
      <c r="M1151" s="23"/>
      <c r="N1151" s="23"/>
      <c r="P1151" s="23"/>
    </row>
    <row r="1152" spans="2:16" x14ac:dyDescent="0.25">
      <c r="B1152" s="23"/>
      <c r="E1152" s="23"/>
      <c r="G1152" s="23"/>
      <c r="H1152" s="23"/>
      <c r="J1152" s="23"/>
      <c r="K1152" s="23"/>
      <c r="M1152" s="23"/>
      <c r="N1152" s="23"/>
      <c r="P1152" s="23"/>
    </row>
    <row r="1153" spans="2:16" x14ac:dyDescent="0.25">
      <c r="B1153" s="23"/>
      <c r="E1153" s="23"/>
      <c r="G1153" s="23"/>
      <c r="H1153" s="23"/>
      <c r="J1153" s="23"/>
      <c r="K1153" s="23"/>
      <c r="M1153" s="23"/>
      <c r="N1153" s="23"/>
      <c r="P1153" s="23"/>
    </row>
    <row r="1154" spans="2:16" x14ac:dyDescent="0.25">
      <c r="B1154" s="23"/>
      <c r="E1154" s="23"/>
      <c r="G1154" s="23"/>
      <c r="H1154" s="23"/>
      <c r="J1154" s="23"/>
      <c r="K1154" s="23"/>
      <c r="M1154" s="23"/>
      <c r="N1154" s="23"/>
      <c r="P1154" s="23"/>
    </row>
    <row r="1155" spans="2:16" x14ac:dyDescent="0.25">
      <c r="B1155" s="23"/>
      <c r="E1155" s="23"/>
      <c r="G1155" s="23"/>
      <c r="H1155" s="23"/>
      <c r="J1155" s="23"/>
      <c r="K1155" s="23"/>
      <c r="M1155" s="23"/>
      <c r="N1155" s="23"/>
      <c r="P1155" s="23"/>
    </row>
    <row r="1156" spans="2:16" x14ac:dyDescent="0.25">
      <c r="B1156" s="23"/>
      <c r="E1156" s="23"/>
      <c r="G1156" s="23"/>
      <c r="H1156" s="23"/>
      <c r="J1156" s="23"/>
      <c r="K1156" s="23"/>
      <c r="M1156" s="23"/>
      <c r="N1156" s="23"/>
      <c r="P1156" s="23"/>
    </row>
    <row r="1157" spans="2:16" x14ac:dyDescent="0.25">
      <c r="B1157" s="23"/>
      <c r="E1157" s="23"/>
      <c r="G1157" s="23"/>
      <c r="H1157" s="23"/>
      <c r="J1157" s="23"/>
      <c r="K1157" s="23"/>
      <c r="M1157" s="23"/>
      <c r="N1157" s="23"/>
      <c r="P1157" s="23"/>
    </row>
    <row r="1158" spans="2:16" x14ac:dyDescent="0.25">
      <c r="B1158" s="23"/>
      <c r="E1158" s="23"/>
      <c r="G1158" s="23"/>
      <c r="H1158" s="23"/>
      <c r="J1158" s="23"/>
      <c r="K1158" s="23"/>
      <c r="M1158" s="23"/>
      <c r="N1158" s="23"/>
      <c r="P1158" s="23"/>
    </row>
    <row r="1159" spans="2:16" x14ac:dyDescent="0.25">
      <c r="B1159" s="23"/>
      <c r="E1159" s="23"/>
      <c r="G1159" s="23"/>
      <c r="H1159" s="23"/>
      <c r="J1159" s="23"/>
      <c r="K1159" s="23"/>
      <c r="M1159" s="23"/>
      <c r="N1159" s="23"/>
      <c r="P1159" s="23"/>
    </row>
    <row r="1160" spans="2:16" x14ac:dyDescent="0.25">
      <c r="B1160" s="23"/>
      <c r="E1160" s="23"/>
      <c r="G1160" s="23"/>
      <c r="H1160" s="23"/>
      <c r="J1160" s="23"/>
      <c r="K1160" s="23"/>
      <c r="M1160" s="23"/>
      <c r="N1160" s="23"/>
      <c r="P1160" s="23"/>
    </row>
    <row r="1161" spans="2:16" x14ac:dyDescent="0.25">
      <c r="B1161" s="23"/>
      <c r="E1161" s="23"/>
      <c r="G1161" s="23"/>
      <c r="H1161" s="23"/>
      <c r="J1161" s="23"/>
      <c r="K1161" s="23"/>
      <c r="M1161" s="23"/>
      <c r="N1161" s="23"/>
      <c r="P1161" s="23"/>
    </row>
    <row r="1162" spans="2:16" x14ac:dyDescent="0.25">
      <c r="B1162" s="23"/>
      <c r="E1162" s="23"/>
      <c r="G1162" s="23"/>
      <c r="H1162" s="23"/>
      <c r="J1162" s="23"/>
      <c r="K1162" s="23"/>
      <c r="M1162" s="23"/>
      <c r="N1162" s="23"/>
      <c r="P1162" s="23"/>
    </row>
    <row r="1163" spans="2:16" x14ac:dyDescent="0.25">
      <c r="B1163" s="23"/>
      <c r="E1163" s="23"/>
      <c r="G1163" s="23"/>
      <c r="H1163" s="23"/>
      <c r="J1163" s="23"/>
      <c r="K1163" s="23"/>
      <c r="M1163" s="23"/>
      <c r="N1163" s="23"/>
      <c r="P1163" s="23"/>
    </row>
    <row r="1164" spans="2:16" x14ac:dyDescent="0.25">
      <c r="B1164" s="23"/>
      <c r="E1164" s="23"/>
      <c r="G1164" s="23"/>
      <c r="H1164" s="23"/>
      <c r="J1164" s="23"/>
      <c r="K1164" s="23"/>
      <c r="M1164" s="23"/>
      <c r="N1164" s="23"/>
      <c r="P1164" s="23"/>
    </row>
    <row r="1165" spans="2:16" x14ac:dyDescent="0.25">
      <c r="B1165" s="23"/>
      <c r="E1165" s="23"/>
      <c r="G1165" s="23"/>
      <c r="H1165" s="23"/>
      <c r="J1165" s="23"/>
      <c r="K1165" s="23"/>
      <c r="M1165" s="23"/>
      <c r="N1165" s="23"/>
      <c r="P1165" s="23"/>
    </row>
    <row r="1166" spans="2:16" x14ac:dyDescent="0.25">
      <c r="B1166" s="23"/>
      <c r="E1166" s="23"/>
      <c r="G1166" s="23"/>
      <c r="H1166" s="23"/>
      <c r="J1166" s="23"/>
      <c r="K1166" s="23"/>
      <c r="M1166" s="23"/>
      <c r="N1166" s="23"/>
      <c r="P1166" s="23"/>
    </row>
    <row r="1167" spans="2:16" x14ac:dyDescent="0.25">
      <c r="B1167" s="23"/>
      <c r="E1167" s="23"/>
      <c r="G1167" s="23"/>
      <c r="H1167" s="23"/>
      <c r="J1167" s="23"/>
      <c r="K1167" s="23"/>
      <c r="M1167" s="23"/>
      <c r="N1167" s="23"/>
      <c r="P1167" s="23"/>
    </row>
    <row r="1168" spans="2:16" x14ac:dyDescent="0.25">
      <c r="B1168" s="23"/>
      <c r="E1168" s="23"/>
      <c r="G1168" s="23"/>
      <c r="H1168" s="23"/>
      <c r="J1168" s="23"/>
      <c r="K1168" s="23"/>
      <c r="M1168" s="23"/>
      <c r="N1168" s="23"/>
      <c r="P1168" s="23"/>
    </row>
    <row r="1169" spans="2:16" x14ac:dyDescent="0.25">
      <c r="B1169" s="23"/>
      <c r="E1169" s="23"/>
      <c r="G1169" s="23"/>
      <c r="H1169" s="23"/>
      <c r="J1169" s="23"/>
      <c r="K1169" s="23"/>
      <c r="M1169" s="23"/>
      <c r="N1169" s="23"/>
      <c r="P1169" s="23"/>
    </row>
    <row r="1170" spans="2:16" x14ac:dyDescent="0.25">
      <c r="B1170" s="23"/>
      <c r="E1170" s="23"/>
      <c r="G1170" s="23"/>
      <c r="H1170" s="23"/>
      <c r="J1170" s="23"/>
      <c r="K1170" s="23"/>
      <c r="M1170" s="23"/>
      <c r="N1170" s="23"/>
      <c r="P1170" s="23"/>
    </row>
    <row r="1171" spans="2:16" x14ac:dyDescent="0.25">
      <c r="B1171" s="23"/>
      <c r="E1171" s="23"/>
      <c r="G1171" s="23"/>
      <c r="H1171" s="23"/>
      <c r="J1171" s="23"/>
      <c r="K1171" s="23"/>
      <c r="M1171" s="23"/>
      <c r="N1171" s="23"/>
      <c r="P1171" s="23"/>
    </row>
    <row r="1172" spans="2:16" x14ac:dyDescent="0.25">
      <c r="B1172" s="23"/>
      <c r="E1172" s="23"/>
      <c r="G1172" s="23"/>
      <c r="H1172" s="23"/>
      <c r="J1172" s="23"/>
      <c r="K1172" s="23"/>
      <c r="M1172" s="23"/>
      <c r="N1172" s="23"/>
      <c r="P1172" s="23"/>
    </row>
    <row r="1173" spans="2:16" x14ac:dyDescent="0.25">
      <c r="B1173" s="23"/>
      <c r="E1173" s="23"/>
      <c r="G1173" s="23"/>
      <c r="H1173" s="23"/>
      <c r="J1173" s="23"/>
      <c r="K1173" s="23"/>
      <c r="M1173" s="23"/>
      <c r="N1173" s="23"/>
      <c r="P1173" s="23"/>
    </row>
    <row r="1174" spans="2:16" x14ac:dyDescent="0.25">
      <c r="B1174" s="23"/>
      <c r="E1174" s="23"/>
      <c r="G1174" s="23"/>
      <c r="H1174" s="23"/>
      <c r="J1174" s="23"/>
      <c r="K1174" s="23"/>
      <c r="M1174" s="23"/>
      <c r="N1174" s="23"/>
      <c r="P1174" s="23"/>
    </row>
    <row r="1175" spans="2:16" x14ac:dyDescent="0.25">
      <c r="B1175" s="23"/>
      <c r="E1175" s="23"/>
      <c r="G1175" s="23"/>
      <c r="H1175" s="23"/>
      <c r="J1175" s="23"/>
      <c r="K1175" s="23"/>
      <c r="M1175" s="23"/>
      <c r="N1175" s="23"/>
      <c r="P1175" s="23"/>
    </row>
    <row r="1176" spans="2:16" x14ac:dyDescent="0.25">
      <c r="B1176" s="23"/>
      <c r="E1176" s="23"/>
      <c r="G1176" s="23"/>
      <c r="H1176" s="23"/>
      <c r="J1176" s="23"/>
      <c r="K1176" s="23"/>
      <c r="M1176" s="23"/>
      <c r="N1176" s="23"/>
      <c r="P1176" s="23"/>
    </row>
    <row r="1177" spans="2:16" x14ac:dyDescent="0.25">
      <c r="B1177" s="23"/>
      <c r="E1177" s="23"/>
      <c r="G1177" s="23"/>
      <c r="H1177" s="23"/>
      <c r="J1177" s="23"/>
      <c r="K1177" s="23"/>
      <c r="M1177" s="23"/>
      <c r="N1177" s="23"/>
      <c r="P1177" s="23"/>
    </row>
    <row r="1178" spans="2:16" x14ac:dyDescent="0.25">
      <c r="B1178" s="23"/>
      <c r="E1178" s="23"/>
      <c r="G1178" s="23"/>
      <c r="H1178" s="23"/>
      <c r="J1178" s="23"/>
      <c r="K1178" s="23"/>
      <c r="M1178" s="23"/>
      <c r="N1178" s="23"/>
      <c r="P1178" s="23"/>
    </row>
    <row r="1179" spans="2:16" x14ac:dyDescent="0.25">
      <c r="B1179" s="23"/>
      <c r="E1179" s="23"/>
      <c r="G1179" s="23"/>
      <c r="H1179" s="23"/>
      <c r="J1179" s="23"/>
      <c r="K1179" s="23"/>
      <c r="M1179" s="23"/>
      <c r="N1179" s="23"/>
      <c r="P1179" s="23"/>
    </row>
    <row r="1180" spans="2:16" x14ac:dyDescent="0.25">
      <c r="B1180" s="23"/>
      <c r="E1180" s="23"/>
      <c r="G1180" s="23"/>
      <c r="H1180" s="23"/>
      <c r="J1180" s="23"/>
      <c r="K1180" s="23"/>
      <c r="M1180" s="23"/>
      <c r="N1180" s="23"/>
      <c r="P1180" s="23"/>
    </row>
    <row r="1181" spans="2:16" x14ac:dyDescent="0.25">
      <c r="B1181" s="23"/>
      <c r="E1181" s="23"/>
      <c r="G1181" s="23"/>
      <c r="H1181" s="23"/>
      <c r="J1181" s="23"/>
      <c r="K1181" s="23"/>
      <c r="M1181" s="23"/>
      <c r="N1181" s="23"/>
      <c r="P1181" s="23"/>
    </row>
    <row r="1182" spans="2:16" x14ac:dyDescent="0.25">
      <c r="B1182" s="23"/>
      <c r="E1182" s="23"/>
      <c r="G1182" s="23"/>
      <c r="H1182" s="23"/>
      <c r="J1182" s="23"/>
      <c r="K1182" s="23"/>
      <c r="M1182" s="23"/>
      <c r="N1182" s="23"/>
      <c r="P1182" s="23"/>
    </row>
    <row r="1183" spans="2:16" x14ac:dyDescent="0.25">
      <c r="B1183" s="23"/>
      <c r="E1183" s="23"/>
      <c r="G1183" s="23"/>
      <c r="H1183" s="23"/>
      <c r="J1183" s="23"/>
      <c r="K1183" s="23"/>
      <c r="M1183" s="23"/>
      <c r="N1183" s="23"/>
      <c r="P1183" s="23"/>
    </row>
    <row r="1184" spans="2:16" x14ac:dyDescent="0.25">
      <c r="B1184" s="23"/>
      <c r="E1184" s="23"/>
      <c r="G1184" s="23"/>
      <c r="H1184" s="23"/>
      <c r="J1184" s="23"/>
      <c r="K1184" s="23"/>
      <c r="M1184" s="23"/>
      <c r="N1184" s="23"/>
      <c r="P1184" s="23"/>
    </row>
    <row r="1185" spans="2:16" x14ac:dyDescent="0.25">
      <c r="B1185" s="23"/>
      <c r="E1185" s="23"/>
      <c r="G1185" s="23"/>
      <c r="H1185" s="23"/>
      <c r="J1185" s="23"/>
      <c r="K1185" s="23"/>
      <c r="M1185" s="23"/>
      <c r="N1185" s="23"/>
      <c r="P1185" s="23"/>
    </row>
    <row r="1186" spans="2:16" x14ac:dyDescent="0.25">
      <c r="B1186" s="23"/>
      <c r="E1186" s="23"/>
      <c r="G1186" s="23"/>
      <c r="H1186" s="23"/>
      <c r="J1186" s="23"/>
      <c r="K1186" s="23"/>
      <c r="M1186" s="23"/>
      <c r="N1186" s="23"/>
      <c r="P1186" s="23"/>
    </row>
    <row r="1187" spans="2:16" x14ac:dyDescent="0.25">
      <c r="B1187" s="23"/>
      <c r="E1187" s="23"/>
      <c r="G1187" s="23"/>
      <c r="H1187" s="23"/>
      <c r="J1187" s="23"/>
      <c r="K1187" s="23"/>
      <c r="M1187" s="23"/>
      <c r="N1187" s="23"/>
      <c r="P1187" s="23"/>
    </row>
    <row r="1188" spans="2:16" x14ac:dyDescent="0.25">
      <c r="B1188" s="23"/>
      <c r="E1188" s="23"/>
      <c r="G1188" s="23"/>
      <c r="H1188" s="23"/>
      <c r="J1188" s="23"/>
      <c r="K1188" s="23"/>
      <c r="M1188" s="23"/>
      <c r="N1188" s="23"/>
      <c r="P1188" s="23"/>
    </row>
    <row r="1189" spans="2:16" x14ac:dyDescent="0.25">
      <c r="B1189" s="23"/>
      <c r="E1189" s="23"/>
      <c r="G1189" s="23"/>
      <c r="H1189" s="23"/>
      <c r="J1189" s="23"/>
      <c r="K1189" s="23"/>
      <c r="M1189" s="23"/>
      <c r="N1189" s="23"/>
      <c r="P1189" s="23"/>
    </row>
    <row r="1190" spans="2:16" x14ac:dyDescent="0.25">
      <c r="B1190" s="23"/>
      <c r="E1190" s="23"/>
      <c r="G1190" s="23"/>
      <c r="H1190" s="23"/>
      <c r="J1190" s="23"/>
      <c r="K1190" s="23"/>
      <c r="M1190" s="23"/>
      <c r="N1190" s="23"/>
      <c r="P1190" s="23"/>
    </row>
    <row r="1191" spans="2:16" x14ac:dyDescent="0.25">
      <c r="B1191" s="23"/>
      <c r="E1191" s="23"/>
      <c r="G1191" s="23"/>
      <c r="H1191" s="23"/>
      <c r="J1191" s="23"/>
      <c r="K1191" s="23"/>
      <c r="M1191" s="23"/>
      <c r="N1191" s="23"/>
      <c r="P1191" s="23"/>
    </row>
    <row r="1192" spans="2:16" x14ac:dyDescent="0.25">
      <c r="B1192" s="23"/>
      <c r="E1192" s="23"/>
      <c r="G1192" s="23"/>
      <c r="H1192" s="23"/>
      <c r="J1192" s="23"/>
      <c r="K1192" s="23"/>
      <c r="M1192" s="23"/>
      <c r="N1192" s="23"/>
      <c r="P1192" s="23"/>
    </row>
    <row r="1193" spans="2:16" x14ac:dyDescent="0.25">
      <c r="B1193" s="23"/>
      <c r="E1193" s="23"/>
      <c r="G1193" s="23"/>
      <c r="H1193" s="23"/>
      <c r="J1193" s="23"/>
      <c r="K1193" s="23"/>
      <c r="M1193" s="23"/>
      <c r="N1193" s="23"/>
      <c r="P1193" s="23"/>
    </row>
    <row r="1194" spans="2:16" x14ac:dyDescent="0.25">
      <c r="B1194" s="23"/>
      <c r="E1194" s="23"/>
      <c r="G1194" s="23"/>
      <c r="H1194" s="23"/>
      <c r="J1194" s="23"/>
      <c r="K1194" s="23"/>
      <c r="M1194" s="23"/>
      <c r="N1194" s="23"/>
      <c r="P1194" s="23"/>
    </row>
    <row r="1195" spans="2:16" x14ac:dyDescent="0.25">
      <c r="B1195" s="23"/>
      <c r="E1195" s="23"/>
      <c r="G1195" s="23"/>
      <c r="H1195" s="23"/>
      <c r="J1195" s="23"/>
      <c r="K1195" s="23"/>
      <c r="M1195" s="23"/>
      <c r="N1195" s="23"/>
      <c r="P1195" s="23"/>
    </row>
    <row r="1196" spans="2:16" x14ac:dyDescent="0.25">
      <c r="B1196" s="23"/>
      <c r="E1196" s="23"/>
      <c r="G1196" s="23"/>
      <c r="H1196" s="23"/>
      <c r="J1196" s="23"/>
      <c r="K1196" s="23"/>
      <c r="M1196" s="23"/>
      <c r="N1196" s="23"/>
      <c r="P1196" s="23"/>
    </row>
    <row r="1197" spans="2:16" x14ac:dyDescent="0.25">
      <c r="B1197" s="23"/>
      <c r="E1197" s="23"/>
      <c r="G1197" s="23"/>
      <c r="H1197" s="23"/>
      <c r="J1197" s="23"/>
      <c r="K1197" s="23"/>
      <c r="M1197" s="23"/>
      <c r="N1197" s="23"/>
      <c r="P1197" s="23"/>
    </row>
    <row r="1198" spans="2:16" x14ac:dyDescent="0.25">
      <c r="B1198" s="23"/>
      <c r="E1198" s="23"/>
      <c r="G1198" s="23"/>
      <c r="H1198" s="23"/>
      <c r="J1198" s="23"/>
      <c r="K1198" s="23"/>
      <c r="M1198" s="23"/>
      <c r="N1198" s="23"/>
      <c r="P1198" s="23"/>
    </row>
    <row r="1199" spans="2:16" x14ac:dyDescent="0.25">
      <c r="B1199" s="23"/>
      <c r="E1199" s="23"/>
      <c r="G1199" s="23"/>
      <c r="H1199" s="23"/>
      <c r="J1199" s="23"/>
      <c r="K1199" s="23"/>
      <c r="M1199" s="23"/>
      <c r="N1199" s="23"/>
      <c r="P1199" s="23"/>
    </row>
    <row r="1200" spans="2:16" x14ac:dyDescent="0.25">
      <c r="B1200" s="23"/>
      <c r="E1200" s="23"/>
      <c r="G1200" s="23"/>
      <c r="H1200" s="23"/>
      <c r="J1200" s="23"/>
      <c r="K1200" s="23"/>
      <c r="M1200" s="23"/>
      <c r="N1200" s="23"/>
      <c r="P1200" s="23"/>
    </row>
    <row r="1201" spans="2:16" x14ac:dyDescent="0.25">
      <c r="B1201" s="23"/>
      <c r="E1201" s="23"/>
      <c r="G1201" s="23"/>
      <c r="H1201" s="23"/>
      <c r="J1201" s="23"/>
      <c r="K1201" s="23"/>
      <c r="M1201" s="23"/>
      <c r="N1201" s="23"/>
      <c r="P1201" s="23"/>
    </row>
    <row r="1202" spans="2:16" x14ac:dyDescent="0.25">
      <c r="B1202" s="23"/>
      <c r="E1202" s="23"/>
      <c r="G1202" s="23"/>
      <c r="H1202" s="23"/>
      <c r="J1202" s="23"/>
      <c r="K1202" s="23"/>
      <c r="M1202" s="23"/>
      <c r="N1202" s="23"/>
      <c r="P1202" s="23"/>
    </row>
    <row r="1203" spans="2:16" x14ac:dyDescent="0.25">
      <c r="B1203" s="23"/>
      <c r="E1203" s="23"/>
      <c r="G1203" s="23"/>
      <c r="H1203" s="23"/>
      <c r="J1203" s="23"/>
      <c r="K1203" s="23"/>
      <c r="M1203" s="23"/>
      <c r="N1203" s="23"/>
      <c r="P1203" s="23"/>
    </row>
    <row r="1204" spans="2:16" x14ac:dyDescent="0.25">
      <c r="B1204" s="23"/>
      <c r="E1204" s="23"/>
      <c r="G1204" s="23"/>
      <c r="H1204" s="23"/>
      <c r="J1204" s="23"/>
      <c r="K1204" s="23"/>
      <c r="M1204" s="23"/>
      <c r="N1204" s="23"/>
      <c r="P1204" s="23"/>
    </row>
    <row r="1205" spans="2:16" x14ac:dyDescent="0.25">
      <c r="B1205" s="23"/>
      <c r="E1205" s="23"/>
      <c r="G1205" s="23"/>
      <c r="H1205" s="23"/>
      <c r="J1205" s="23"/>
      <c r="K1205" s="23"/>
      <c r="M1205" s="23"/>
      <c r="N1205" s="23"/>
      <c r="P1205" s="23"/>
    </row>
    <row r="1206" spans="2:16" x14ac:dyDescent="0.25">
      <c r="B1206" s="23"/>
      <c r="E1206" s="23"/>
      <c r="G1206" s="23"/>
      <c r="H1206" s="23"/>
      <c r="J1206" s="23"/>
      <c r="K1206" s="23"/>
      <c r="M1206" s="23"/>
      <c r="N1206" s="23"/>
      <c r="P1206" s="23"/>
    </row>
    <row r="1207" spans="2:16" x14ac:dyDescent="0.25">
      <c r="B1207" s="23"/>
      <c r="E1207" s="23"/>
      <c r="G1207" s="23"/>
      <c r="H1207" s="23"/>
      <c r="J1207" s="23"/>
      <c r="K1207" s="23"/>
      <c r="M1207" s="23"/>
      <c r="N1207" s="23"/>
      <c r="P1207" s="23"/>
    </row>
    <row r="1208" spans="2:16" x14ac:dyDescent="0.25">
      <c r="B1208" s="23"/>
      <c r="E1208" s="23"/>
      <c r="G1208" s="23"/>
      <c r="H1208" s="23"/>
      <c r="J1208" s="23"/>
      <c r="K1208" s="23"/>
      <c r="M1208" s="23"/>
      <c r="N1208" s="23"/>
      <c r="P1208" s="23"/>
    </row>
    <row r="1209" spans="2:16" x14ac:dyDescent="0.25">
      <c r="B1209" s="23"/>
      <c r="E1209" s="23"/>
      <c r="G1209" s="23"/>
      <c r="H1209" s="23"/>
      <c r="J1209" s="23"/>
      <c r="K1209" s="23"/>
      <c r="M1209" s="23"/>
      <c r="N1209" s="23"/>
      <c r="P1209" s="23"/>
    </row>
    <row r="1210" spans="2:16" x14ac:dyDescent="0.25">
      <c r="B1210" s="23"/>
      <c r="E1210" s="23"/>
      <c r="G1210" s="23"/>
      <c r="H1210" s="23"/>
      <c r="J1210" s="23"/>
      <c r="K1210" s="23"/>
      <c r="M1210" s="23"/>
      <c r="N1210" s="23"/>
      <c r="P1210" s="23"/>
    </row>
    <row r="1211" spans="2:16" x14ac:dyDescent="0.25">
      <c r="B1211" s="23"/>
      <c r="E1211" s="23"/>
      <c r="G1211" s="23"/>
      <c r="H1211" s="23"/>
      <c r="J1211" s="23"/>
      <c r="K1211" s="23"/>
      <c r="M1211" s="23"/>
      <c r="N1211" s="23"/>
      <c r="P1211" s="23"/>
    </row>
    <row r="1212" spans="2:16" x14ac:dyDescent="0.25">
      <c r="B1212" s="23"/>
      <c r="E1212" s="23"/>
      <c r="G1212" s="23"/>
      <c r="H1212" s="23"/>
      <c r="J1212" s="23"/>
      <c r="K1212" s="23"/>
      <c r="M1212" s="23"/>
      <c r="N1212" s="23"/>
      <c r="P1212" s="23"/>
    </row>
    <row r="1213" spans="2:16" x14ac:dyDescent="0.25">
      <c r="B1213" s="23"/>
      <c r="E1213" s="23"/>
      <c r="G1213" s="23"/>
      <c r="H1213" s="23"/>
      <c r="J1213" s="23"/>
      <c r="K1213" s="23"/>
      <c r="M1213" s="23"/>
      <c r="N1213" s="23"/>
      <c r="P1213" s="23"/>
    </row>
    <row r="1214" spans="2:16" x14ac:dyDescent="0.25">
      <c r="B1214" s="23"/>
      <c r="E1214" s="23"/>
      <c r="G1214" s="23"/>
      <c r="H1214" s="23"/>
      <c r="J1214" s="23"/>
      <c r="K1214" s="23"/>
      <c r="M1214" s="23"/>
      <c r="N1214" s="23"/>
      <c r="P1214" s="23"/>
    </row>
    <row r="1215" spans="2:16" x14ac:dyDescent="0.25">
      <c r="B1215" s="23"/>
      <c r="E1215" s="23"/>
      <c r="G1215" s="23"/>
      <c r="H1215" s="23"/>
      <c r="J1215" s="23"/>
      <c r="K1215" s="23"/>
      <c r="M1215" s="23"/>
      <c r="N1215" s="23"/>
      <c r="P1215" s="23"/>
    </row>
    <row r="1216" spans="2:16" x14ac:dyDescent="0.25">
      <c r="B1216" s="23"/>
      <c r="E1216" s="23"/>
      <c r="G1216" s="23"/>
      <c r="H1216" s="23"/>
      <c r="J1216" s="23"/>
      <c r="K1216" s="23"/>
      <c r="M1216" s="23"/>
      <c r="N1216" s="23"/>
      <c r="P1216" s="23"/>
    </row>
    <row r="1217" spans="2:16" x14ac:dyDescent="0.25">
      <c r="B1217" s="23"/>
      <c r="E1217" s="23"/>
      <c r="G1217" s="23"/>
      <c r="H1217" s="23"/>
      <c r="J1217" s="23"/>
      <c r="K1217" s="23"/>
      <c r="M1217" s="23"/>
      <c r="N1217" s="23"/>
      <c r="P1217" s="23"/>
    </row>
    <row r="1218" spans="2:16" x14ac:dyDescent="0.25">
      <c r="B1218" s="23"/>
      <c r="E1218" s="23"/>
      <c r="G1218" s="23"/>
      <c r="H1218" s="23"/>
      <c r="J1218" s="23"/>
      <c r="K1218" s="23"/>
      <c r="M1218" s="23"/>
      <c r="N1218" s="23"/>
      <c r="P1218" s="23"/>
    </row>
    <row r="1219" spans="2:16" x14ac:dyDescent="0.25">
      <c r="B1219" s="23"/>
      <c r="E1219" s="23"/>
      <c r="G1219" s="23"/>
      <c r="H1219" s="23"/>
      <c r="J1219" s="23"/>
      <c r="K1219" s="23"/>
      <c r="M1219" s="23"/>
      <c r="N1219" s="23"/>
      <c r="P1219" s="23"/>
    </row>
    <row r="1220" spans="2:16" x14ac:dyDescent="0.25">
      <c r="B1220" s="23"/>
      <c r="E1220" s="23"/>
      <c r="G1220" s="23"/>
      <c r="H1220" s="23"/>
      <c r="J1220" s="23"/>
      <c r="K1220" s="23"/>
      <c r="M1220" s="23"/>
      <c r="N1220" s="23"/>
      <c r="P1220" s="23"/>
    </row>
    <row r="1221" spans="2:16" x14ac:dyDescent="0.25">
      <c r="B1221" s="23"/>
      <c r="E1221" s="23"/>
      <c r="G1221" s="23"/>
      <c r="H1221" s="23"/>
      <c r="J1221" s="23"/>
      <c r="K1221" s="23"/>
      <c r="M1221" s="23"/>
      <c r="N1221" s="23"/>
      <c r="P1221" s="23"/>
    </row>
    <row r="1222" spans="2:16" x14ac:dyDescent="0.25">
      <c r="B1222" s="23"/>
      <c r="E1222" s="23"/>
      <c r="G1222" s="23"/>
      <c r="H1222" s="23"/>
      <c r="J1222" s="23"/>
      <c r="K1222" s="23"/>
      <c r="M1222" s="23"/>
      <c r="N1222" s="23"/>
      <c r="P1222" s="23"/>
    </row>
    <row r="1223" spans="2:16" x14ac:dyDescent="0.25">
      <c r="B1223" s="23"/>
      <c r="E1223" s="23"/>
      <c r="G1223" s="23"/>
      <c r="H1223" s="23"/>
      <c r="J1223" s="23"/>
      <c r="K1223" s="23"/>
      <c r="M1223" s="23"/>
      <c r="N1223" s="23"/>
      <c r="P1223" s="23"/>
    </row>
    <row r="1224" spans="2:16" x14ac:dyDescent="0.25">
      <c r="B1224" s="23"/>
      <c r="E1224" s="23"/>
      <c r="G1224" s="23"/>
      <c r="H1224" s="23"/>
      <c r="J1224" s="23"/>
      <c r="K1224" s="23"/>
      <c r="M1224" s="23"/>
      <c r="N1224" s="23"/>
      <c r="P1224" s="23"/>
    </row>
    <row r="1225" spans="2:16" x14ac:dyDescent="0.25">
      <c r="B1225" s="23"/>
      <c r="E1225" s="23"/>
      <c r="G1225" s="23"/>
      <c r="H1225" s="23"/>
      <c r="J1225" s="23"/>
      <c r="K1225" s="23"/>
      <c r="M1225" s="23"/>
      <c r="N1225" s="23"/>
      <c r="P1225" s="23"/>
    </row>
    <row r="1226" spans="2:16" x14ac:dyDescent="0.25">
      <c r="B1226" s="23"/>
      <c r="E1226" s="23"/>
      <c r="G1226" s="23"/>
      <c r="H1226" s="23"/>
      <c r="J1226" s="23"/>
      <c r="K1226" s="23"/>
      <c r="M1226" s="23"/>
      <c r="N1226" s="23"/>
      <c r="P1226" s="23"/>
    </row>
    <row r="1227" spans="2:16" x14ac:dyDescent="0.25">
      <c r="B1227" s="23"/>
      <c r="E1227" s="23"/>
      <c r="G1227" s="23"/>
      <c r="H1227" s="23"/>
      <c r="J1227" s="23"/>
      <c r="K1227" s="23"/>
      <c r="M1227" s="23"/>
      <c r="N1227" s="23"/>
      <c r="P1227" s="23"/>
    </row>
    <row r="1228" spans="2:16" x14ac:dyDescent="0.25">
      <c r="B1228" s="23"/>
      <c r="E1228" s="23"/>
      <c r="G1228" s="23"/>
      <c r="H1228" s="23"/>
      <c r="J1228" s="23"/>
      <c r="K1228" s="23"/>
      <c r="M1228" s="23"/>
      <c r="N1228" s="23"/>
      <c r="P1228" s="23"/>
    </row>
    <row r="1229" spans="2:16" x14ac:dyDescent="0.25">
      <c r="B1229" s="23"/>
      <c r="E1229" s="23"/>
      <c r="G1229" s="23"/>
      <c r="H1229" s="23"/>
      <c r="J1229" s="23"/>
      <c r="K1229" s="23"/>
      <c r="M1229" s="23"/>
      <c r="N1229" s="23"/>
      <c r="P1229" s="23"/>
    </row>
    <row r="1230" spans="2:16" x14ac:dyDescent="0.25">
      <c r="B1230" s="23"/>
      <c r="E1230" s="23"/>
      <c r="G1230" s="23"/>
      <c r="H1230" s="23"/>
      <c r="J1230" s="23"/>
      <c r="K1230" s="23"/>
      <c r="M1230" s="23"/>
      <c r="N1230" s="23"/>
      <c r="P1230" s="23"/>
    </row>
    <row r="1231" spans="2:16" x14ac:dyDescent="0.25">
      <c r="B1231" s="23"/>
      <c r="E1231" s="23"/>
      <c r="G1231" s="23"/>
      <c r="H1231" s="23"/>
      <c r="J1231" s="23"/>
      <c r="K1231" s="23"/>
      <c r="M1231" s="23"/>
      <c r="N1231" s="23"/>
      <c r="P1231" s="23"/>
    </row>
    <row r="1232" spans="2:16" x14ac:dyDescent="0.25">
      <c r="B1232" s="23"/>
      <c r="E1232" s="23"/>
      <c r="G1232" s="23"/>
      <c r="H1232" s="23"/>
      <c r="J1232" s="23"/>
      <c r="K1232" s="23"/>
      <c r="M1232" s="23"/>
      <c r="N1232" s="23"/>
      <c r="P1232" s="23"/>
    </row>
    <row r="1233" spans="2:16" x14ac:dyDescent="0.25">
      <c r="B1233" s="23"/>
      <c r="E1233" s="23"/>
      <c r="G1233" s="23"/>
      <c r="H1233" s="23"/>
      <c r="J1233" s="23"/>
      <c r="K1233" s="23"/>
      <c r="M1233" s="23"/>
      <c r="N1233" s="23"/>
      <c r="P1233" s="23"/>
    </row>
    <row r="1234" spans="2:16" x14ac:dyDescent="0.25">
      <c r="B1234" s="23"/>
      <c r="E1234" s="23"/>
      <c r="G1234" s="23"/>
      <c r="H1234" s="23"/>
      <c r="J1234" s="23"/>
      <c r="K1234" s="23"/>
      <c r="M1234" s="23"/>
      <c r="N1234" s="23"/>
      <c r="P1234" s="23"/>
    </row>
    <row r="1235" spans="2:16" x14ac:dyDescent="0.25">
      <c r="B1235" s="23"/>
      <c r="E1235" s="23"/>
      <c r="G1235" s="23"/>
      <c r="H1235" s="23"/>
      <c r="J1235" s="23"/>
      <c r="K1235" s="23"/>
      <c r="M1235" s="23"/>
      <c r="N1235" s="23"/>
      <c r="P1235" s="23"/>
    </row>
    <row r="1236" spans="2:16" x14ac:dyDescent="0.25">
      <c r="B1236" s="23"/>
      <c r="E1236" s="23"/>
      <c r="G1236" s="23"/>
      <c r="H1236" s="23"/>
      <c r="J1236" s="23"/>
      <c r="K1236" s="23"/>
      <c r="M1236" s="23"/>
      <c r="N1236" s="23"/>
      <c r="P1236" s="23"/>
    </row>
    <row r="1237" spans="2:16" x14ac:dyDescent="0.25">
      <c r="B1237" s="23"/>
      <c r="E1237" s="23"/>
      <c r="G1237" s="23"/>
      <c r="H1237" s="23"/>
      <c r="J1237" s="23"/>
      <c r="K1237" s="23"/>
      <c r="M1237" s="23"/>
      <c r="N1237" s="23"/>
      <c r="P1237" s="23"/>
    </row>
    <row r="1238" spans="2:16" x14ac:dyDescent="0.25">
      <c r="B1238" s="23"/>
      <c r="E1238" s="23"/>
      <c r="G1238" s="23"/>
      <c r="H1238" s="23"/>
      <c r="J1238" s="23"/>
      <c r="K1238" s="23"/>
      <c r="M1238" s="23"/>
      <c r="N1238" s="23"/>
      <c r="P1238" s="23"/>
    </row>
    <row r="1239" spans="2:16" x14ac:dyDescent="0.25">
      <c r="B1239" s="23"/>
      <c r="E1239" s="23"/>
      <c r="G1239" s="23"/>
      <c r="H1239" s="23"/>
      <c r="J1239" s="23"/>
      <c r="K1239" s="23"/>
      <c r="M1239" s="23"/>
      <c r="N1239" s="23"/>
      <c r="P1239" s="23"/>
    </row>
    <row r="1240" spans="2:16" x14ac:dyDescent="0.25">
      <c r="B1240" s="23"/>
      <c r="E1240" s="23"/>
      <c r="G1240" s="23"/>
      <c r="H1240" s="23"/>
      <c r="J1240" s="23"/>
      <c r="K1240" s="23"/>
      <c r="M1240" s="23"/>
      <c r="N1240" s="23"/>
      <c r="P1240" s="23"/>
    </row>
    <row r="1241" spans="2:16" x14ac:dyDescent="0.25">
      <c r="B1241" s="23"/>
      <c r="E1241" s="23"/>
      <c r="G1241" s="23"/>
      <c r="H1241" s="23"/>
      <c r="J1241" s="23"/>
      <c r="K1241" s="23"/>
      <c r="M1241" s="23"/>
      <c r="N1241" s="23"/>
      <c r="P1241" s="23"/>
    </row>
    <row r="1242" spans="2:16" x14ac:dyDescent="0.25">
      <c r="B1242" s="23"/>
      <c r="E1242" s="23"/>
      <c r="G1242" s="23"/>
      <c r="H1242" s="23"/>
      <c r="J1242" s="23"/>
      <c r="K1242" s="23"/>
      <c r="M1242" s="23"/>
      <c r="N1242" s="23"/>
      <c r="P1242" s="23"/>
    </row>
    <row r="1243" spans="2:16" x14ac:dyDescent="0.25">
      <c r="B1243" s="23"/>
      <c r="E1243" s="23"/>
      <c r="G1243" s="23"/>
      <c r="H1243" s="23"/>
      <c r="J1243" s="23"/>
      <c r="K1243" s="23"/>
      <c r="M1243" s="23"/>
      <c r="N1243" s="23"/>
      <c r="P1243" s="23"/>
    </row>
    <row r="1244" spans="2:16" x14ac:dyDescent="0.25">
      <c r="B1244" s="23"/>
      <c r="E1244" s="23"/>
      <c r="G1244" s="23"/>
      <c r="H1244" s="23"/>
      <c r="J1244" s="23"/>
      <c r="K1244" s="23"/>
      <c r="M1244" s="23"/>
      <c r="N1244" s="23"/>
      <c r="P1244" s="23"/>
    </row>
    <row r="1245" spans="2:16" x14ac:dyDescent="0.25">
      <c r="B1245" s="23"/>
      <c r="E1245" s="23"/>
      <c r="G1245" s="23"/>
      <c r="H1245" s="23"/>
      <c r="J1245" s="23"/>
      <c r="K1245" s="23"/>
      <c r="M1245" s="23"/>
      <c r="N1245" s="23"/>
      <c r="P1245" s="23"/>
    </row>
    <row r="1246" spans="2:16" x14ac:dyDescent="0.25">
      <c r="B1246" s="23"/>
      <c r="E1246" s="23"/>
      <c r="G1246" s="23"/>
      <c r="H1246" s="23"/>
      <c r="J1246" s="23"/>
      <c r="K1246" s="23"/>
      <c r="M1246" s="23"/>
      <c r="N1246" s="23"/>
      <c r="P1246" s="23"/>
    </row>
    <row r="1247" spans="2:16" x14ac:dyDescent="0.25">
      <c r="B1247" s="23"/>
      <c r="E1247" s="23"/>
      <c r="G1247" s="23"/>
      <c r="H1247" s="23"/>
      <c r="J1247" s="23"/>
      <c r="K1247" s="23"/>
      <c r="M1247" s="23"/>
      <c r="N1247" s="23"/>
      <c r="P1247" s="23"/>
    </row>
    <row r="1248" spans="2:16" x14ac:dyDescent="0.25">
      <c r="B1248" s="23"/>
      <c r="E1248" s="23"/>
      <c r="G1248" s="23"/>
      <c r="H1248" s="23"/>
      <c r="J1248" s="23"/>
      <c r="K1248" s="23"/>
      <c r="M1248" s="23"/>
      <c r="N1248" s="23"/>
      <c r="P1248" s="23"/>
    </row>
    <row r="1249" spans="2:16" x14ac:dyDescent="0.25">
      <c r="B1249" s="23"/>
      <c r="E1249" s="23"/>
      <c r="G1249" s="23"/>
      <c r="H1249" s="23"/>
      <c r="J1249" s="23"/>
      <c r="K1249" s="23"/>
      <c r="M1249" s="23"/>
      <c r="N1249" s="23"/>
      <c r="P1249" s="23"/>
    </row>
    <row r="1250" spans="2:16" x14ac:dyDescent="0.25">
      <c r="B1250" s="23"/>
      <c r="E1250" s="23"/>
      <c r="G1250" s="23"/>
      <c r="H1250" s="23"/>
      <c r="J1250" s="23"/>
      <c r="K1250" s="23"/>
      <c r="M1250" s="23"/>
      <c r="N1250" s="23"/>
      <c r="P1250" s="23"/>
    </row>
    <row r="1251" spans="2:16" x14ac:dyDescent="0.25">
      <c r="B1251" s="23"/>
      <c r="E1251" s="23"/>
      <c r="G1251" s="23"/>
      <c r="H1251" s="23"/>
      <c r="J1251" s="23"/>
      <c r="K1251" s="23"/>
      <c r="M1251" s="23"/>
      <c r="N1251" s="23"/>
      <c r="P1251" s="23"/>
    </row>
    <row r="1252" spans="2:16" x14ac:dyDescent="0.25">
      <c r="B1252" s="23"/>
      <c r="E1252" s="23"/>
      <c r="G1252" s="23"/>
      <c r="H1252" s="23"/>
      <c r="J1252" s="23"/>
      <c r="K1252" s="23"/>
      <c r="M1252" s="23"/>
      <c r="N1252" s="23"/>
      <c r="P1252" s="23"/>
    </row>
    <row r="1253" spans="2:16" x14ac:dyDescent="0.25">
      <c r="B1253" s="23"/>
      <c r="E1253" s="23"/>
      <c r="G1253" s="23"/>
      <c r="H1253" s="23"/>
      <c r="J1253" s="23"/>
      <c r="K1253" s="23"/>
      <c r="M1253" s="23"/>
      <c r="N1253" s="23"/>
      <c r="P1253" s="23"/>
    </row>
    <row r="1254" spans="2:16" x14ac:dyDescent="0.25">
      <c r="B1254" s="23"/>
      <c r="E1254" s="23"/>
      <c r="G1254" s="23"/>
      <c r="H1254" s="23"/>
      <c r="J1254" s="23"/>
      <c r="K1254" s="23"/>
      <c r="M1254" s="23"/>
      <c r="N1254" s="23"/>
      <c r="P1254" s="23"/>
    </row>
    <row r="1255" spans="2:16" x14ac:dyDescent="0.25">
      <c r="B1255" s="23"/>
      <c r="E1255" s="23"/>
      <c r="G1255" s="23"/>
      <c r="H1255" s="23"/>
      <c r="J1255" s="23"/>
      <c r="K1255" s="23"/>
      <c r="M1255" s="23"/>
      <c r="N1255" s="23"/>
      <c r="P1255" s="23"/>
    </row>
    <row r="1256" spans="2:16" x14ac:dyDescent="0.25">
      <c r="B1256" s="23"/>
      <c r="E1256" s="23"/>
      <c r="G1256" s="23"/>
      <c r="H1256" s="23"/>
      <c r="J1256" s="23"/>
      <c r="K1256" s="23"/>
      <c r="M1256" s="23"/>
      <c r="N1256" s="23"/>
      <c r="P1256" s="23"/>
    </row>
    <row r="1257" spans="2:16" x14ac:dyDescent="0.25">
      <c r="B1257" s="23"/>
      <c r="E1257" s="23"/>
      <c r="G1257" s="23"/>
      <c r="H1257" s="23"/>
      <c r="J1257" s="23"/>
      <c r="K1257" s="23"/>
      <c r="M1257" s="23"/>
      <c r="N1257" s="23"/>
      <c r="P1257" s="23"/>
    </row>
    <row r="1258" spans="2:16" x14ac:dyDescent="0.25">
      <c r="B1258" s="23"/>
      <c r="E1258" s="23"/>
      <c r="G1258" s="23"/>
      <c r="H1258" s="23"/>
      <c r="J1258" s="23"/>
      <c r="K1258" s="23"/>
      <c r="M1258" s="23"/>
      <c r="N1258" s="23"/>
      <c r="P1258" s="23"/>
    </row>
    <row r="1259" spans="2:16" x14ac:dyDescent="0.25">
      <c r="B1259" s="23"/>
      <c r="E1259" s="23"/>
      <c r="G1259" s="23"/>
      <c r="H1259" s="23"/>
      <c r="J1259" s="23"/>
      <c r="K1259" s="23"/>
      <c r="M1259" s="23"/>
      <c r="N1259" s="23"/>
      <c r="P1259" s="23"/>
    </row>
    <row r="1260" spans="2:16" x14ac:dyDescent="0.25">
      <c r="B1260" s="23"/>
      <c r="E1260" s="23"/>
      <c r="G1260" s="23"/>
      <c r="H1260" s="23"/>
      <c r="J1260" s="23"/>
      <c r="K1260" s="23"/>
      <c r="M1260" s="23"/>
      <c r="N1260" s="23"/>
      <c r="P1260" s="23"/>
    </row>
    <row r="1261" spans="2:16" x14ac:dyDescent="0.25">
      <c r="B1261" s="23"/>
      <c r="E1261" s="23"/>
      <c r="G1261" s="23"/>
      <c r="H1261" s="23"/>
      <c r="J1261" s="23"/>
      <c r="K1261" s="23"/>
      <c r="M1261" s="23"/>
      <c r="N1261" s="23"/>
      <c r="P1261" s="23"/>
    </row>
    <row r="1262" spans="2:16" x14ac:dyDescent="0.25">
      <c r="B1262" s="23"/>
      <c r="E1262" s="23"/>
      <c r="G1262" s="23"/>
      <c r="H1262" s="23"/>
      <c r="J1262" s="23"/>
      <c r="K1262" s="23"/>
      <c r="M1262" s="23"/>
      <c r="N1262" s="23"/>
      <c r="P1262" s="23"/>
    </row>
    <row r="1263" spans="2:16" x14ac:dyDescent="0.25">
      <c r="B1263" s="23"/>
      <c r="E1263" s="23"/>
      <c r="G1263" s="23"/>
      <c r="H1263" s="23"/>
      <c r="J1263" s="23"/>
      <c r="K1263" s="23"/>
      <c r="M1263" s="23"/>
      <c r="N1263" s="23"/>
      <c r="P1263" s="23"/>
    </row>
    <row r="1264" spans="2:16" x14ac:dyDescent="0.25">
      <c r="B1264" s="23"/>
      <c r="E1264" s="23"/>
      <c r="G1264" s="23"/>
      <c r="H1264" s="23"/>
      <c r="J1264" s="23"/>
      <c r="K1264" s="23"/>
      <c r="M1264" s="23"/>
      <c r="N1264" s="23"/>
      <c r="P1264" s="23"/>
    </row>
    <row r="1265" spans="2:16" x14ac:dyDescent="0.25">
      <c r="B1265" s="23"/>
      <c r="E1265" s="23"/>
      <c r="G1265" s="23"/>
      <c r="H1265" s="23"/>
      <c r="J1265" s="23"/>
      <c r="K1265" s="23"/>
      <c r="M1265" s="23"/>
      <c r="N1265" s="23"/>
      <c r="P1265" s="23"/>
    </row>
    <row r="1266" spans="2:16" x14ac:dyDescent="0.25">
      <c r="B1266" s="23"/>
      <c r="E1266" s="23"/>
      <c r="G1266" s="23"/>
      <c r="H1266" s="23"/>
      <c r="J1266" s="23"/>
      <c r="K1266" s="23"/>
      <c r="M1266" s="23"/>
      <c r="N1266" s="23"/>
      <c r="P1266" s="23"/>
    </row>
    <row r="1267" spans="2:16" x14ac:dyDescent="0.25">
      <c r="B1267" s="23"/>
      <c r="E1267" s="23"/>
      <c r="G1267" s="23"/>
      <c r="H1267" s="23"/>
      <c r="J1267" s="23"/>
      <c r="K1267" s="23"/>
      <c r="M1267" s="23"/>
      <c r="N1267" s="23"/>
      <c r="P1267" s="23"/>
    </row>
    <row r="1268" spans="2:16" x14ac:dyDescent="0.25">
      <c r="B1268" s="23"/>
      <c r="E1268" s="23"/>
      <c r="G1268" s="23"/>
      <c r="H1268" s="23"/>
      <c r="J1268" s="23"/>
      <c r="K1268" s="23"/>
      <c r="M1268" s="23"/>
      <c r="N1268" s="23"/>
      <c r="P1268" s="23"/>
    </row>
    <row r="1269" spans="2:16" x14ac:dyDescent="0.25">
      <c r="B1269" s="23"/>
      <c r="E1269" s="23"/>
      <c r="G1269" s="23"/>
      <c r="H1269" s="23"/>
      <c r="J1269" s="23"/>
      <c r="K1269" s="23"/>
      <c r="M1269" s="23"/>
      <c r="N1269" s="23"/>
      <c r="P1269" s="23"/>
    </row>
    <row r="1270" spans="2:16" x14ac:dyDescent="0.25">
      <c r="B1270" s="23"/>
      <c r="E1270" s="23"/>
      <c r="G1270" s="23"/>
      <c r="H1270" s="23"/>
      <c r="J1270" s="23"/>
      <c r="K1270" s="23"/>
      <c r="M1270" s="23"/>
      <c r="N1270" s="23"/>
      <c r="P1270" s="23"/>
    </row>
    <row r="1271" spans="2:16" x14ac:dyDescent="0.25">
      <c r="B1271" s="23"/>
      <c r="E1271" s="23"/>
      <c r="G1271" s="23"/>
      <c r="H1271" s="23"/>
      <c r="J1271" s="23"/>
      <c r="K1271" s="23"/>
      <c r="M1271" s="23"/>
      <c r="N1271" s="23"/>
      <c r="P1271" s="23"/>
    </row>
    <row r="1272" spans="2:16" x14ac:dyDescent="0.25">
      <c r="B1272" s="23"/>
      <c r="E1272" s="23"/>
      <c r="G1272" s="23"/>
      <c r="H1272" s="23"/>
      <c r="J1272" s="23"/>
      <c r="K1272" s="23"/>
      <c r="M1272" s="23"/>
      <c r="N1272" s="23"/>
      <c r="P1272" s="23"/>
    </row>
    <row r="1273" spans="2:16" x14ac:dyDescent="0.25">
      <c r="B1273" s="23"/>
      <c r="E1273" s="23"/>
      <c r="G1273" s="23"/>
      <c r="H1273" s="23"/>
      <c r="J1273" s="23"/>
      <c r="K1273" s="23"/>
      <c r="M1273" s="23"/>
      <c r="N1273" s="23"/>
      <c r="P1273" s="23"/>
    </row>
    <row r="1274" spans="2:16" x14ac:dyDescent="0.25">
      <c r="B1274" s="23"/>
      <c r="E1274" s="23"/>
      <c r="G1274" s="23"/>
      <c r="H1274" s="23"/>
      <c r="J1274" s="23"/>
      <c r="K1274" s="23"/>
      <c r="M1274" s="23"/>
      <c r="N1274" s="23"/>
      <c r="P1274" s="23"/>
    </row>
    <row r="1275" spans="2:16" x14ac:dyDescent="0.25">
      <c r="B1275" s="23"/>
      <c r="E1275" s="23"/>
      <c r="G1275" s="23"/>
      <c r="H1275" s="23"/>
      <c r="J1275" s="23"/>
      <c r="K1275" s="23"/>
      <c r="M1275" s="23"/>
      <c r="N1275" s="23"/>
      <c r="P1275" s="23"/>
    </row>
    <row r="1276" spans="2:16" x14ac:dyDescent="0.25">
      <c r="B1276" s="23"/>
      <c r="E1276" s="23"/>
      <c r="G1276" s="23"/>
      <c r="H1276" s="23"/>
      <c r="J1276" s="23"/>
      <c r="K1276" s="23"/>
      <c r="M1276" s="23"/>
      <c r="N1276" s="23"/>
      <c r="P1276" s="23"/>
    </row>
    <row r="1277" spans="2:16" x14ac:dyDescent="0.25">
      <c r="B1277" s="23"/>
      <c r="E1277" s="23"/>
      <c r="G1277" s="23"/>
      <c r="H1277" s="23"/>
      <c r="J1277" s="23"/>
      <c r="K1277" s="23"/>
      <c r="M1277" s="23"/>
      <c r="N1277" s="23"/>
      <c r="P1277" s="23"/>
    </row>
    <row r="1278" spans="2:16" x14ac:dyDescent="0.25">
      <c r="B1278" s="23"/>
      <c r="E1278" s="23"/>
      <c r="G1278" s="23"/>
      <c r="H1278" s="23"/>
      <c r="J1278" s="23"/>
      <c r="K1278" s="23"/>
      <c r="M1278" s="23"/>
      <c r="N1278" s="23"/>
      <c r="P1278" s="23"/>
    </row>
    <row r="1279" spans="2:16" x14ac:dyDescent="0.25">
      <c r="B1279" s="23"/>
      <c r="E1279" s="23"/>
      <c r="G1279" s="23"/>
      <c r="H1279" s="23"/>
      <c r="J1279" s="23"/>
      <c r="K1279" s="23"/>
      <c r="M1279" s="23"/>
      <c r="N1279" s="23"/>
      <c r="P1279" s="23"/>
    </row>
    <row r="1280" spans="2:16" x14ac:dyDescent="0.25">
      <c r="B1280" s="23"/>
      <c r="E1280" s="23"/>
      <c r="G1280" s="23"/>
      <c r="H1280" s="23"/>
      <c r="J1280" s="23"/>
      <c r="K1280" s="23"/>
      <c r="M1280" s="23"/>
      <c r="N1280" s="23"/>
      <c r="P1280" s="23"/>
    </row>
    <row r="1281" spans="2:16" x14ac:dyDescent="0.25">
      <c r="B1281" s="23"/>
      <c r="E1281" s="23"/>
      <c r="G1281" s="23"/>
      <c r="H1281" s="23"/>
      <c r="J1281" s="23"/>
      <c r="K1281" s="23"/>
      <c r="M1281" s="23"/>
      <c r="N1281" s="23"/>
      <c r="P1281" s="23"/>
    </row>
    <row r="1282" spans="2:16" x14ac:dyDescent="0.25">
      <c r="B1282" s="23"/>
      <c r="E1282" s="23"/>
      <c r="G1282" s="23"/>
      <c r="H1282" s="23"/>
      <c r="J1282" s="23"/>
      <c r="K1282" s="23"/>
      <c r="M1282" s="23"/>
      <c r="N1282" s="23"/>
      <c r="P1282" s="23"/>
    </row>
    <row r="1283" spans="2:16" x14ac:dyDescent="0.25">
      <c r="B1283" s="23"/>
      <c r="E1283" s="23"/>
      <c r="G1283" s="23"/>
      <c r="H1283" s="23"/>
      <c r="J1283" s="23"/>
      <c r="K1283" s="23"/>
      <c r="M1283" s="23"/>
      <c r="N1283" s="23"/>
      <c r="P1283" s="23"/>
    </row>
    <row r="1284" spans="2:16" x14ac:dyDescent="0.25">
      <c r="B1284" s="23"/>
      <c r="E1284" s="23"/>
      <c r="G1284" s="23"/>
      <c r="H1284" s="23"/>
      <c r="J1284" s="23"/>
      <c r="K1284" s="23"/>
      <c r="M1284" s="23"/>
      <c r="N1284" s="23"/>
      <c r="P1284" s="23"/>
    </row>
    <row r="1285" spans="2:16" x14ac:dyDescent="0.25">
      <c r="B1285" s="23"/>
      <c r="E1285" s="23"/>
      <c r="G1285" s="23"/>
      <c r="H1285" s="23"/>
      <c r="J1285" s="23"/>
      <c r="K1285" s="23"/>
      <c r="M1285" s="23"/>
      <c r="N1285" s="23"/>
      <c r="P1285" s="23"/>
    </row>
    <row r="1286" spans="2:16" x14ac:dyDescent="0.25">
      <c r="B1286" s="23"/>
      <c r="E1286" s="23"/>
      <c r="G1286" s="23"/>
      <c r="H1286" s="23"/>
      <c r="J1286" s="23"/>
      <c r="K1286" s="23"/>
      <c r="M1286" s="23"/>
      <c r="N1286" s="23"/>
      <c r="P1286" s="23"/>
    </row>
    <row r="1287" spans="2:16" x14ac:dyDescent="0.25">
      <c r="B1287" s="23"/>
      <c r="E1287" s="23"/>
      <c r="G1287" s="23"/>
      <c r="H1287" s="23"/>
      <c r="J1287" s="23"/>
      <c r="K1287" s="23"/>
      <c r="M1287" s="23"/>
      <c r="N1287" s="23"/>
      <c r="P1287" s="23"/>
    </row>
    <row r="1288" spans="2:16" x14ac:dyDescent="0.25">
      <c r="B1288" s="23"/>
      <c r="E1288" s="23"/>
      <c r="G1288" s="23"/>
      <c r="H1288" s="23"/>
      <c r="J1288" s="23"/>
      <c r="K1288" s="23"/>
      <c r="M1288" s="23"/>
      <c r="N1288" s="23"/>
      <c r="P1288" s="23"/>
    </row>
    <row r="1289" spans="2:16" x14ac:dyDescent="0.25">
      <c r="B1289" s="23"/>
      <c r="E1289" s="23"/>
      <c r="G1289" s="23"/>
      <c r="H1289" s="23"/>
      <c r="J1289" s="23"/>
      <c r="K1289" s="23"/>
      <c r="M1289" s="23"/>
      <c r="N1289" s="23"/>
      <c r="P1289" s="23"/>
    </row>
    <row r="1290" spans="2:16" x14ac:dyDescent="0.25">
      <c r="B1290" s="23"/>
      <c r="E1290" s="23"/>
      <c r="G1290" s="23"/>
      <c r="H1290" s="23"/>
      <c r="J1290" s="23"/>
      <c r="K1290" s="23"/>
      <c r="M1290" s="23"/>
      <c r="N1290" s="23"/>
      <c r="P1290" s="23"/>
    </row>
    <row r="1291" spans="2:16" x14ac:dyDescent="0.25">
      <c r="B1291" s="23"/>
      <c r="E1291" s="23"/>
      <c r="G1291" s="23"/>
      <c r="H1291" s="23"/>
      <c r="J1291" s="23"/>
      <c r="K1291" s="23"/>
      <c r="M1291" s="23"/>
      <c r="N1291" s="23"/>
      <c r="P1291" s="23"/>
    </row>
    <row r="1292" spans="2:16" x14ac:dyDescent="0.25">
      <c r="B1292" s="23"/>
      <c r="E1292" s="23"/>
      <c r="G1292" s="23"/>
      <c r="H1292" s="23"/>
      <c r="J1292" s="23"/>
      <c r="K1292" s="23"/>
      <c r="M1292" s="23"/>
      <c r="N1292" s="23"/>
      <c r="P1292" s="23"/>
    </row>
    <row r="1293" spans="2:16" x14ac:dyDescent="0.25">
      <c r="B1293" s="23"/>
      <c r="E1293" s="23"/>
      <c r="G1293" s="23"/>
      <c r="H1293" s="23"/>
      <c r="J1293" s="23"/>
      <c r="K1293" s="23"/>
      <c r="M1293" s="23"/>
      <c r="N1293" s="23"/>
      <c r="P1293" s="23"/>
    </row>
    <row r="1294" spans="2:16" x14ac:dyDescent="0.25">
      <c r="B1294" s="23"/>
      <c r="E1294" s="23"/>
      <c r="G1294" s="23"/>
      <c r="H1294" s="23"/>
      <c r="J1294" s="23"/>
      <c r="K1294" s="23"/>
      <c r="M1294" s="23"/>
      <c r="N1294" s="23"/>
      <c r="P1294" s="23"/>
    </row>
    <row r="1295" spans="2:16" x14ac:dyDescent="0.25">
      <c r="B1295" s="23"/>
      <c r="E1295" s="23"/>
      <c r="G1295" s="23"/>
      <c r="H1295" s="23"/>
      <c r="J1295" s="23"/>
      <c r="K1295" s="23"/>
      <c r="M1295" s="23"/>
      <c r="N1295" s="23"/>
      <c r="P1295" s="23"/>
    </row>
    <row r="1296" spans="2:16" x14ac:dyDescent="0.25">
      <c r="B1296" s="23"/>
      <c r="E1296" s="23"/>
      <c r="G1296" s="23"/>
      <c r="H1296" s="23"/>
      <c r="J1296" s="23"/>
      <c r="K1296" s="23"/>
      <c r="M1296" s="23"/>
      <c r="N1296" s="23"/>
      <c r="P1296" s="23"/>
    </row>
    <row r="1297" spans="2:16" x14ac:dyDescent="0.25">
      <c r="B1297" s="23"/>
      <c r="E1297" s="23"/>
      <c r="G1297" s="23"/>
      <c r="H1297" s="23"/>
      <c r="J1297" s="23"/>
      <c r="K1297" s="23"/>
      <c r="M1297" s="23"/>
      <c r="N1297" s="23"/>
      <c r="P1297" s="23"/>
    </row>
    <row r="1298" spans="2:16" x14ac:dyDescent="0.25">
      <c r="B1298" s="23"/>
      <c r="E1298" s="23"/>
      <c r="G1298" s="23"/>
      <c r="H1298" s="23"/>
      <c r="J1298" s="23"/>
      <c r="K1298" s="23"/>
      <c r="M1298" s="23"/>
      <c r="N1298" s="23"/>
      <c r="P1298" s="23"/>
    </row>
    <row r="1299" spans="2:16" x14ac:dyDescent="0.25">
      <c r="B1299" s="23"/>
      <c r="E1299" s="23"/>
      <c r="G1299" s="23"/>
      <c r="H1299" s="23"/>
      <c r="J1299" s="23"/>
      <c r="K1299" s="23"/>
      <c r="M1299" s="23"/>
      <c r="N1299" s="23"/>
      <c r="P1299" s="23"/>
    </row>
    <row r="1300" spans="2:16" x14ac:dyDescent="0.25">
      <c r="B1300" s="23"/>
      <c r="E1300" s="23"/>
      <c r="G1300" s="23"/>
      <c r="H1300" s="23"/>
      <c r="J1300" s="23"/>
      <c r="K1300" s="23"/>
      <c r="M1300" s="23"/>
      <c r="N1300" s="23"/>
      <c r="P1300" s="23"/>
    </row>
    <row r="1301" spans="2:16" x14ac:dyDescent="0.25">
      <c r="B1301" s="23"/>
      <c r="E1301" s="23"/>
      <c r="G1301" s="23"/>
      <c r="H1301" s="23"/>
      <c r="J1301" s="23"/>
      <c r="K1301" s="23"/>
      <c r="M1301" s="23"/>
      <c r="N1301" s="23"/>
      <c r="P1301" s="23"/>
    </row>
    <row r="1302" spans="2:16" x14ac:dyDescent="0.25">
      <c r="B1302" s="23"/>
      <c r="E1302" s="23"/>
      <c r="G1302" s="23"/>
      <c r="H1302" s="23"/>
      <c r="J1302" s="23"/>
      <c r="K1302" s="23"/>
      <c r="M1302" s="23"/>
      <c r="N1302" s="23"/>
      <c r="P1302" s="23"/>
    </row>
    <row r="1303" spans="2:16" x14ac:dyDescent="0.25">
      <c r="B1303" s="23"/>
      <c r="E1303" s="23"/>
      <c r="G1303" s="23"/>
      <c r="H1303" s="23"/>
      <c r="J1303" s="23"/>
      <c r="K1303" s="23"/>
      <c r="M1303" s="23"/>
      <c r="N1303" s="23"/>
      <c r="P1303" s="23"/>
    </row>
    <row r="1304" spans="2:16" x14ac:dyDescent="0.25">
      <c r="B1304" s="23"/>
      <c r="E1304" s="23"/>
      <c r="G1304" s="23"/>
      <c r="H1304" s="23"/>
      <c r="J1304" s="23"/>
      <c r="K1304" s="23"/>
      <c r="M1304" s="23"/>
      <c r="N1304" s="23"/>
      <c r="P1304" s="23"/>
    </row>
    <row r="1305" spans="2:16" x14ac:dyDescent="0.25">
      <c r="B1305" s="23"/>
      <c r="E1305" s="23"/>
      <c r="G1305" s="23"/>
      <c r="H1305" s="23"/>
      <c r="J1305" s="23"/>
      <c r="K1305" s="23"/>
      <c r="M1305" s="23"/>
      <c r="N1305" s="23"/>
      <c r="P1305" s="23"/>
    </row>
    <row r="1306" spans="2:16" x14ac:dyDescent="0.25">
      <c r="B1306" s="23"/>
      <c r="E1306" s="23"/>
      <c r="G1306" s="23"/>
      <c r="H1306" s="23"/>
      <c r="J1306" s="23"/>
      <c r="K1306" s="23"/>
      <c r="M1306" s="23"/>
      <c r="N1306" s="23"/>
      <c r="P1306" s="23"/>
    </row>
    <row r="1307" spans="2:16" x14ac:dyDescent="0.25">
      <c r="B1307" s="23"/>
      <c r="E1307" s="23"/>
      <c r="G1307" s="23"/>
      <c r="H1307" s="23"/>
      <c r="J1307" s="23"/>
      <c r="K1307" s="23"/>
      <c r="M1307" s="23"/>
      <c r="N1307" s="23"/>
      <c r="P1307" s="23"/>
    </row>
    <row r="1308" spans="2:16" x14ac:dyDescent="0.25">
      <c r="B1308" s="23"/>
      <c r="E1308" s="23"/>
      <c r="G1308" s="23"/>
      <c r="H1308" s="23"/>
      <c r="J1308" s="23"/>
      <c r="K1308" s="23"/>
      <c r="M1308" s="23"/>
      <c r="N1308" s="23"/>
      <c r="P1308" s="23"/>
    </row>
    <row r="1309" spans="2:16" x14ac:dyDescent="0.25">
      <c r="B1309" s="23"/>
      <c r="E1309" s="23"/>
      <c r="G1309" s="23"/>
      <c r="H1309" s="23"/>
      <c r="J1309" s="23"/>
      <c r="K1309" s="23"/>
      <c r="M1309" s="23"/>
      <c r="N1309" s="23"/>
      <c r="P1309" s="23"/>
    </row>
    <row r="1310" spans="2:16" x14ac:dyDescent="0.25">
      <c r="B1310" s="23"/>
      <c r="E1310" s="23"/>
      <c r="G1310" s="23"/>
      <c r="H1310" s="23"/>
      <c r="J1310" s="23"/>
      <c r="K1310" s="23"/>
      <c r="M1310" s="23"/>
      <c r="N1310" s="23"/>
      <c r="P1310" s="23"/>
    </row>
    <row r="1311" spans="2:16" x14ac:dyDescent="0.25">
      <c r="B1311" s="23"/>
      <c r="E1311" s="23"/>
      <c r="G1311" s="23"/>
      <c r="H1311" s="23"/>
      <c r="J1311" s="23"/>
      <c r="K1311" s="23"/>
      <c r="M1311" s="23"/>
      <c r="N1311" s="23"/>
      <c r="P1311" s="23"/>
    </row>
    <row r="1312" spans="2:16" x14ac:dyDescent="0.25">
      <c r="B1312" s="23"/>
      <c r="E1312" s="23"/>
      <c r="G1312" s="23"/>
      <c r="H1312" s="23"/>
      <c r="J1312" s="23"/>
      <c r="K1312" s="23"/>
      <c r="M1312" s="23"/>
      <c r="N1312" s="23"/>
      <c r="P1312" s="23"/>
    </row>
    <row r="1313" spans="2:16" x14ac:dyDescent="0.25">
      <c r="B1313" s="23"/>
      <c r="E1313" s="23"/>
      <c r="G1313" s="23"/>
      <c r="H1313" s="23"/>
      <c r="J1313" s="23"/>
      <c r="K1313" s="23"/>
      <c r="M1313" s="23"/>
      <c r="N1313" s="23"/>
      <c r="P1313" s="23"/>
    </row>
    <row r="1314" spans="2:16" x14ac:dyDescent="0.25">
      <c r="B1314" s="23"/>
      <c r="E1314" s="23"/>
      <c r="G1314" s="23"/>
      <c r="H1314" s="23"/>
      <c r="J1314" s="23"/>
      <c r="K1314" s="23"/>
      <c r="M1314" s="23"/>
      <c r="N1314" s="23"/>
      <c r="P1314" s="23"/>
    </row>
    <row r="1315" spans="2:16" x14ac:dyDescent="0.25">
      <c r="B1315" s="23"/>
      <c r="E1315" s="23"/>
      <c r="G1315" s="23"/>
      <c r="H1315" s="23"/>
      <c r="J1315" s="23"/>
      <c r="K1315" s="23"/>
      <c r="M1315" s="23"/>
      <c r="N1315" s="23"/>
      <c r="P1315" s="23"/>
    </row>
    <row r="1316" spans="2:16" x14ac:dyDescent="0.25">
      <c r="B1316" s="23"/>
      <c r="E1316" s="23"/>
      <c r="G1316" s="23"/>
      <c r="H1316" s="23"/>
      <c r="J1316" s="23"/>
      <c r="K1316" s="23"/>
      <c r="M1316" s="23"/>
      <c r="N1316" s="23"/>
      <c r="P1316" s="23"/>
    </row>
    <row r="1317" spans="2:16" x14ac:dyDescent="0.25">
      <c r="B1317" s="23"/>
      <c r="E1317" s="23"/>
      <c r="G1317" s="23"/>
      <c r="H1317" s="23"/>
      <c r="J1317" s="23"/>
      <c r="K1317" s="23"/>
      <c r="M1317" s="23"/>
      <c r="N1317" s="23"/>
      <c r="P1317" s="23"/>
    </row>
    <row r="1318" spans="2:16" x14ac:dyDescent="0.25">
      <c r="B1318" s="23"/>
      <c r="E1318" s="23"/>
      <c r="G1318" s="23"/>
      <c r="H1318" s="23"/>
      <c r="J1318" s="23"/>
      <c r="K1318" s="23"/>
      <c r="M1318" s="23"/>
      <c r="N1318" s="23"/>
      <c r="P1318" s="23"/>
    </row>
    <row r="1319" spans="2:16" x14ac:dyDescent="0.25">
      <c r="B1319" s="23"/>
      <c r="E1319" s="23"/>
      <c r="G1319" s="23"/>
      <c r="H1319" s="23"/>
      <c r="J1319" s="23"/>
      <c r="K1319" s="23"/>
      <c r="M1319" s="23"/>
      <c r="N1319" s="23"/>
      <c r="P1319" s="23"/>
    </row>
    <row r="1320" spans="2:16" x14ac:dyDescent="0.25">
      <c r="B1320" s="23"/>
      <c r="E1320" s="23"/>
      <c r="G1320" s="23"/>
      <c r="H1320" s="23"/>
      <c r="J1320" s="23"/>
      <c r="K1320" s="23"/>
      <c r="M1320" s="23"/>
      <c r="N1320" s="23"/>
      <c r="P1320" s="23"/>
    </row>
    <row r="1321" spans="2:16" x14ac:dyDescent="0.25">
      <c r="B1321" s="23"/>
      <c r="E1321" s="23"/>
      <c r="G1321" s="23"/>
      <c r="H1321" s="23"/>
      <c r="J1321" s="23"/>
      <c r="K1321" s="23"/>
      <c r="M1321" s="23"/>
      <c r="N1321" s="23"/>
      <c r="P1321" s="23"/>
    </row>
    <row r="1322" spans="2:16" x14ac:dyDescent="0.25">
      <c r="B1322" s="23"/>
      <c r="E1322" s="23"/>
      <c r="G1322" s="23"/>
      <c r="H1322" s="23"/>
      <c r="J1322" s="23"/>
      <c r="K1322" s="23"/>
      <c r="M1322" s="23"/>
      <c r="N1322" s="23"/>
      <c r="P1322" s="23"/>
    </row>
    <row r="1323" spans="2:16" x14ac:dyDescent="0.25">
      <c r="B1323" s="23"/>
      <c r="E1323" s="23"/>
      <c r="G1323" s="23"/>
      <c r="H1323" s="23"/>
      <c r="J1323" s="23"/>
      <c r="K1323" s="23"/>
      <c r="M1323" s="23"/>
      <c r="N1323" s="23"/>
      <c r="P1323" s="23"/>
    </row>
    <row r="1324" spans="2:16" x14ac:dyDescent="0.25">
      <c r="B1324" s="23"/>
      <c r="E1324" s="23"/>
      <c r="G1324" s="23"/>
      <c r="H1324" s="23"/>
      <c r="J1324" s="23"/>
      <c r="K1324" s="23"/>
      <c r="M1324" s="23"/>
      <c r="N1324" s="23"/>
      <c r="P1324" s="23"/>
    </row>
    <row r="1325" spans="2:16" x14ac:dyDescent="0.25">
      <c r="B1325" s="23"/>
      <c r="E1325" s="23"/>
      <c r="G1325" s="23"/>
      <c r="H1325" s="23"/>
      <c r="J1325" s="23"/>
      <c r="K1325" s="23"/>
      <c r="M1325" s="23"/>
      <c r="N1325" s="23"/>
      <c r="P1325" s="23"/>
    </row>
    <row r="1326" spans="2:16" x14ac:dyDescent="0.25">
      <c r="B1326" s="23"/>
      <c r="E1326" s="23"/>
      <c r="G1326" s="23"/>
      <c r="H1326" s="23"/>
      <c r="J1326" s="23"/>
      <c r="K1326" s="23"/>
      <c r="M1326" s="23"/>
      <c r="N1326" s="23"/>
      <c r="P1326" s="23"/>
    </row>
    <row r="1327" spans="2:16" x14ac:dyDescent="0.25">
      <c r="B1327" s="23"/>
      <c r="E1327" s="23"/>
      <c r="G1327" s="23"/>
      <c r="H1327" s="23"/>
      <c r="J1327" s="23"/>
      <c r="K1327" s="23"/>
      <c r="M1327" s="23"/>
      <c r="N1327" s="23"/>
      <c r="P1327" s="23"/>
    </row>
    <row r="1328" spans="2:16" x14ac:dyDescent="0.25">
      <c r="B1328" s="23"/>
      <c r="E1328" s="23"/>
      <c r="G1328" s="23"/>
      <c r="H1328" s="23"/>
      <c r="J1328" s="23"/>
      <c r="K1328" s="23"/>
      <c r="M1328" s="23"/>
      <c r="N1328" s="23"/>
      <c r="P1328" s="23"/>
    </row>
    <row r="1329" spans="2:16" x14ac:dyDescent="0.25">
      <c r="B1329" s="23"/>
      <c r="E1329" s="23"/>
      <c r="G1329" s="23"/>
      <c r="H1329" s="23"/>
      <c r="J1329" s="23"/>
      <c r="K1329" s="23"/>
      <c r="M1329" s="23"/>
      <c r="N1329" s="23"/>
      <c r="P1329" s="23"/>
    </row>
    <row r="1330" spans="2:16" x14ac:dyDescent="0.25">
      <c r="B1330" s="23"/>
      <c r="E1330" s="23"/>
      <c r="G1330" s="23"/>
      <c r="H1330" s="23"/>
      <c r="J1330" s="23"/>
      <c r="K1330" s="23"/>
      <c r="M1330" s="23"/>
      <c r="N1330" s="23"/>
      <c r="P1330" s="23"/>
    </row>
    <row r="1331" spans="2:16" x14ac:dyDescent="0.25">
      <c r="B1331" s="23"/>
      <c r="E1331" s="23"/>
      <c r="G1331" s="23"/>
      <c r="H1331" s="23"/>
      <c r="J1331" s="23"/>
      <c r="K1331" s="23"/>
      <c r="M1331" s="23"/>
      <c r="N1331" s="23"/>
      <c r="P1331" s="23"/>
    </row>
    <row r="1332" spans="2:16" x14ac:dyDescent="0.25">
      <c r="B1332" s="23"/>
      <c r="E1332" s="23"/>
      <c r="G1332" s="23"/>
      <c r="H1332" s="23"/>
      <c r="J1332" s="23"/>
      <c r="K1332" s="23"/>
      <c r="M1332" s="23"/>
      <c r="N1332" s="23"/>
      <c r="P1332" s="23"/>
    </row>
    <row r="1333" spans="2:16" x14ac:dyDescent="0.25">
      <c r="B1333" s="23"/>
      <c r="E1333" s="23"/>
      <c r="G1333" s="23"/>
      <c r="H1333" s="23"/>
      <c r="J1333" s="23"/>
      <c r="K1333" s="23"/>
      <c r="M1333" s="23"/>
      <c r="N1333" s="23"/>
      <c r="P1333" s="23"/>
    </row>
    <row r="1334" spans="2:16" x14ac:dyDescent="0.25">
      <c r="B1334" s="23"/>
      <c r="E1334" s="23"/>
      <c r="G1334" s="23"/>
      <c r="H1334" s="23"/>
      <c r="J1334" s="23"/>
      <c r="K1334" s="23"/>
      <c r="M1334" s="23"/>
      <c r="N1334" s="23"/>
      <c r="P1334" s="23"/>
    </row>
    <row r="1335" spans="2:16" x14ac:dyDescent="0.25">
      <c r="B1335" s="23"/>
      <c r="E1335" s="23"/>
      <c r="G1335" s="23"/>
      <c r="H1335" s="23"/>
      <c r="J1335" s="23"/>
      <c r="K1335" s="23"/>
      <c r="M1335" s="23"/>
      <c r="N1335" s="23"/>
      <c r="P1335" s="23"/>
    </row>
    <row r="1336" spans="2:16" x14ac:dyDescent="0.25">
      <c r="B1336" s="23"/>
      <c r="E1336" s="23"/>
      <c r="G1336" s="23"/>
      <c r="H1336" s="23"/>
      <c r="J1336" s="23"/>
      <c r="K1336" s="23"/>
      <c r="M1336" s="23"/>
      <c r="N1336" s="23"/>
      <c r="P1336" s="23"/>
    </row>
    <row r="1337" spans="2:16" x14ac:dyDescent="0.25">
      <c r="B1337" s="23"/>
      <c r="E1337" s="23"/>
      <c r="G1337" s="23"/>
      <c r="H1337" s="23"/>
      <c r="J1337" s="23"/>
      <c r="K1337" s="23"/>
      <c r="M1337" s="23"/>
      <c r="N1337" s="23"/>
      <c r="P1337" s="23"/>
    </row>
    <row r="1338" spans="2:16" x14ac:dyDescent="0.25">
      <c r="B1338" s="23"/>
      <c r="E1338" s="23"/>
      <c r="G1338" s="23"/>
      <c r="H1338" s="23"/>
      <c r="J1338" s="23"/>
      <c r="K1338" s="23"/>
      <c r="M1338" s="23"/>
      <c r="N1338" s="23"/>
      <c r="P1338" s="23"/>
    </row>
    <row r="1339" spans="2:16" x14ac:dyDescent="0.25">
      <c r="B1339" s="23"/>
      <c r="E1339" s="23"/>
      <c r="G1339" s="23"/>
      <c r="H1339" s="23"/>
      <c r="J1339" s="23"/>
      <c r="K1339" s="23"/>
      <c r="M1339" s="23"/>
      <c r="N1339" s="23"/>
      <c r="P1339" s="23"/>
    </row>
    <row r="1340" spans="2:16" x14ac:dyDescent="0.25">
      <c r="B1340" s="23"/>
      <c r="E1340" s="23"/>
      <c r="G1340" s="23"/>
      <c r="H1340" s="23"/>
      <c r="J1340" s="23"/>
      <c r="K1340" s="23"/>
      <c r="M1340" s="23"/>
      <c r="N1340" s="23"/>
      <c r="P1340" s="23"/>
    </row>
    <row r="1341" spans="2:16" x14ac:dyDescent="0.25">
      <c r="B1341" s="23"/>
      <c r="E1341" s="23"/>
      <c r="G1341" s="23"/>
      <c r="H1341" s="23"/>
      <c r="J1341" s="23"/>
      <c r="K1341" s="23"/>
      <c r="M1341" s="23"/>
      <c r="N1341" s="23"/>
      <c r="P1341" s="23"/>
    </row>
    <row r="1342" spans="2:16" x14ac:dyDescent="0.25">
      <c r="B1342" s="23"/>
      <c r="E1342" s="23"/>
      <c r="G1342" s="23"/>
      <c r="H1342" s="23"/>
      <c r="J1342" s="23"/>
      <c r="K1342" s="23"/>
      <c r="M1342" s="23"/>
      <c r="N1342" s="23"/>
      <c r="P1342" s="23"/>
    </row>
    <row r="1343" spans="2:16" x14ac:dyDescent="0.25">
      <c r="B1343" s="23"/>
      <c r="E1343" s="23"/>
      <c r="G1343" s="23"/>
      <c r="H1343" s="23"/>
      <c r="J1343" s="23"/>
      <c r="K1343" s="23"/>
      <c r="M1343" s="23"/>
      <c r="N1343" s="23"/>
      <c r="P1343" s="23"/>
    </row>
    <row r="1344" spans="2:16" x14ac:dyDescent="0.25">
      <c r="B1344" s="23"/>
      <c r="E1344" s="23"/>
      <c r="G1344" s="23"/>
      <c r="H1344" s="23"/>
      <c r="J1344" s="23"/>
      <c r="K1344" s="23"/>
      <c r="M1344" s="23"/>
      <c r="N1344" s="23"/>
      <c r="P1344" s="23"/>
    </row>
    <row r="1345" spans="2:16" x14ac:dyDescent="0.25">
      <c r="B1345" s="23"/>
      <c r="E1345" s="23"/>
      <c r="G1345" s="23"/>
      <c r="H1345" s="23"/>
      <c r="J1345" s="23"/>
      <c r="K1345" s="23"/>
      <c r="M1345" s="23"/>
      <c r="N1345" s="23"/>
      <c r="P1345" s="23"/>
    </row>
    <row r="1346" spans="2:16" x14ac:dyDescent="0.25">
      <c r="B1346" s="23"/>
      <c r="E1346" s="23"/>
      <c r="G1346" s="23"/>
      <c r="H1346" s="23"/>
      <c r="J1346" s="23"/>
      <c r="K1346" s="23"/>
      <c r="M1346" s="23"/>
      <c r="N1346" s="23"/>
      <c r="P1346" s="23"/>
    </row>
    <row r="1347" spans="2:16" x14ac:dyDescent="0.25">
      <c r="B1347" s="23"/>
      <c r="E1347" s="23"/>
      <c r="G1347" s="23"/>
      <c r="H1347" s="23"/>
      <c r="J1347" s="23"/>
      <c r="K1347" s="23"/>
      <c r="M1347" s="23"/>
      <c r="N1347" s="23"/>
      <c r="P1347" s="23"/>
    </row>
    <row r="1348" spans="2:16" x14ac:dyDescent="0.25">
      <c r="B1348" s="23"/>
      <c r="E1348" s="23"/>
      <c r="G1348" s="23"/>
      <c r="H1348" s="23"/>
      <c r="J1348" s="23"/>
      <c r="K1348" s="23"/>
      <c r="M1348" s="23"/>
      <c r="N1348" s="23"/>
      <c r="P1348" s="23"/>
    </row>
    <row r="1349" spans="2:16" x14ac:dyDescent="0.25">
      <c r="B1349" s="23"/>
      <c r="E1349" s="23"/>
      <c r="G1349" s="23"/>
      <c r="H1349" s="23"/>
      <c r="J1349" s="23"/>
      <c r="K1349" s="23"/>
      <c r="M1349" s="23"/>
      <c r="N1349" s="23"/>
      <c r="P1349" s="23"/>
    </row>
    <row r="1350" spans="2:16" x14ac:dyDescent="0.25">
      <c r="B1350" s="23"/>
      <c r="E1350" s="23"/>
      <c r="G1350" s="23"/>
      <c r="H1350" s="23"/>
      <c r="J1350" s="23"/>
      <c r="K1350" s="23"/>
      <c r="M1350" s="23"/>
      <c r="N1350" s="23"/>
      <c r="P1350" s="23"/>
    </row>
    <row r="1351" spans="2:16" x14ac:dyDescent="0.25">
      <c r="B1351" s="23"/>
      <c r="E1351" s="23"/>
      <c r="G1351" s="23"/>
      <c r="H1351" s="23"/>
      <c r="J1351" s="23"/>
      <c r="K1351" s="23"/>
      <c r="M1351" s="23"/>
      <c r="N1351" s="23"/>
      <c r="P1351" s="23"/>
    </row>
    <row r="1352" spans="2:16" x14ac:dyDescent="0.25">
      <c r="B1352" s="23"/>
      <c r="E1352" s="23"/>
      <c r="G1352" s="23"/>
      <c r="H1352" s="23"/>
      <c r="J1352" s="23"/>
      <c r="K1352" s="23"/>
      <c r="M1352" s="23"/>
      <c r="N1352" s="23"/>
      <c r="P1352" s="23"/>
    </row>
    <row r="1353" spans="2:16" x14ac:dyDescent="0.25">
      <c r="B1353" s="23"/>
      <c r="E1353" s="23"/>
      <c r="G1353" s="23"/>
      <c r="H1353" s="23"/>
      <c r="J1353" s="23"/>
      <c r="K1353" s="23"/>
      <c r="M1353" s="23"/>
      <c r="N1353" s="23"/>
      <c r="P1353" s="23"/>
    </row>
    <row r="1354" spans="2:16" x14ac:dyDescent="0.25">
      <c r="B1354" s="23"/>
      <c r="E1354" s="23"/>
      <c r="G1354" s="23"/>
      <c r="H1354" s="23"/>
      <c r="J1354" s="23"/>
      <c r="K1354" s="23"/>
      <c r="M1354" s="23"/>
      <c r="N1354" s="23"/>
      <c r="P1354" s="23"/>
    </row>
    <row r="1355" spans="2:16" x14ac:dyDescent="0.25">
      <c r="B1355" s="23"/>
      <c r="E1355" s="23"/>
      <c r="G1355" s="23"/>
      <c r="H1355" s="23"/>
      <c r="J1355" s="23"/>
      <c r="K1355" s="23"/>
      <c r="M1355" s="23"/>
      <c r="N1355" s="23"/>
      <c r="P1355" s="23"/>
    </row>
    <row r="1356" spans="2:16" x14ac:dyDescent="0.25">
      <c r="B1356" s="23"/>
      <c r="E1356" s="23"/>
      <c r="G1356" s="23"/>
      <c r="H1356" s="23"/>
      <c r="J1356" s="23"/>
      <c r="K1356" s="23"/>
      <c r="M1356" s="23"/>
      <c r="N1356" s="23"/>
      <c r="P1356" s="23"/>
    </row>
    <row r="1357" spans="2:16" x14ac:dyDescent="0.25">
      <c r="B1357" s="23"/>
      <c r="E1357" s="23"/>
      <c r="G1357" s="23"/>
      <c r="H1357" s="23"/>
      <c r="J1357" s="23"/>
      <c r="K1357" s="23"/>
      <c r="M1357" s="23"/>
      <c r="N1357" s="23"/>
      <c r="P1357" s="23"/>
    </row>
    <row r="1358" spans="2:16" x14ac:dyDescent="0.25">
      <c r="B1358" s="23"/>
      <c r="E1358" s="23"/>
      <c r="G1358" s="23"/>
      <c r="H1358" s="23"/>
      <c r="J1358" s="23"/>
      <c r="K1358" s="23"/>
      <c r="M1358" s="23"/>
      <c r="N1358" s="23"/>
      <c r="P1358" s="23"/>
    </row>
    <row r="1359" spans="2:16" x14ac:dyDescent="0.25">
      <c r="B1359" s="23"/>
      <c r="E1359" s="23"/>
      <c r="G1359" s="23"/>
      <c r="H1359" s="23"/>
      <c r="J1359" s="23"/>
      <c r="K1359" s="23"/>
      <c r="M1359" s="23"/>
      <c r="N1359" s="23"/>
      <c r="P1359" s="23"/>
    </row>
    <row r="1360" spans="2:16" x14ac:dyDescent="0.25">
      <c r="B1360" s="23"/>
      <c r="E1360" s="23"/>
      <c r="G1360" s="23"/>
      <c r="H1360" s="23"/>
      <c r="J1360" s="23"/>
      <c r="K1360" s="23"/>
      <c r="M1360" s="23"/>
      <c r="N1360" s="23"/>
      <c r="P1360" s="23"/>
    </row>
    <row r="1361" spans="2:16" x14ac:dyDescent="0.25">
      <c r="B1361" s="23"/>
      <c r="E1361" s="23"/>
      <c r="G1361" s="23"/>
      <c r="H1361" s="23"/>
      <c r="J1361" s="23"/>
      <c r="K1361" s="23"/>
      <c r="M1361" s="23"/>
      <c r="N1361" s="23"/>
      <c r="P1361" s="23"/>
    </row>
    <row r="1362" spans="2:16" x14ac:dyDescent="0.25">
      <c r="B1362" s="23"/>
      <c r="E1362" s="23"/>
      <c r="G1362" s="23"/>
      <c r="H1362" s="23"/>
      <c r="J1362" s="23"/>
      <c r="K1362" s="23"/>
      <c r="M1362" s="23"/>
      <c r="N1362" s="23"/>
      <c r="P1362" s="23"/>
    </row>
    <row r="1363" spans="2:16" x14ac:dyDescent="0.25">
      <c r="B1363" s="23"/>
      <c r="E1363" s="23"/>
      <c r="G1363" s="23"/>
      <c r="H1363" s="23"/>
      <c r="J1363" s="23"/>
      <c r="K1363" s="23"/>
      <c r="M1363" s="23"/>
      <c r="N1363" s="23"/>
      <c r="P1363" s="23"/>
    </row>
    <row r="1364" spans="2:16" x14ac:dyDescent="0.25">
      <c r="B1364" s="23"/>
      <c r="E1364" s="23"/>
      <c r="G1364" s="23"/>
      <c r="H1364" s="23"/>
      <c r="J1364" s="23"/>
      <c r="K1364" s="23"/>
      <c r="M1364" s="23"/>
      <c r="N1364" s="23"/>
      <c r="P1364" s="23"/>
    </row>
    <row r="1365" spans="2:16" x14ac:dyDescent="0.25">
      <c r="B1365" s="23"/>
      <c r="E1365" s="23"/>
      <c r="G1365" s="23"/>
      <c r="H1365" s="23"/>
      <c r="J1365" s="23"/>
      <c r="K1365" s="23"/>
      <c r="M1365" s="23"/>
      <c r="N1365" s="23"/>
      <c r="P1365" s="23"/>
    </row>
    <row r="1366" spans="2:16" x14ac:dyDescent="0.25">
      <c r="B1366" s="23"/>
      <c r="E1366" s="23"/>
      <c r="G1366" s="23"/>
      <c r="H1366" s="23"/>
      <c r="J1366" s="23"/>
      <c r="K1366" s="23"/>
      <c r="M1366" s="23"/>
      <c r="N1366" s="23"/>
      <c r="P1366" s="23"/>
    </row>
    <row r="1367" spans="2:16" x14ac:dyDescent="0.25">
      <c r="B1367" s="23"/>
      <c r="E1367" s="23"/>
      <c r="G1367" s="23"/>
      <c r="H1367" s="23"/>
      <c r="J1367" s="23"/>
      <c r="K1367" s="23"/>
      <c r="M1367" s="23"/>
      <c r="N1367" s="23"/>
      <c r="P1367" s="23"/>
    </row>
    <row r="1368" spans="2:16" x14ac:dyDescent="0.25">
      <c r="B1368" s="23"/>
      <c r="E1368" s="23"/>
      <c r="G1368" s="23"/>
      <c r="H1368" s="23"/>
      <c r="J1368" s="23"/>
      <c r="K1368" s="23"/>
      <c r="M1368" s="23"/>
      <c r="N1368" s="23"/>
      <c r="P1368" s="23"/>
    </row>
    <row r="1369" spans="2:16" x14ac:dyDescent="0.25">
      <c r="B1369" s="23"/>
      <c r="E1369" s="23"/>
      <c r="G1369" s="23"/>
      <c r="H1369" s="23"/>
      <c r="J1369" s="23"/>
      <c r="K1369" s="23"/>
      <c r="M1369" s="23"/>
      <c r="N1369" s="23"/>
      <c r="P1369" s="23"/>
    </row>
    <row r="1370" spans="2:16" x14ac:dyDescent="0.25">
      <c r="B1370" s="23"/>
      <c r="E1370" s="23"/>
      <c r="G1370" s="23"/>
      <c r="H1370" s="23"/>
      <c r="J1370" s="23"/>
      <c r="K1370" s="23"/>
      <c r="M1370" s="23"/>
      <c r="N1370" s="23"/>
      <c r="P1370" s="23"/>
    </row>
    <row r="1371" spans="2:16" x14ac:dyDescent="0.25">
      <c r="B1371" s="23"/>
      <c r="E1371" s="23"/>
      <c r="G1371" s="23"/>
      <c r="H1371" s="23"/>
      <c r="J1371" s="23"/>
      <c r="K1371" s="23"/>
      <c r="M1371" s="23"/>
      <c r="N1371" s="23"/>
      <c r="P1371" s="23"/>
    </row>
    <row r="1372" spans="2:16" x14ac:dyDescent="0.25">
      <c r="B1372" s="23"/>
      <c r="E1372" s="23"/>
      <c r="G1372" s="23"/>
      <c r="H1372" s="23"/>
      <c r="J1372" s="23"/>
      <c r="K1372" s="23"/>
      <c r="M1372" s="23"/>
      <c r="N1372" s="23"/>
      <c r="P1372" s="23"/>
    </row>
    <row r="1373" spans="2:16" x14ac:dyDescent="0.25">
      <c r="B1373" s="23"/>
      <c r="E1373" s="23"/>
      <c r="G1373" s="23"/>
      <c r="H1373" s="23"/>
      <c r="J1373" s="23"/>
      <c r="K1373" s="23"/>
      <c r="M1373" s="23"/>
      <c r="N1373" s="23"/>
      <c r="P1373" s="23"/>
    </row>
    <row r="1374" spans="2:16" x14ac:dyDescent="0.25">
      <c r="B1374" s="23"/>
      <c r="E1374" s="23"/>
      <c r="G1374" s="23"/>
      <c r="H1374" s="23"/>
      <c r="J1374" s="23"/>
      <c r="K1374" s="23"/>
      <c r="M1374" s="23"/>
      <c r="N1374" s="23"/>
      <c r="P1374" s="23"/>
    </row>
    <row r="1375" spans="2:16" x14ac:dyDescent="0.25">
      <c r="B1375" s="23"/>
      <c r="E1375" s="23"/>
      <c r="G1375" s="23"/>
      <c r="H1375" s="23"/>
      <c r="J1375" s="23"/>
      <c r="K1375" s="23"/>
      <c r="M1375" s="23"/>
      <c r="N1375" s="23"/>
      <c r="P1375" s="23"/>
    </row>
    <row r="1376" spans="2:16" x14ac:dyDescent="0.25">
      <c r="B1376" s="23"/>
      <c r="E1376" s="23"/>
      <c r="G1376" s="23"/>
      <c r="H1376" s="23"/>
      <c r="J1376" s="23"/>
      <c r="K1376" s="23"/>
      <c r="M1376" s="23"/>
      <c r="N1376" s="23"/>
      <c r="P1376" s="23"/>
    </row>
    <row r="1377" spans="2:16" x14ac:dyDescent="0.25">
      <c r="B1377" s="23"/>
      <c r="E1377" s="23"/>
      <c r="G1377" s="23"/>
      <c r="H1377" s="23"/>
      <c r="J1377" s="23"/>
      <c r="K1377" s="23"/>
      <c r="M1377" s="23"/>
      <c r="N1377" s="23"/>
      <c r="P1377" s="23"/>
    </row>
    <row r="1378" spans="2:16" x14ac:dyDescent="0.25">
      <c r="B1378" s="23"/>
      <c r="E1378" s="23"/>
      <c r="G1378" s="23"/>
      <c r="H1378" s="23"/>
      <c r="J1378" s="23"/>
      <c r="K1378" s="23"/>
      <c r="M1378" s="23"/>
      <c r="N1378" s="23"/>
      <c r="P1378" s="23"/>
    </row>
    <row r="1379" spans="2:16" x14ac:dyDescent="0.25">
      <c r="B1379" s="23"/>
      <c r="E1379" s="23"/>
      <c r="G1379" s="23"/>
      <c r="H1379" s="23"/>
      <c r="J1379" s="23"/>
      <c r="K1379" s="23"/>
      <c r="M1379" s="23"/>
      <c r="N1379" s="23"/>
      <c r="P1379" s="23"/>
    </row>
    <row r="1380" spans="2:16" x14ac:dyDescent="0.25">
      <c r="B1380" s="23"/>
      <c r="E1380" s="23"/>
      <c r="G1380" s="23"/>
      <c r="H1380" s="23"/>
      <c r="J1380" s="23"/>
      <c r="K1380" s="23"/>
      <c r="M1380" s="23"/>
      <c r="N1380" s="23"/>
      <c r="P1380" s="23"/>
    </row>
    <row r="1381" spans="2:16" x14ac:dyDescent="0.25">
      <c r="B1381" s="23"/>
      <c r="E1381" s="23"/>
      <c r="G1381" s="23"/>
      <c r="H1381" s="23"/>
      <c r="J1381" s="23"/>
      <c r="K1381" s="23"/>
      <c r="M1381" s="23"/>
      <c r="N1381" s="23"/>
      <c r="P1381" s="23"/>
    </row>
    <row r="1382" spans="2:16" x14ac:dyDescent="0.25">
      <c r="B1382" s="23"/>
      <c r="E1382" s="23"/>
      <c r="G1382" s="23"/>
      <c r="H1382" s="23"/>
      <c r="J1382" s="23"/>
      <c r="K1382" s="23"/>
      <c r="M1382" s="23"/>
      <c r="N1382" s="23"/>
      <c r="P1382" s="23"/>
    </row>
    <row r="1383" spans="2:16" x14ac:dyDescent="0.25">
      <c r="B1383" s="23"/>
      <c r="E1383" s="23"/>
      <c r="G1383" s="23"/>
      <c r="H1383" s="23"/>
      <c r="J1383" s="23"/>
      <c r="K1383" s="23"/>
      <c r="M1383" s="23"/>
      <c r="N1383" s="23"/>
      <c r="P1383" s="23"/>
    </row>
    <row r="1384" spans="2:16" x14ac:dyDescent="0.25">
      <c r="B1384" s="23"/>
      <c r="E1384" s="23"/>
      <c r="G1384" s="23"/>
      <c r="H1384" s="23"/>
      <c r="J1384" s="23"/>
      <c r="K1384" s="23"/>
      <c r="M1384" s="23"/>
      <c r="N1384" s="23"/>
      <c r="P1384" s="23"/>
    </row>
    <row r="1385" spans="2:16" x14ac:dyDescent="0.25">
      <c r="B1385" s="23"/>
      <c r="E1385" s="23"/>
      <c r="G1385" s="23"/>
      <c r="H1385" s="23"/>
      <c r="J1385" s="23"/>
      <c r="K1385" s="23"/>
      <c r="M1385" s="23"/>
      <c r="N1385" s="23"/>
      <c r="P1385" s="23"/>
    </row>
    <row r="1386" spans="2:16" x14ac:dyDescent="0.25">
      <c r="B1386" s="23"/>
      <c r="E1386" s="23"/>
      <c r="G1386" s="23"/>
      <c r="H1386" s="23"/>
      <c r="J1386" s="23"/>
      <c r="K1386" s="23"/>
      <c r="M1386" s="23"/>
      <c r="N1386" s="23"/>
      <c r="P1386" s="23"/>
    </row>
    <row r="1387" spans="2:16" x14ac:dyDescent="0.25">
      <c r="B1387" s="23"/>
      <c r="E1387" s="23"/>
      <c r="G1387" s="23"/>
      <c r="H1387" s="23"/>
      <c r="J1387" s="23"/>
      <c r="K1387" s="23"/>
      <c r="M1387" s="23"/>
      <c r="N1387" s="23"/>
      <c r="P1387" s="23"/>
    </row>
    <row r="1388" spans="2:16" x14ac:dyDescent="0.25">
      <c r="B1388" s="23"/>
      <c r="E1388" s="23"/>
      <c r="G1388" s="23"/>
      <c r="H1388" s="23"/>
      <c r="J1388" s="23"/>
      <c r="K1388" s="23"/>
      <c r="M1388" s="23"/>
      <c r="N1388" s="23"/>
      <c r="P1388" s="23"/>
    </row>
    <row r="1389" spans="2:16" x14ac:dyDescent="0.25">
      <c r="B1389" s="23"/>
      <c r="E1389" s="23"/>
      <c r="G1389" s="23"/>
      <c r="H1389" s="23"/>
      <c r="J1389" s="23"/>
      <c r="K1389" s="23"/>
      <c r="M1389" s="23"/>
      <c r="N1389" s="23"/>
      <c r="P1389" s="23"/>
    </row>
    <row r="1390" spans="2:16" x14ac:dyDescent="0.25">
      <c r="B1390" s="23"/>
      <c r="E1390" s="23"/>
      <c r="G1390" s="23"/>
      <c r="H1390" s="23"/>
      <c r="J1390" s="23"/>
      <c r="K1390" s="23"/>
      <c r="M1390" s="23"/>
      <c r="N1390" s="23"/>
      <c r="P1390" s="23"/>
    </row>
    <row r="1391" spans="2:16" x14ac:dyDescent="0.25">
      <c r="B1391" s="23"/>
      <c r="E1391" s="23"/>
      <c r="G1391" s="23"/>
      <c r="H1391" s="23"/>
      <c r="J1391" s="23"/>
      <c r="K1391" s="23"/>
      <c r="M1391" s="23"/>
      <c r="N1391" s="23"/>
      <c r="P1391" s="23"/>
    </row>
    <row r="1392" spans="2:16" x14ac:dyDescent="0.25">
      <c r="B1392" s="23"/>
      <c r="E1392" s="23"/>
      <c r="G1392" s="23"/>
      <c r="H1392" s="23"/>
      <c r="J1392" s="23"/>
      <c r="K1392" s="23"/>
      <c r="M1392" s="23"/>
      <c r="N1392" s="23"/>
      <c r="P1392" s="23"/>
    </row>
    <row r="1393" spans="2:16" x14ac:dyDescent="0.25">
      <c r="B1393" s="23"/>
      <c r="E1393" s="23"/>
      <c r="G1393" s="23"/>
      <c r="H1393" s="23"/>
      <c r="J1393" s="23"/>
      <c r="K1393" s="23"/>
      <c r="M1393" s="23"/>
      <c r="N1393" s="23"/>
      <c r="P1393" s="23"/>
    </row>
    <row r="1394" spans="2:16" x14ac:dyDescent="0.25">
      <c r="B1394" s="23"/>
      <c r="E1394" s="23"/>
      <c r="G1394" s="23"/>
      <c r="H1394" s="23"/>
      <c r="J1394" s="23"/>
      <c r="K1394" s="23"/>
      <c r="M1394" s="23"/>
      <c r="N1394" s="23"/>
      <c r="P1394" s="23"/>
    </row>
    <row r="1395" spans="2:16" x14ac:dyDescent="0.25">
      <c r="B1395" s="23"/>
      <c r="E1395" s="23"/>
      <c r="G1395" s="23"/>
      <c r="H1395" s="23"/>
      <c r="J1395" s="23"/>
      <c r="K1395" s="23"/>
      <c r="M1395" s="23"/>
      <c r="N1395" s="23"/>
      <c r="P1395" s="23"/>
    </row>
    <row r="1396" spans="2:16" x14ac:dyDescent="0.25">
      <c r="B1396" s="23"/>
      <c r="E1396" s="23"/>
      <c r="G1396" s="23"/>
      <c r="H1396" s="23"/>
      <c r="J1396" s="23"/>
      <c r="K1396" s="23"/>
      <c r="M1396" s="23"/>
      <c r="N1396" s="23"/>
      <c r="P1396" s="23"/>
    </row>
    <row r="1397" spans="2:16" x14ac:dyDescent="0.25">
      <c r="B1397" s="23"/>
      <c r="E1397" s="23"/>
      <c r="G1397" s="23"/>
      <c r="H1397" s="23"/>
      <c r="J1397" s="23"/>
      <c r="K1397" s="23"/>
      <c r="M1397" s="23"/>
      <c r="N1397" s="23"/>
      <c r="P1397" s="23"/>
    </row>
    <row r="1398" spans="2:16" x14ac:dyDescent="0.25">
      <c r="B1398" s="23"/>
      <c r="E1398" s="23"/>
      <c r="G1398" s="23"/>
      <c r="H1398" s="23"/>
      <c r="J1398" s="23"/>
      <c r="K1398" s="23"/>
      <c r="M1398" s="23"/>
      <c r="N1398" s="23"/>
      <c r="P1398" s="23"/>
    </row>
    <row r="1399" spans="2:16" x14ac:dyDescent="0.25">
      <c r="B1399" s="23"/>
      <c r="E1399" s="23"/>
      <c r="G1399" s="23"/>
      <c r="H1399" s="23"/>
      <c r="J1399" s="23"/>
      <c r="K1399" s="23"/>
      <c r="M1399" s="23"/>
      <c r="N1399" s="23"/>
      <c r="P1399" s="23"/>
    </row>
    <row r="1400" spans="2:16" x14ac:dyDescent="0.25">
      <c r="B1400" s="23"/>
      <c r="E1400" s="23"/>
      <c r="G1400" s="23"/>
      <c r="H1400" s="23"/>
      <c r="J1400" s="23"/>
      <c r="K1400" s="23"/>
      <c r="M1400" s="23"/>
      <c r="N1400" s="23"/>
      <c r="P1400" s="23"/>
    </row>
    <row r="1401" spans="2:16" x14ac:dyDescent="0.25">
      <c r="B1401" s="23"/>
      <c r="E1401" s="23"/>
      <c r="G1401" s="23"/>
      <c r="H1401" s="23"/>
      <c r="J1401" s="23"/>
      <c r="K1401" s="23"/>
      <c r="M1401" s="23"/>
      <c r="N1401" s="23"/>
      <c r="P1401" s="23"/>
    </row>
    <row r="1402" spans="2:16" x14ac:dyDescent="0.25">
      <c r="B1402" s="23"/>
      <c r="E1402" s="23"/>
      <c r="G1402" s="23"/>
      <c r="H1402" s="23"/>
      <c r="J1402" s="23"/>
      <c r="K1402" s="23"/>
      <c r="M1402" s="23"/>
      <c r="N1402" s="23"/>
      <c r="P1402" s="23"/>
    </row>
    <row r="1403" spans="2:16" x14ac:dyDescent="0.25">
      <c r="B1403" s="23"/>
      <c r="E1403" s="23"/>
      <c r="G1403" s="23"/>
      <c r="H1403" s="23"/>
      <c r="J1403" s="23"/>
      <c r="K1403" s="23"/>
      <c r="M1403" s="23"/>
      <c r="N1403" s="23"/>
      <c r="P1403" s="23"/>
    </row>
    <row r="1404" spans="2:16" x14ac:dyDescent="0.25">
      <c r="B1404" s="23"/>
      <c r="E1404" s="23"/>
      <c r="G1404" s="23"/>
      <c r="H1404" s="23"/>
      <c r="J1404" s="23"/>
      <c r="K1404" s="23"/>
      <c r="M1404" s="23"/>
      <c r="N1404" s="23"/>
      <c r="P1404" s="23"/>
    </row>
    <row r="1405" spans="2:16" x14ac:dyDescent="0.25">
      <c r="B1405" s="23"/>
      <c r="E1405" s="23"/>
      <c r="G1405" s="23"/>
      <c r="H1405" s="23"/>
      <c r="J1405" s="23"/>
      <c r="K1405" s="23"/>
      <c r="M1405" s="23"/>
      <c r="N1405" s="23"/>
      <c r="P1405" s="23"/>
    </row>
    <row r="1406" spans="2:16" x14ac:dyDescent="0.25">
      <c r="B1406" s="23"/>
      <c r="E1406" s="23"/>
      <c r="G1406" s="23"/>
      <c r="H1406" s="23"/>
      <c r="J1406" s="23"/>
      <c r="K1406" s="23"/>
      <c r="M1406" s="23"/>
      <c r="N1406" s="23"/>
      <c r="P1406" s="23"/>
    </row>
    <row r="1407" spans="2:16" x14ac:dyDescent="0.25">
      <c r="B1407" s="23"/>
      <c r="E1407" s="23"/>
      <c r="G1407" s="23"/>
      <c r="H1407" s="23"/>
      <c r="J1407" s="23"/>
      <c r="K1407" s="23"/>
      <c r="M1407" s="23"/>
      <c r="N1407" s="23"/>
      <c r="P1407" s="23"/>
    </row>
    <row r="1408" spans="2:16" x14ac:dyDescent="0.25">
      <c r="B1408" s="23"/>
      <c r="E1408" s="23"/>
      <c r="G1408" s="23"/>
      <c r="H1408" s="23"/>
      <c r="J1408" s="23"/>
      <c r="K1408" s="23"/>
      <c r="M1408" s="23"/>
      <c r="N1408" s="23"/>
      <c r="P1408" s="23"/>
    </row>
    <row r="1409" spans="2:16" x14ac:dyDescent="0.25">
      <c r="B1409" s="23"/>
      <c r="E1409" s="23"/>
      <c r="G1409" s="23"/>
      <c r="H1409" s="23"/>
      <c r="J1409" s="23"/>
      <c r="K1409" s="23"/>
      <c r="M1409" s="23"/>
      <c r="N1409" s="23"/>
      <c r="P1409" s="23"/>
    </row>
    <row r="1410" spans="2:16" x14ac:dyDescent="0.25">
      <c r="B1410" s="23"/>
      <c r="E1410" s="23"/>
      <c r="G1410" s="23"/>
      <c r="H1410" s="23"/>
      <c r="J1410" s="23"/>
      <c r="K1410" s="23"/>
      <c r="M1410" s="23"/>
      <c r="N1410" s="23"/>
      <c r="P1410" s="23"/>
    </row>
    <row r="1411" spans="2:16" x14ac:dyDescent="0.25">
      <c r="B1411" s="23"/>
      <c r="E1411" s="23"/>
      <c r="G1411" s="23"/>
      <c r="H1411" s="23"/>
      <c r="J1411" s="23"/>
      <c r="K1411" s="23"/>
      <c r="M1411" s="23"/>
      <c r="N1411" s="23"/>
      <c r="P1411" s="23"/>
    </row>
    <row r="1412" spans="2:16" x14ac:dyDescent="0.25">
      <c r="B1412" s="23"/>
      <c r="E1412" s="23"/>
      <c r="G1412" s="23"/>
      <c r="H1412" s="23"/>
      <c r="J1412" s="23"/>
      <c r="K1412" s="23"/>
      <c r="M1412" s="23"/>
      <c r="N1412" s="23"/>
      <c r="P1412" s="23"/>
    </row>
    <row r="1413" spans="2:16" x14ac:dyDescent="0.25">
      <c r="B1413" s="23"/>
      <c r="E1413" s="23"/>
      <c r="G1413" s="23"/>
      <c r="H1413" s="23"/>
      <c r="J1413" s="23"/>
      <c r="K1413" s="23"/>
      <c r="M1413" s="23"/>
      <c r="N1413" s="23"/>
      <c r="P1413" s="23"/>
    </row>
    <row r="1414" spans="2:16" x14ac:dyDescent="0.25">
      <c r="B1414" s="23"/>
      <c r="E1414" s="23"/>
      <c r="G1414" s="23"/>
      <c r="H1414" s="23"/>
      <c r="J1414" s="23"/>
      <c r="K1414" s="23"/>
      <c r="M1414" s="23"/>
      <c r="N1414" s="23"/>
      <c r="P1414" s="23"/>
    </row>
    <row r="1415" spans="2:16" x14ac:dyDescent="0.25">
      <c r="B1415" s="23"/>
      <c r="E1415" s="23"/>
      <c r="G1415" s="23"/>
      <c r="H1415" s="23"/>
      <c r="J1415" s="23"/>
      <c r="K1415" s="23"/>
      <c r="M1415" s="23"/>
      <c r="N1415" s="23"/>
      <c r="P1415" s="23"/>
    </row>
    <row r="1416" spans="2:16" x14ac:dyDescent="0.25">
      <c r="B1416" s="23"/>
      <c r="E1416" s="23"/>
      <c r="G1416" s="23"/>
      <c r="H1416" s="23"/>
      <c r="J1416" s="23"/>
      <c r="K1416" s="23"/>
      <c r="M1416" s="23"/>
      <c r="N1416" s="23"/>
      <c r="P1416" s="23"/>
    </row>
    <row r="1417" spans="2:16" x14ac:dyDescent="0.25">
      <c r="B1417" s="23"/>
      <c r="E1417" s="23"/>
      <c r="G1417" s="23"/>
      <c r="H1417" s="23"/>
      <c r="J1417" s="23"/>
      <c r="K1417" s="23"/>
      <c r="M1417" s="23"/>
      <c r="N1417" s="23"/>
      <c r="P1417" s="23"/>
    </row>
    <row r="1418" spans="2:16" x14ac:dyDescent="0.25">
      <c r="B1418" s="23"/>
      <c r="E1418" s="23"/>
      <c r="G1418" s="23"/>
      <c r="H1418" s="23"/>
      <c r="J1418" s="23"/>
      <c r="K1418" s="23"/>
      <c r="M1418" s="23"/>
      <c r="N1418" s="23"/>
      <c r="P1418" s="23"/>
    </row>
    <row r="1419" spans="2:16" x14ac:dyDescent="0.25">
      <c r="B1419" s="23"/>
      <c r="E1419" s="23"/>
      <c r="G1419" s="23"/>
      <c r="H1419" s="23"/>
      <c r="J1419" s="23"/>
      <c r="K1419" s="23"/>
      <c r="M1419" s="23"/>
      <c r="N1419" s="23"/>
      <c r="P1419" s="23"/>
    </row>
    <row r="1420" spans="2:16" x14ac:dyDescent="0.25">
      <c r="B1420" s="23"/>
      <c r="E1420" s="23"/>
      <c r="G1420" s="23"/>
      <c r="H1420" s="23"/>
      <c r="J1420" s="23"/>
      <c r="K1420" s="23"/>
      <c r="M1420" s="23"/>
      <c r="N1420" s="23"/>
      <c r="P1420" s="23"/>
    </row>
    <row r="1421" spans="2:16" x14ac:dyDescent="0.25">
      <c r="B1421" s="23"/>
      <c r="E1421" s="23"/>
      <c r="G1421" s="23"/>
      <c r="H1421" s="23"/>
      <c r="J1421" s="23"/>
      <c r="K1421" s="23"/>
      <c r="M1421" s="23"/>
      <c r="N1421" s="23"/>
      <c r="P1421" s="23"/>
    </row>
    <row r="1422" spans="2:16" x14ac:dyDescent="0.25">
      <c r="B1422" s="23"/>
      <c r="E1422" s="23"/>
      <c r="G1422" s="23"/>
      <c r="H1422" s="23"/>
      <c r="J1422" s="23"/>
      <c r="K1422" s="23"/>
      <c r="M1422" s="23"/>
      <c r="N1422" s="23"/>
      <c r="P1422" s="23"/>
    </row>
    <row r="1423" spans="2:16" x14ac:dyDescent="0.25">
      <c r="B1423" s="23"/>
      <c r="E1423" s="23"/>
      <c r="G1423" s="23"/>
      <c r="H1423" s="23"/>
      <c r="J1423" s="23"/>
      <c r="K1423" s="23"/>
      <c r="M1423" s="23"/>
      <c r="N1423" s="23"/>
      <c r="P1423" s="23"/>
    </row>
    <row r="1424" spans="2:16" x14ac:dyDescent="0.25">
      <c r="B1424" s="23"/>
      <c r="E1424" s="23"/>
      <c r="G1424" s="23"/>
      <c r="H1424" s="23"/>
      <c r="J1424" s="23"/>
      <c r="K1424" s="23"/>
      <c r="M1424" s="23"/>
      <c r="N1424" s="23"/>
      <c r="P1424" s="23"/>
    </row>
    <row r="1425" spans="2:16" x14ac:dyDescent="0.25">
      <c r="B1425" s="23"/>
      <c r="E1425" s="23"/>
      <c r="G1425" s="23"/>
      <c r="H1425" s="23"/>
      <c r="J1425" s="23"/>
      <c r="K1425" s="23"/>
      <c r="M1425" s="23"/>
      <c r="N1425" s="23"/>
      <c r="P1425" s="23"/>
    </row>
    <row r="1426" spans="2:16" x14ac:dyDescent="0.25">
      <c r="B1426" s="23"/>
      <c r="E1426" s="23"/>
      <c r="G1426" s="23"/>
      <c r="H1426" s="23"/>
      <c r="J1426" s="23"/>
      <c r="K1426" s="23"/>
      <c r="M1426" s="23"/>
      <c r="N1426" s="23"/>
      <c r="P1426" s="23"/>
    </row>
    <row r="1427" spans="2:16" x14ac:dyDescent="0.25">
      <c r="B1427" s="23"/>
      <c r="E1427" s="23"/>
      <c r="G1427" s="23"/>
      <c r="H1427" s="23"/>
      <c r="J1427" s="23"/>
      <c r="K1427" s="23"/>
      <c r="M1427" s="23"/>
      <c r="N1427" s="23"/>
      <c r="P1427" s="23"/>
    </row>
    <row r="1428" spans="2:16" x14ac:dyDescent="0.25">
      <c r="B1428" s="23"/>
      <c r="E1428" s="23"/>
      <c r="G1428" s="23"/>
      <c r="H1428" s="23"/>
      <c r="J1428" s="23"/>
      <c r="K1428" s="23"/>
      <c r="M1428" s="23"/>
      <c r="N1428" s="23"/>
      <c r="P1428" s="23"/>
    </row>
    <row r="1429" spans="2:16" x14ac:dyDescent="0.25">
      <c r="B1429" s="23"/>
      <c r="E1429" s="23"/>
      <c r="G1429" s="23"/>
      <c r="H1429" s="23"/>
      <c r="J1429" s="23"/>
      <c r="K1429" s="23"/>
      <c r="M1429" s="23"/>
      <c r="N1429" s="23"/>
      <c r="P1429" s="23"/>
    </row>
    <row r="1430" spans="2:16" x14ac:dyDescent="0.25">
      <c r="B1430" s="23"/>
      <c r="E1430" s="23"/>
      <c r="G1430" s="23"/>
      <c r="H1430" s="23"/>
      <c r="J1430" s="23"/>
      <c r="K1430" s="23"/>
      <c r="M1430" s="23"/>
      <c r="N1430" s="23"/>
      <c r="P1430" s="23"/>
    </row>
    <row r="1431" spans="2:16" x14ac:dyDescent="0.25">
      <c r="B1431" s="23"/>
      <c r="E1431" s="23"/>
      <c r="G1431" s="23"/>
      <c r="H1431" s="23"/>
      <c r="J1431" s="23"/>
      <c r="K1431" s="23"/>
      <c r="M1431" s="23"/>
      <c r="N1431" s="23"/>
      <c r="P1431" s="23"/>
    </row>
    <row r="1432" spans="2:16" x14ac:dyDescent="0.25">
      <c r="B1432" s="23"/>
      <c r="E1432" s="23"/>
      <c r="G1432" s="23"/>
      <c r="H1432" s="23"/>
      <c r="J1432" s="23"/>
      <c r="K1432" s="23"/>
      <c r="M1432" s="23"/>
      <c r="N1432" s="23"/>
      <c r="P1432" s="23"/>
    </row>
    <row r="1433" spans="2:16" x14ac:dyDescent="0.25">
      <c r="B1433" s="23"/>
      <c r="E1433" s="23"/>
      <c r="G1433" s="23"/>
      <c r="H1433" s="23"/>
      <c r="J1433" s="23"/>
      <c r="K1433" s="23"/>
      <c r="M1433" s="23"/>
      <c r="N1433" s="23"/>
      <c r="P1433" s="23"/>
    </row>
    <row r="1434" spans="2:16" x14ac:dyDescent="0.25">
      <c r="B1434" s="23"/>
      <c r="E1434" s="23"/>
      <c r="G1434" s="23"/>
      <c r="H1434" s="23"/>
      <c r="J1434" s="23"/>
      <c r="K1434" s="23"/>
      <c r="M1434" s="23"/>
      <c r="N1434" s="23"/>
      <c r="P1434" s="23"/>
    </row>
    <row r="1435" spans="2:16" x14ac:dyDescent="0.25">
      <c r="B1435" s="23"/>
      <c r="E1435" s="23"/>
      <c r="G1435" s="23"/>
      <c r="H1435" s="23"/>
      <c r="J1435" s="23"/>
      <c r="K1435" s="23"/>
      <c r="M1435" s="23"/>
      <c r="N1435" s="23"/>
      <c r="P1435" s="23"/>
    </row>
    <row r="1436" spans="2:16" x14ac:dyDescent="0.25">
      <c r="B1436" s="23"/>
      <c r="E1436" s="23"/>
      <c r="G1436" s="23"/>
      <c r="H1436" s="23"/>
      <c r="J1436" s="23"/>
      <c r="K1436" s="23"/>
      <c r="M1436" s="23"/>
      <c r="N1436" s="23"/>
      <c r="P1436" s="23"/>
    </row>
    <row r="1437" spans="2:16" x14ac:dyDescent="0.25">
      <c r="B1437" s="23"/>
      <c r="E1437" s="23"/>
      <c r="G1437" s="23"/>
      <c r="H1437" s="23"/>
      <c r="J1437" s="23"/>
      <c r="K1437" s="23"/>
      <c r="M1437" s="23"/>
      <c r="N1437" s="23"/>
      <c r="P1437" s="23"/>
    </row>
    <row r="1438" spans="2:16" x14ac:dyDescent="0.25">
      <c r="B1438" s="23"/>
      <c r="E1438" s="23"/>
      <c r="G1438" s="23"/>
      <c r="H1438" s="23"/>
      <c r="J1438" s="23"/>
      <c r="K1438" s="23"/>
      <c r="M1438" s="23"/>
      <c r="N1438" s="23"/>
      <c r="P1438" s="23"/>
    </row>
    <row r="1439" spans="2:16" x14ac:dyDescent="0.25">
      <c r="B1439" s="23"/>
      <c r="E1439" s="23"/>
      <c r="G1439" s="23"/>
      <c r="H1439" s="23"/>
      <c r="J1439" s="23"/>
      <c r="K1439" s="23"/>
      <c r="M1439" s="23"/>
      <c r="N1439" s="23"/>
      <c r="P1439" s="23"/>
    </row>
    <row r="1440" spans="2:16" x14ac:dyDescent="0.25">
      <c r="B1440" s="23"/>
      <c r="E1440" s="23"/>
      <c r="G1440" s="23"/>
      <c r="H1440" s="23"/>
      <c r="J1440" s="23"/>
      <c r="K1440" s="23"/>
      <c r="M1440" s="23"/>
      <c r="N1440" s="23"/>
      <c r="P1440" s="23"/>
    </row>
    <row r="1441" spans="2:16" x14ac:dyDescent="0.25">
      <c r="B1441" s="23"/>
      <c r="E1441" s="23"/>
      <c r="G1441" s="23"/>
      <c r="H1441" s="23"/>
      <c r="J1441" s="23"/>
      <c r="K1441" s="23"/>
      <c r="M1441" s="23"/>
      <c r="N1441" s="23"/>
      <c r="P1441" s="23"/>
    </row>
    <row r="1442" spans="2:16" x14ac:dyDescent="0.25">
      <c r="B1442" s="23"/>
      <c r="E1442" s="23"/>
      <c r="G1442" s="23"/>
      <c r="H1442" s="23"/>
      <c r="J1442" s="23"/>
      <c r="K1442" s="23"/>
      <c r="M1442" s="23"/>
      <c r="N1442" s="23"/>
      <c r="P1442" s="23"/>
    </row>
    <row r="1443" spans="2:16" x14ac:dyDescent="0.25">
      <c r="B1443" s="23"/>
      <c r="E1443" s="23"/>
      <c r="G1443" s="23"/>
      <c r="H1443" s="23"/>
      <c r="J1443" s="23"/>
      <c r="K1443" s="23"/>
      <c r="M1443" s="23"/>
      <c r="N1443" s="23"/>
      <c r="P1443" s="23"/>
    </row>
    <row r="1444" spans="2:16" x14ac:dyDescent="0.25">
      <c r="B1444" s="23"/>
      <c r="E1444" s="23"/>
      <c r="G1444" s="23"/>
      <c r="H1444" s="23"/>
      <c r="J1444" s="23"/>
      <c r="K1444" s="23"/>
      <c r="M1444" s="23"/>
      <c r="N1444" s="23"/>
      <c r="P1444" s="23"/>
    </row>
    <row r="1445" spans="2:16" x14ac:dyDescent="0.25">
      <c r="B1445" s="23"/>
      <c r="E1445" s="23"/>
      <c r="G1445" s="23"/>
      <c r="H1445" s="23"/>
      <c r="J1445" s="23"/>
      <c r="K1445" s="23"/>
      <c r="M1445" s="23"/>
      <c r="N1445" s="23"/>
      <c r="P1445" s="23"/>
    </row>
    <row r="1446" spans="2:16" x14ac:dyDescent="0.25">
      <c r="B1446" s="23"/>
      <c r="E1446" s="23"/>
      <c r="G1446" s="23"/>
      <c r="H1446" s="23"/>
      <c r="J1446" s="23"/>
      <c r="K1446" s="23"/>
      <c r="M1446" s="23"/>
      <c r="N1446" s="23"/>
      <c r="P1446" s="23"/>
    </row>
    <row r="1447" spans="2:16" x14ac:dyDescent="0.25">
      <c r="B1447" s="23"/>
      <c r="E1447" s="23"/>
      <c r="G1447" s="23"/>
      <c r="H1447" s="23"/>
      <c r="J1447" s="23"/>
      <c r="K1447" s="23"/>
      <c r="M1447" s="23"/>
      <c r="N1447" s="23"/>
      <c r="P1447" s="23"/>
    </row>
    <row r="1448" spans="2:16" x14ac:dyDescent="0.25">
      <c r="B1448" s="23"/>
      <c r="E1448" s="23"/>
      <c r="G1448" s="23"/>
      <c r="H1448" s="23"/>
      <c r="J1448" s="23"/>
      <c r="K1448" s="23"/>
      <c r="M1448" s="23"/>
      <c r="N1448" s="23"/>
      <c r="P1448" s="23"/>
    </row>
    <row r="1449" spans="2:16" x14ac:dyDescent="0.25">
      <c r="B1449" s="23"/>
      <c r="E1449" s="23"/>
      <c r="G1449" s="23"/>
      <c r="H1449" s="23"/>
      <c r="J1449" s="23"/>
      <c r="K1449" s="23"/>
      <c r="M1449" s="23"/>
      <c r="N1449" s="23"/>
      <c r="P1449" s="23"/>
    </row>
    <row r="1450" spans="2:16" x14ac:dyDescent="0.25">
      <c r="B1450" s="23"/>
      <c r="E1450" s="23"/>
      <c r="G1450" s="23"/>
      <c r="H1450" s="23"/>
      <c r="J1450" s="23"/>
      <c r="K1450" s="23"/>
      <c r="M1450" s="23"/>
      <c r="N1450" s="23"/>
      <c r="P1450" s="23"/>
    </row>
    <row r="1451" spans="2:16" x14ac:dyDescent="0.25">
      <c r="B1451" s="23"/>
      <c r="E1451" s="23"/>
      <c r="G1451" s="23"/>
      <c r="H1451" s="23"/>
      <c r="J1451" s="23"/>
      <c r="K1451" s="23"/>
      <c r="M1451" s="23"/>
      <c r="N1451" s="23"/>
      <c r="P1451" s="23"/>
    </row>
    <row r="1452" spans="2:16" x14ac:dyDescent="0.25">
      <c r="B1452" s="23"/>
      <c r="E1452" s="23"/>
      <c r="G1452" s="23"/>
      <c r="H1452" s="23"/>
      <c r="J1452" s="23"/>
      <c r="K1452" s="23"/>
      <c r="M1452" s="23"/>
      <c r="N1452" s="23"/>
      <c r="P1452" s="23"/>
    </row>
    <row r="1453" spans="2:16" x14ac:dyDescent="0.25">
      <c r="B1453" s="23"/>
      <c r="E1453" s="23"/>
      <c r="G1453" s="23"/>
      <c r="H1453" s="23"/>
      <c r="J1453" s="23"/>
      <c r="K1453" s="23"/>
      <c r="M1453" s="23"/>
      <c r="N1453" s="23"/>
      <c r="P1453" s="23"/>
    </row>
    <row r="1454" spans="2:16" x14ac:dyDescent="0.25">
      <c r="B1454" s="23"/>
      <c r="E1454" s="23"/>
      <c r="G1454" s="23"/>
      <c r="H1454" s="23"/>
      <c r="J1454" s="23"/>
      <c r="K1454" s="23"/>
      <c r="M1454" s="23"/>
      <c r="N1454" s="23"/>
      <c r="P1454" s="23"/>
    </row>
    <row r="1455" spans="2:16" x14ac:dyDescent="0.25">
      <c r="B1455" s="23"/>
      <c r="E1455" s="23"/>
      <c r="G1455" s="23"/>
      <c r="H1455" s="23"/>
      <c r="J1455" s="23"/>
      <c r="K1455" s="23"/>
      <c r="M1455" s="23"/>
      <c r="N1455" s="23"/>
      <c r="P1455" s="23"/>
    </row>
    <row r="1456" spans="2:16" x14ac:dyDescent="0.25">
      <c r="B1456" s="23"/>
      <c r="E1456" s="23"/>
      <c r="G1456" s="23"/>
      <c r="H1456" s="23"/>
      <c r="J1456" s="23"/>
      <c r="K1456" s="23"/>
      <c r="M1456" s="23"/>
      <c r="N1456" s="23"/>
      <c r="P1456" s="23"/>
    </row>
    <row r="1457" spans="2:16" x14ac:dyDescent="0.25">
      <c r="B1457" s="23"/>
      <c r="E1457" s="23"/>
      <c r="G1457" s="23"/>
      <c r="H1457" s="23"/>
      <c r="J1457" s="23"/>
      <c r="K1457" s="23"/>
      <c r="M1457" s="23"/>
      <c r="N1457" s="23"/>
      <c r="P1457" s="23"/>
    </row>
    <row r="1458" spans="2:16" x14ac:dyDescent="0.25">
      <c r="B1458" s="23"/>
      <c r="E1458" s="23"/>
      <c r="G1458" s="23"/>
      <c r="H1458" s="23"/>
      <c r="J1458" s="23"/>
      <c r="K1458" s="23"/>
      <c r="M1458" s="23"/>
      <c r="N1458" s="23"/>
      <c r="P1458" s="23"/>
    </row>
    <row r="1459" spans="2:16" x14ac:dyDescent="0.25">
      <c r="B1459" s="23"/>
      <c r="E1459" s="23"/>
      <c r="G1459" s="23"/>
      <c r="H1459" s="23"/>
      <c r="J1459" s="23"/>
      <c r="K1459" s="23"/>
      <c r="M1459" s="23"/>
      <c r="N1459" s="23"/>
      <c r="P1459" s="23"/>
    </row>
    <row r="1460" spans="2:16" x14ac:dyDescent="0.25">
      <c r="B1460" s="23"/>
      <c r="E1460" s="23"/>
      <c r="G1460" s="23"/>
      <c r="H1460" s="23"/>
      <c r="J1460" s="23"/>
      <c r="K1460" s="23"/>
      <c r="M1460" s="23"/>
      <c r="N1460" s="23"/>
      <c r="P1460" s="23"/>
    </row>
    <row r="1461" spans="2:16" x14ac:dyDescent="0.25">
      <c r="B1461" s="23"/>
      <c r="E1461" s="23"/>
      <c r="G1461" s="23"/>
      <c r="H1461" s="23"/>
      <c r="J1461" s="23"/>
      <c r="K1461" s="23"/>
      <c r="M1461" s="23"/>
      <c r="N1461" s="23"/>
      <c r="P1461" s="23"/>
    </row>
    <row r="1462" spans="2:16" x14ac:dyDescent="0.25">
      <c r="B1462" s="23"/>
      <c r="E1462" s="23"/>
      <c r="G1462" s="23"/>
      <c r="H1462" s="23"/>
      <c r="J1462" s="23"/>
      <c r="K1462" s="23"/>
      <c r="M1462" s="23"/>
      <c r="N1462" s="23"/>
      <c r="P1462" s="23"/>
    </row>
    <row r="1463" spans="2:16" x14ac:dyDescent="0.25">
      <c r="B1463" s="23"/>
      <c r="E1463" s="23"/>
      <c r="G1463" s="23"/>
      <c r="H1463" s="23"/>
      <c r="J1463" s="23"/>
      <c r="K1463" s="23"/>
      <c r="M1463" s="23"/>
      <c r="N1463" s="23"/>
      <c r="P1463" s="23"/>
    </row>
    <row r="1464" spans="2:16" x14ac:dyDescent="0.25">
      <c r="B1464" s="23"/>
      <c r="E1464" s="23"/>
      <c r="G1464" s="23"/>
      <c r="H1464" s="23"/>
      <c r="J1464" s="23"/>
      <c r="K1464" s="23"/>
      <c r="M1464" s="23"/>
      <c r="N1464" s="23"/>
      <c r="P1464" s="23"/>
    </row>
    <row r="1465" spans="2:16" x14ac:dyDescent="0.25">
      <c r="B1465" s="23"/>
      <c r="E1465" s="23"/>
      <c r="G1465" s="23"/>
      <c r="H1465" s="23"/>
      <c r="J1465" s="23"/>
      <c r="K1465" s="23"/>
      <c r="M1465" s="23"/>
      <c r="N1465" s="23"/>
      <c r="P1465" s="23"/>
    </row>
    <row r="1466" spans="2:16" x14ac:dyDescent="0.25">
      <c r="B1466" s="23"/>
      <c r="E1466" s="23"/>
      <c r="G1466" s="23"/>
      <c r="H1466" s="23"/>
      <c r="J1466" s="23"/>
      <c r="K1466" s="23"/>
      <c r="M1466" s="23"/>
      <c r="N1466" s="23"/>
      <c r="P1466" s="23"/>
    </row>
    <row r="1467" spans="2:16" x14ac:dyDescent="0.25">
      <c r="B1467" s="23"/>
      <c r="E1467" s="23"/>
      <c r="G1467" s="23"/>
      <c r="H1467" s="23"/>
      <c r="J1467" s="23"/>
      <c r="K1467" s="23"/>
      <c r="M1467" s="23"/>
      <c r="N1467" s="23"/>
      <c r="P1467" s="23"/>
    </row>
    <row r="1468" spans="2:16" x14ac:dyDescent="0.25">
      <c r="B1468" s="23"/>
      <c r="E1468" s="23"/>
      <c r="G1468" s="23"/>
      <c r="H1468" s="23"/>
      <c r="J1468" s="23"/>
      <c r="K1468" s="23"/>
      <c r="M1468" s="23"/>
      <c r="N1468" s="23"/>
      <c r="P1468" s="23"/>
    </row>
    <row r="1469" spans="2:16" x14ac:dyDescent="0.25">
      <c r="B1469" s="23"/>
      <c r="E1469" s="23"/>
      <c r="G1469" s="23"/>
      <c r="H1469" s="23"/>
      <c r="J1469" s="23"/>
      <c r="K1469" s="23"/>
      <c r="M1469" s="23"/>
      <c r="N1469" s="23"/>
      <c r="P1469" s="23"/>
    </row>
    <row r="1470" spans="2:16" x14ac:dyDescent="0.25">
      <c r="B1470" s="23"/>
      <c r="E1470" s="23"/>
      <c r="G1470" s="23"/>
      <c r="H1470" s="23"/>
      <c r="J1470" s="23"/>
      <c r="K1470" s="23"/>
      <c r="M1470" s="23"/>
      <c r="N1470" s="23"/>
      <c r="P1470" s="23"/>
    </row>
    <row r="1471" spans="2:16" x14ac:dyDescent="0.25">
      <c r="B1471" s="23"/>
      <c r="E1471" s="23"/>
      <c r="G1471" s="23"/>
      <c r="H1471" s="23"/>
      <c r="J1471" s="23"/>
      <c r="K1471" s="23"/>
      <c r="M1471" s="23"/>
      <c r="N1471" s="23"/>
      <c r="P1471" s="23"/>
    </row>
    <row r="1472" spans="2:16" x14ac:dyDescent="0.25">
      <c r="B1472" s="23"/>
      <c r="E1472" s="23"/>
      <c r="G1472" s="23"/>
      <c r="H1472" s="23"/>
      <c r="J1472" s="23"/>
      <c r="K1472" s="23"/>
      <c r="M1472" s="23"/>
      <c r="N1472" s="23"/>
      <c r="P1472" s="23"/>
    </row>
    <row r="1473" spans="2:16" x14ac:dyDescent="0.25">
      <c r="B1473" s="23"/>
      <c r="E1473" s="23"/>
      <c r="G1473" s="23"/>
      <c r="H1473" s="23"/>
      <c r="J1473" s="23"/>
      <c r="K1473" s="23"/>
      <c r="M1473" s="23"/>
      <c r="N1473" s="23"/>
      <c r="P1473" s="23"/>
    </row>
    <row r="1474" spans="2:16" x14ac:dyDescent="0.25">
      <c r="B1474" s="23"/>
      <c r="E1474" s="23"/>
      <c r="G1474" s="23"/>
      <c r="H1474" s="23"/>
      <c r="J1474" s="23"/>
      <c r="K1474" s="23"/>
      <c r="M1474" s="23"/>
      <c r="N1474" s="23"/>
      <c r="P1474" s="23"/>
    </row>
    <row r="1475" spans="2:16" x14ac:dyDescent="0.25">
      <c r="B1475" s="23"/>
      <c r="E1475" s="23"/>
      <c r="G1475" s="23"/>
      <c r="H1475" s="23"/>
      <c r="J1475" s="23"/>
      <c r="K1475" s="23"/>
      <c r="M1475" s="23"/>
      <c r="N1475" s="23"/>
      <c r="P1475" s="23"/>
    </row>
    <row r="1476" spans="2:16" x14ac:dyDescent="0.25">
      <c r="B1476" s="23"/>
      <c r="E1476" s="23"/>
      <c r="G1476" s="23"/>
      <c r="H1476" s="23"/>
      <c r="J1476" s="23"/>
      <c r="K1476" s="23"/>
      <c r="M1476" s="23"/>
      <c r="N1476" s="23"/>
      <c r="P1476" s="23"/>
    </row>
    <row r="1477" spans="2:16" x14ac:dyDescent="0.25">
      <c r="B1477" s="23"/>
      <c r="E1477" s="23"/>
      <c r="G1477" s="23"/>
      <c r="H1477" s="23"/>
      <c r="J1477" s="23"/>
      <c r="K1477" s="23"/>
      <c r="M1477" s="23"/>
      <c r="N1477" s="23"/>
      <c r="P1477" s="23"/>
    </row>
    <row r="1478" spans="2:16" x14ac:dyDescent="0.25">
      <c r="B1478" s="23"/>
      <c r="E1478" s="23"/>
      <c r="G1478" s="23"/>
      <c r="H1478" s="23"/>
      <c r="J1478" s="23"/>
      <c r="K1478" s="23"/>
      <c r="M1478" s="23"/>
      <c r="N1478" s="23"/>
      <c r="P1478" s="23"/>
    </row>
    <row r="1479" spans="2:16" x14ac:dyDescent="0.25">
      <c r="B1479" s="23"/>
      <c r="E1479" s="23"/>
      <c r="G1479" s="23"/>
      <c r="H1479" s="23"/>
      <c r="J1479" s="23"/>
      <c r="K1479" s="23"/>
      <c r="M1479" s="23"/>
      <c r="N1479" s="23"/>
      <c r="P1479" s="23"/>
    </row>
    <row r="1480" spans="2:16" x14ac:dyDescent="0.25">
      <c r="B1480" s="23"/>
      <c r="E1480" s="23"/>
      <c r="G1480" s="23"/>
      <c r="H1480" s="23"/>
      <c r="J1480" s="23"/>
      <c r="K1480" s="23"/>
      <c r="M1480" s="23"/>
      <c r="N1480" s="23"/>
      <c r="P1480" s="23"/>
    </row>
    <row r="1481" spans="2:16" x14ac:dyDescent="0.25">
      <c r="B1481" s="23"/>
      <c r="E1481" s="23"/>
      <c r="G1481" s="23"/>
      <c r="H1481" s="23"/>
      <c r="J1481" s="23"/>
      <c r="K1481" s="23"/>
      <c r="M1481" s="23"/>
      <c r="N1481" s="23"/>
      <c r="P1481" s="23"/>
    </row>
    <row r="1482" spans="2:16" x14ac:dyDescent="0.25">
      <c r="B1482" s="23"/>
      <c r="E1482" s="23"/>
      <c r="G1482" s="23"/>
      <c r="H1482" s="23"/>
      <c r="J1482" s="23"/>
      <c r="K1482" s="23"/>
      <c r="M1482" s="23"/>
      <c r="N1482" s="23"/>
      <c r="P1482" s="23"/>
    </row>
    <row r="1483" spans="2:16" x14ac:dyDescent="0.25">
      <c r="B1483" s="23"/>
      <c r="E1483" s="23"/>
      <c r="G1483" s="23"/>
      <c r="H1483" s="23"/>
      <c r="J1483" s="23"/>
      <c r="K1483" s="23"/>
      <c r="M1483" s="23"/>
      <c r="N1483" s="23"/>
      <c r="P1483" s="23"/>
    </row>
    <row r="1484" spans="2:16" x14ac:dyDescent="0.25">
      <c r="B1484" s="23"/>
      <c r="E1484" s="23"/>
      <c r="G1484" s="23"/>
      <c r="H1484" s="23"/>
      <c r="J1484" s="23"/>
      <c r="K1484" s="23"/>
      <c r="M1484" s="23"/>
      <c r="N1484" s="23"/>
      <c r="P1484" s="23"/>
    </row>
    <row r="1485" spans="2:16" x14ac:dyDescent="0.25">
      <c r="B1485" s="23"/>
      <c r="E1485" s="23"/>
      <c r="G1485" s="23"/>
      <c r="H1485" s="23"/>
      <c r="J1485" s="23"/>
      <c r="K1485" s="23"/>
      <c r="M1485" s="23"/>
      <c r="N1485" s="23"/>
      <c r="P1485" s="23"/>
    </row>
    <row r="1486" spans="2:16" x14ac:dyDescent="0.25">
      <c r="B1486" s="23"/>
      <c r="E1486" s="23"/>
      <c r="G1486" s="23"/>
      <c r="H1486" s="23"/>
      <c r="J1486" s="23"/>
      <c r="K1486" s="23"/>
      <c r="M1486" s="23"/>
      <c r="N1486" s="23"/>
      <c r="P1486" s="23"/>
    </row>
    <row r="1487" spans="2:16" x14ac:dyDescent="0.25">
      <c r="B1487" s="23"/>
      <c r="E1487" s="23"/>
      <c r="G1487" s="23"/>
      <c r="H1487" s="23"/>
      <c r="J1487" s="23"/>
      <c r="K1487" s="23"/>
      <c r="M1487" s="23"/>
      <c r="N1487" s="23"/>
      <c r="P1487" s="23"/>
    </row>
    <row r="1488" spans="2:16" x14ac:dyDescent="0.25">
      <c r="B1488" s="23"/>
      <c r="E1488" s="23"/>
      <c r="G1488" s="23"/>
      <c r="H1488" s="23"/>
      <c r="J1488" s="23"/>
      <c r="K1488" s="23"/>
      <c r="M1488" s="23"/>
      <c r="N1488" s="23"/>
      <c r="P1488" s="23"/>
    </row>
    <row r="1489" spans="2:16" x14ac:dyDescent="0.25">
      <c r="B1489" s="23"/>
      <c r="E1489" s="23"/>
      <c r="G1489" s="23"/>
      <c r="H1489" s="23"/>
      <c r="J1489" s="23"/>
      <c r="K1489" s="23"/>
      <c r="M1489" s="23"/>
      <c r="N1489" s="23"/>
      <c r="P1489" s="23"/>
    </row>
    <row r="1490" spans="2:16" x14ac:dyDescent="0.25">
      <c r="B1490" s="23"/>
      <c r="E1490" s="23"/>
      <c r="G1490" s="23"/>
      <c r="H1490" s="23"/>
      <c r="J1490" s="23"/>
      <c r="K1490" s="23"/>
      <c r="M1490" s="23"/>
      <c r="N1490" s="23"/>
      <c r="P1490" s="23"/>
    </row>
    <row r="1491" spans="2:16" x14ac:dyDescent="0.25">
      <c r="B1491" s="23"/>
      <c r="E1491" s="23"/>
      <c r="G1491" s="23"/>
      <c r="H1491" s="23"/>
      <c r="J1491" s="23"/>
      <c r="K1491" s="23"/>
      <c r="M1491" s="23"/>
      <c r="N1491" s="23"/>
      <c r="P1491" s="23"/>
    </row>
    <row r="1492" spans="2:16" x14ac:dyDescent="0.25">
      <c r="B1492" s="23"/>
      <c r="E1492" s="23"/>
      <c r="G1492" s="23"/>
      <c r="H1492" s="23"/>
      <c r="J1492" s="23"/>
      <c r="K1492" s="23"/>
      <c r="M1492" s="23"/>
      <c r="N1492" s="23"/>
      <c r="P1492" s="23"/>
    </row>
    <row r="1493" spans="2:16" x14ac:dyDescent="0.25">
      <c r="B1493" s="23"/>
      <c r="E1493" s="23"/>
      <c r="G1493" s="23"/>
      <c r="H1493" s="23"/>
      <c r="J1493" s="23"/>
      <c r="K1493" s="23"/>
      <c r="M1493" s="23"/>
      <c r="N1493" s="23"/>
      <c r="P1493" s="23"/>
    </row>
    <row r="1494" spans="2:16" x14ac:dyDescent="0.25">
      <c r="B1494" s="23"/>
      <c r="E1494" s="23"/>
      <c r="G1494" s="23"/>
      <c r="H1494" s="23"/>
      <c r="J1494" s="23"/>
      <c r="K1494" s="23"/>
      <c r="M1494" s="23"/>
      <c r="N1494" s="23"/>
      <c r="P1494" s="23"/>
    </row>
    <row r="1495" spans="2:16" x14ac:dyDescent="0.25">
      <c r="B1495" s="23"/>
      <c r="E1495" s="23"/>
      <c r="G1495" s="23"/>
      <c r="H1495" s="23"/>
      <c r="J1495" s="23"/>
      <c r="K1495" s="23"/>
      <c r="M1495" s="23"/>
      <c r="N1495" s="23"/>
      <c r="P1495" s="23"/>
    </row>
    <row r="1496" spans="2:16" x14ac:dyDescent="0.25">
      <c r="B1496" s="23"/>
      <c r="E1496" s="23"/>
      <c r="G1496" s="23"/>
      <c r="H1496" s="23"/>
      <c r="J1496" s="23"/>
      <c r="K1496" s="23"/>
      <c r="M1496" s="23"/>
      <c r="N1496" s="23"/>
      <c r="P1496" s="23"/>
    </row>
    <row r="1497" spans="2:16" x14ac:dyDescent="0.25">
      <c r="B1497" s="23"/>
      <c r="E1497" s="23"/>
      <c r="G1497" s="23"/>
      <c r="H1497" s="23"/>
      <c r="J1497" s="23"/>
      <c r="K1497" s="23"/>
      <c r="M1497" s="23"/>
      <c r="N1497" s="23"/>
      <c r="P1497" s="23"/>
    </row>
    <row r="1498" spans="2:16" x14ac:dyDescent="0.25">
      <c r="B1498" s="23"/>
      <c r="E1498" s="23"/>
      <c r="G1498" s="23"/>
      <c r="H1498" s="23"/>
      <c r="J1498" s="23"/>
      <c r="K1498" s="23"/>
      <c r="M1498" s="23"/>
      <c r="N1498" s="23"/>
      <c r="P1498" s="23"/>
    </row>
    <row r="1499" spans="2:16" x14ac:dyDescent="0.25">
      <c r="B1499" s="23"/>
      <c r="E1499" s="23"/>
      <c r="G1499" s="23"/>
      <c r="H1499" s="23"/>
      <c r="J1499" s="23"/>
      <c r="K1499" s="23"/>
      <c r="M1499" s="23"/>
      <c r="N1499" s="23"/>
      <c r="P1499" s="23"/>
    </row>
    <row r="1500" spans="2:16" x14ac:dyDescent="0.25">
      <c r="B1500" s="23"/>
      <c r="E1500" s="23"/>
      <c r="G1500" s="23"/>
      <c r="H1500" s="23"/>
      <c r="J1500" s="23"/>
      <c r="K1500" s="23"/>
      <c r="M1500" s="23"/>
      <c r="N1500" s="23"/>
      <c r="P1500" s="23"/>
    </row>
    <row r="1501" spans="2:16" x14ac:dyDescent="0.25">
      <c r="B1501" s="23"/>
      <c r="E1501" s="23"/>
      <c r="G1501" s="23"/>
      <c r="H1501" s="23"/>
      <c r="J1501" s="23"/>
      <c r="K1501" s="23"/>
      <c r="M1501" s="23"/>
      <c r="N1501" s="23"/>
      <c r="P1501" s="23"/>
    </row>
    <row r="1502" spans="2:16" x14ac:dyDescent="0.25">
      <c r="B1502" s="23"/>
      <c r="E1502" s="23"/>
      <c r="G1502" s="23"/>
      <c r="H1502" s="23"/>
      <c r="J1502" s="23"/>
      <c r="K1502" s="23"/>
      <c r="M1502" s="23"/>
      <c r="N1502" s="23"/>
      <c r="P1502" s="23"/>
    </row>
    <row r="1503" spans="2:16" x14ac:dyDescent="0.25">
      <c r="B1503" s="23"/>
      <c r="E1503" s="23"/>
      <c r="G1503" s="23"/>
      <c r="H1503" s="23"/>
      <c r="J1503" s="23"/>
      <c r="K1503" s="23"/>
      <c r="M1503" s="23"/>
      <c r="N1503" s="23"/>
      <c r="P1503" s="23"/>
    </row>
    <row r="1504" spans="2:16" x14ac:dyDescent="0.25">
      <c r="B1504" s="23"/>
      <c r="E1504" s="23"/>
      <c r="G1504" s="23"/>
      <c r="H1504" s="23"/>
      <c r="J1504" s="23"/>
      <c r="K1504" s="23"/>
      <c r="M1504" s="23"/>
      <c r="N1504" s="23"/>
      <c r="P1504" s="23"/>
    </row>
    <row r="1505" spans="2:16" x14ac:dyDescent="0.25">
      <c r="B1505" s="23"/>
      <c r="E1505" s="23"/>
      <c r="G1505" s="23"/>
      <c r="H1505" s="23"/>
      <c r="J1505" s="23"/>
      <c r="K1505" s="23"/>
      <c r="M1505" s="23"/>
      <c r="N1505" s="23"/>
      <c r="P1505" s="23"/>
    </row>
    <row r="1506" spans="2:16" x14ac:dyDescent="0.25">
      <c r="B1506" s="23"/>
      <c r="E1506" s="23"/>
      <c r="G1506" s="23"/>
      <c r="H1506" s="23"/>
      <c r="J1506" s="23"/>
      <c r="K1506" s="23"/>
      <c r="M1506" s="23"/>
      <c r="N1506" s="23"/>
      <c r="P1506" s="23"/>
    </row>
    <row r="1507" spans="2:16" x14ac:dyDescent="0.25">
      <c r="B1507" s="23"/>
      <c r="E1507" s="23"/>
      <c r="G1507" s="23"/>
      <c r="H1507" s="23"/>
      <c r="J1507" s="23"/>
      <c r="K1507" s="23"/>
      <c r="M1507" s="23"/>
      <c r="N1507" s="23"/>
      <c r="P1507" s="23"/>
    </row>
    <row r="1508" spans="2:16" x14ac:dyDescent="0.25">
      <c r="B1508" s="23"/>
      <c r="E1508" s="23"/>
      <c r="G1508" s="23"/>
      <c r="H1508" s="23"/>
      <c r="J1508" s="23"/>
      <c r="K1508" s="23"/>
      <c r="M1508" s="23"/>
      <c r="N1508" s="23"/>
      <c r="P1508" s="23"/>
    </row>
    <row r="1509" spans="2:16" x14ac:dyDescent="0.25">
      <c r="B1509" s="23"/>
      <c r="E1509" s="23"/>
      <c r="G1509" s="23"/>
      <c r="H1509" s="23"/>
      <c r="J1509" s="23"/>
      <c r="K1509" s="23"/>
      <c r="M1509" s="23"/>
      <c r="N1509" s="23"/>
      <c r="P1509" s="23"/>
    </row>
    <row r="1510" spans="2:16" x14ac:dyDescent="0.25">
      <c r="B1510" s="23"/>
      <c r="E1510" s="23"/>
      <c r="G1510" s="23"/>
      <c r="H1510" s="23"/>
      <c r="J1510" s="23"/>
      <c r="K1510" s="23"/>
      <c r="M1510" s="23"/>
      <c r="N1510" s="23"/>
      <c r="P1510" s="23"/>
    </row>
    <row r="1511" spans="2:16" x14ac:dyDescent="0.25">
      <c r="B1511" s="23"/>
      <c r="E1511" s="23"/>
      <c r="G1511" s="23"/>
      <c r="H1511" s="23"/>
      <c r="J1511" s="23"/>
      <c r="K1511" s="23"/>
      <c r="M1511" s="23"/>
      <c r="N1511" s="23"/>
      <c r="P1511" s="23"/>
    </row>
    <row r="1512" spans="2:16" x14ac:dyDescent="0.25">
      <c r="B1512" s="23"/>
      <c r="E1512" s="23"/>
      <c r="G1512" s="23"/>
      <c r="H1512" s="23"/>
      <c r="J1512" s="23"/>
      <c r="K1512" s="23"/>
      <c r="M1512" s="23"/>
      <c r="N1512" s="23"/>
      <c r="P1512" s="23"/>
    </row>
    <row r="1513" spans="2:16" x14ac:dyDescent="0.25">
      <c r="B1513" s="23"/>
      <c r="E1513" s="23"/>
      <c r="G1513" s="23"/>
      <c r="H1513" s="23"/>
      <c r="J1513" s="23"/>
      <c r="K1513" s="23"/>
      <c r="M1513" s="23"/>
      <c r="N1513" s="23"/>
      <c r="P1513" s="23"/>
    </row>
    <row r="1514" spans="2:16" x14ac:dyDescent="0.25">
      <c r="B1514" s="23"/>
      <c r="E1514" s="23"/>
      <c r="G1514" s="23"/>
      <c r="H1514" s="23"/>
      <c r="J1514" s="23"/>
      <c r="K1514" s="23"/>
      <c r="M1514" s="23"/>
      <c r="N1514" s="23"/>
      <c r="P1514" s="23"/>
    </row>
    <row r="1515" spans="2:16" x14ac:dyDescent="0.25">
      <c r="B1515" s="23"/>
      <c r="E1515" s="23"/>
      <c r="G1515" s="23"/>
      <c r="H1515" s="23"/>
      <c r="J1515" s="23"/>
      <c r="K1515" s="23"/>
      <c r="M1515" s="23"/>
      <c r="N1515" s="23"/>
      <c r="P1515" s="23"/>
    </row>
    <row r="1516" spans="2:16" x14ac:dyDescent="0.25">
      <c r="B1516" s="23"/>
      <c r="E1516" s="23"/>
      <c r="G1516" s="23"/>
      <c r="H1516" s="23"/>
      <c r="J1516" s="23"/>
      <c r="K1516" s="23"/>
      <c r="M1516" s="23"/>
      <c r="N1516" s="23"/>
      <c r="P1516" s="23"/>
    </row>
    <row r="1517" spans="2:16" x14ac:dyDescent="0.25">
      <c r="B1517" s="23"/>
      <c r="E1517" s="23"/>
      <c r="G1517" s="23"/>
      <c r="H1517" s="23"/>
      <c r="J1517" s="23"/>
      <c r="K1517" s="23"/>
      <c r="M1517" s="23"/>
      <c r="N1517" s="23"/>
      <c r="P1517" s="23"/>
    </row>
    <row r="1518" spans="2:16" x14ac:dyDescent="0.25">
      <c r="B1518" s="23"/>
      <c r="E1518" s="23"/>
      <c r="G1518" s="23"/>
      <c r="H1518" s="23"/>
      <c r="J1518" s="23"/>
      <c r="K1518" s="23"/>
      <c r="M1518" s="23"/>
      <c r="N1518" s="23"/>
      <c r="P1518" s="23"/>
    </row>
    <row r="1519" spans="2:16" x14ac:dyDescent="0.25">
      <c r="B1519" s="23"/>
      <c r="E1519" s="23"/>
      <c r="G1519" s="23"/>
      <c r="H1519" s="23"/>
      <c r="J1519" s="23"/>
      <c r="K1519" s="23"/>
      <c r="M1519" s="23"/>
      <c r="N1519" s="23"/>
      <c r="P1519" s="23"/>
    </row>
    <row r="1520" spans="2:16" x14ac:dyDescent="0.25">
      <c r="B1520" s="23"/>
      <c r="E1520" s="23"/>
      <c r="G1520" s="23"/>
      <c r="H1520" s="23"/>
      <c r="J1520" s="23"/>
      <c r="K1520" s="23"/>
      <c r="M1520" s="23"/>
      <c r="N1520" s="23"/>
      <c r="P1520" s="23"/>
    </row>
    <row r="1521" spans="2:16" x14ac:dyDescent="0.25">
      <c r="B1521" s="23"/>
      <c r="E1521" s="23"/>
      <c r="G1521" s="23"/>
      <c r="H1521" s="23"/>
      <c r="J1521" s="23"/>
      <c r="K1521" s="23"/>
      <c r="M1521" s="23"/>
      <c r="N1521" s="23"/>
      <c r="P1521" s="23"/>
    </row>
    <row r="1522" spans="2:16" x14ac:dyDescent="0.25">
      <c r="B1522" s="23"/>
      <c r="E1522" s="23"/>
      <c r="G1522" s="23"/>
      <c r="H1522" s="23"/>
      <c r="J1522" s="23"/>
      <c r="K1522" s="23"/>
      <c r="M1522" s="23"/>
      <c r="N1522" s="23"/>
      <c r="P1522" s="23"/>
    </row>
    <row r="1523" spans="2:16" x14ac:dyDescent="0.25">
      <c r="B1523" s="23"/>
      <c r="E1523" s="23"/>
      <c r="G1523" s="23"/>
      <c r="H1523" s="23"/>
      <c r="J1523" s="23"/>
      <c r="K1523" s="23"/>
      <c r="M1523" s="23"/>
      <c r="N1523" s="23"/>
      <c r="P1523" s="23"/>
    </row>
    <row r="1524" spans="2:16" x14ac:dyDescent="0.25">
      <c r="B1524" s="23"/>
      <c r="E1524" s="23"/>
      <c r="G1524" s="23"/>
      <c r="H1524" s="23"/>
      <c r="J1524" s="23"/>
      <c r="K1524" s="23"/>
      <c r="M1524" s="23"/>
      <c r="N1524" s="23"/>
      <c r="P1524" s="23"/>
    </row>
    <row r="1525" spans="2:16" x14ac:dyDescent="0.25">
      <c r="B1525" s="23"/>
      <c r="E1525" s="23"/>
      <c r="G1525" s="23"/>
      <c r="H1525" s="23"/>
      <c r="J1525" s="23"/>
      <c r="K1525" s="23"/>
      <c r="M1525" s="23"/>
      <c r="N1525" s="23"/>
      <c r="P1525" s="23"/>
    </row>
    <row r="1526" spans="2:16" x14ac:dyDescent="0.25">
      <c r="B1526" s="23"/>
      <c r="E1526" s="23"/>
      <c r="G1526" s="23"/>
      <c r="H1526" s="23"/>
      <c r="J1526" s="23"/>
      <c r="K1526" s="23"/>
      <c r="M1526" s="23"/>
      <c r="N1526" s="23"/>
      <c r="P1526" s="23"/>
    </row>
    <row r="1527" spans="2:16" x14ac:dyDescent="0.25">
      <c r="B1527" s="23"/>
      <c r="E1527" s="23"/>
      <c r="G1527" s="23"/>
      <c r="H1527" s="23"/>
      <c r="J1527" s="23"/>
      <c r="K1527" s="23"/>
      <c r="M1527" s="23"/>
      <c r="N1527" s="23"/>
      <c r="P1527" s="23"/>
    </row>
    <row r="1528" spans="2:16" x14ac:dyDescent="0.25">
      <c r="B1528" s="23"/>
      <c r="E1528" s="23"/>
      <c r="G1528" s="23"/>
      <c r="H1528" s="23"/>
      <c r="J1528" s="23"/>
      <c r="K1528" s="23"/>
      <c r="M1528" s="23"/>
      <c r="N1528" s="23"/>
      <c r="P1528" s="23"/>
    </row>
    <row r="1529" spans="2:16" x14ac:dyDescent="0.25">
      <c r="B1529" s="23"/>
      <c r="E1529" s="23"/>
      <c r="G1529" s="23"/>
      <c r="H1529" s="23"/>
      <c r="J1529" s="23"/>
      <c r="K1529" s="23"/>
      <c r="M1529" s="23"/>
      <c r="N1529" s="23"/>
      <c r="P1529" s="23"/>
    </row>
    <row r="1530" spans="2:16" x14ac:dyDescent="0.25">
      <c r="B1530" s="23"/>
      <c r="E1530" s="23"/>
      <c r="G1530" s="23"/>
      <c r="H1530" s="23"/>
      <c r="J1530" s="23"/>
      <c r="K1530" s="23"/>
      <c r="M1530" s="23"/>
      <c r="N1530" s="23"/>
      <c r="P1530" s="23"/>
    </row>
    <row r="1531" spans="2:16" x14ac:dyDescent="0.25">
      <c r="B1531" s="23"/>
      <c r="E1531" s="23"/>
      <c r="G1531" s="23"/>
      <c r="H1531" s="23"/>
      <c r="J1531" s="23"/>
      <c r="K1531" s="23"/>
      <c r="M1531" s="23"/>
      <c r="N1531" s="23"/>
      <c r="P1531" s="23"/>
    </row>
    <row r="1532" spans="2:16" x14ac:dyDescent="0.25">
      <c r="B1532" s="23"/>
      <c r="E1532" s="23"/>
      <c r="G1532" s="23"/>
      <c r="H1532" s="23"/>
      <c r="J1532" s="23"/>
      <c r="K1532" s="23"/>
      <c r="M1532" s="23"/>
      <c r="N1532" s="23"/>
      <c r="P1532" s="23"/>
    </row>
    <row r="1533" spans="2:16" x14ac:dyDescent="0.25">
      <c r="B1533" s="23"/>
      <c r="E1533" s="23"/>
      <c r="G1533" s="23"/>
      <c r="H1533" s="23"/>
      <c r="J1533" s="23"/>
      <c r="K1533" s="23"/>
      <c r="M1533" s="23"/>
      <c r="N1533" s="23"/>
      <c r="P1533" s="23"/>
    </row>
    <row r="1534" spans="2:16" x14ac:dyDescent="0.25">
      <c r="B1534" s="23"/>
      <c r="E1534" s="23"/>
      <c r="G1534" s="23"/>
      <c r="H1534" s="23"/>
      <c r="J1534" s="23"/>
      <c r="K1534" s="23"/>
      <c r="M1534" s="23"/>
      <c r="N1534" s="23"/>
      <c r="P1534" s="23"/>
    </row>
    <row r="1535" spans="2:16" x14ac:dyDescent="0.25">
      <c r="B1535" s="23"/>
      <c r="E1535" s="23"/>
      <c r="G1535" s="23"/>
      <c r="H1535" s="23"/>
      <c r="J1535" s="23"/>
      <c r="K1535" s="23"/>
      <c r="M1535" s="23"/>
      <c r="N1535" s="23"/>
      <c r="P1535" s="23"/>
    </row>
    <row r="1536" spans="2:16" x14ac:dyDescent="0.25">
      <c r="B1536" s="23"/>
      <c r="E1536" s="23"/>
      <c r="G1536" s="23"/>
      <c r="H1536" s="23"/>
      <c r="J1536" s="23"/>
      <c r="K1536" s="23"/>
      <c r="M1536" s="23"/>
      <c r="N1536" s="23"/>
      <c r="P1536" s="23"/>
    </row>
    <row r="1537" spans="2:16" x14ac:dyDescent="0.25">
      <c r="B1537" s="23"/>
      <c r="E1537" s="23"/>
      <c r="G1537" s="23"/>
      <c r="H1537" s="23"/>
      <c r="J1537" s="23"/>
      <c r="K1537" s="23"/>
      <c r="M1537" s="23"/>
      <c r="N1537" s="23"/>
      <c r="P1537" s="23"/>
    </row>
    <row r="1538" spans="2:16" x14ac:dyDescent="0.25">
      <c r="B1538" s="23"/>
      <c r="E1538" s="23"/>
      <c r="G1538" s="23"/>
      <c r="H1538" s="23"/>
      <c r="J1538" s="23"/>
      <c r="K1538" s="23"/>
      <c r="M1538" s="23"/>
      <c r="N1538" s="23"/>
      <c r="P1538" s="23"/>
    </row>
    <row r="1539" spans="2:16" x14ac:dyDescent="0.25">
      <c r="B1539" s="23"/>
      <c r="E1539" s="23"/>
      <c r="G1539" s="23"/>
      <c r="H1539" s="23"/>
      <c r="J1539" s="23"/>
      <c r="K1539" s="23"/>
      <c r="M1539" s="23"/>
      <c r="N1539" s="23"/>
      <c r="P1539" s="23"/>
    </row>
    <row r="1540" spans="2:16" x14ac:dyDescent="0.25">
      <c r="B1540" s="23"/>
      <c r="E1540" s="23"/>
      <c r="G1540" s="23"/>
      <c r="H1540" s="23"/>
      <c r="J1540" s="23"/>
      <c r="K1540" s="23"/>
      <c r="M1540" s="23"/>
      <c r="N1540" s="23"/>
      <c r="P1540" s="23"/>
    </row>
    <row r="1541" spans="2:16" x14ac:dyDescent="0.25">
      <c r="B1541" s="23"/>
      <c r="E1541" s="23"/>
      <c r="G1541" s="23"/>
      <c r="H1541" s="23"/>
      <c r="J1541" s="23"/>
      <c r="K1541" s="23"/>
      <c r="M1541" s="23"/>
      <c r="N1541" s="23"/>
      <c r="P1541" s="23"/>
    </row>
    <row r="1542" spans="2:16" x14ac:dyDescent="0.25">
      <c r="B1542" s="23"/>
      <c r="E1542" s="23"/>
      <c r="G1542" s="23"/>
      <c r="H1542" s="23"/>
      <c r="J1542" s="23"/>
      <c r="K1542" s="23"/>
      <c r="M1542" s="23"/>
      <c r="N1542" s="23"/>
      <c r="P1542" s="23"/>
    </row>
    <row r="1543" spans="2:16" x14ac:dyDescent="0.25">
      <c r="B1543" s="23"/>
      <c r="E1543" s="23"/>
      <c r="G1543" s="23"/>
      <c r="H1543" s="23"/>
      <c r="J1543" s="23"/>
      <c r="K1543" s="23"/>
      <c r="M1543" s="23"/>
      <c r="N1543" s="23"/>
      <c r="P1543" s="23"/>
    </row>
    <row r="1544" spans="2:16" x14ac:dyDescent="0.25">
      <c r="B1544" s="23"/>
      <c r="E1544" s="23"/>
      <c r="G1544" s="23"/>
      <c r="H1544" s="23"/>
      <c r="J1544" s="23"/>
      <c r="K1544" s="23"/>
      <c r="M1544" s="23"/>
      <c r="N1544" s="23"/>
      <c r="P1544" s="23"/>
    </row>
    <row r="1545" spans="2:16" x14ac:dyDescent="0.25">
      <c r="B1545" s="23"/>
      <c r="E1545" s="23"/>
      <c r="G1545" s="23"/>
      <c r="H1545" s="23"/>
      <c r="J1545" s="23"/>
      <c r="K1545" s="23"/>
      <c r="M1545" s="23"/>
      <c r="N1545" s="23"/>
      <c r="P1545" s="23"/>
    </row>
    <row r="1546" spans="2:16" x14ac:dyDescent="0.25">
      <c r="B1546" s="23"/>
      <c r="E1546" s="23"/>
      <c r="G1546" s="23"/>
      <c r="H1546" s="23"/>
      <c r="J1546" s="23"/>
      <c r="K1546" s="23"/>
      <c r="M1546" s="23"/>
      <c r="N1546" s="23"/>
      <c r="P1546" s="23"/>
    </row>
    <row r="1547" spans="2:16" x14ac:dyDescent="0.25">
      <c r="B1547" s="23"/>
      <c r="E1547" s="23"/>
      <c r="G1547" s="23"/>
      <c r="H1547" s="23"/>
      <c r="J1547" s="23"/>
      <c r="K1547" s="23"/>
      <c r="M1547" s="23"/>
      <c r="N1547" s="23"/>
      <c r="P1547" s="23"/>
    </row>
    <row r="1548" spans="2:16" x14ac:dyDescent="0.25">
      <c r="B1548" s="23"/>
      <c r="E1548" s="23"/>
      <c r="G1548" s="23"/>
      <c r="H1548" s="23"/>
      <c r="J1548" s="23"/>
      <c r="K1548" s="23"/>
      <c r="M1548" s="23"/>
      <c r="N1548" s="23"/>
      <c r="P1548" s="23"/>
    </row>
    <row r="1549" spans="2:16" x14ac:dyDescent="0.25">
      <c r="B1549" s="23"/>
      <c r="E1549" s="23"/>
      <c r="G1549" s="23"/>
      <c r="H1549" s="23"/>
      <c r="J1549" s="23"/>
      <c r="K1549" s="23"/>
      <c r="M1549" s="23"/>
      <c r="N1549" s="23"/>
      <c r="P1549" s="23"/>
    </row>
    <row r="1550" spans="2:16" x14ac:dyDescent="0.25">
      <c r="B1550" s="23"/>
      <c r="E1550" s="23"/>
      <c r="G1550" s="23"/>
      <c r="H1550" s="23"/>
      <c r="J1550" s="23"/>
      <c r="K1550" s="23"/>
      <c r="M1550" s="23"/>
      <c r="N1550" s="23"/>
      <c r="P1550" s="23"/>
    </row>
    <row r="1551" spans="2:16" x14ac:dyDescent="0.25">
      <c r="B1551" s="23"/>
      <c r="E1551" s="23"/>
      <c r="G1551" s="23"/>
      <c r="H1551" s="23"/>
      <c r="J1551" s="23"/>
      <c r="K1551" s="23"/>
      <c r="M1551" s="23"/>
      <c r="N1551" s="23"/>
      <c r="P1551" s="23"/>
    </row>
    <row r="1552" spans="2:16" x14ac:dyDescent="0.25">
      <c r="B1552" s="23"/>
      <c r="E1552" s="23"/>
      <c r="G1552" s="23"/>
      <c r="H1552" s="23"/>
      <c r="J1552" s="23"/>
      <c r="K1552" s="23"/>
      <c r="M1552" s="23"/>
      <c r="N1552" s="23"/>
      <c r="P1552" s="23"/>
    </row>
    <row r="1553" spans="2:16" x14ac:dyDescent="0.25">
      <c r="B1553" s="23"/>
      <c r="E1553" s="23"/>
      <c r="G1553" s="23"/>
      <c r="H1553" s="23"/>
      <c r="J1553" s="23"/>
      <c r="K1553" s="23"/>
      <c r="M1553" s="23"/>
      <c r="N1553" s="23"/>
      <c r="P1553" s="23"/>
    </row>
    <row r="1554" spans="2:16" x14ac:dyDescent="0.25">
      <c r="B1554" s="23"/>
      <c r="E1554" s="23"/>
      <c r="G1554" s="23"/>
      <c r="H1554" s="23"/>
      <c r="J1554" s="23"/>
      <c r="K1554" s="23"/>
      <c r="M1554" s="23"/>
      <c r="N1554" s="23"/>
      <c r="P1554" s="23"/>
    </row>
    <row r="1555" spans="2:16" x14ac:dyDescent="0.25">
      <c r="B1555" s="23"/>
      <c r="E1555" s="23"/>
      <c r="G1555" s="23"/>
      <c r="H1555" s="23"/>
      <c r="J1555" s="23"/>
      <c r="K1555" s="23"/>
      <c r="M1555" s="23"/>
      <c r="N1555" s="23"/>
      <c r="P1555" s="23"/>
    </row>
    <row r="1556" spans="2:16" x14ac:dyDescent="0.25">
      <c r="B1556" s="23"/>
      <c r="E1556" s="23"/>
      <c r="G1556" s="23"/>
      <c r="H1556" s="23"/>
      <c r="J1556" s="23"/>
      <c r="K1556" s="23"/>
      <c r="M1556" s="23"/>
      <c r="N1556" s="23"/>
      <c r="P1556" s="23"/>
    </row>
    <row r="1557" spans="2:16" x14ac:dyDescent="0.25">
      <c r="B1557" s="23"/>
      <c r="E1557" s="23"/>
      <c r="G1557" s="23"/>
      <c r="H1557" s="23"/>
      <c r="J1557" s="23"/>
      <c r="K1557" s="23"/>
      <c r="M1557" s="23"/>
      <c r="N1557" s="23"/>
      <c r="P1557" s="23"/>
    </row>
    <row r="1558" spans="2:16" x14ac:dyDescent="0.25">
      <c r="B1558" s="23"/>
      <c r="E1558" s="23"/>
      <c r="G1558" s="23"/>
      <c r="H1558" s="23"/>
      <c r="J1558" s="23"/>
      <c r="K1558" s="23"/>
      <c r="M1558" s="23"/>
      <c r="N1558" s="23"/>
      <c r="P1558" s="23"/>
    </row>
    <row r="1559" spans="2:16" x14ac:dyDescent="0.25">
      <c r="B1559" s="23"/>
      <c r="E1559" s="23"/>
      <c r="G1559" s="23"/>
      <c r="H1559" s="23"/>
      <c r="J1559" s="23"/>
      <c r="K1559" s="23"/>
      <c r="M1559" s="23"/>
      <c r="N1559" s="23"/>
      <c r="P1559" s="23"/>
    </row>
    <row r="1560" spans="2:16" x14ac:dyDescent="0.25">
      <c r="B1560" s="23"/>
      <c r="E1560" s="23"/>
      <c r="G1560" s="23"/>
      <c r="H1560" s="23"/>
      <c r="J1560" s="23"/>
      <c r="K1560" s="23"/>
      <c r="M1560" s="23"/>
      <c r="N1560" s="23"/>
      <c r="P1560" s="23"/>
    </row>
    <row r="1561" spans="2:16" x14ac:dyDescent="0.25">
      <c r="B1561" s="23"/>
      <c r="E1561" s="23"/>
      <c r="G1561" s="23"/>
      <c r="H1561" s="23"/>
      <c r="J1561" s="23"/>
      <c r="K1561" s="23"/>
      <c r="M1561" s="23"/>
      <c r="N1561" s="23"/>
      <c r="P1561" s="23"/>
    </row>
    <row r="1562" spans="2:16" x14ac:dyDescent="0.25">
      <c r="B1562" s="23"/>
      <c r="E1562" s="23"/>
      <c r="G1562" s="23"/>
      <c r="H1562" s="23"/>
      <c r="J1562" s="23"/>
      <c r="K1562" s="23"/>
      <c r="M1562" s="23"/>
      <c r="N1562" s="23"/>
      <c r="P1562" s="23"/>
    </row>
    <row r="1563" spans="2:16" x14ac:dyDescent="0.25">
      <c r="B1563" s="23"/>
      <c r="E1563" s="23"/>
      <c r="G1563" s="23"/>
      <c r="H1563" s="23"/>
      <c r="J1563" s="23"/>
      <c r="K1563" s="23"/>
      <c r="M1563" s="23"/>
      <c r="N1563" s="23"/>
      <c r="P1563" s="23"/>
    </row>
    <row r="1564" spans="2:16" x14ac:dyDescent="0.25">
      <c r="B1564" s="23"/>
      <c r="E1564" s="23"/>
      <c r="G1564" s="23"/>
      <c r="H1564" s="23"/>
      <c r="J1564" s="23"/>
      <c r="K1564" s="23"/>
      <c r="M1564" s="23"/>
      <c r="N1564" s="23"/>
      <c r="P1564" s="23"/>
    </row>
    <row r="1565" spans="2:16" x14ac:dyDescent="0.25">
      <c r="B1565" s="23"/>
      <c r="E1565" s="23"/>
      <c r="G1565" s="23"/>
      <c r="H1565" s="23"/>
      <c r="J1565" s="23"/>
      <c r="K1565" s="23"/>
      <c r="M1565" s="23"/>
      <c r="N1565" s="23"/>
      <c r="P1565" s="23"/>
    </row>
    <row r="1566" spans="2:16" x14ac:dyDescent="0.25">
      <c r="B1566" s="23"/>
      <c r="E1566" s="23"/>
      <c r="G1566" s="23"/>
      <c r="H1566" s="23"/>
      <c r="J1566" s="23"/>
      <c r="K1566" s="23"/>
      <c r="M1566" s="23"/>
      <c r="N1566" s="23"/>
      <c r="P1566" s="23"/>
    </row>
    <row r="1567" spans="2:16" x14ac:dyDescent="0.25">
      <c r="B1567" s="23"/>
      <c r="E1567" s="23"/>
      <c r="G1567" s="23"/>
      <c r="H1567" s="23"/>
      <c r="J1567" s="23"/>
      <c r="K1567" s="23"/>
      <c r="M1567" s="23"/>
      <c r="N1567" s="23"/>
      <c r="P1567" s="23"/>
    </row>
    <row r="1568" spans="2:16" x14ac:dyDescent="0.25">
      <c r="B1568" s="23"/>
      <c r="E1568" s="23"/>
      <c r="G1568" s="23"/>
      <c r="H1568" s="23"/>
      <c r="J1568" s="23"/>
      <c r="K1568" s="23"/>
      <c r="M1568" s="23"/>
      <c r="N1568" s="23"/>
      <c r="P1568" s="23"/>
    </row>
    <row r="1569" spans="2:16" x14ac:dyDescent="0.25">
      <c r="B1569" s="23"/>
      <c r="E1569" s="23"/>
      <c r="G1569" s="23"/>
      <c r="H1569" s="23"/>
      <c r="J1569" s="23"/>
      <c r="K1569" s="23"/>
      <c r="M1569" s="23"/>
      <c r="N1569" s="23"/>
      <c r="P1569" s="23"/>
    </row>
    <row r="1570" spans="2:16" x14ac:dyDescent="0.25">
      <c r="B1570" s="23"/>
      <c r="E1570" s="23"/>
      <c r="G1570" s="23"/>
      <c r="H1570" s="23"/>
      <c r="J1570" s="23"/>
      <c r="K1570" s="23"/>
      <c r="M1570" s="23"/>
      <c r="N1570" s="23"/>
      <c r="P1570" s="23"/>
    </row>
    <row r="1571" spans="2:16" x14ac:dyDescent="0.25">
      <c r="B1571" s="23"/>
      <c r="E1571" s="23"/>
      <c r="G1571" s="23"/>
      <c r="H1571" s="23"/>
      <c r="J1571" s="23"/>
      <c r="K1571" s="23"/>
      <c r="M1571" s="23"/>
      <c r="N1571" s="23"/>
      <c r="P1571" s="23"/>
    </row>
    <row r="1572" spans="2:16" x14ac:dyDescent="0.25">
      <c r="B1572" s="23"/>
      <c r="E1572" s="23"/>
      <c r="G1572" s="23"/>
      <c r="H1572" s="23"/>
      <c r="J1572" s="23"/>
      <c r="K1572" s="23"/>
      <c r="M1572" s="23"/>
      <c r="N1572" s="23"/>
      <c r="P1572" s="23"/>
    </row>
    <row r="1573" spans="2:16" x14ac:dyDescent="0.25">
      <c r="B1573" s="23"/>
      <c r="E1573" s="23"/>
      <c r="G1573" s="23"/>
      <c r="H1573" s="23"/>
      <c r="J1573" s="23"/>
      <c r="K1573" s="23"/>
      <c r="M1573" s="23"/>
      <c r="N1573" s="23"/>
      <c r="P1573" s="23"/>
    </row>
    <row r="1574" spans="2:16" x14ac:dyDescent="0.25">
      <c r="B1574" s="23"/>
      <c r="E1574" s="23"/>
      <c r="G1574" s="23"/>
      <c r="H1574" s="23"/>
      <c r="J1574" s="23"/>
      <c r="K1574" s="23"/>
      <c r="M1574" s="23"/>
      <c r="N1574" s="23"/>
      <c r="P1574" s="23"/>
    </row>
    <row r="1575" spans="2:16" x14ac:dyDescent="0.25">
      <c r="B1575" s="23"/>
      <c r="E1575" s="23"/>
      <c r="G1575" s="23"/>
      <c r="H1575" s="23"/>
      <c r="J1575" s="23"/>
      <c r="K1575" s="23"/>
      <c r="M1575" s="23"/>
      <c r="N1575" s="23"/>
      <c r="P1575" s="23"/>
    </row>
    <row r="1576" spans="2:16" x14ac:dyDescent="0.25">
      <c r="B1576" s="23"/>
      <c r="E1576" s="23"/>
      <c r="G1576" s="23"/>
      <c r="H1576" s="23"/>
      <c r="J1576" s="23"/>
      <c r="K1576" s="23"/>
      <c r="M1576" s="23"/>
      <c r="N1576" s="23"/>
      <c r="P1576" s="23"/>
    </row>
    <row r="1577" spans="2:16" x14ac:dyDescent="0.25">
      <c r="B1577" s="23"/>
      <c r="E1577" s="23"/>
      <c r="G1577" s="23"/>
      <c r="H1577" s="23"/>
      <c r="J1577" s="23"/>
      <c r="K1577" s="23"/>
      <c r="M1577" s="23"/>
      <c r="N1577" s="23"/>
      <c r="P1577" s="23"/>
    </row>
    <row r="1578" spans="2:16" x14ac:dyDescent="0.25">
      <c r="B1578" s="23"/>
      <c r="E1578" s="23"/>
      <c r="G1578" s="23"/>
      <c r="H1578" s="23"/>
      <c r="J1578" s="23"/>
      <c r="K1578" s="23"/>
      <c r="M1578" s="23"/>
      <c r="N1578" s="23"/>
      <c r="P1578" s="23"/>
    </row>
    <row r="1579" spans="2:16" x14ac:dyDescent="0.25">
      <c r="B1579" s="23"/>
      <c r="E1579" s="23"/>
      <c r="G1579" s="23"/>
      <c r="H1579" s="23"/>
      <c r="J1579" s="23"/>
      <c r="K1579" s="23"/>
      <c r="M1579" s="23"/>
      <c r="N1579" s="23"/>
      <c r="P1579" s="23"/>
    </row>
    <row r="1580" spans="2:16" x14ac:dyDescent="0.25">
      <c r="B1580" s="23"/>
      <c r="E1580" s="23"/>
      <c r="G1580" s="23"/>
      <c r="H1580" s="23"/>
      <c r="J1580" s="23"/>
      <c r="K1580" s="23"/>
      <c r="M1580" s="23"/>
      <c r="N1580" s="23"/>
      <c r="P1580" s="23"/>
    </row>
    <row r="1581" spans="2:16" x14ac:dyDescent="0.25">
      <c r="B1581" s="23"/>
      <c r="E1581" s="23"/>
      <c r="G1581" s="23"/>
      <c r="H1581" s="23"/>
      <c r="J1581" s="23"/>
      <c r="K1581" s="23"/>
      <c r="M1581" s="23"/>
      <c r="N1581" s="23"/>
      <c r="P1581" s="23"/>
    </row>
    <row r="1582" spans="2:16" x14ac:dyDescent="0.25">
      <c r="B1582" s="23"/>
      <c r="E1582" s="23"/>
      <c r="G1582" s="23"/>
      <c r="H1582" s="23"/>
      <c r="J1582" s="23"/>
      <c r="K1582" s="23"/>
      <c r="M1582" s="23"/>
      <c r="N1582" s="23"/>
      <c r="P1582" s="23"/>
    </row>
    <row r="1583" spans="2:16" x14ac:dyDescent="0.25">
      <c r="B1583" s="23"/>
      <c r="E1583" s="23"/>
      <c r="G1583" s="23"/>
      <c r="H1583" s="23"/>
      <c r="J1583" s="23"/>
      <c r="K1583" s="23"/>
      <c r="M1583" s="23"/>
      <c r="N1583" s="23"/>
      <c r="P1583" s="23"/>
    </row>
    <row r="1584" spans="2:16" x14ac:dyDescent="0.25">
      <c r="B1584" s="23"/>
      <c r="E1584" s="23"/>
      <c r="G1584" s="23"/>
      <c r="H1584" s="23"/>
      <c r="J1584" s="23"/>
      <c r="K1584" s="23"/>
      <c r="M1584" s="23"/>
      <c r="N1584" s="23"/>
      <c r="P1584" s="23"/>
    </row>
    <row r="1585" spans="2:16" x14ac:dyDescent="0.25">
      <c r="B1585" s="23"/>
      <c r="E1585" s="23"/>
      <c r="G1585" s="23"/>
      <c r="H1585" s="23"/>
      <c r="J1585" s="23"/>
      <c r="K1585" s="23"/>
      <c r="M1585" s="23"/>
      <c r="N1585" s="23"/>
      <c r="P1585" s="23"/>
    </row>
    <row r="1586" spans="2:16" x14ac:dyDescent="0.25">
      <c r="B1586" s="23"/>
      <c r="E1586" s="23"/>
      <c r="G1586" s="23"/>
      <c r="H1586" s="23"/>
      <c r="J1586" s="23"/>
      <c r="K1586" s="23"/>
      <c r="M1586" s="23"/>
      <c r="N1586" s="23"/>
      <c r="P1586" s="23"/>
    </row>
    <row r="1587" spans="2:16" x14ac:dyDescent="0.25">
      <c r="B1587" s="23"/>
      <c r="E1587" s="23"/>
      <c r="G1587" s="23"/>
      <c r="H1587" s="23"/>
      <c r="J1587" s="23"/>
      <c r="K1587" s="23"/>
      <c r="M1587" s="23"/>
      <c r="N1587" s="23"/>
      <c r="P1587" s="23"/>
    </row>
    <row r="1588" spans="2:16" x14ac:dyDescent="0.25">
      <c r="B1588" s="23"/>
      <c r="E1588" s="23"/>
      <c r="G1588" s="23"/>
      <c r="H1588" s="23"/>
      <c r="J1588" s="23"/>
      <c r="K1588" s="23"/>
      <c r="M1588" s="23"/>
      <c r="N1588" s="23"/>
      <c r="P1588" s="23"/>
    </row>
    <row r="1589" spans="2:16" x14ac:dyDescent="0.25">
      <c r="B1589" s="23"/>
      <c r="E1589" s="23"/>
      <c r="G1589" s="23"/>
      <c r="H1589" s="23"/>
      <c r="J1589" s="23"/>
      <c r="K1589" s="23"/>
      <c r="M1589" s="23"/>
      <c r="N1589" s="23"/>
      <c r="P1589" s="23"/>
    </row>
    <row r="1590" spans="2:16" x14ac:dyDescent="0.25">
      <c r="B1590" s="23"/>
      <c r="E1590" s="23"/>
      <c r="G1590" s="23"/>
      <c r="H1590" s="23"/>
      <c r="J1590" s="23"/>
      <c r="K1590" s="23"/>
      <c r="M1590" s="23"/>
      <c r="N1590" s="23"/>
      <c r="P1590" s="23"/>
    </row>
    <row r="1591" spans="2:16" x14ac:dyDescent="0.25">
      <c r="B1591" s="23"/>
      <c r="E1591" s="23"/>
      <c r="G1591" s="23"/>
      <c r="H1591" s="23"/>
      <c r="J1591" s="23"/>
      <c r="K1591" s="23"/>
      <c r="M1591" s="23"/>
      <c r="N1591" s="23"/>
      <c r="P1591" s="23"/>
    </row>
    <row r="1592" spans="2:16" x14ac:dyDescent="0.25">
      <c r="B1592" s="23"/>
      <c r="E1592" s="23"/>
      <c r="G1592" s="23"/>
      <c r="H1592" s="23"/>
      <c r="J1592" s="23"/>
      <c r="K1592" s="23"/>
      <c r="M1592" s="23"/>
      <c r="N1592" s="23"/>
      <c r="P1592" s="23"/>
    </row>
    <row r="1593" spans="2:16" x14ac:dyDescent="0.25">
      <c r="B1593" s="23"/>
      <c r="E1593" s="23"/>
      <c r="G1593" s="23"/>
      <c r="H1593" s="23"/>
      <c r="J1593" s="23"/>
      <c r="K1593" s="23"/>
      <c r="M1593" s="23"/>
      <c r="N1593" s="23"/>
      <c r="P1593" s="23"/>
    </row>
    <row r="1594" spans="2:16" x14ac:dyDescent="0.25">
      <c r="B1594" s="23"/>
      <c r="E1594" s="23"/>
      <c r="G1594" s="23"/>
      <c r="H1594" s="23"/>
      <c r="J1594" s="23"/>
      <c r="K1594" s="23"/>
      <c r="M1594" s="23"/>
      <c r="N1594" s="23"/>
      <c r="P1594" s="23"/>
    </row>
    <row r="1595" spans="2:16" x14ac:dyDescent="0.25">
      <c r="B1595" s="23"/>
      <c r="E1595" s="23"/>
      <c r="G1595" s="23"/>
      <c r="H1595" s="23"/>
      <c r="J1595" s="23"/>
      <c r="K1595" s="23"/>
      <c r="M1595" s="23"/>
      <c r="N1595" s="23"/>
      <c r="P1595" s="23"/>
    </row>
    <row r="1596" spans="2:16" x14ac:dyDescent="0.25">
      <c r="B1596" s="23"/>
      <c r="E1596" s="23"/>
      <c r="G1596" s="23"/>
      <c r="H1596" s="23"/>
      <c r="J1596" s="23"/>
      <c r="K1596" s="23"/>
      <c r="M1596" s="23"/>
      <c r="N1596" s="23"/>
      <c r="P1596" s="23"/>
    </row>
    <row r="1597" spans="2:16" x14ac:dyDescent="0.25">
      <c r="B1597" s="23"/>
      <c r="E1597" s="23"/>
      <c r="G1597" s="23"/>
      <c r="H1597" s="23"/>
      <c r="J1597" s="23"/>
      <c r="K1597" s="23"/>
      <c r="M1597" s="23"/>
      <c r="N1597" s="23"/>
      <c r="P1597" s="23"/>
    </row>
    <row r="1598" spans="2:16" x14ac:dyDescent="0.25">
      <c r="B1598" s="23"/>
      <c r="E1598" s="23"/>
      <c r="G1598" s="23"/>
      <c r="H1598" s="23"/>
      <c r="J1598" s="23"/>
      <c r="K1598" s="23"/>
      <c r="M1598" s="23"/>
      <c r="N1598" s="23"/>
      <c r="P1598" s="23"/>
    </row>
    <row r="1599" spans="2:16" x14ac:dyDescent="0.25">
      <c r="B1599" s="23"/>
      <c r="E1599" s="23"/>
      <c r="G1599" s="23"/>
      <c r="H1599" s="23"/>
      <c r="J1599" s="23"/>
      <c r="K1599" s="23"/>
      <c r="M1599" s="23"/>
      <c r="N1599" s="23"/>
      <c r="P1599" s="23"/>
    </row>
    <row r="1600" spans="2:16" x14ac:dyDescent="0.25">
      <c r="B1600" s="23"/>
      <c r="E1600" s="23"/>
      <c r="G1600" s="23"/>
      <c r="H1600" s="23"/>
      <c r="J1600" s="23"/>
      <c r="K1600" s="23"/>
      <c r="M1600" s="23"/>
      <c r="N1600" s="23"/>
      <c r="P1600" s="23"/>
    </row>
    <row r="1601" spans="2:16" x14ac:dyDescent="0.25">
      <c r="B1601" s="23"/>
      <c r="E1601" s="23"/>
      <c r="G1601" s="23"/>
      <c r="H1601" s="23"/>
      <c r="J1601" s="23"/>
      <c r="K1601" s="23"/>
      <c r="M1601" s="23"/>
      <c r="N1601" s="23"/>
      <c r="P1601" s="23"/>
    </row>
    <row r="1602" spans="2:16" x14ac:dyDescent="0.25">
      <c r="B1602" s="23"/>
      <c r="E1602" s="23"/>
      <c r="G1602" s="23"/>
      <c r="H1602" s="23"/>
      <c r="J1602" s="23"/>
      <c r="K1602" s="23"/>
      <c r="M1602" s="23"/>
      <c r="N1602" s="23"/>
      <c r="P1602" s="23"/>
    </row>
    <row r="1603" spans="2:16" x14ac:dyDescent="0.25">
      <c r="B1603" s="23"/>
      <c r="E1603" s="23"/>
      <c r="G1603" s="23"/>
      <c r="H1603" s="23"/>
      <c r="J1603" s="23"/>
      <c r="K1603" s="23"/>
      <c r="M1603" s="23"/>
      <c r="N1603" s="23"/>
      <c r="P1603" s="23"/>
    </row>
    <row r="1604" spans="2:16" x14ac:dyDescent="0.25">
      <c r="B1604" s="23"/>
      <c r="E1604" s="23"/>
      <c r="G1604" s="23"/>
      <c r="H1604" s="23"/>
      <c r="J1604" s="23"/>
      <c r="K1604" s="23"/>
      <c r="M1604" s="23"/>
      <c r="N1604" s="23"/>
      <c r="P1604" s="23"/>
    </row>
    <row r="1605" spans="2:16" x14ac:dyDescent="0.25">
      <c r="B1605" s="23"/>
      <c r="E1605" s="23"/>
      <c r="G1605" s="23"/>
      <c r="H1605" s="23"/>
      <c r="J1605" s="23"/>
      <c r="K1605" s="23"/>
      <c r="M1605" s="23"/>
      <c r="N1605" s="23"/>
      <c r="P1605" s="23"/>
    </row>
    <row r="1606" spans="2:16" x14ac:dyDescent="0.25">
      <c r="B1606" s="23"/>
      <c r="E1606" s="23"/>
      <c r="G1606" s="23"/>
      <c r="H1606" s="23"/>
      <c r="J1606" s="23"/>
      <c r="K1606" s="23"/>
      <c r="M1606" s="23"/>
      <c r="N1606" s="23"/>
      <c r="P1606" s="23"/>
    </row>
    <row r="1607" spans="2:16" x14ac:dyDescent="0.25">
      <c r="B1607" s="23"/>
      <c r="E1607" s="23"/>
      <c r="G1607" s="23"/>
      <c r="H1607" s="23"/>
      <c r="J1607" s="23"/>
      <c r="K1607" s="23"/>
      <c r="M1607" s="23"/>
      <c r="N1607" s="23"/>
      <c r="P1607" s="23"/>
    </row>
    <row r="1608" spans="2:16" x14ac:dyDescent="0.25">
      <c r="B1608" s="23"/>
      <c r="E1608" s="23"/>
      <c r="G1608" s="23"/>
      <c r="H1608" s="23"/>
      <c r="J1608" s="23"/>
      <c r="K1608" s="23"/>
      <c r="M1608" s="23"/>
      <c r="N1608" s="23"/>
      <c r="P1608" s="23"/>
    </row>
    <row r="1609" spans="2:16" x14ac:dyDescent="0.25">
      <c r="B1609" s="23"/>
      <c r="E1609" s="23"/>
      <c r="G1609" s="23"/>
      <c r="H1609" s="23"/>
      <c r="J1609" s="23"/>
      <c r="K1609" s="23"/>
      <c r="M1609" s="23"/>
      <c r="N1609" s="23"/>
      <c r="P1609" s="23"/>
    </row>
    <row r="1610" spans="2:16" x14ac:dyDescent="0.25">
      <c r="B1610" s="23"/>
      <c r="E1610" s="23"/>
      <c r="G1610" s="23"/>
      <c r="H1610" s="23"/>
      <c r="J1610" s="23"/>
      <c r="K1610" s="23"/>
      <c r="M1610" s="23"/>
      <c r="N1610" s="23"/>
      <c r="P1610" s="23"/>
    </row>
    <row r="1611" spans="2:16" x14ac:dyDescent="0.25">
      <c r="B1611" s="23"/>
      <c r="E1611" s="23"/>
      <c r="G1611" s="23"/>
      <c r="H1611" s="23"/>
      <c r="J1611" s="23"/>
      <c r="K1611" s="23"/>
      <c r="M1611" s="23"/>
      <c r="N1611" s="23"/>
      <c r="P1611" s="23"/>
    </row>
    <row r="1612" spans="2:16" x14ac:dyDescent="0.25">
      <c r="B1612" s="23"/>
      <c r="E1612" s="23"/>
      <c r="G1612" s="23"/>
      <c r="H1612" s="23"/>
      <c r="J1612" s="23"/>
      <c r="K1612" s="23"/>
      <c r="M1612" s="23"/>
      <c r="N1612" s="23"/>
      <c r="P1612" s="23"/>
    </row>
    <row r="1613" spans="2:16" x14ac:dyDescent="0.25">
      <c r="B1613" s="23"/>
      <c r="E1613" s="23"/>
      <c r="G1613" s="23"/>
      <c r="H1613" s="23"/>
      <c r="J1613" s="23"/>
      <c r="K1613" s="23"/>
      <c r="M1613" s="23"/>
      <c r="N1613" s="23"/>
      <c r="P1613" s="23"/>
    </row>
    <row r="1614" spans="2:16" x14ac:dyDescent="0.25">
      <c r="B1614" s="23"/>
      <c r="E1614" s="23"/>
      <c r="G1614" s="23"/>
      <c r="H1614" s="23"/>
      <c r="J1614" s="23"/>
      <c r="K1614" s="23"/>
      <c r="M1614" s="23"/>
      <c r="N1614" s="23"/>
      <c r="P1614" s="23"/>
    </row>
    <row r="1615" spans="2:16" x14ac:dyDescent="0.25">
      <c r="B1615" s="23"/>
      <c r="E1615" s="23"/>
      <c r="G1615" s="23"/>
      <c r="H1615" s="23"/>
      <c r="J1615" s="23"/>
      <c r="K1615" s="23"/>
      <c r="M1615" s="23"/>
      <c r="N1615" s="23"/>
      <c r="P1615" s="23"/>
    </row>
    <row r="1616" spans="2:16" x14ac:dyDescent="0.25">
      <c r="B1616" s="23"/>
      <c r="E1616" s="23"/>
      <c r="G1616" s="23"/>
      <c r="H1616" s="23"/>
      <c r="J1616" s="23"/>
      <c r="K1616" s="23"/>
      <c r="M1616" s="23"/>
      <c r="N1616" s="23"/>
      <c r="P1616" s="23"/>
    </row>
    <row r="1617" spans="2:16" x14ac:dyDescent="0.25">
      <c r="B1617" s="23"/>
      <c r="E1617" s="23"/>
      <c r="G1617" s="23"/>
      <c r="H1617" s="23"/>
      <c r="J1617" s="23"/>
      <c r="K1617" s="23"/>
      <c r="M1617" s="23"/>
      <c r="N1617" s="23"/>
      <c r="P1617" s="23"/>
    </row>
    <row r="1618" spans="2:16" x14ac:dyDescent="0.25">
      <c r="B1618" s="23"/>
      <c r="E1618" s="23"/>
      <c r="G1618" s="23"/>
      <c r="H1618" s="23"/>
      <c r="J1618" s="23"/>
      <c r="K1618" s="23"/>
      <c r="M1618" s="23"/>
      <c r="N1618" s="23"/>
      <c r="P1618" s="23"/>
    </row>
    <row r="1619" spans="2:16" x14ac:dyDescent="0.25">
      <c r="B1619" s="23"/>
      <c r="E1619" s="23"/>
      <c r="G1619" s="23"/>
      <c r="H1619" s="23"/>
      <c r="J1619" s="23"/>
      <c r="K1619" s="23"/>
      <c r="M1619" s="23"/>
      <c r="N1619" s="23"/>
      <c r="P1619" s="23"/>
    </row>
    <row r="1620" spans="2:16" x14ac:dyDescent="0.25">
      <c r="B1620" s="23"/>
      <c r="E1620" s="23"/>
      <c r="G1620" s="23"/>
      <c r="H1620" s="23"/>
      <c r="J1620" s="23"/>
      <c r="K1620" s="23"/>
      <c r="M1620" s="23"/>
      <c r="N1620" s="23"/>
      <c r="P1620" s="23"/>
    </row>
    <row r="1621" spans="2:16" x14ac:dyDescent="0.25">
      <c r="B1621" s="23"/>
      <c r="E1621" s="23"/>
      <c r="G1621" s="23"/>
      <c r="H1621" s="23"/>
      <c r="J1621" s="23"/>
      <c r="K1621" s="23"/>
      <c r="M1621" s="23"/>
      <c r="N1621" s="23"/>
      <c r="P1621" s="23"/>
    </row>
    <row r="1622" spans="2:16" x14ac:dyDescent="0.25">
      <c r="B1622" s="23"/>
      <c r="E1622" s="23"/>
      <c r="G1622" s="23"/>
      <c r="H1622" s="23"/>
      <c r="J1622" s="23"/>
      <c r="K1622" s="23"/>
      <c r="M1622" s="23"/>
      <c r="N1622" s="23"/>
      <c r="P1622" s="23"/>
    </row>
    <row r="1623" spans="2:16" x14ac:dyDescent="0.25">
      <c r="B1623" s="23"/>
      <c r="E1623" s="23"/>
      <c r="G1623" s="23"/>
      <c r="H1623" s="23"/>
      <c r="J1623" s="23"/>
      <c r="K1623" s="23"/>
      <c r="M1623" s="23"/>
      <c r="N1623" s="23"/>
      <c r="P1623" s="23"/>
    </row>
    <row r="1624" spans="2:16" x14ac:dyDescent="0.25">
      <c r="B1624" s="23"/>
      <c r="E1624" s="23"/>
      <c r="G1624" s="23"/>
      <c r="H1624" s="23"/>
      <c r="J1624" s="23"/>
      <c r="K1624" s="23"/>
      <c r="M1624" s="23"/>
      <c r="N1624" s="23"/>
      <c r="P1624" s="23"/>
    </row>
    <row r="1625" spans="2:16" x14ac:dyDescent="0.25">
      <c r="B1625" s="23"/>
      <c r="E1625" s="23"/>
      <c r="G1625" s="23"/>
      <c r="H1625" s="23"/>
      <c r="J1625" s="23"/>
      <c r="K1625" s="23"/>
      <c r="M1625" s="23"/>
      <c r="N1625" s="23"/>
      <c r="P1625" s="23"/>
    </row>
    <row r="1626" spans="2:16" x14ac:dyDescent="0.25">
      <c r="B1626" s="23"/>
      <c r="E1626" s="23"/>
      <c r="G1626" s="23"/>
      <c r="H1626" s="23"/>
      <c r="J1626" s="23"/>
      <c r="K1626" s="23"/>
      <c r="M1626" s="23"/>
      <c r="N1626" s="23"/>
      <c r="P1626" s="23"/>
    </row>
    <row r="1627" spans="2:16" x14ac:dyDescent="0.25">
      <c r="B1627" s="23"/>
      <c r="E1627" s="23"/>
      <c r="G1627" s="23"/>
      <c r="H1627" s="23"/>
      <c r="J1627" s="23"/>
      <c r="K1627" s="23"/>
      <c r="M1627" s="23"/>
      <c r="N1627" s="23"/>
      <c r="P1627" s="23"/>
    </row>
    <row r="1628" spans="2:16" x14ac:dyDescent="0.25">
      <c r="B1628" s="23"/>
      <c r="E1628" s="23"/>
      <c r="G1628" s="23"/>
      <c r="H1628" s="23"/>
      <c r="J1628" s="23"/>
      <c r="K1628" s="23"/>
      <c r="M1628" s="23"/>
      <c r="N1628" s="23"/>
      <c r="P1628" s="23"/>
    </row>
    <row r="1629" spans="2:16" x14ac:dyDescent="0.25">
      <c r="B1629" s="23"/>
      <c r="E1629" s="23"/>
      <c r="G1629" s="23"/>
      <c r="H1629" s="23"/>
      <c r="J1629" s="23"/>
      <c r="K1629" s="23"/>
      <c r="M1629" s="23"/>
      <c r="N1629" s="23"/>
      <c r="P1629" s="23"/>
    </row>
    <row r="1630" spans="2:16" x14ac:dyDescent="0.25">
      <c r="B1630" s="23"/>
      <c r="E1630" s="23"/>
      <c r="G1630" s="23"/>
      <c r="H1630" s="23"/>
      <c r="J1630" s="23"/>
      <c r="K1630" s="23"/>
      <c r="M1630" s="23"/>
      <c r="N1630" s="23"/>
      <c r="P1630" s="23"/>
    </row>
    <row r="1631" spans="2:16" x14ac:dyDescent="0.25">
      <c r="B1631" s="23"/>
      <c r="E1631" s="23"/>
      <c r="G1631" s="23"/>
      <c r="H1631" s="23"/>
      <c r="J1631" s="23"/>
      <c r="K1631" s="23"/>
      <c r="M1631" s="23"/>
      <c r="N1631" s="23"/>
      <c r="P1631" s="23"/>
    </row>
    <row r="1632" spans="2:16" x14ac:dyDescent="0.25">
      <c r="B1632" s="23"/>
      <c r="E1632" s="23"/>
      <c r="G1632" s="23"/>
      <c r="H1632" s="23"/>
      <c r="J1632" s="23"/>
      <c r="K1632" s="23"/>
      <c r="M1632" s="23"/>
      <c r="N1632" s="23"/>
      <c r="P1632" s="23"/>
    </row>
    <row r="1633" spans="2:16" x14ac:dyDescent="0.25">
      <c r="B1633" s="23"/>
      <c r="E1633" s="23"/>
      <c r="G1633" s="23"/>
      <c r="H1633" s="23"/>
      <c r="J1633" s="23"/>
      <c r="K1633" s="23"/>
      <c r="M1633" s="23"/>
      <c r="N1633" s="23"/>
      <c r="P1633" s="23"/>
    </row>
    <row r="1634" spans="2:16" x14ac:dyDescent="0.25">
      <c r="B1634" s="23"/>
      <c r="E1634" s="23"/>
      <c r="G1634" s="23"/>
      <c r="H1634" s="23"/>
      <c r="J1634" s="23"/>
      <c r="K1634" s="23"/>
      <c r="M1634" s="23"/>
      <c r="N1634" s="23"/>
      <c r="P1634" s="23"/>
    </row>
    <row r="1635" spans="2:16" x14ac:dyDescent="0.25">
      <c r="B1635" s="23"/>
      <c r="E1635" s="23"/>
      <c r="G1635" s="23"/>
      <c r="H1635" s="23"/>
      <c r="J1635" s="23"/>
      <c r="K1635" s="23"/>
      <c r="M1635" s="23"/>
      <c r="N1635" s="23"/>
      <c r="P1635" s="23"/>
    </row>
    <row r="1636" spans="2:16" x14ac:dyDescent="0.25">
      <c r="B1636" s="23"/>
      <c r="E1636" s="23"/>
      <c r="G1636" s="23"/>
      <c r="H1636" s="23"/>
      <c r="J1636" s="23"/>
      <c r="K1636" s="23"/>
      <c r="M1636" s="23"/>
      <c r="N1636" s="23"/>
      <c r="P1636" s="23"/>
    </row>
    <row r="1637" spans="2:16" x14ac:dyDescent="0.25">
      <c r="B1637" s="23"/>
      <c r="E1637" s="23"/>
      <c r="G1637" s="23"/>
      <c r="H1637" s="23"/>
      <c r="J1637" s="23"/>
      <c r="K1637" s="23"/>
      <c r="M1637" s="23"/>
      <c r="N1637" s="23"/>
      <c r="P1637" s="23"/>
    </row>
    <row r="1638" spans="2:16" x14ac:dyDescent="0.25">
      <c r="B1638" s="23"/>
      <c r="E1638" s="23"/>
      <c r="G1638" s="23"/>
      <c r="H1638" s="23"/>
      <c r="J1638" s="23"/>
      <c r="K1638" s="23"/>
      <c r="M1638" s="23"/>
      <c r="N1638" s="23"/>
      <c r="P1638" s="23"/>
    </row>
    <row r="1639" spans="2:16" x14ac:dyDescent="0.25">
      <c r="B1639" s="23"/>
      <c r="E1639" s="23"/>
      <c r="G1639" s="23"/>
      <c r="H1639" s="23"/>
      <c r="J1639" s="23"/>
      <c r="K1639" s="23"/>
      <c r="M1639" s="23"/>
      <c r="N1639" s="23"/>
      <c r="P1639" s="23"/>
    </row>
    <row r="1640" spans="2:16" x14ac:dyDescent="0.25">
      <c r="B1640" s="23"/>
      <c r="E1640" s="23"/>
      <c r="G1640" s="23"/>
      <c r="H1640" s="23"/>
      <c r="J1640" s="23"/>
      <c r="K1640" s="23"/>
      <c r="M1640" s="23"/>
      <c r="N1640" s="23"/>
      <c r="P1640" s="23"/>
    </row>
    <row r="1641" spans="2:16" x14ac:dyDescent="0.25">
      <c r="B1641" s="23"/>
      <c r="E1641" s="23"/>
      <c r="G1641" s="23"/>
      <c r="H1641" s="23"/>
      <c r="J1641" s="23"/>
      <c r="K1641" s="23"/>
      <c r="M1641" s="23"/>
      <c r="N1641" s="23"/>
      <c r="P1641" s="23"/>
    </row>
    <row r="1642" spans="2:16" x14ac:dyDescent="0.25">
      <c r="B1642" s="23"/>
      <c r="E1642" s="23"/>
      <c r="G1642" s="23"/>
      <c r="H1642" s="23"/>
      <c r="J1642" s="23"/>
      <c r="K1642" s="23"/>
      <c r="M1642" s="23"/>
      <c r="N1642" s="23"/>
      <c r="P1642" s="23"/>
    </row>
    <row r="1643" spans="2:16" x14ac:dyDescent="0.25">
      <c r="B1643" s="23"/>
      <c r="E1643" s="23"/>
      <c r="G1643" s="23"/>
      <c r="H1643" s="23"/>
      <c r="J1643" s="23"/>
      <c r="K1643" s="23"/>
      <c r="M1643" s="23"/>
      <c r="N1643" s="23"/>
      <c r="P1643" s="23"/>
    </row>
    <row r="1644" spans="2:16" x14ac:dyDescent="0.25">
      <c r="B1644" s="23"/>
      <c r="E1644" s="23"/>
      <c r="G1644" s="23"/>
      <c r="H1644" s="23"/>
      <c r="J1644" s="23"/>
      <c r="K1644" s="23"/>
      <c r="M1644" s="23"/>
      <c r="N1644" s="23"/>
      <c r="P1644" s="23"/>
    </row>
    <row r="1645" spans="2:16" x14ac:dyDescent="0.25">
      <c r="B1645" s="23"/>
      <c r="E1645" s="23"/>
      <c r="G1645" s="23"/>
      <c r="H1645" s="23"/>
      <c r="J1645" s="23"/>
      <c r="K1645" s="23"/>
      <c r="M1645" s="23"/>
      <c r="N1645" s="23"/>
      <c r="P1645" s="23"/>
    </row>
    <row r="1646" spans="2:16" x14ac:dyDescent="0.25">
      <c r="B1646" s="23"/>
      <c r="E1646" s="23"/>
      <c r="G1646" s="23"/>
      <c r="H1646" s="23"/>
      <c r="J1646" s="23"/>
      <c r="K1646" s="23"/>
      <c r="M1646" s="23"/>
      <c r="N1646" s="23"/>
      <c r="P1646" s="23"/>
    </row>
    <row r="1647" spans="2:16" x14ac:dyDescent="0.25">
      <c r="B1647" s="23"/>
      <c r="E1647" s="23"/>
      <c r="G1647" s="23"/>
      <c r="H1647" s="23"/>
      <c r="J1647" s="23"/>
      <c r="K1647" s="23"/>
      <c r="M1647" s="23"/>
      <c r="N1647" s="23"/>
      <c r="P1647" s="23"/>
    </row>
    <row r="1648" spans="2:16" x14ac:dyDescent="0.25">
      <c r="B1648" s="23"/>
      <c r="E1648" s="23"/>
      <c r="G1648" s="23"/>
      <c r="H1648" s="23"/>
      <c r="J1648" s="23"/>
      <c r="K1648" s="23"/>
      <c r="M1648" s="23"/>
      <c r="N1648" s="23"/>
      <c r="P1648" s="23"/>
    </row>
    <row r="1649" spans="2:16" x14ac:dyDescent="0.25">
      <c r="B1649" s="23"/>
      <c r="E1649" s="23"/>
      <c r="G1649" s="23"/>
      <c r="H1649" s="23"/>
      <c r="J1649" s="23"/>
      <c r="K1649" s="23"/>
      <c r="M1649" s="23"/>
      <c r="N1649" s="23"/>
      <c r="P1649" s="23"/>
    </row>
    <row r="1650" spans="2:16" x14ac:dyDescent="0.25">
      <c r="B1650" s="23"/>
      <c r="E1650" s="23"/>
      <c r="G1650" s="23"/>
      <c r="H1650" s="23"/>
      <c r="J1650" s="23"/>
      <c r="K1650" s="23"/>
      <c r="M1650" s="23"/>
      <c r="N1650" s="23"/>
      <c r="P1650" s="23"/>
    </row>
    <row r="1651" spans="2:16" x14ac:dyDescent="0.25">
      <c r="B1651" s="23"/>
      <c r="E1651" s="23"/>
      <c r="G1651" s="23"/>
      <c r="H1651" s="23"/>
      <c r="J1651" s="23"/>
      <c r="K1651" s="23"/>
      <c r="M1651" s="23"/>
      <c r="N1651" s="23"/>
      <c r="P1651" s="23"/>
    </row>
    <row r="1652" spans="2:16" x14ac:dyDescent="0.25">
      <c r="B1652" s="23"/>
      <c r="E1652" s="23"/>
      <c r="G1652" s="23"/>
      <c r="H1652" s="23"/>
      <c r="J1652" s="23"/>
      <c r="K1652" s="23"/>
      <c r="M1652" s="23"/>
      <c r="N1652" s="23"/>
      <c r="P1652" s="23"/>
    </row>
    <row r="1653" spans="2:16" x14ac:dyDescent="0.25">
      <c r="B1653" s="23"/>
      <c r="E1653" s="23"/>
      <c r="G1653" s="23"/>
      <c r="H1653" s="23"/>
      <c r="J1653" s="23"/>
      <c r="K1653" s="23"/>
      <c r="M1653" s="23"/>
      <c r="N1653" s="23"/>
      <c r="P1653" s="23"/>
    </row>
    <row r="1654" spans="2:16" x14ac:dyDescent="0.25">
      <c r="B1654" s="23"/>
      <c r="E1654" s="23"/>
      <c r="G1654" s="23"/>
      <c r="H1654" s="23"/>
      <c r="J1654" s="23"/>
      <c r="K1654" s="23"/>
      <c r="M1654" s="23"/>
      <c r="N1654" s="23"/>
      <c r="P1654" s="23"/>
    </row>
    <row r="1655" spans="2:16" x14ac:dyDescent="0.25">
      <c r="B1655" s="23"/>
      <c r="E1655" s="23"/>
      <c r="G1655" s="23"/>
      <c r="H1655" s="23"/>
      <c r="J1655" s="23"/>
      <c r="K1655" s="23"/>
      <c r="M1655" s="23"/>
      <c r="N1655" s="23"/>
      <c r="P1655" s="23"/>
    </row>
    <row r="1656" spans="2:16" x14ac:dyDescent="0.25">
      <c r="B1656" s="23"/>
      <c r="E1656" s="23"/>
      <c r="G1656" s="23"/>
      <c r="H1656" s="23"/>
      <c r="J1656" s="23"/>
      <c r="K1656" s="23"/>
      <c r="M1656" s="23"/>
      <c r="N1656" s="23"/>
      <c r="P1656" s="23"/>
    </row>
    <row r="1657" spans="2:16" x14ac:dyDescent="0.25">
      <c r="B1657" s="23"/>
      <c r="E1657" s="23"/>
      <c r="G1657" s="23"/>
      <c r="H1657" s="23"/>
      <c r="J1657" s="23"/>
      <c r="K1657" s="23"/>
      <c r="M1657" s="23"/>
      <c r="N1657" s="23"/>
      <c r="P1657" s="23"/>
    </row>
    <row r="1658" spans="2:16" x14ac:dyDescent="0.25">
      <c r="B1658" s="23"/>
      <c r="E1658" s="23"/>
      <c r="G1658" s="23"/>
      <c r="H1658" s="23"/>
      <c r="J1658" s="23"/>
      <c r="K1658" s="23"/>
      <c r="M1658" s="23"/>
      <c r="N1658" s="23"/>
      <c r="P1658" s="23"/>
    </row>
    <row r="1659" spans="2:16" x14ac:dyDescent="0.25">
      <c r="B1659" s="23"/>
      <c r="E1659" s="23"/>
      <c r="G1659" s="23"/>
      <c r="H1659" s="23"/>
      <c r="J1659" s="23"/>
      <c r="K1659" s="23"/>
      <c r="M1659" s="23"/>
      <c r="N1659" s="23"/>
      <c r="P1659" s="23"/>
    </row>
    <row r="1660" spans="2:16" x14ac:dyDescent="0.25">
      <c r="B1660" s="23"/>
      <c r="E1660" s="23"/>
      <c r="G1660" s="23"/>
      <c r="H1660" s="23"/>
      <c r="J1660" s="23"/>
      <c r="K1660" s="23"/>
      <c r="M1660" s="23"/>
      <c r="N1660" s="23"/>
      <c r="P1660" s="23"/>
    </row>
    <row r="1661" spans="2:16" x14ac:dyDescent="0.25">
      <c r="B1661" s="23"/>
      <c r="E1661" s="23"/>
      <c r="G1661" s="23"/>
      <c r="H1661" s="23"/>
      <c r="J1661" s="23"/>
      <c r="K1661" s="23"/>
      <c r="M1661" s="23"/>
      <c r="N1661" s="23"/>
      <c r="P1661" s="23"/>
    </row>
    <row r="1662" spans="2:16" x14ac:dyDescent="0.25">
      <c r="B1662" s="23"/>
      <c r="E1662" s="23"/>
      <c r="G1662" s="23"/>
      <c r="H1662" s="23"/>
      <c r="J1662" s="23"/>
      <c r="K1662" s="23"/>
      <c r="M1662" s="23"/>
      <c r="N1662" s="23"/>
      <c r="P1662" s="23"/>
    </row>
    <row r="1663" spans="2:16" x14ac:dyDescent="0.25">
      <c r="B1663" s="23"/>
      <c r="E1663" s="23"/>
      <c r="G1663" s="23"/>
      <c r="H1663" s="23"/>
      <c r="J1663" s="23"/>
      <c r="K1663" s="23"/>
      <c r="M1663" s="23"/>
      <c r="N1663" s="23"/>
      <c r="P1663" s="23"/>
    </row>
    <row r="1664" spans="2:16" x14ac:dyDescent="0.25">
      <c r="B1664" s="23"/>
      <c r="E1664" s="23"/>
      <c r="G1664" s="23"/>
      <c r="H1664" s="23"/>
      <c r="J1664" s="23"/>
      <c r="K1664" s="23"/>
      <c r="M1664" s="23"/>
      <c r="N1664" s="23"/>
      <c r="P1664" s="23"/>
    </row>
    <row r="1665" spans="2:16" x14ac:dyDescent="0.25">
      <c r="B1665" s="23"/>
      <c r="E1665" s="23"/>
      <c r="G1665" s="23"/>
      <c r="H1665" s="23"/>
      <c r="J1665" s="23"/>
      <c r="K1665" s="23"/>
      <c r="M1665" s="23"/>
      <c r="N1665" s="23"/>
      <c r="P1665" s="23"/>
    </row>
    <row r="1666" spans="2:16" x14ac:dyDescent="0.25">
      <c r="B1666" s="23"/>
      <c r="E1666" s="23"/>
      <c r="G1666" s="23"/>
      <c r="H1666" s="23"/>
      <c r="J1666" s="23"/>
      <c r="K1666" s="23"/>
      <c r="M1666" s="23"/>
      <c r="N1666" s="23"/>
      <c r="P1666" s="23"/>
    </row>
    <row r="1667" spans="2:16" x14ac:dyDescent="0.25">
      <c r="B1667" s="23"/>
      <c r="E1667" s="23"/>
      <c r="G1667" s="23"/>
      <c r="H1667" s="23"/>
      <c r="J1667" s="23"/>
      <c r="K1667" s="23"/>
      <c r="M1667" s="23"/>
      <c r="N1667" s="23"/>
      <c r="P1667" s="23"/>
    </row>
    <row r="1668" spans="2:16" x14ac:dyDescent="0.25">
      <c r="B1668" s="23"/>
      <c r="E1668" s="23"/>
      <c r="G1668" s="23"/>
      <c r="H1668" s="23"/>
      <c r="J1668" s="23"/>
      <c r="K1668" s="23"/>
      <c r="M1668" s="23"/>
      <c r="N1668" s="23"/>
      <c r="P1668" s="23"/>
    </row>
    <row r="1669" spans="2:16" x14ac:dyDescent="0.25">
      <c r="B1669" s="23"/>
      <c r="E1669" s="23"/>
      <c r="G1669" s="23"/>
      <c r="H1669" s="23"/>
      <c r="J1669" s="23"/>
      <c r="K1669" s="23"/>
      <c r="M1669" s="23"/>
      <c r="N1669" s="23"/>
      <c r="P1669" s="23"/>
    </row>
    <row r="1670" spans="2:16" x14ac:dyDescent="0.25">
      <c r="B1670" s="23"/>
      <c r="E1670" s="23"/>
      <c r="G1670" s="23"/>
      <c r="H1670" s="23"/>
      <c r="J1670" s="23"/>
      <c r="K1670" s="23"/>
      <c r="M1670" s="23"/>
      <c r="N1670" s="23"/>
      <c r="P1670" s="23"/>
    </row>
    <row r="1671" spans="2:16" x14ac:dyDescent="0.25">
      <c r="B1671" s="23"/>
      <c r="E1671" s="23"/>
      <c r="G1671" s="23"/>
      <c r="H1671" s="23"/>
      <c r="J1671" s="23"/>
      <c r="K1671" s="23"/>
      <c r="M1671" s="23"/>
      <c r="N1671" s="23"/>
      <c r="P1671" s="23"/>
    </row>
    <row r="1672" spans="2:16" x14ac:dyDescent="0.25">
      <c r="B1672" s="23"/>
      <c r="E1672" s="23"/>
      <c r="G1672" s="23"/>
      <c r="H1672" s="23"/>
      <c r="J1672" s="23"/>
      <c r="K1672" s="23"/>
      <c r="M1672" s="23"/>
      <c r="N1672" s="23"/>
      <c r="P1672" s="23"/>
    </row>
    <row r="1673" spans="2:16" x14ac:dyDescent="0.25">
      <c r="B1673" s="23"/>
      <c r="E1673" s="23"/>
      <c r="G1673" s="23"/>
      <c r="H1673" s="23"/>
      <c r="J1673" s="23"/>
      <c r="K1673" s="23"/>
      <c r="M1673" s="23"/>
      <c r="N1673" s="23"/>
      <c r="P1673" s="23"/>
    </row>
    <row r="1674" spans="2:16" x14ac:dyDescent="0.25">
      <c r="B1674" s="23"/>
      <c r="E1674" s="23"/>
      <c r="G1674" s="23"/>
      <c r="H1674" s="23"/>
      <c r="J1674" s="23"/>
      <c r="K1674" s="23"/>
      <c r="M1674" s="23"/>
      <c r="N1674" s="23"/>
      <c r="P1674" s="23"/>
    </row>
    <row r="1675" spans="2:16" x14ac:dyDescent="0.25">
      <c r="B1675" s="23"/>
      <c r="E1675" s="23"/>
      <c r="G1675" s="23"/>
      <c r="H1675" s="23"/>
      <c r="J1675" s="23"/>
      <c r="K1675" s="23"/>
      <c r="M1675" s="23"/>
      <c r="N1675" s="23"/>
      <c r="P1675" s="23"/>
    </row>
    <row r="1676" spans="2:16" x14ac:dyDescent="0.25">
      <c r="B1676" s="23"/>
      <c r="E1676" s="23"/>
      <c r="G1676" s="23"/>
      <c r="H1676" s="23"/>
      <c r="J1676" s="23"/>
      <c r="K1676" s="23"/>
      <c r="M1676" s="23"/>
      <c r="N1676" s="23"/>
      <c r="P1676" s="23"/>
    </row>
    <row r="1677" spans="2:16" x14ac:dyDescent="0.25">
      <c r="B1677" s="23"/>
      <c r="E1677" s="23"/>
      <c r="G1677" s="23"/>
      <c r="H1677" s="23"/>
      <c r="J1677" s="23"/>
      <c r="K1677" s="23"/>
      <c r="M1677" s="23"/>
      <c r="N1677" s="23"/>
      <c r="P1677" s="23"/>
    </row>
    <row r="1678" spans="2:16" x14ac:dyDescent="0.25">
      <c r="B1678" s="23"/>
      <c r="E1678" s="23"/>
      <c r="G1678" s="23"/>
      <c r="H1678" s="23"/>
      <c r="J1678" s="23"/>
      <c r="K1678" s="23"/>
      <c r="M1678" s="23"/>
      <c r="N1678" s="23"/>
      <c r="P1678" s="23"/>
    </row>
    <row r="1679" spans="2:16" x14ac:dyDescent="0.25">
      <c r="B1679" s="23"/>
      <c r="E1679" s="23"/>
      <c r="G1679" s="23"/>
      <c r="H1679" s="23"/>
      <c r="J1679" s="23"/>
      <c r="K1679" s="23"/>
      <c r="M1679" s="23"/>
      <c r="N1679" s="23"/>
      <c r="P1679" s="23"/>
    </row>
    <row r="1680" spans="2:16" x14ac:dyDescent="0.25">
      <c r="B1680" s="23"/>
      <c r="E1680" s="23"/>
      <c r="G1680" s="23"/>
      <c r="H1680" s="23"/>
      <c r="J1680" s="23"/>
      <c r="K1680" s="23"/>
      <c r="M1680" s="23"/>
      <c r="N1680" s="23"/>
      <c r="P1680" s="23"/>
    </row>
    <row r="1681" spans="2:16" x14ac:dyDescent="0.25">
      <c r="B1681" s="23"/>
      <c r="E1681" s="23"/>
      <c r="G1681" s="23"/>
      <c r="H1681" s="23"/>
      <c r="J1681" s="23"/>
      <c r="K1681" s="23"/>
      <c r="M1681" s="23"/>
      <c r="N1681" s="23"/>
      <c r="P1681" s="23"/>
    </row>
    <row r="1682" spans="2:16" x14ac:dyDescent="0.25">
      <c r="B1682" s="23"/>
      <c r="E1682" s="23"/>
      <c r="G1682" s="23"/>
      <c r="H1682" s="23"/>
      <c r="J1682" s="23"/>
      <c r="K1682" s="23"/>
      <c r="M1682" s="23"/>
      <c r="N1682" s="23"/>
      <c r="P1682" s="23"/>
    </row>
    <row r="1683" spans="2:16" x14ac:dyDescent="0.25">
      <c r="B1683" s="23"/>
      <c r="E1683" s="23"/>
      <c r="G1683" s="23"/>
      <c r="H1683" s="23"/>
      <c r="J1683" s="23"/>
      <c r="K1683" s="23"/>
      <c r="M1683" s="23"/>
      <c r="N1683" s="23"/>
      <c r="P1683" s="23"/>
    </row>
    <row r="1684" spans="2:16" x14ac:dyDescent="0.25">
      <c r="B1684" s="23"/>
      <c r="E1684" s="23"/>
      <c r="G1684" s="23"/>
      <c r="H1684" s="23"/>
      <c r="J1684" s="23"/>
      <c r="K1684" s="23"/>
      <c r="M1684" s="23"/>
      <c r="N1684" s="23"/>
      <c r="P1684" s="23"/>
    </row>
    <row r="1685" spans="2:16" x14ac:dyDescent="0.25">
      <c r="B1685" s="23"/>
      <c r="E1685" s="23"/>
      <c r="G1685" s="23"/>
      <c r="H1685" s="23"/>
      <c r="J1685" s="23"/>
      <c r="K1685" s="23"/>
      <c r="M1685" s="23"/>
      <c r="N1685" s="23"/>
      <c r="P1685" s="23"/>
    </row>
    <row r="1686" spans="2:16" x14ac:dyDescent="0.25">
      <c r="B1686" s="23"/>
      <c r="E1686" s="23"/>
      <c r="G1686" s="23"/>
      <c r="H1686" s="23"/>
      <c r="J1686" s="23"/>
      <c r="K1686" s="23"/>
      <c r="M1686" s="23"/>
      <c r="N1686" s="23"/>
      <c r="P1686" s="23"/>
    </row>
    <row r="1687" spans="2:16" x14ac:dyDescent="0.25">
      <c r="B1687" s="23"/>
      <c r="E1687" s="23"/>
      <c r="G1687" s="23"/>
      <c r="H1687" s="23"/>
      <c r="J1687" s="23"/>
      <c r="K1687" s="23"/>
      <c r="M1687" s="23"/>
      <c r="N1687" s="23"/>
      <c r="P1687" s="23"/>
    </row>
    <row r="1688" spans="2:16" x14ac:dyDescent="0.25">
      <c r="B1688" s="23"/>
      <c r="E1688" s="23"/>
      <c r="G1688" s="23"/>
      <c r="H1688" s="23"/>
      <c r="J1688" s="23"/>
      <c r="K1688" s="23"/>
      <c r="M1688" s="23"/>
      <c r="N1688" s="23"/>
      <c r="P1688" s="23"/>
    </row>
    <row r="1689" spans="2:16" x14ac:dyDescent="0.25">
      <c r="B1689" s="23"/>
      <c r="E1689" s="23"/>
      <c r="G1689" s="23"/>
      <c r="H1689" s="23"/>
      <c r="J1689" s="23"/>
      <c r="K1689" s="23"/>
      <c r="M1689" s="23"/>
      <c r="N1689" s="23"/>
      <c r="P1689" s="23"/>
    </row>
    <row r="1690" spans="2:16" x14ac:dyDescent="0.25">
      <c r="B1690" s="23"/>
      <c r="E1690" s="23"/>
      <c r="G1690" s="23"/>
      <c r="H1690" s="23"/>
      <c r="J1690" s="23"/>
      <c r="K1690" s="23"/>
      <c r="M1690" s="23"/>
      <c r="N1690" s="23"/>
      <c r="P1690" s="23"/>
    </row>
    <row r="1691" spans="2:16" x14ac:dyDescent="0.25">
      <c r="B1691" s="23"/>
      <c r="E1691" s="23"/>
      <c r="G1691" s="23"/>
      <c r="H1691" s="23"/>
      <c r="J1691" s="23"/>
      <c r="K1691" s="23"/>
      <c r="M1691" s="23"/>
      <c r="N1691" s="23"/>
      <c r="P1691" s="23"/>
    </row>
    <row r="1692" spans="2:16" x14ac:dyDescent="0.25">
      <c r="B1692" s="23"/>
      <c r="E1692" s="23"/>
      <c r="G1692" s="23"/>
      <c r="H1692" s="23"/>
      <c r="J1692" s="23"/>
      <c r="K1692" s="23"/>
      <c r="M1692" s="23"/>
      <c r="N1692" s="23"/>
      <c r="P1692" s="23"/>
    </row>
    <row r="1693" spans="2:16" x14ac:dyDescent="0.25">
      <c r="B1693" s="23"/>
      <c r="E1693" s="23"/>
      <c r="G1693" s="23"/>
      <c r="H1693" s="23"/>
      <c r="J1693" s="23"/>
      <c r="K1693" s="23"/>
      <c r="M1693" s="23"/>
      <c r="N1693" s="23"/>
      <c r="P1693" s="23"/>
    </row>
    <row r="1694" spans="2:16" x14ac:dyDescent="0.25">
      <c r="B1694" s="23"/>
      <c r="E1694" s="23"/>
      <c r="G1694" s="23"/>
      <c r="H1694" s="23"/>
      <c r="J1694" s="23"/>
      <c r="K1694" s="23"/>
      <c r="M1694" s="23"/>
      <c r="N1694" s="23"/>
      <c r="P1694" s="23"/>
    </row>
    <row r="1695" spans="2:16" x14ac:dyDescent="0.25">
      <c r="B1695" s="23"/>
      <c r="E1695" s="23"/>
      <c r="G1695" s="23"/>
      <c r="H1695" s="23"/>
      <c r="J1695" s="23"/>
      <c r="K1695" s="23"/>
      <c r="M1695" s="23"/>
      <c r="N1695" s="23"/>
      <c r="P1695" s="23"/>
    </row>
    <row r="1696" spans="2:16" x14ac:dyDescent="0.25">
      <c r="B1696" s="23"/>
      <c r="E1696" s="23"/>
      <c r="G1696" s="23"/>
      <c r="H1696" s="23"/>
      <c r="J1696" s="23"/>
      <c r="K1696" s="23"/>
      <c r="M1696" s="23"/>
      <c r="N1696" s="23"/>
      <c r="P1696" s="23"/>
    </row>
    <row r="1697" spans="2:16" x14ac:dyDescent="0.25">
      <c r="B1697" s="23"/>
      <c r="E1697" s="23"/>
      <c r="G1697" s="23"/>
      <c r="H1697" s="23"/>
      <c r="J1697" s="23"/>
      <c r="K1697" s="23"/>
      <c r="M1697" s="23"/>
      <c r="N1697" s="23"/>
      <c r="P1697" s="23"/>
    </row>
    <row r="1698" spans="2:16" x14ac:dyDescent="0.25">
      <c r="B1698" s="23"/>
      <c r="E1698" s="23"/>
      <c r="G1698" s="23"/>
      <c r="H1698" s="23"/>
      <c r="J1698" s="23"/>
      <c r="K1698" s="23"/>
      <c r="M1698" s="23"/>
      <c r="N1698" s="23"/>
      <c r="P1698" s="23"/>
    </row>
    <row r="1699" spans="2:16" x14ac:dyDescent="0.25">
      <c r="B1699" s="23"/>
      <c r="E1699" s="23"/>
      <c r="G1699" s="23"/>
      <c r="H1699" s="23"/>
      <c r="J1699" s="23"/>
      <c r="K1699" s="23"/>
      <c r="M1699" s="23"/>
      <c r="N1699" s="23"/>
      <c r="P1699" s="23"/>
    </row>
    <row r="1700" spans="2:16" x14ac:dyDescent="0.25">
      <c r="B1700" s="23"/>
      <c r="E1700" s="23"/>
      <c r="G1700" s="23"/>
      <c r="H1700" s="23"/>
      <c r="J1700" s="23"/>
      <c r="K1700" s="23"/>
      <c r="M1700" s="23"/>
      <c r="N1700" s="23"/>
      <c r="P1700" s="23"/>
    </row>
    <row r="1701" spans="2:16" x14ac:dyDescent="0.25">
      <c r="B1701" s="23"/>
      <c r="E1701" s="23"/>
      <c r="G1701" s="23"/>
      <c r="H1701" s="23"/>
      <c r="J1701" s="23"/>
      <c r="K1701" s="23"/>
      <c r="M1701" s="23"/>
      <c r="N1701" s="23"/>
      <c r="P1701" s="23"/>
    </row>
    <row r="1702" spans="2:16" x14ac:dyDescent="0.25">
      <c r="B1702" s="23"/>
      <c r="E1702" s="23"/>
      <c r="G1702" s="23"/>
      <c r="H1702" s="23"/>
      <c r="J1702" s="23"/>
      <c r="K1702" s="23"/>
      <c r="M1702" s="23"/>
      <c r="N1702" s="23"/>
      <c r="P1702" s="23"/>
    </row>
    <row r="1703" spans="2:16" x14ac:dyDescent="0.25">
      <c r="B1703" s="23"/>
      <c r="E1703" s="23"/>
      <c r="G1703" s="23"/>
      <c r="H1703" s="23"/>
      <c r="J1703" s="23"/>
      <c r="K1703" s="23"/>
      <c r="M1703" s="23"/>
      <c r="N1703" s="23"/>
      <c r="P1703" s="23"/>
    </row>
    <row r="1704" spans="2:16" x14ac:dyDescent="0.25">
      <c r="B1704" s="23"/>
      <c r="E1704" s="23"/>
      <c r="G1704" s="23"/>
      <c r="H1704" s="23"/>
      <c r="J1704" s="23"/>
      <c r="K1704" s="23"/>
      <c r="M1704" s="23"/>
      <c r="N1704" s="23"/>
      <c r="P1704" s="23"/>
    </row>
    <row r="1705" spans="2:16" x14ac:dyDescent="0.25">
      <c r="B1705" s="23"/>
      <c r="E1705" s="23"/>
      <c r="G1705" s="23"/>
      <c r="H1705" s="23"/>
      <c r="J1705" s="23"/>
      <c r="K1705" s="23"/>
      <c r="M1705" s="23"/>
      <c r="N1705" s="23"/>
      <c r="P1705" s="23"/>
    </row>
    <row r="1706" spans="2:16" x14ac:dyDescent="0.25">
      <c r="B1706" s="23"/>
      <c r="E1706" s="23"/>
      <c r="G1706" s="23"/>
      <c r="H1706" s="23"/>
      <c r="J1706" s="23"/>
      <c r="K1706" s="23"/>
      <c r="M1706" s="23"/>
      <c r="N1706" s="23"/>
      <c r="P1706" s="23"/>
    </row>
    <row r="1707" spans="2:16" x14ac:dyDescent="0.25">
      <c r="B1707" s="23"/>
      <c r="E1707" s="23"/>
      <c r="G1707" s="23"/>
      <c r="H1707" s="23"/>
      <c r="J1707" s="23"/>
      <c r="K1707" s="23"/>
      <c r="M1707" s="23"/>
      <c r="N1707" s="23"/>
      <c r="P1707" s="23"/>
    </row>
    <row r="1708" spans="2:16" x14ac:dyDescent="0.25">
      <c r="B1708" s="23"/>
      <c r="E1708" s="23"/>
      <c r="G1708" s="23"/>
      <c r="H1708" s="23"/>
      <c r="J1708" s="23"/>
      <c r="K1708" s="23"/>
      <c r="M1708" s="23"/>
      <c r="N1708" s="23"/>
      <c r="P1708" s="23"/>
    </row>
    <row r="1709" spans="2:16" x14ac:dyDescent="0.25">
      <c r="B1709" s="23"/>
      <c r="E1709" s="23"/>
      <c r="G1709" s="23"/>
      <c r="H1709" s="23"/>
      <c r="J1709" s="23"/>
      <c r="K1709" s="23"/>
      <c r="M1709" s="23"/>
      <c r="N1709" s="23"/>
      <c r="P1709" s="23"/>
    </row>
    <row r="1710" spans="2:16" x14ac:dyDescent="0.25">
      <c r="B1710" s="23"/>
      <c r="E1710" s="23"/>
      <c r="G1710" s="23"/>
      <c r="H1710" s="23"/>
      <c r="J1710" s="23"/>
      <c r="K1710" s="23"/>
      <c r="M1710" s="23"/>
      <c r="N1710" s="23"/>
      <c r="P1710" s="23"/>
    </row>
    <row r="1711" spans="2:16" x14ac:dyDescent="0.25">
      <c r="B1711" s="23"/>
      <c r="E1711" s="23"/>
      <c r="G1711" s="23"/>
      <c r="H1711" s="23"/>
      <c r="J1711" s="23"/>
      <c r="K1711" s="23"/>
      <c r="M1711" s="23"/>
      <c r="N1711" s="23"/>
      <c r="P1711" s="23"/>
    </row>
    <row r="1712" spans="2:16" x14ac:dyDescent="0.25">
      <c r="B1712" s="23"/>
      <c r="E1712" s="23"/>
      <c r="G1712" s="23"/>
      <c r="H1712" s="23"/>
      <c r="J1712" s="23"/>
      <c r="K1712" s="23"/>
      <c r="M1712" s="23"/>
      <c r="N1712" s="23"/>
      <c r="P1712" s="23"/>
    </row>
    <row r="1713" spans="2:16" x14ac:dyDescent="0.25">
      <c r="B1713" s="23"/>
      <c r="E1713" s="23"/>
      <c r="G1713" s="23"/>
      <c r="H1713" s="23"/>
      <c r="J1713" s="23"/>
      <c r="K1713" s="23"/>
      <c r="M1713" s="23"/>
      <c r="N1713" s="23"/>
      <c r="P1713" s="23"/>
    </row>
    <row r="1714" spans="2:16" x14ac:dyDescent="0.25">
      <c r="B1714" s="23"/>
      <c r="E1714" s="23"/>
      <c r="G1714" s="23"/>
      <c r="H1714" s="23"/>
      <c r="J1714" s="23"/>
      <c r="K1714" s="23"/>
      <c r="M1714" s="23"/>
      <c r="N1714" s="23"/>
      <c r="P1714" s="23"/>
    </row>
    <row r="1715" spans="2:16" x14ac:dyDescent="0.25">
      <c r="B1715" s="23"/>
      <c r="E1715" s="23"/>
      <c r="G1715" s="23"/>
      <c r="H1715" s="23"/>
      <c r="J1715" s="23"/>
      <c r="K1715" s="23"/>
      <c r="M1715" s="23"/>
      <c r="N1715" s="23"/>
      <c r="P1715" s="23"/>
    </row>
    <row r="1716" spans="2:16" x14ac:dyDescent="0.25">
      <c r="B1716" s="23"/>
      <c r="E1716" s="23"/>
      <c r="G1716" s="23"/>
      <c r="H1716" s="23"/>
      <c r="J1716" s="23"/>
      <c r="K1716" s="23"/>
      <c r="M1716" s="23"/>
      <c r="N1716" s="23"/>
      <c r="P1716" s="23"/>
    </row>
    <row r="1717" spans="2:16" x14ac:dyDescent="0.25">
      <c r="B1717" s="23"/>
      <c r="E1717" s="23"/>
      <c r="G1717" s="23"/>
      <c r="H1717" s="23"/>
      <c r="J1717" s="23"/>
      <c r="K1717" s="23"/>
      <c r="M1717" s="23"/>
      <c r="N1717" s="23"/>
      <c r="P1717" s="23"/>
    </row>
    <row r="1718" spans="2:16" x14ac:dyDescent="0.25">
      <c r="B1718" s="23"/>
      <c r="E1718" s="23"/>
      <c r="G1718" s="23"/>
      <c r="H1718" s="23"/>
      <c r="J1718" s="23"/>
      <c r="K1718" s="23"/>
      <c r="M1718" s="23"/>
      <c r="N1718" s="23"/>
      <c r="P1718" s="23"/>
    </row>
    <row r="1719" spans="2:16" x14ac:dyDescent="0.25">
      <c r="B1719" s="23"/>
      <c r="E1719" s="23"/>
      <c r="G1719" s="23"/>
      <c r="H1719" s="23"/>
      <c r="J1719" s="23"/>
      <c r="K1719" s="23"/>
      <c r="M1719" s="23"/>
      <c r="N1719" s="23"/>
      <c r="P1719" s="23"/>
    </row>
    <row r="1720" spans="2:16" x14ac:dyDescent="0.25">
      <c r="B1720" s="23"/>
      <c r="E1720" s="23"/>
      <c r="G1720" s="23"/>
      <c r="H1720" s="23"/>
      <c r="J1720" s="23"/>
      <c r="K1720" s="23"/>
      <c r="M1720" s="23"/>
      <c r="N1720" s="23"/>
      <c r="P1720" s="23"/>
    </row>
    <row r="1721" spans="2:16" x14ac:dyDescent="0.25">
      <c r="B1721" s="23"/>
      <c r="E1721" s="23"/>
      <c r="G1721" s="23"/>
      <c r="H1721" s="23"/>
      <c r="J1721" s="23"/>
      <c r="K1721" s="23"/>
      <c r="M1721" s="23"/>
      <c r="N1721" s="23"/>
      <c r="P1721" s="23"/>
    </row>
    <row r="1722" spans="2:16" x14ac:dyDescent="0.25">
      <c r="B1722" s="23"/>
      <c r="E1722" s="23"/>
      <c r="G1722" s="23"/>
      <c r="H1722" s="23"/>
      <c r="J1722" s="23"/>
      <c r="K1722" s="23"/>
      <c r="M1722" s="23"/>
      <c r="N1722" s="23"/>
      <c r="P1722" s="23"/>
    </row>
    <row r="1723" spans="2:16" x14ac:dyDescent="0.25">
      <c r="B1723" s="23"/>
      <c r="E1723" s="23"/>
      <c r="G1723" s="23"/>
      <c r="H1723" s="23"/>
      <c r="J1723" s="23"/>
      <c r="K1723" s="23"/>
      <c r="M1723" s="23"/>
      <c r="N1723" s="23"/>
      <c r="P1723" s="23"/>
    </row>
    <row r="1724" spans="2:16" x14ac:dyDescent="0.25">
      <c r="B1724" s="23"/>
      <c r="E1724" s="23"/>
      <c r="G1724" s="23"/>
      <c r="H1724" s="23"/>
      <c r="J1724" s="23"/>
      <c r="K1724" s="23"/>
      <c r="M1724" s="23"/>
      <c r="N1724" s="23"/>
      <c r="P1724" s="23"/>
    </row>
    <row r="1725" spans="2:16" x14ac:dyDescent="0.25">
      <c r="B1725" s="23"/>
      <c r="E1725" s="23"/>
      <c r="G1725" s="23"/>
      <c r="H1725" s="23"/>
      <c r="J1725" s="23"/>
      <c r="K1725" s="23"/>
      <c r="M1725" s="23"/>
      <c r="N1725" s="23"/>
      <c r="P1725" s="23"/>
    </row>
    <row r="1726" spans="2:16" x14ac:dyDescent="0.25">
      <c r="B1726" s="23"/>
      <c r="E1726" s="23"/>
      <c r="G1726" s="23"/>
      <c r="H1726" s="23"/>
      <c r="J1726" s="23"/>
      <c r="K1726" s="23"/>
      <c r="M1726" s="23"/>
      <c r="N1726" s="23"/>
      <c r="P1726" s="23"/>
    </row>
    <row r="1727" spans="2:16" x14ac:dyDescent="0.25">
      <c r="B1727" s="23"/>
      <c r="E1727" s="23"/>
      <c r="G1727" s="23"/>
      <c r="H1727" s="23"/>
      <c r="J1727" s="23"/>
      <c r="K1727" s="23"/>
      <c r="M1727" s="23"/>
      <c r="N1727" s="23"/>
      <c r="P1727" s="23"/>
    </row>
    <row r="1728" spans="2:16" x14ac:dyDescent="0.25">
      <c r="B1728" s="23"/>
      <c r="E1728" s="23"/>
      <c r="G1728" s="23"/>
      <c r="H1728" s="23"/>
      <c r="J1728" s="23"/>
      <c r="K1728" s="23"/>
      <c r="M1728" s="23"/>
      <c r="N1728" s="23"/>
      <c r="P1728" s="23"/>
    </row>
    <row r="1729" spans="2:16" x14ac:dyDescent="0.25">
      <c r="B1729" s="23"/>
      <c r="E1729" s="23"/>
      <c r="G1729" s="23"/>
      <c r="H1729" s="23"/>
      <c r="J1729" s="23"/>
      <c r="K1729" s="23"/>
      <c r="M1729" s="23"/>
      <c r="N1729" s="23"/>
      <c r="P1729" s="23"/>
    </row>
    <row r="1730" spans="2:16" x14ac:dyDescent="0.25">
      <c r="B1730" s="23"/>
      <c r="E1730" s="23"/>
      <c r="G1730" s="23"/>
      <c r="H1730" s="23"/>
      <c r="J1730" s="23"/>
      <c r="K1730" s="23"/>
      <c r="M1730" s="23"/>
      <c r="N1730" s="23"/>
      <c r="P1730" s="23"/>
    </row>
    <row r="1731" spans="2:16" x14ac:dyDescent="0.25">
      <c r="B1731" s="23"/>
      <c r="E1731" s="23"/>
      <c r="G1731" s="23"/>
      <c r="H1731" s="23"/>
      <c r="J1731" s="23"/>
      <c r="K1731" s="23"/>
      <c r="M1731" s="23"/>
      <c r="N1731" s="23"/>
      <c r="P1731" s="23"/>
    </row>
    <row r="1732" spans="2:16" x14ac:dyDescent="0.25">
      <c r="B1732" s="23"/>
      <c r="E1732" s="23"/>
      <c r="G1732" s="23"/>
      <c r="H1732" s="23"/>
      <c r="J1732" s="23"/>
      <c r="K1732" s="23"/>
      <c r="M1732" s="23"/>
      <c r="N1732" s="23"/>
      <c r="P1732" s="23"/>
    </row>
    <row r="1733" spans="2:16" x14ac:dyDescent="0.25">
      <c r="B1733" s="23"/>
      <c r="E1733" s="23"/>
      <c r="G1733" s="23"/>
      <c r="H1733" s="23"/>
      <c r="J1733" s="23"/>
      <c r="K1733" s="23"/>
      <c r="M1733" s="23"/>
      <c r="N1733" s="23"/>
      <c r="P1733" s="23"/>
    </row>
    <row r="1734" spans="2:16" x14ac:dyDescent="0.25">
      <c r="B1734" s="23"/>
      <c r="E1734" s="23"/>
      <c r="G1734" s="23"/>
      <c r="H1734" s="23"/>
      <c r="J1734" s="23"/>
      <c r="K1734" s="23"/>
      <c r="M1734" s="23"/>
      <c r="N1734" s="23"/>
      <c r="P1734" s="23"/>
    </row>
    <row r="1735" spans="2:16" x14ac:dyDescent="0.25">
      <c r="B1735" s="23"/>
      <c r="E1735" s="23"/>
      <c r="G1735" s="23"/>
      <c r="H1735" s="23"/>
      <c r="J1735" s="23"/>
      <c r="K1735" s="23"/>
      <c r="M1735" s="23"/>
      <c r="N1735" s="23"/>
      <c r="P1735" s="23"/>
    </row>
    <row r="1736" spans="2:16" x14ac:dyDescent="0.25">
      <c r="B1736" s="23"/>
      <c r="E1736" s="23"/>
      <c r="G1736" s="23"/>
      <c r="H1736" s="23"/>
      <c r="J1736" s="23"/>
      <c r="K1736" s="23"/>
      <c r="M1736" s="23"/>
      <c r="N1736" s="23"/>
      <c r="P1736" s="23"/>
    </row>
    <row r="1737" spans="2:16" x14ac:dyDescent="0.25">
      <c r="B1737" s="23"/>
      <c r="E1737" s="23"/>
      <c r="G1737" s="23"/>
      <c r="H1737" s="23"/>
      <c r="J1737" s="23"/>
      <c r="K1737" s="23"/>
      <c r="M1737" s="23"/>
      <c r="N1737" s="23"/>
      <c r="P1737" s="23"/>
    </row>
    <row r="1738" spans="2:16" x14ac:dyDescent="0.25">
      <c r="B1738" s="23"/>
      <c r="E1738" s="23"/>
      <c r="G1738" s="23"/>
      <c r="H1738" s="23"/>
      <c r="J1738" s="23"/>
      <c r="K1738" s="23"/>
      <c r="M1738" s="23"/>
      <c r="N1738" s="23"/>
      <c r="P1738" s="23"/>
    </row>
    <row r="1739" spans="2:16" x14ac:dyDescent="0.25">
      <c r="B1739" s="23"/>
      <c r="E1739" s="23"/>
      <c r="G1739" s="23"/>
      <c r="H1739" s="23"/>
      <c r="J1739" s="23"/>
      <c r="K1739" s="23"/>
      <c r="M1739" s="23"/>
      <c r="N1739" s="23"/>
      <c r="P1739" s="23"/>
    </row>
    <row r="1740" spans="2:16" x14ac:dyDescent="0.25">
      <c r="B1740" s="23"/>
      <c r="E1740" s="23"/>
      <c r="G1740" s="23"/>
      <c r="H1740" s="23"/>
      <c r="J1740" s="23"/>
      <c r="K1740" s="23"/>
      <c r="M1740" s="23"/>
      <c r="N1740" s="23"/>
      <c r="P1740" s="23"/>
    </row>
    <row r="1741" spans="2:16" x14ac:dyDescent="0.25">
      <c r="B1741" s="23"/>
      <c r="E1741" s="23"/>
      <c r="G1741" s="23"/>
      <c r="H1741" s="23"/>
      <c r="J1741" s="23"/>
      <c r="K1741" s="23"/>
      <c r="M1741" s="23"/>
      <c r="N1741" s="23"/>
      <c r="P1741" s="23"/>
    </row>
    <row r="1742" spans="2:16" x14ac:dyDescent="0.25">
      <c r="B1742" s="23"/>
      <c r="E1742" s="23"/>
      <c r="G1742" s="23"/>
      <c r="H1742" s="23"/>
      <c r="J1742" s="23"/>
      <c r="K1742" s="23"/>
      <c r="M1742" s="23"/>
      <c r="N1742" s="23"/>
      <c r="P1742" s="23"/>
    </row>
    <row r="1743" spans="2:16" x14ac:dyDescent="0.25">
      <c r="B1743" s="23"/>
      <c r="E1743" s="23"/>
      <c r="G1743" s="23"/>
      <c r="H1743" s="23"/>
      <c r="J1743" s="23"/>
      <c r="K1743" s="23"/>
      <c r="M1743" s="23"/>
      <c r="N1743" s="23"/>
      <c r="P1743" s="23"/>
    </row>
    <row r="1744" spans="2:16" x14ac:dyDescent="0.25">
      <c r="B1744" s="23"/>
      <c r="E1744" s="23"/>
      <c r="G1744" s="23"/>
      <c r="H1744" s="23"/>
      <c r="J1744" s="23"/>
      <c r="K1744" s="23"/>
      <c r="M1744" s="23"/>
      <c r="N1744" s="23"/>
      <c r="P1744" s="23"/>
    </row>
    <row r="1745" spans="2:16" x14ac:dyDescent="0.25">
      <c r="B1745" s="23"/>
      <c r="E1745" s="23"/>
      <c r="G1745" s="23"/>
      <c r="H1745" s="23"/>
      <c r="J1745" s="23"/>
      <c r="K1745" s="23"/>
      <c r="M1745" s="23"/>
      <c r="N1745" s="23"/>
      <c r="P1745" s="23"/>
    </row>
    <row r="1746" spans="2:16" x14ac:dyDescent="0.25">
      <c r="B1746" s="23"/>
      <c r="E1746" s="23"/>
      <c r="G1746" s="23"/>
      <c r="H1746" s="23"/>
      <c r="J1746" s="23"/>
      <c r="K1746" s="23"/>
      <c r="M1746" s="23"/>
      <c r="N1746" s="23"/>
      <c r="P1746" s="23"/>
    </row>
    <row r="1747" spans="2:16" x14ac:dyDescent="0.25">
      <c r="B1747" s="23"/>
      <c r="E1747" s="23"/>
      <c r="G1747" s="23"/>
      <c r="H1747" s="23"/>
      <c r="J1747" s="23"/>
      <c r="K1747" s="23"/>
      <c r="M1747" s="23"/>
      <c r="N1747" s="23"/>
      <c r="P1747" s="23"/>
    </row>
    <row r="1748" spans="2:16" x14ac:dyDescent="0.25">
      <c r="B1748" s="23"/>
      <c r="E1748" s="23"/>
      <c r="G1748" s="23"/>
      <c r="H1748" s="23"/>
      <c r="J1748" s="23"/>
      <c r="K1748" s="23"/>
      <c r="M1748" s="23"/>
      <c r="N1748" s="23"/>
      <c r="P1748" s="23"/>
    </row>
    <row r="1749" spans="2:16" x14ac:dyDescent="0.25">
      <c r="B1749" s="23"/>
      <c r="E1749" s="23"/>
      <c r="G1749" s="23"/>
      <c r="H1749" s="23"/>
      <c r="J1749" s="23"/>
      <c r="K1749" s="23"/>
      <c r="M1749" s="23"/>
      <c r="N1749" s="23"/>
      <c r="P1749" s="23"/>
    </row>
    <row r="1750" spans="2:16" x14ac:dyDescent="0.25">
      <c r="B1750" s="23"/>
      <c r="E1750" s="23"/>
      <c r="G1750" s="23"/>
      <c r="H1750" s="23"/>
      <c r="J1750" s="23"/>
      <c r="K1750" s="23"/>
      <c r="M1750" s="23"/>
      <c r="N1750" s="23"/>
      <c r="P1750" s="23"/>
    </row>
    <row r="1751" spans="2:16" x14ac:dyDescent="0.25">
      <c r="B1751" s="23"/>
      <c r="E1751" s="23"/>
      <c r="G1751" s="23"/>
      <c r="H1751" s="23"/>
      <c r="J1751" s="23"/>
      <c r="K1751" s="23"/>
      <c r="M1751" s="23"/>
      <c r="N1751" s="23"/>
      <c r="P1751" s="23"/>
    </row>
    <row r="1752" spans="2:16" x14ac:dyDescent="0.25">
      <c r="B1752" s="23"/>
      <c r="E1752" s="23"/>
      <c r="G1752" s="23"/>
      <c r="H1752" s="23"/>
      <c r="J1752" s="23"/>
      <c r="K1752" s="23"/>
      <c r="M1752" s="23"/>
      <c r="N1752" s="23"/>
      <c r="P1752" s="23"/>
    </row>
    <row r="1753" spans="2:16" x14ac:dyDescent="0.25">
      <c r="B1753" s="23"/>
      <c r="E1753" s="23"/>
      <c r="G1753" s="23"/>
      <c r="H1753" s="23"/>
      <c r="J1753" s="23"/>
      <c r="K1753" s="23"/>
      <c r="M1753" s="23"/>
      <c r="N1753" s="23"/>
      <c r="P1753" s="23"/>
    </row>
    <row r="1754" spans="2:16" x14ac:dyDescent="0.25">
      <c r="B1754" s="23"/>
      <c r="E1754" s="23"/>
      <c r="G1754" s="23"/>
      <c r="H1754" s="23"/>
      <c r="J1754" s="23"/>
      <c r="K1754" s="23"/>
      <c r="M1754" s="23"/>
      <c r="N1754" s="23"/>
      <c r="P1754" s="23"/>
    </row>
    <row r="1755" spans="2:16" x14ac:dyDescent="0.25">
      <c r="B1755" s="23"/>
      <c r="E1755" s="23"/>
      <c r="G1755" s="23"/>
      <c r="H1755" s="23"/>
      <c r="J1755" s="23"/>
      <c r="K1755" s="23"/>
      <c r="M1755" s="23"/>
      <c r="N1755" s="23"/>
      <c r="P1755" s="23"/>
    </row>
    <row r="1756" spans="2:16" x14ac:dyDescent="0.25">
      <c r="B1756" s="23"/>
      <c r="E1756" s="23"/>
      <c r="G1756" s="23"/>
      <c r="H1756" s="23"/>
      <c r="J1756" s="23"/>
      <c r="K1756" s="23"/>
      <c r="M1756" s="23"/>
      <c r="N1756" s="23"/>
      <c r="P1756" s="23"/>
    </row>
    <row r="1757" spans="2:16" x14ac:dyDescent="0.25">
      <c r="B1757" s="23"/>
      <c r="E1757" s="23"/>
      <c r="G1757" s="23"/>
      <c r="H1757" s="23"/>
      <c r="J1757" s="23"/>
      <c r="K1757" s="23"/>
      <c r="M1757" s="23"/>
      <c r="N1757" s="23"/>
      <c r="P1757" s="23"/>
    </row>
    <row r="1758" spans="2:16" x14ac:dyDescent="0.25">
      <c r="B1758" s="23"/>
      <c r="E1758" s="23"/>
      <c r="G1758" s="23"/>
      <c r="H1758" s="23"/>
      <c r="J1758" s="23"/>
      <c r="K1758" s="23"/>
      <c r="M1758" s="23"/>
      <c r="N1758" s="23"/>
      <c r="P1758" s="23"/>
    </row>
    <row r="1759" spans="2:16" x14ac:dyDescent="0.25">
      <c r="B1759" s="23"/>
      <c r="E1759" s="23"/>
      <c r="G1759" s="23"/>
      <c r="H1759" s="23"/>
      <c r="J1759" s="23"/>
      <c r="K1759" s="23"/>
      <c r="M1759" s="23"/>
      <c r="N1759" s="23"/>
      <c r="P1759" s="23"/>
    </row>
    <row r="1760" spans="2:16" x14ac:dyDescent="0.25">
      <c r="B1760" s="23"/>
      <c r="E1760" s="23"/>
      <c r="G1760" s="23"/>
      <c r="H1760" s="23"/>
      <c r="J1760" s="23"/>
      <c r="K1760" s="23"/>
      <c r="M1760" s="23"/>
      <c r="N1760" s="23"/>
      <c r="P1760" s="23"/>
    </row>
    <row r="1761" spans="2:16" x14ac:dyDescent="0.25">
      <c r="B1761" s="23"/>
      <c r="E1761" s="23"/>
      <c r="G1761" s="23"/>
      <c r="H1761" s="23"/>
      <c r="J1761" s="23"/>
      <c r="K1761" s="23"/>
      <c r="M1761" s="23"/>
      <c r="N1761" s="23"/>
      <c r="P1761" s="23"/>
    </row>
    <row r="1762" spans="2:16" x14ac:dyDescent="0.25">
      <c r="B1762" s="23"/>
      <c r="E1762" s="23"/>
      <c r="G1762" s="23"/>
      <c r="H1762" s="23"/>
      <c r="J1762" s="23"/>
      <c r="K1762" s="23"/>
      <c r="M1762" s="23"/>
      <c r="N1762" s="23"/>
      <c r="P1762" s="23"/>
    </row>
    <row r="1763" spans="2:16" x14ac:dyDescent="0.25">
      <c r="B1763" s="23"/>
      <c r="E1763" s="23"/>
      <c r="G1763" s="23"/>
      <c r="H1763" s="23"/>
      <c r="J1763" s="23"/>
      <c r="K1763" s="23"/>
      <c r="M1763" s="23"/>
      <c r="N1763" s="23"/>
      <c r="P1763" s="23"/>
    </row>
    <row r="1764" spans="2:16" x14ac:dyDescent="0.25">
      <c r="B1764" s="23"/>
      <c r="E1764" s="23"/>
      <c r="G1764" s="23"/>
      <c r="H1764" s="23"/>
      <c r="J1764" s="23"/>
      <c r="K1764" s="23"/>
      <c r="M1764" s="23"/>
      <c r="N1764" s="23"/>
      <c r="P1764" s="23"/>
    </row>
    <row r="1765" spans="2:16" x14ac:dyDescent="0.25">
      <c r="B1765" s="23"/>
      <c r="E1765" s="23"/>
      <c r="G1765" s="23"/>
      <c r="H1765" s="23"/>
      <c r="J1765" s="23"/>
      <c r="K1765" s="23"/>
      <c r="M1765" s="23"/>
      <c r="N1765" s="23"/>
      <c r="P1765" s="23"/>
    </row>
    <row r="1766" spans="2:16" x14ac:dyDescent="0.25">
      <c r="B1766" s="23"/>
      <c r="E1766" s="23"/>
      <c r="G1766" s="23"/>
      <c r="H1766" s="23"/>
      <c r="J1766" s="23"/>
      <c r="K1766" s="23"/>
      <c r="M1766" s="23"/>
      <c r="N1766" s="23"/>
      <c r="P1766" s="23"/>
    </row>
    <row r="1767" spans="2:16" x14ac:dyDescent="0.25">
      <c r="B1767" s="23"/>
      <c r="E1767" s="23"/>
      <c r="G1767" s="23"/>
      <c r="H1767" s="23"/>
      <c r="J1767" s="23"/>
      <c r="K1767" s="23"/>
      <c r="M1767" s="23"/>
      <c r="N1767" s="23"/>
      <c r="P1767" s="23"/>
    </row>
    <row r="1768" spans="2:16" x14ac:dyDescent="0.25">
      <c r="B1768" s="23"/>
      <c r="E1768" s="23"/>
      <c r="G1768" s="23"/>
      <c r="H1768" s="23"/>
      <c r="J1768" s="23"/>
      <c r="K1768" s="23"/>
      <c r="M1768" s="23"/>
      <c r="N1768" s="23"/>
      <c r="P1768" s="23"/>
    </row>
    <row r="1769" spans="2:16" x14ac:dyDescent="0.25">
      <c r="B1769" s="23"/>
      <c r="E1769" s="23"/>
      <c r="G1769" s="23"/>
      <c r="H1769" s="23"/>
      <c r="J1769" s="23"/>
      <c r="K1769" s="23"/>
      <c r="M1769" s="23"/>
      <c r="N1769" s="23"/>
      <c r="P1769" s="23"/>
    </row>
    <row r="1770" spans="2:16" x14ac:dyDescent="0.25">
      <c r="B1770" s="23"/>
      <c r="E1770" s="23"/>
      <c r="G1770" s="23"/>
      <c r="H1770" s="23"/>
      <c r="J1770" s="23"/>
      <c r="K1770" s="23"/>
      <c r="M1770" s="23"/>
      <c r="N1770" s="23"/>
      <c r="P1770" s="23"/>
    </row>
    <row r="1771" spans="2:16" x14ac:dyDescent="0.25">
      <c r="B1771" s="23"/>
      <c r="E1771" s="23"/>
      <c r="G1771" s="23"/>
      <c r="H1771" s="23"/>
      <c r="J1771" s="23"/>
      <c r="K1771" s="23"/>
      <c r="M1771" s="23"/>
      <c r="N1771" s="23"/>
      <c r="P1771" s="23"/>
    </row>
    <row r="1772" spans="2:16" x14ac:dyDescent="0.25">
      <c r="B1772" s="23"/>
      <c r="E1772" s="23"/>
      <c r="G1772" s="23"/>
      <c r="H1772" s="23"/>
      <c r="J1772" s="23"/>
      <c r="K1772" s="23"/>
      <c r="M1772" s="23"/>
      <c r="N1772" s="23"/>
      <c r="P1772" s="23"/>
    </row>
    <row r="1773" spans="2:16" x14ac:dyDescent="0.25">
      <c r="B1773" s="23"/>
      <c r="E1773" s="23"/>
      <c r="G1773" s="23"/>
      <c r="H1773" s="23"/>
      <c r="J1773" s="23"/>
      <c r="K1773" s="23"/>
      <c r="M1773" s="23"/>
      <c r="N1773" s="23"/>
      <c r="P1773" s="23"/>
    </row>
    <row r="1774" spans="2:16" x14ac:dyDescent="0.25">
      <c r="B1774" s="23"/>
      <c r="E1774" s="23"/>
      <c r="G1774" s="23"/>
      <c r="H1774" s="23"/>
      <c r="J1774" s="23"/>
      <c r="K1774" s="23"/>
      <c r="M1774" s="23"/>
      <c r="N1774" s="23"/>
      <c r="P1774" s="23"/>
    </row>
    <row r="1775" spans="2:16" x14ac:dyDescent="0.25">
      <c r="B1775" s="23"/>
      <c r="E1775" s="23"/>
      <c r="G1775" s="23"/>
      <c r="H1775" s="23"/>
      <c r="J1775" s="23"/>
      <c r="K1775" s="23"/>
      <c r="M1775" s="23"/>
      <c r="N1775" s="23"/>
      <c r="P1775" s="23"/>
    </row>
    <row r="1776" spans="2:16" x14ac:dyDescent="0.25">
      <c r="B1776" s="23"/>
      <c r="E1776" s="23"/>
      <c r="G1776" s="23"/>
      <c r="H1776" s="23"/>
      <c r="J1776" s="23"/>
      <c r="K1776" s="23"/>
      <c r="M1776" s="23"/>
      <c r="N1776" s="23"/>
      <c r="P1776" s="23"/>
    </row>
    <row r="1777" spans="2:16" x14ac:dyDescent="0.25">
      <c r="B1777" s="23"/>
      <c r="E1777" s="23"/>
      <c r="G1777" s="23"/>
      <c r="H1777" s="23"/>
      <c r="J1777" s="23"/>
      <c r="K1777" s="23"/>
      <c r="M1777" s="23"/>
      <c r="N1777" s="23"/>
      <c r="P1777" s="23"/>
    </row>
    <row r="1778" spans="2:16" x14ac:dyDescent="0.25">
      <c r="B1778" s="23"/>
      <c r="E1778" s="23"/>
      <c r="G1778" s="23"/>
      <c r="H1778" s="23"/>
      <c r="J1778" s="23"/>
      <c r="K1778" s="23"/>
      <c r="M1778" s="23"/>
      <c r="N1778" s="23"/>
      <c r="P1778" s="23"/>
    </row>
    <row r="1779" spans="2:16" x14ac:dyDescent="0.25">
      <c r="B1779" s="23"/>
      <c r="E1779" s="23"/>
      <c r="G1779" s="23"/>
      <c r="H1779" s="23"/>
      <c r="J1779" s="23"/>
      <c r="K1779" s="23"/>
      <c r="M1779" s="23"/>
      <c r="N1779" s="23"/>
      <c r="P1779" s="23"/>
    </row>
    <row r="1780" spans="2:16" x14ac:dyDescent="0.25">
      <c r="B1780" s="23"/>
      <c r="E1780" s="23"/>
      <c r="G1780" s="23"/>
      <c r="H1780" s="23"/>
      <c r="J1780" s="23"/>
      <c r="K1780" s="23"/>
      <c r="M1780" s="23"/>
      <c r="N1780" s="23"/>
      <c r="P1780" s="23"/>
    </row>
    <row r="1781" spans="2:16" x14ac:dyDescent="0.25">
      <c r="B1781" s="23"/>
      <c r="E1781" s="23"/>
      <c r="G1781" s="23"/>
      <c r="H1781" s="23"/>
      <c r="J1781" s="23"/>
      <c r="K1781" s="23"/>
      <c r="M1781" s="23"/>
      <c r="N1781" s="23"/>
      <c r="P1781" s="23"/>
    </row>
    <row r="1782" spans="2:16" x14ac:dyDescent="0.25">
      <c r="B1782" s="23"/>
      <c r="E1782" s="23"/>
      <c r="G1782" s="23"/>
      <c r="H1782" s="23"/>
      <c r="J1782" s="23"/>
      <c r="K1782" s="23"/>
      <c r="M1782" s="23"/>
      <c r="N1782" s="23"/>
      <c r="P1782" s="23"/>
    </row>
    <row r="1783" spans="2:16" x14ac:dyDescent="0.25">
      <c r="B1783" s="23"/>
      <c r="E1783" s="23"/>
      <c r="G1783" s="23"/>
      <c r="H1783" s="23"/>
      <c r="J1783" s="23"/>
      <c r="K1783" s="23"/>
      <c r="M1783" s="23"/>
      <c r="N1783" s="23"/>
      <c r="P1783" s="23"/>
    </row>
    <row r="1784" spans="2:16" x14ac:dyDescent="0.25">
      <c r="B1784" s="23"/>
      <c r="E1784" s="23"/>
      <c r="G1784" s="23"/>
      <c r="H1784" s="23"/>
      <c r="J1784" s="23"/>
      <c r="K1784" s="23"/>
      <c r="M1784" s="23"/>
      <c r="N1784" s="23"/>
      <c r="P1784" s="23"/>
    </row>
    <row r="1785" spans="2:16" x14ac:dyDescent="0.25">
      <c r="B1785" s="23"/>
      <c r="E1785" s="23"/>
      <c r="G1785" s="23"/>
      <c r="H1785" s="23"/>
      <c r="J1785" s="23"/>
      <c r="K1785" s="23"/>
      <c r="M1785" s="23"/>
      <c r="N1785" s="23"/>
      <c r="P1785" s="23"/>
    </row>
    <row r="1786" spans="2:16" x14ac:dyDescent="0.25">
      <c r="B1786" s="23"/>
      <c r="E1786" s="23"/>
      <c r="G1786" s="23"/>
      <c r="H1786" s="23"/>
      <c r="J1786" s="23"/>
      <c r="K1786" s="23"/>
      <c r="M1786" s="23"/>
      <c r="N1786" s="23"/>
      <c r="P1786" s="23"/>
    </row>
    <row r="1787" spans="2:16" x14ac:dyDescent="0.25">
      <c r="B1787" s="23"/>
      <c r="E1787" s="23"/>
      <c r="G1787" s="23"/>
      <c r="H1787" s="23"/>
      <c r="J1787" s="23"/>
      <c r="K1787" s="23"/>
      <c r="M1787" s="23"/>
      <c r="N1787" s="23"/>
      <c r="P1787" s="23"/>
    </row>
    <row r="1788" spans="2:16" x14ac:dyDescent="0.25">
      <c r="B1788" s="23"/>
      <c r="E1788" s="23"/>
      <c r="G1788" s="23"/>
      <c r="H1788" s="23"/>
      <c r="J1788" s="23"/>
      <c r="K1788" s="23"/>
      <c r="M1788" s="23"/>
      <c r="N1788" s="23"/>
      <c r="P1788" s="23"/>
    </row>
    <row r="1789" spans="2:16" x14ac:dyDescent="0.25">
      <c r="B1789" s="23"/>
      <c r="E1789" s="23"/>
      <c r="G1789" s="23"/>
      <c r="H1789" s="23"/>
      <c r="J1789" s="23"/>
      <c r="K1789" s="23"/>
      <c r="M1789" s="23"/>
      <c r="N1789" s="23"/>
      <c r="P1789" s="23"/>
    </row>
    <row r="1790" spans="2:16" x14ac:dyDescent="0.25">
      <c r="B1790" s="23"/>
      <c r="E1790" s="23"/>
      <c r="G1790" s="23"/>
      <c r="H1790" s="23"/>
      <c r="J1790" s="23"/>
      <c r="K1790" s="23"/>
      <c r="M1790" s="23"/>
      <c r="N1790" s="23"/>
      <c r="P1790" s="23"/>
    </row>
    <row r="1791" spans="2:16" x14ac:dyDescent="0.25">
      <c r="B1791" s="23"/>
      <c r="E1791" s="23"/>
      <c r="G1791" s="23"/>
      <c r="H1791" s="23"/>
      <c r="J1791" s="23"/>
      <c r="K1791" s="23"/>
      <c r="M1791" s="23"/>
      <c r="N1791" s="23"/>
      <c r="P1791" s="23"/>
    </row>
    <row r="1792" spans="2:16" x14ac:dyDescent="0.25">
      <c r="B1792" s="23"/>
      <c r="E1792" s="23"/>
      <c r="G1792" s="23"/>
      <c r="H1792" s="23"/>
      <c r="J1792" s="23"/>
      <c r="K1792" s="23"/>
      <c r="M1792" s="23"/>
      <c r="N1792" s="23"/>
      <c r="P1792" s="23"/>
    </row>
    <row r="1793" spans="2:16" x14ac:dyDescent="0.25">
      <c r="B1793" s="23"/>
      <c r="E1793" s="23"/>
      <c r="G1793" s="23"/>
      <c r="H1793" s="23"/>
      <c r="J1793" s="23"/>
      <c r="K1793" s="23"/>
      <c r="M1793" s="23"/>
      <c r="N1793" s="23"/>
      <c r="P1793" s="23"/>
    </row>
    <row r="1794" spans="2:16" x14ac:dyDescent="0.25">
      <c r="B1794" s="23"/>
      <c r="E1794" s="23"/>
      <c r="G1794" s="23"/>
      <c r="H1794" s="23"/>
      <c r="J1794" s="23"/>
      <c r="K1794" s="23"/>
      <c r="M1794" s="23"/>
      <c r="N1794" s="23"/>
      <c r="P1794" s="23"/>
    </row>
    <row r="1795" spans="2:16" x14ac:dyDescent="0.25">
      <c r="B1795" s="23"/>
      <c r="E1795" s="23"/>
      <c r="G1795" s="23"/>
      <c r="H1795" s="23"/>
      <c r="J1795" s="23"/>
      <c r="K1795" s="23"/>
      <c r="M1795" s="23"/>
      <c r="N1795" s="23"/>
      <c r="P1795" s="23"/>
    </row>
    <row r="1796" spans="2:16" x14ac:dyDescent="0.25">
      <c r="B1796" s="23"/>
      <c r="E1796" s="23"/>
      <c r="G1796" s="23"/>
      <c r="H1796" s="23"/>
      <c r="J1796" s="23"/>
      <c r="K1796" s="23"/>
      <c r="M1796" s="23"/>
      <c r="N1796" s="23"/>
      <c r="P1796" s="23"/>
    </row>
    <row r="1797" spans="2:16" x14ac:dyDescent="0.25">
      <c r="B1797" s="23"/>
      <c r="E1797" s="23"/>
      <c r="G1797" s="23"/>
      <c r="H1797" s="23"/>
      <c r="J1797" s="23"/>
      <c r="K1797" s="23"/>
      <c r="M1797" s="23"/>
      <c r="N1797" s="23"/>
      <c r="P1797" s="23"/>
    </row>
    <row r="1798" spans="2:16" x14ac:dyDescent="0.25">
      <c r="B1798" s="23"/>
      <c r="E1798" s="23"/>
      <c r="G1798" s="23"/>
      <c r="H1798" s="23"/>
      <c r="J1798" s="23"/>
      <c r="K1798" s="23"/>
      <c r="M1798" s="23"/>
      <c r="N1798" s="23"/>
      <c r="P1798" s="23"/>
    </row>
    <row r="1799" spans="2:16" x14ac:dyDescent="0.25">
      <c r="B1799" s="23"/>
      <c r="E1799" s="23"/>
      <c r="G1799" s="23"/>
      <c r="H1799" s="23"/>
      <c r="J1799" s="23"/>
      <c r="K1799" s="23"/>
      <c r="M1799" s="23"/>
      <c r="N1799" s="23"/>
      <c r="P1799" s="23"/>
    </row>
    <row r="1800" spans="2:16" x14ac:dyDescent="0.25">
      <c r="B1800" s="23"/>
      <c r="E1800" s="23"/>
      <c r="G1800" s="23"/>
      <c r="H1800" s="23"/>
      <c r="J1800" s="23"/>
      <c r="K1800" s="23"/>
      <c r="M1800" s="23"/>
      <c r="N1800" s="23"/>
      <c r="P1800" s="23"/>
    </row>
    <row r="1801" spans="2:16" x14ac:dyDescent="0.25">
      <c r="B1801" s="23"/>
      <c r="E1801" s="23"/>
      <c r="G1801" s="23"/>
      <c r="H1801" s="23"/>
      <c r="J1801" s="23"/>
      <c r="K1801" s="23"/>
      <c r="M1801" s="23"/>
      <c r="N1801" s="23"/>
      <c r="P1801" s="23"/>
    </row>
    <row r="1802" spans="2:16" x14ac:dyDescent="0.25">
      <c r="B1802" s="23"/>
      <c r="E1802" s="23"/>
      <c r="G1802" s="23"/>
      <c r="H1802" s="23"/>
      <c r="J1802" s="23"/>
      <c r="K1802" s="23"/>
      <c r="M1802" s="23"/>
      <c r="N1802" s="23"/>
      <c r="P1802" s="23"/>
    </row>
    <row r="1803" spans="2:16" x14ac:dyDescent="0.25">
      <c r="B1803" s="23"/>
      <c r="E1803" s="23"/>
      <c r="G1803" s="23"/>
      <c r="H1803" s="23"/>
      <c r="J1803" s="23"/>
      <c r="K1803" s="23"/>
      <c r="M1803" s="23"/>
      <c r="N1803" s="23"/>
      <c r="P1803" s="23"/>
    </row>
    <row r="1804" spans="2:16" x14ac:dyDescent="0.25">
      <c r="B1804" s="23"/>
      <c r="E1804" s="23"/>
      <c r="G1804" s="23"/>
      <c r="H1804" s="23"/>
      <c r="J1804" s="23"/>
      <c r="K1804" s="23"/>
      <c r="M1804" s="23"/>
      <c r="N1804" s="23"/>
      <c r="P1804" s="23"/>
    </row>
    <row r="1805" spans="2:16" x14ac:dyDescent="0.25">
      <c r="B1805" s="23"/>
      <c r="E1805" s="23"/>
      <c r="G1805" s="23"/>
      <c r="H1805" s="23"/>
      <c r="J1805" s="23"/>
      <c r="K1805" s="23"/>
      <c r="M1805" s="23"/>
      <c r="N1805" s="23"/>
      <c r="P1805" s="23"/>
    </row>
    <row r="1806" spans="2:16" x14ac:dyDescent="0.25">
      <c r="B1806" s="23"/>
      <c r="E1806" s="23"/>
      <c r="G1806" s="23"/>
      <c r="H1806" s="23"/>
      <c r="J1806" s="23"/>
      <c r="K1806" s="23"/>
      <c r="M1806" s="23"/>
      <c r="N1806" s="23"/>
      <c r="P1806" s="23"/>
    </row>
    <row r="1807" spans="2:16" x14ac:dyDescent="0.25">
      <c r="B1807" s="23"/>
      <c r="E1807" s="23"/>
      <c r="G1807" s="23"/>
      <c r="H1807" s="23"/>
      <c r="J1807" s="23"/>
      <c r="K1807" s="23"/>
      <c r="M1807" s="23"/>
      <c r="N1807" s="23"/>
      <c r="P1807" s="23"/>
    </row>
    <row r="1808" spans="2:16" x14ac:dyDescent="0.25">
      <c r="B1808" s="23"/>
      <c r="E1808" s="23"/>
      <c r="G1808" s="23"/>
      <c r="H1808" s="23"/>
      <c r="J1808" s="23"/>
      <c r="K1808" s="23"/>
      <c r="M1808" s="23"/>
      <c r="N1808" s="23"/>
      <c r="P1808" s="23"/>
    </row>
    <row r="1809" spans="2:16" x14ac:dyDescent="0.25">
      <c r="B1809" s="23"/>
      <c r="E1809" s="23"/>
      <c r="G1809" s="23"/>
      <c r="H1809" s="23"/>
      <c r="J1809" s="23"/>
      <c r="K1809" s="23"/>
      <c r="M1809" s="23"/>
      <c r="N1809" s="23"/>
      <c r="P1809" s="23"/>
    </row>
    <row r="1810" spans="2:16" x14ac:dyDescent="0.25">
      <c r="B1810" s="23"/>
      <c r="E1810" s="23"/>
      <c r="G1810" s="23"/>
      <c r="H1810" s="23"/>
      <c r="J1810" s="23"/>
      <c r="K1810" s="23"/>
      <c r="M1810" s="23"/>
      <c r="N1810" s="23"/>
      <c r="P1810" s="23"/>
    </row>
    <row r="1811" spans="2:16" x14ac:dyDescent="0.25">
      <c r="B1811" s="23"/>
      <c r="E1811" s="23"/>
      <c r="G1811" s="23"/>
      <c r="H1811" s="23"/>
      <c r="J1811" s="23"/>
      <c r="K1811" s="23"/>
      <c r="M1811" s="23"/>
      <c r="N1811" s="23"/>
      <c r="P1811" s="23"/>
    </row>
    <row r="1812" spans="2:16" x14ac:dyDescent="0.25">
      <c r="B1812" s="23"/>
      <c r="E1812" s="23"/>
      <c r="G1812" s="23"/>
      <c r="H1812" s="23"/>
      <c r="J1812" s="23"/>
      <c r="K1812" s="23"/>
      <c r="M1812" s="23"/>
      <c r="N1812" s="23"/>
      <c r="P1812" s="23"/>
    </row>
    <row r="1813" spans="2:16" x14ac:dyDescent="0.25">
      <c r="B1813" s="23"/>
      <c r="E1813" s="23"/>
      <c r="G1813" s="23"/>
      <c r="H1813" s="23"/>
      <c r="J1813" s="23"/>
      <c r="K1813" s="23"/>
      <c r="M1813" s="23"/>
      <c r="N1813" s="23"/>
      <c r="P1813" s="23"/>
    </row>
    <row r="1814" spans="2:16" x14ac:dyDescent="0.25">
      <c r="B1814" s="23"/>
      <c r="E1814" s="23"/>
      <c r="G1814" s="23"/>
      <c r="H1814" s="23"/>
      <c r="J1814" s="23"/>
      <c r="K1814" s="23"/>
      <c r="M1814" s="23"/>
      <c r="N1814" s="23"/>
      <c r="P1814" s="23"/>
    </row>
    <row r="1815" spans="2:16" x14ac:dyDescent="0.25">
      <c r="B1815" s="23"/>
      <c r="E1815" s="23"/>
      <c r="G1815" s="23"/>
      <c r="H1815" s="23"/>
      <c r="J1815" s="23"/>
      <c r="K1815" s="23"/>
      <c r="M1815" s="23"/>
      <c r="N1815" s="23"/>
      <c r="P1815" s="23"/>
    </row>
    <row r="1816" spans="2:16" x14ac:dyDescent="0.25">
      <c r="B1816" s="23"/>
      <c r="E1816" s="23"/>
      <c r="G1816" s="23"/>
      <c r="H1816" s="23"/>
      <c r="J1816" s="23"/>
      <c r="K1816" s="23"/>
      <c r="M1816" s="23"/>
      <c r="N1816" s="23"/>
      <c r="P1816" s="23"/>
    </row>
    <row r="1817" spans="2:16" x14ac:dyDescent="0.25">
      <c r="B1817" s="23"/>
      <c r="E1817" s="23"/>
      <c r="G1817" s="23"/>
      <c r="H1817" s="23"/>
      <c r="J1817" s="23"/>
      <c r="K1817" s="23"/>
      <c r="M1817" s="23"/>
      <c r="N1817" s="23"/>
      <c r="P1817" s="23"/>
    </row>
    <row r="1818" spans="2:16" x14ac:dyDescent="0.25">
      <c r="B1818" s="23"/>
      <c r="E1818" s="23"/>
      <c r="G1818" s="23"/>
      <c r="H1818" s="23"/>
      <c r="J1818" s="23"/>
      <c r="K1818" s="23"/>
      <c r="M1818" s="23"/>
      <c r="N1818" s="23"/>
      <c r="P1818" s="23"/>
    </row>
    <row r="1819" spans="2:16" x14ac:dyDescent="0.25">
      <c r="B1819" s="23"/>
      <c r="E1819" s="23"/>
      <c r="G1819" s="23"/>
      <c r="H1819" s="23"/>
      <c r="J1819" s="23"/>
      <c r="K1819" s="23"/>
      <c r="M1819" s="23"/>
      <c r="N1819" s="23"/>
      <c r="P1819" s="23"/>
    </row>
    <row r="1820" spans="2:16" x14ac:dyDescent="0.25">
      <c r="B1820" s="23"/>
      <c r="E1820" s="23"/>
      <c r="G1820" s="23"/>
      <c r="H1820" s="23"/>
      <c r="J1820" s="23"/>
      <c r="K1820" s="23"/>
      <c r="M1820" s="23"/>
      <c r="N1820" s="23"/>
      <c r="P1820" s="23"/>
    </row>
    <row r="1821" spans="2:16" x14ac:dyDescent="0.25">
      <c r="B1821" s="23"/>
      <c r="E1821" s="23"/>
      <c r="G1821" s="23"/>
      <c r="H1821" s="23"/>
      <c r="J1821" s="23"/>
      <c r="K1821" s="23"/>
      <c r="M1821" s="23"/>
      <c r="N1821" s="23"/>
      <c r="P1821" s="23"/>
    </row>
    <row r="1822" spans="2:16" x14ac:dyDescent="0.25">
      <c r="B1822" s="23"/>
      <c r="E1822" s="23"/>
      <c r="G1822" s="23"/>
      <c r="H1822" s="23"/>
      <c r="J1822" s="23"/>
      <c r="K1822" s="23"/>
      <c r="M1822" s="23"/>
      <c r="N1822" s="23"/>
      <c r="P1822" s="23"/>
    </row>
    <row r="1823" spans="2:16" x14ac:dyDescent="0.25">
      <c r="B1823" s="23"/>
      <c r="E1823" s="23"/>
      <c r="G1823" s="23"/>
      <c r="H1823" s="23"/>
      <c r="J1823" s="23"/>
      <c r="K1823" s="23"/>
      <c r="M1823" s="23"/>
      <c r="N1823" s="23"/>
      <c r="P1823" s="23"/>
    </row>
    <row r="1824" spans="2:16" x14ac:dyDescent="0.25">
      <c r="B1824" s="23"/>
      <c r="E1824" s="23"/>
      <c r="G1824" s="23"/>
      <c r="H1824" s="23"/>
      <c r="J1824" s="23"/>
      <c r="K1824" s="23"/>
      <c r="M1824" s="23"/>
      <c r="N1824" s="23"/>
      <c r="P1824" s="23"/>
    </row>
    <row r="1825" spans="2:16" x14ac:dyDescent="0.25">
      <c r="B1825" s="23"/>
      <c r="E1825" s="23"/>
      <c r="G1825" s="23"/>
      <c r="H1825" s="23"/>
      <c r="J1825" s="23"/>
      <c r="K1825" s="23"/>
      <c r="M1825" s="23"/>
      <c r="N1825" s="23"/>
      <c r="P1825" s="23"/>
    </row>
    <row r="1826" spans="2:16" x14ac:dyDescent="0.25">
      <c r="B1826" s="23"/>
      <c r="E1826" s="23"/>
      <c r="G1826" s="23"/>
      <c r="H1826" s="23"/>
      <c r="J1826" s="23"/>
      <c r="K1826" s="23"/>
      <c r="M1826" s="23"/>
      <c r="N1826" s="23"/>
      <c r="P1826" s="23"/>
    </row>
    <row r="1827" spans="2:16" x14ac:dyDescent="0.25">
      <c r="B1827" s="23"/>
      <c r="E1827" s="23"/>
      <c r="G1827" s="23"/>
      <c r="H1827" s="23"/>
      <c r="J1827" s="23"/>
      <c r="K1827" s="23"/>
      <c r="M1827" s="23"/>
      <c r="N1827" s="23"/>
      <c r="P1827" s="23"/>
    </row>
    <row r="1828" spans="2:16" x14ac:dyDescent="0.25">
      <c r="B1828" s="23"/>
      <c r="E1828" s="23"/>
      <c r="G1828" s="23"/>
      <c r="H1828" s="23"/>
      <c r="J1828" s="23"/>
      <c r="K1828" s="23"/>
      <c r="M1828" s="23"/>
      <c r="N1828" s="23"/>
      <c r="P1828" s="23"/>
    </row>
    <row r="1829" spans="2:16" x14ac:dyDescent="0.25">
      <c r="B1829" s="23"/>
      <c r="E1829" s="23"/>
      <c r="G1829" s="23"/>
      <c r="H1829" s="23"/>
      <c r="J1829" s="23"/>
      <c r="K1829" s="23"/>
      <c r="M1829" s="23"/>
      <c r="N1829" s="23"/>
      <c r="P1829" s="23"/>
    </row>
    <row r="1830" spans="2:16" x14ac:dyDescent="0.25">
      <c r="B1830" s="23"/>
      <c r="E1830" s="23"/>
      <c r="G1830" s="23"/>
      <c r="H1830" s="23"/>
      <c r="J1830" s="23"/>
      <c r="K1830" s="23"/>
      <c r="M1830" s="23"/>
      <c r="N1830" s="23"/>
      <c r="P1830" s="23"/>
    </row>
    <row r="1831" spans="2:16" x14ac:dyDescent="0.25">
      <c r="B1831" s="23"/>
      <c r="E1831" s="23"/>
      <c r="G1831" s="23"/>
      <c r="H1831" s="23"/>
      <c r="J1831" s="23"/>
      <c r="K1831" s="23"/>
      <c r="M1831" s="23"/>
      <c r="N1831" s="23"/>
      <c r="P1831" s="23"/>
    </row>
    <row r="1832" spans="2:16" x14ac:dyDescent="0.25">
      <c r="B1832" s="23"/>
      <c r="E1832" s="23"/>
      <c r="G1832" s="23"/>
      <c r="H1832" s="23"/>
      <c r="J1832" s="23"/>
      <c r="K1832" s="23"/>
      <c r="M1832" s="23"/>
      <c r="N1832" s="23"/>
      <c r="P1832" s="23"/>
    </row>
    <row r="1833" spans="2:16" x14ac:dyDescent="0.25">
      <c r="B1833" s="23"/>
      <c r="E1833" s="23"/>
      <c r="G1833" s="23"/>
      <c r="H1833" s="23"/>
      <c r="J1833" s="23"/>
      <c r="K1833" s="23"/>
      <c r="M1833" s="23"/>
      <c r="N1833" s="23"/>
      <c r="P1833" s="23"/>
    </row>
    <row r="1834" spans="2:16" x14ac:dyDescent="0.25">
      <c r="B1834" s="23"/>
      <c r="E1834" s="23"/>
      <c r="G1834" s="23"/>
      <c r="H1834" s="23"/>
      <c r="J1834" s="23"/>
      <c r="K1834" s="23"/>
      <c r="M1834" s="23"/>
      <c r="N1834" s="23"/>
      <c r="P1834" s="23"/>
    </row>
    <row r="1835" spans="2:16" x14ac:dyDescent="0.25">
      <c r="B1835" s="23"/>
      <c r="E1835" s="23"/>
      <c r="G1835" s="23"/>
      <c r="H1835" s="23"/>
      <c r="J1835" s="23"/>
      <c r="K1835" s="23"/>
      <c r="M1835" s="23"/>
      <c r="N1835" s="23"/>
      <c r="P1835" s="23"/>
    </row>
    <row r="1836" spans="2:16" x14ac:dyDescent="0.25">
      <c r="B1836" s="23"/>
      <c r="E1836" s="23"/>
      <c r="G1836" s="23"/>
      <c r="H1836" s="23"/>
      <c r="J1836" s="23"/>
      <c r="K1836" s="23"/>
      <c r="M1836" s="23"/>
      <c r="N1836" s="23"/>
      <c r="P1836" s="23"/>
    </row>
    <row r="1837" spans="2:16" x14ac:dyDescent="0.25">
      <c r="B1837" s="23"/>
      <c r="E1837" s="23"/>
      <c r="G1837" s="23"/>
      <c r="H1837" s="23"/>
      <c r="J1837" s="23"/>
      <c r="K1837" s="23"/>
      <c r="M1837" s="23"/>
      <c r="N1837" s="23"/>
      <c r="P1837" s="23"/>
    </row>
    <row r="1838" spans="2:16" x14ac:dyDescent="0.25">
      <c r="B1838" s="23"/>
      <c r="E1838" s="23"/>
      <c r="G1838" s="23"/>
      <c r="H1838" s="23"/>
      <c r="J1838" s="23"/>
      <c r="K1838" s="23"/>
      <c r="M1838" s="23"/>
      <c r="N1838" s="23"/>
      <c r="P1838" s="23"/>
    </row>
    <row r="1839" spans="2:16" x14ac:dyDescent="0.25">
      <c r="B1839" s="23"/>
      <c r="E1839" s="23"/>
      <c r="G1839" s="23"/>
      <c r="H1839" s="23"/>
      <c r="J1839" s="23"/>
      <c r="K1839" s="23"/>
      <c r="M1839" s="23"/>
      <c r="N1839" s="23"/>
      <c r="P1839" s="23"/>
    </row>
    <row r="1840" spans="2:16" x14ac:dyDescent="0.25">
      <c r="B1840" s="23"/>
      <c r="E1840" s="23"/>
      <c r="G1840" s="23"/>
      <c r="H1840" s="23"/>
      <c r="J1840" s="23"/>
      <c r="K1840" s="23"/>
      <c r="M1840" s="23"/>
      <c r="N1840" s="23"/>
      <c r="P1840" s="23"/>
    </row>
    <row r="1841" spans="2:16" x14ac:dyDescent="0.25">
      <c r="B1841" s="23"/>
      <c r="E1841" s="23"/>
      <c r="G1841" s="23"/>
      <c r="H1841" s="23"/>
      <c r="J1841" s="23"/>
      <c r="K1841" s="23"/>
      <c r="M1841" s="23"/>
      <c r="N1841" s="23"/>
      <c r="P1841" s="23"/>
    </row>
    <row r="1842" spans="2:16" x14ac:dyDescent="0.25">
      <c r="B1842" s="23"/>
      <c r="E1842" s="23"/>
      <c r="G1842" s="23"/>
      <c r="H1842" s="23"/>
      <c r="J1842" s="23"/>
      <c r="K1842" s="23"/>
      <c r="M1842" s="23"/>
      <c r="N1842" s="23"/>
      <c r="P1842" s="23"/>
    </row>
    <row r="1843" spans="2:16" x14ac:dyDescent="0.25">
      <c r="B1843" s="23"/>
      <c r="E1843" s="23"/>
      <c r="G1843" s="23"/>
      <c r="H1843" s="23"/>
      <c r="J1843" s="23"/>
      <c r="K1843" s="23"/>
      <c r="M1843" s="23"/>
      <c r="N1843" s="23"/>
      <c r="P1843" s="23"/>
    </row>
    <row r="1844" spans="2:16" x14ac:dyDescent="0.25">
      <c r="B1844" s="23"/>
      <c r="E1844" s="23"/>
      <c r="G1844" s="23"/>
      <c r="H1844" s="23"/>
      <c r="J1844" s="23"/>
      <c r="K1844" s="23"/>
      <c r="M1844" s="23"/>
      <c r="N1844" s="23"/>
      <c r="P1844" s="23"/>
    </row>
    <row r="1845" spans="2:16" x14ac:dyDescent="0.25">
      <c r="B1845" s="23"/>
      <c r="E1845" s="23"/>
      <c r="G1845" s="23"/>
      <c r="H1845" s="23"/>
      <c r="J1845" s="23"/>
      <c r="K1845" s="23"/>
      <c r="M1845" s="23"/>
      <c r="N1845" s="23"/>
      <c r="P1845" s="23"/>
    </row>
    <row r="1846" spans="2:16" x14ac:dyDescent="0.25">
      <c r="B1846" s="23"/>
      <c r="E1846" s="23"/>
      <c r="G1846" s="23"/>
      <c r="H1846" s="23"/>
      <c r="J1846" s="23"/>
      <c r="K1846" s="23"/>
      <c r="M1846" s="23"/>
      <c r="N1846" s="23"/>
      <c r="P1846" s="23"/>
    </row>
    <row r="1847" spans="2:16" x14ac:dyDescent="0.25">
      <c r="B1847" s="23"/>
      <c r="E1847" s="23"/>
      <c r="G1847" s="23"/>
      <c r="H1847" s="23"/>
      <c r="J1847" s="23"/>
      <c r="K1847" s="23"/>
      <c r="M1847" s="23"/>
      <c r="N1847" s="23"/>
      <c r="P1847" s="23"/>
    </row>
    <row r="1848" spans="2:16" x14ac:dyDescent="0.25">
      <c r="B1848" s="23"/>
      <c r="E1848" s="23"/>
      <c r="G1848" s="23"/>
      <c r="H1848" s="23"/>
      <c r="J1848" s="23"/>
      <c r="K1848" s="23"/>
      <c r="M1848" s="23"/>
      <c r="N1848" s="23"/>
      <c r="P1848" s="23"/>
    </row>
    <row r="1849" spans="2:16" x14ac:dyDescent="0.25">
      <c r="B1849" s="23"/>
      <c r="E1849" s="23"/>
      <c r="G1849" s="23"/>
      <c r="H1849" s="23"/>
      <c r="J1849" s="23"/>
      <c r="K1849" s="23"/>
      <c r="M1849" s="23"/>
      <c r="N1849" s="23"/>
      <c r="P1849" s="23"/>
    </row>
    <row r="1850" spans="2:16" x14ac:dyDescent="0.25">
      <c r="B1850" s="23"/>
      <c r="E1850" s="23"/>
      <c r="G1850" s="23"/>
      <c r="H1850" s="23"/>
      <c r="J1850" s="23"/>
      <c r="K1850" s="23"/>
      <c r="M1850" s="23"/>
      <c r="N1850" s="23"/>
      <c r="P1850" s="23"/>
    </row>
    <row r="1851" spans="2:16" x14ac:dyDescent="0.25">
      <c r="B1851" s="23"/>
      <c r="E1851" s="23"/>
      <c r="G1851" s="23"/>
      <c r="H1851" s="23"/>
      <c r="J1851" s="23"/>
      <c r="K1851" s="23"/>
      <c r="M1851" s="23"/>
      <c r="N1851" s="23"/>
      <c r="P1851" s="23"/>
    </row>
    <row r="1852" spans="2:16" x14ac:dyDescent="0.25">
      <c r="B1852" s="23"/>
      <c r="E1852" s="23"/>
      <c r="G1852" s="23"/>
      <c r="H1852" s="23"/>
      <c r="J1852" s="23"/>
      <c r="K1852" s="23"/>
      <c r="M1852" s="23"/>
      <c r="N1852" s="23"/>
      <c r="P1852" s="23"/>
    </row>
    <row r="1853" spans="2:16" x14ac:dyDescent="0.25">
      <c r="B1853" s="23"/>
      <c r="E1853" s="23"/>
      <c r="G1853" s="23"/>
      <c r="H1853" s="23"/>
      <c r="J1853" s="23"/>
      <c r="K1853" s="23"/>
      <c r="M1853" s="23"/>
      <c r="N1853" s="23"/>
      <c r="P1853" s="23"/>
    </row>
    <row r="1854" spans="2:16" x14ac:dyDescent="0.25">
      <c r="B1854" s="23"/>
      <c r="E1854" s="23"/>
      <c r="G1854" s="23"/>
      <c r="H1854" s="23"/>
      <c r="J1854" s="23"/>
      <c r="K1854" s="23"/>
      <c r="M1854" s="23"/>
      <c r="N1854" s="23"/>
      <c r="P1854" s="23"/>
    </row>
    <row r="1855" spans="2:16" x14ac:dyDescent="0.25">
      <c r="B1855" s="23"/>
      <c r="E1855" s="23"/>
      <c r="G1855" s="23"/>
      <c r="H1855" s="23"/>
      <c r="J1855" s="23"/>
      <c r="K1855" s="23"/>
      <c r="M1855" s="23"/>
      <c r="N1855" s="23"/>
      <c r="P1855" s="23"/>
    </row>
    <row r="1856" spans="2:16" x14ac:dyDescent="0.25">
      <c r="B1856" s="23"/>
      <c r="E1856" s="23"/>
      <c r="G1856" s="23"/>
      <c r="H1856" s="23"/>
      <c r="J1856" s="23"/>
      <c r="K1856" s="23"/>
      <c r="M1856" s="23"/>
      <c r="N1856" s="23"/>
      <c r="P1856" s="23"/>
    </row>
    <row r="1857" spans="2:16" x14ac:dyDescent="0.25">
      <c r="B1857" s="23"/>
      <c r="E1857" s="23"/>
      <c r="G1857" s="23"/>
      <c r="H1857" s="23"/>
      <c r="J1857" s="23"/>
      <c r="K1857" s="23"/>
      <c r="M1857" s="23"/>
      <c r="N1857" s="23"/>
      <c r="P1857" s="23"/>
    </row>
    <row r="1858" spans="2:16" x14ac:dyDescent="0.25">
      <c r="B1858" s="23"/>
      <c r="E1858" s="23"/>
      <c r="G1858" s="23"/>
      <c r="H1858" s="23"/>
      <c r="J1858" s="23"/>
      <c r="K1858" s="23"/>
      <c r="M1858" s="23"/>
      <c r="N1858" s="23"/>
      <c r="P1858" s="23"/>
    </row>
    <row r="1859" spans="2:16" x14ac:dyDescent="0.25">
      <c r="B1859" s="23"/>
      <c r="E1859" s="23"/>
      <c r="G1859" s="23"/>
      <c r="H1859" s="23"/>
      <c r="J1859" s="23"/>
      <c r="K1859" s="23"/>
      <c r="M1859" s="23"/>
      <c r="N1859" s="23"/>
      <c r="P1859" s="23"/>
    </row>
    <row r="1860" spans="2:16" x14ac:dyDescent="0.25">
      <c r="B1860" s="23"/>
      <c r="E1860" s="23"/>
      <c r="G1860" s="23"/>
      <c r="H1860" s="23"/>
      <c r="J1860" s="23"/>
      <c r="K1860" s="23"/>
      <c r="M1860" s="23"/>
      <c r="N1860" s="23"/>
      <c r="P1860" s="23"/>
    </row>
    <row r="1861" spans="2:16" x14ac:dyDescent="0.25">
      <c r="B1861" s="23"/>
      <c r="E1861" s="23"/>
      <c r="G1861" s="23"/>
      <c r="H1861" s="23"/>
      <c r="J1861" s="23"/>
      <c r="K1861" s="23"/>
      <c r="M1861" s="23"/>
      <c r="N1861" s="23"/>
      <c r="P1861" s="23"/>
    </row>
    <row r="1862" spans="2:16" x14ac:dyDescent="0.25">
      <c r="B1862" s="23"/>
      <c r="E1862" s="23"/>
      <c r="G1862" s="23"/>
      <c r="H1862" s="23"/>
      <c r="J1862" s="23"/>
      <c r="K1862" s="23"/>
      <c r="M1862" s="23"/>
      <c r="N1862" s="23"/>
      <c r="P1862" s="23"/>
    </row>
    <row r="1863" spans="2:16" x14ac:dyDescent="0.25">
      <c r="B1863" s="23"/>
      <c r="E1863" s="23"/>
      <c r="G1863" s="23"/>
      <c r="H1863" s="23"/>
      <c r="J1863" s="23"/>
      <c r="K1863" s="23"/>
      <c r="M1863" s="23"/>
      <c r="N1863" s="23"/>
      <c r="P1863" s="23"/>
    </row>
    <row r="1864" spans="2:16" x14ac:dyDescent="0.25">
      <c r="B1864" s="23"/>
      <c r="E1864" s="23"/>
      <c r="G1864" s="23"/>
      <c r="H1864" s="23"/>
      <c r="J1864" s="23"/>
      <c r="K1864" s="23"/>
      <c r="M1864" s="23"/>
      <c r="N1864" s="23"/>
      <c r="P1864" s="23"/>
    </row>
    <row r="1865" spans="2:16" x14ac:dyDescent="0.25">
      <c r="B1865" s="23"/>
      <c r="E1865" s="23"/>
      <c r="G1865" s="23"/>
      <c r="H1865" s="23"/>
      <c r="J1865" s="23"/>
      <c r="K1865" s="23"/>
      <c r="M1865" s="23"/>
      <c r="N1865" s="23"/>
      <c r="P1865" s="23"/>
    </row>
    <row r="1866" spans="2:16" x14ac:dyDescent="0.25">
      <c r="B1866" s="23"/>
      <c r="E1866" s="23"/>
      <c r="G1866" s="23"/>
      <c r="H1866" s="23"/>
      <c r="J1866" s="23"/>
      <c r="K1866" s="23"/>
      <c r="M1866" s="23"/>
      <c r="N1866" s="23"/>
      <c r="P1866" s="23"/>
    </row>
    <row r="1867" spans="2:16" x14ac:dyDescent="0.25">
      <c r="B1867" s="23"/>
      <c r="E1867" s="23"/>
      <c r="G1867" s="23"/>
      <c r="H1867" s="23"/>
      <c r="J1867" s="23"/>
      <c r="K1867" s="23"/>
      <c r="M1867" s="23"/>
      <c r="N1867" s="23"/>
      <c r="P1867" s="23"/>
    </row>
    <row r="1868" spans="2:16" x14ac:dyDescent="0.25">
      <c r="B1868" s="23"/>
      <c r="E1868" s="23"/>
      <c r="G1868" s="23"/>
      <c r="H1868" s="23"/>
      <c r="J1868" s="23"/>
      <c r="K1868" s="23"/>
      <c r="M1868" s="23"/>
      <c r="N1868" s="23"/>
      <c r="P1868" s="23"/>
    </row>
    <row r="1869" spans="2:16" x14ac:dyDescent="0.25">
      <c r="B1869" s="23"/>
      <c r="E1869" s="23"/>
      <c r="G1869" s="23"/>
      <c r="H1869" s="23"/>
      <c r="J1869" s="23"/>
      <c r="K1869" s="23"/>
      <c r="M1869" s="23"/>
      <c r="N1869" s="23"/>
      <c r="P1869" s="23"/>
    </row>
    <row r="1870" spans="2:16" x14ac:dyDescent="0.25">
      <c r="B1870" s="23"/>
      <c r="E1870" s="23"/>
      <c r="G1870" s="23"/>
      <c r="H1870" s="23"/>
      <c r="J1870" s="23"/>
      <c r="K1870" s="23"/>
      <c r="M1870" s="23"/>
      <c r="N1870" s="23"/>
      <c r="P1870" s="23"/>
    </row>
    <row r="1871" spans="2:16" x14ac:dyDescent="0.25">
      <c r="B1871" s="23"/>
      <c r="E1871" s="23"/>
      <c r="G1871" s="23"/>
      <c r="H1871" s="23"/>
      <c r="J1871" s="23"/>
      <c r="K1871" s="23"/>
      <c r="M1871" s="23"/>
      <c r="N1871" s="23"/>
      <c r="P1871" s="23"/>
    </row>
    <row r="1872" spans="2:16" x14ac:dyDescent="0.25">
      <c r="B1872" s="23"/>
      <c r="E1872" s="23"/>
      <c r="G1872" s="23"/>
      <c r="H1872" s="23"/>
      <c r="J1872" s="23"/>
      <c r="K1872" s="23"/>
      <c r="M1872" s="23"/>
      <c r="N1872" s="23"/>
      <c r="P1872" s="23"/>
    </row>
    <row r="1873" spans="2:16" x14ac:dyDescent="0.25">
      <c r="B1873" s="23"/>
      <c r="E1873" s="23"/>
      <c r="G1873" s="23"/>
      <c r="H1873" s="23"/>
      <c r="J1873" s="23"/>
      <c r="K1873" s="23"/>
      <c r="M1873" s="23"/>
      <c r="N1873" s="23"/>
      <c r="P1873" s="23"/>
    </row>
    <row r="1874" spans="2:16" x14ac:dyDescent="0.25">
      <c r="B1874" s="23"/>
      <c r="E1874" s="23"/>
      <c r="G1874" s="23"/>
      <c r="H1874" s="23"/>
      <c r="J1874" s="23"/>
      <c r="K1874" s="23"/>
      <c r="M1874" s="23"/>
      <c r="N1874" s="23"/>
      <c r="P1874" s="23"/>
    </row>
    <row r="1875" spans="2:16" x14ac:dyDescent="0.25">
      <c r="B1875" s="23"/>
      <c r="E1875" s="23"/>
      <c r="G1875" s="23"/>
      <c r="H1875" s="23"/>
      <c r="J1875" s="23"/>
      <c r="K1875" s="23"/>
      <c r="M1875" s="23"/>
      <c r="N1875" s="23"/>
      <c r="P1875" s="23"/>
    </row>
    <row r="1876" spans="2:16" x14ac:dyDescent="0.25">
      <c r="B1876" s="23"/>
      <c r="E1876" s="23"/>
      <c r="G1876" s="23"/>
      <c r="H1876" s="23"/>
      <c r="J1876" s="23"/>
      <c r="K1876" s="23"/>
      <c r="M1876" s="23"/>
      <c r="N1876" s="23"/>
      <c r="P1876" s="23"/>
    </row>
    <row r="1877" spans="2:16" x14ac:dyDescent="0.25">
      <c r="B1877" s="23"/>
      <c r="E1877" s="23"/>
      <c r="G1877" s="23"/>
      <c r="H1877" s="23"/>
      <c r="J1877" s="23"/>
      <c r="K1877" s="23"/>
      <c r="M1877" s="23"/>
      <c r="N1877" s="23"/>
      <c r="P1877" s="23"/>
    </row>
    <row r="1878" spans="2:16" x14ac:dyDescent="0.25">
      <c r="B1878" s="23"/>
      <c r="E1878" s="23"/>
      <c r="G1878" s="23"/>
      <c r="H1878" s="23"/>
      <c r="J1878" s="23"/>
      <c r="K1878" s="23"/>
      <c r="M1878" s="23"/>
      <c r="N1878" s="23"/>
      <c r="P1878" s="23"/>
    </row>
    <row r="1879" spans="2:16" x14ac:dyDescent="0.25">
      <c r="B1879" s="23"/>
      <c r="E1879" s="23"/>
      <c r="G1879" s="23"/>
      <c r="H1879" s="23"/>
      <c r="J1879" s="23"/>
      <c r="K1879" s="23"/>
      <c r="M1879" s="23"/>
      <c r="N1879" s="23"/>
      <c r="P1879" s="23"/>
    </row>
    <row r="1880" spans="2:16" x14ac:dyDescent="0.25">
      <c r="B1880" s="23"/>
      <c r="E1880" s="23"/>
      <c r="G1880" s="23"/>
      <c r="H1880" s="23"/>
      <c r="J1880" s="23"/>
      <c r="K1880" s="23"/>
      <c r="M1880" s="23"/>
      <c r="N1880" s="23"/>
      <c r="P1880" s="23"/>
    </row>
    <row r="1881" spans="2:16" x14ac:dyDescent="0.25">
      <c r="B1881" s="23"/>
      <c r="E1881" s="23"/>
      <c r="G1881" s="23"/>
      <c r="H1881" s="23"/>
      <c r="J1881" s="23"/>
      <c r="K1881" s="23"/>
      <c r="M1881" s="23"/>
      <c r="N1881" s="23"/>
      <c r="P1881" s="23"/>
    </row>
    <row r="1882" spans="2:16" x14ac:dyDescent="0.25">
      <c r="B1882" s="23"/>
      <c r="E1882" s="23"/>
      <c r="G1882" s="23"/>
      <c r="H1882" s="23"/>
      <c r="J1882" s="23"/>
      <c r="K1882" s="23"/>
      <c r="M1882" s="23"/>
      <c r="N1882" s="23"/>
      <c r="P1882" s="23"/>
    </row>
    <row r="1883" spans="2:16" x14ac:dyDescent="0.25">
      <c r="B1883" s="23"/>
      <c r="E1883" s="23"/>
      <c r="G1883" s="23"/>
      <c r="H1883" s="23"/>
      <c r="J1883" s="23"/>
      <c r="K1883" s="23"/>
      <c r="M1883" s="23"/>
      <c r="N1883" s="23"/>
      <c r="P1883" s="23"/>
    </row>
    <row r="1884" spans="2:16" x14ac:dyDescent="0.25">
      <c r="B1884" s="23"/>
      <c r="E1884" s="23"/>
      <c r="G1884" s="23"/>
      <c r="H1884" s="23"/>
      <c r="J1884" s="23"/>
      <c r="K1884" s="23"/>
      <c r="M1884" s="23"/>
      <c r="N1884" s="23"/>
      <c r="P1884" s="23"/>
    </row>
    <row r="1885" spans="2:16" x14ac:dyDescent="0.25">
      <c r="B1885" s="23"/>
      <c r="E1885" s="23"/>
      <c r="G1885" s="23"/>
      <c r="H1885" s="23"/>
      <c r="J1885" s="23"/>
      <c r="K1885" s="23"/>
      <c r="M1885" s="23"/>
      <c r="N1885" s="23"/>
      <c r="P1885" s="23"/>
    </row>
    <row r="1886" spans="2:16" x14ac:dyDescent="0.25">
      <c r="B1886" s="23"/>
      <c r="E1886" s="23"/>
      <c r="G1886" s="23"/>
      <c r="H1886" s="23"/>
      <c r="J1886" s="23"/>
      <c r="K1886" s="23"/>
      <c r="M1886" s="23"/>
      <c r="N1886" s="23"/>
      <c r="P1886" s="23"/>
    </row>
    <row r="1887" spans="2:16" x14ac:dyDescent="0.25">
      <c r="B1887" s="23"/>
      <c r="E1887" s="23"/>
      <c r="G1887" s="23"/>
      <c r="H1887" s="23"/>
      <c r="J1887" s="23"/>
      <c r="K1887" s="23"/>
      <c r="M1887" s="23"/>
      <c r="N1887" s="23"/>
      <c r="P1887" s="23"/>
    </row>
    <row r="1888" spans="2:16" x14ac:dyDescent="0.25">
      <c r="B1888" s="23"/>
      <c r="E1888" s="23"/>
      <c r="G1888" s="23"/>
      <c r="H1888" s="23"/>
      <c r="J1888" s="23"/>
      <c r="K1888" s="23"/>
      <c r="M1888" s="23"/>
      <c r="N1888" s="23"/>
      <c r="P1888" s="23"/>
    </row>
    <row r="1889" spans="2:16" x14ac:dyDescent="0.25">
      <c r="B1889" s="23"/>
      <c r="E1889" s="23"/>
      <c r="G1889" s="23"/>
      <c r="H1889" s="23"/>
      <c r="J1889" s="23"/>
      <c r="K1889" s="23"/>
      <c r="M1889" s="23"/>
      <c r="N1889" s="23"/>
      <c r="P1889" s="23"/>
    </row>
    <row r="1890" spans="2:16" x14ac:dyDescent="0.25">
      <c r="B1890" s="23"/>
      <c r="E1890" s="23"/>
      <c r="G1890" s="23"/>
      <c r="H1890" s="23"/>
      <c r="J1890" s="23"/>
      <c r="K1890" s="23"/>
      <c r="M1890" s="23"/>
      <c r="N1890" s="23"/>
      <c r="P1890" s="23"/>
    </row>
    <row r="1891" spans="2:16" x14ac:dyDescent="0.25">
      <c r="B1891" s="23"/>
      <c r="E1891" s="23"/>
      <c r="G1891" s="23"/>
      <c r="H1891" s="23"/>
      <c r="J1891" s="23"/>
      <c r="K1891" s="23"/>
      <c r="M1891" s="23"/>
      <c r="N1891" s="23"/>
      <c r="P1891" s="23"/>
    </row>
    <row r="1892" spans="2:16" x14ac:dyDescent="0.25">
      <c r="B1892" s="23"/>
      <c r="E1892" s="23"/>
      <c r="G1892" s="23"/>
      <c r="H1892" s="23"/>
      <c r="J1892" s="23"/>
      <c r="K1892" s="23"/>
      <c r="M1892" s="23"/>
      <c r="N1892" s="23"/>
      <c r="P1892" s="23"/>
    </row>
    <row r="1893" spans="2:16" x14ac:dyDescent="0.25">
      <c r="B1893" s="23"/>
      <c r="E1893" s="23"/>
      <c r="G1893" s="23"/>
      <c r="H1893" s="23"/>
      <c r="J1893" s="23"/>
      <c r="K1893" s="23"/>
      <c r="M1893" s="23"/>
      <c r="N1893" s="23"/>
      <c r="P1893" s="23"/>
    </row>
    <row r="1894" spans="2:16" x14ac:dyDescent="0.25">
      <c r="B1894" s="23"/>
      <c r="E1894" s="23"/>
      <c r="G1894" s="23"/>
      <c r="H1894" s="23"/>
      <c r="J1894" s="23"/>
      <c r="K1894" s="23"/>
      <c r="M1894" s="23"/>
      <c r="N1894" s="23"/>
      <c r="P1894" s="23"/>
    </row>
    <row r="1895" spans="2:16" x14ac:dyDescent="0.25">
      <c r="B1895" s="23"/>
      <c r="E1895" s="23"/>
      <c r="G1895" s="23"/>
      <c r="H1895" s="23"/>
      <c r="J1895" s="23"/>
      <c r="K1895" s="23"/>
      <c r="M1895" s="23"/>
      <c r="N1895" s="23"/>
      <c r="P1895" s="23"/>
    </row>
    <row r="1896" spans="2:16" x14ac:dyDescent="0.25">
      <c r="B1896" s="23"/>
      <c r="E1896" s="23"/>
      <c r="G1896" s="23"/>
      <c r="H1896" s="23"/>
      <c r="J1896" s="23"/>
      <c r="K1896" s="23"/>
      <c r="M1896" s="23"/>
      <c r="N1896" s="23"/>
      <c r="P1896" s="23"/>
    </row>
    <row r="1897" spans="2:16" x14ac:dyDescent="0.25">
      <c r="B1897" s="23"/>
      <c r="E1897" s="23"/>
      <c r="G1897" s="23"/>
      <c r="H1897" s="23"/>
      <c r="J1897" s="23"/>
      <c r="K1897" s="23"/>
      <c r="M1897" s="23"/>
      <c r="N1897" s="23"/>
      <c r="P1897" s="23"/>
    </row>
    <row r="1898" spans="2:16" x14ac:dyDescent="0.25">
      <c r="B1898" s="23"/>
      <c r="E1898" s="23"/>
      <c r="G1898" s="23"/>
      <c r="H1898" s="23"/>
      <c r="J1898" s="23"/>
      <c r="K1898" s="23"/>
      <c r="M1898" s="23"/>
      <c r="N1898" s="23"/>
      <c r="P1898" s="23"/>
    </row>
    <row r="1899" spans="2:16" x14ac:dyDescent="0.25">
      <c r="B1899" s="23"/>
      <c r="E1899" s="23"/>
      <c r="G1899" s="23"/>
      <c r="H1899" s="23"/>
      <c r="J1899" s="23"/>
      <c r="K1899" s="23"/>
      <c r="M1899" s="23"/>
      <c r="N1899" s="23"/>
      <c r="P1899" s="23"/>
    </row>
    <row r="1900" spans="2:16" x14ac:dyDescent="0.25">
      <c r="B1900" s="23"/>
      <c r="E1900" s="23"/>
      <c r="G1900" s="23"/>
      <c r="H1900" s="23"/>
      <c r="J1900" s="23"/>
      <c r="K1900" s="23"/>
      <c r="M1900" s="23"/>
      <c r="N1900" s="23"/>
      <c r="P1900" s="23"/>
    </row>
    <row r="1901" spans="2:16" x14ac:dyDescent="0.25">
      <c r="B1901" s="23"/>
      <c r="E1901" s="23"/>
      <c r="G1901" s="23"/>
      <c r="H1901" s="23"/>
      <c r="J1901" s="23"/>
      <c r="K1901" s="23"/>
      <c r="M1901" s="23"/>
      <c r="N1901" s="23"/>
      <c r="P1901" s="23"/>
    </row>
    <row r="1902" spans="2:16" x14ac:dyDescent="0.25">
      <c r="B1902" s="23"/>
      <c r="E1902" s="23"/>
      <c r="G1902" s="23"/>
      <c r="H1902" s="23"/>
      <c r="J1902" s="23"/>
      <c r="K1902" s="23"/>
      <c r="M1902" s="23"/>
      <c r="N1902" s="23"/>
      <c r="P1902" s="23"/>
    </row>
    <row r="1903" spans="2:16" x14ac:dyDescent="0.25">
      <c r="B1903" s="23"/>
      <c r="E1903" s="23"/>
      <c r="G1903" s="23"/>
      <c r="H1903" s="23"/>
      <c r="J1903" s="23"/>
      <c r="K1903" s="23"/>
      <c r="M1903" s="23"/>
      <c r="N1903" s="23"/>
      <c r="P1903" s="23"/>
    </row>
    <row r="1904" spans="2:16" x14ac:dyDescent="0.25">
      <c r="B1904" s="23"/>
      <c r="E1904" s="23"/>
      <c r="G1904" s="23"/>
      <c r="H1904" s="23"/>
      <c r="J1904" s="23"/>
      <c r="K1904" s="23"/>
      <c r="M1904" s="23"/>
      <c r="N1904" s="23"/>
      <c r="P1904" s="23"/>
    </row>
    <row r="1905" spans="2:16" x14ac:dyDescent="0.25">
      <c r="B1905" s="23"/>
      <c r="E1905" s="23"/>
      <c r="G1905" s="23"/>
      <c r="H1905" s="23"/>
      <c r="J1905" s="23"/>
      <c r="K1905" s="23"/>
      <c r="M1905" s="23"/>
      <c r="N1905" s="23"/>
      <c r="P1905" s="23"/>
    </row>
    <row r="1906" spans="2:16" x14ac:dyDescent="0.25">
      <c r="B1906" s="23"/>
      <c r="E1906" s="23"/>
      <c r="G1906" s="23"/>
      <c r="H1906" s="23"/>
      <c r="J1906" s="23"/>
      <c r="K1906" s="23"/>
      <c r="M1906" s="23"/>
      <c r="N1906" s="23"/>
      <c r="P1906" s="23"/>
    </row>
    <row r="1907" spans="2:16" x14ac:dyDescent="0.25">
      <c r="B1907" s="23"/>
      <c r="E1907" s="23"/>
      <c r="G1907" s="23"/>
      <c r="H1907" s="23"/>
      <c r="J1907" s="23"/>
      <c r="K1907" s="23"/>
      <c r="M1907" s="23"/>
      <c r="N1907" s="23"/>
      <c r="P1907" s="23"/>
    </row>
    <row r="1908" spans="2:16" x14ac:dyDescent="0.25">
      <c r="B1908" s="23"/>
      <c r="E1908" s="23"/>
      <c r="G1908" s="23"/>
      <c r="H1908" s="23"/>
      <c r="J1908" s="23"/>
      <c r="K1908" s="23"/>
      <c r="M1908" s="23"/>
      <c r="N1908" s="23"/>
      <c r="P1908" s="23"/>
    </row>
    <row r="1909" spans="2:16" x14ac:dyDescent="0.25">
      <c r="B1909" s="23"/>
      <c r="E1909" s="23"/>
      <c r="G1909" s="23"/>
      <c r="H1909" s="23"/>
      <c r="J1909" s="23"/>
      <c r="K1909" s="23"/>
      <c r="M1909" s="23"/>
      <c r="N1909" s="23"/>
      <c r="P1909" s="23"/>
    </row>
    <row r="1910" spans="2:16" x14ac:dyDescent="0.25">
      <c r="B1910" s="23"/>
      <c r="E1910" s="23"/>
      <c r="G1910" s="23"/>
      <c r="H1910" s="23"/>
      <c r="J1910" s="23"/>
      <c r="K1910" s="23"/>
      <c r="M1910" s="23"/>
      <c r="N1910" s="23"/>
      <c r="P1910" s="23"/>
    </row>
    <row r="1911" spans="2:16" x14ac:dyDescent="0.25">
      <c r="B1911" s="23"/>
      <c r="E1911" s="23"/>
      <c r="G1911" s="23"/>
      <c r="H1911" s="23"/>
      <c r="J1911" s="23"/>
      <c r="K1911" s="23"/>
      <c r="M1911" s="23"/>
      <c r="N1911" s="23"/>
      <c r="P1911" s="23"/>
    </row>
    <row r="1912" spans="2:16" x14ac:dyDescent="0.25">
      <c r="B1912" s="23"/>
      <c r="E1912" s="23"/>
      <c r="G1912" s="23"/>
      <c r="H1912" s="23"/>
      <c r="J1912" s="23"/>
      <c r="K1912" s="23"/>
      <c r="M1912" s="23"/>
      <c r="N1912" s="23"/>
      <c r="P1912" s="23"/>
    </row>
    <row r="1913" spans="2:16" x14ac:dyDescent="0.25">
      <c r="B1913" s="23"/>
      <c r="E1913" s="23"/>
      <c r="G1913" s="23"/>
      <c r="H1913" s="23"/>
      <c r="J1913" s="23"/>
      <c r="K1913" s="23"/>
      <c r="M1913" s="23"/>
      <c r="N1913" s="23"/>
      <c r="P1913" s="23"/>
    </row>
    <row r="1914" spans="2:16" x14ac:dyDescent="0.25">
      <c r="B1914" s="23"/>
      <c r="E1914" s="23"/>
      <c r="G1914" s="23"/>
      <c r="H1914" s="23"/>
      <c r="J1914" s="23"/>
      <c r="K1914" s="23"/>
      <c r="M1914" s="23"/>
      <c r="N1914" s="23"/>
      <c r="P1914" s="23"/>
    </row>
    <row r="1915" spans="2:16" x14ac:dyDescent="0.25">
      <c r="B1915" s="23"/>
      <c r="E1915" s="23"/>
      <c r="G1915" s="23"/>
      <c r="H1915" s="23"/>
      <c r="J1915" s="23"/>
      <c r="K1915" s="23"/>
      <c r="M1915" s="23"/>
      <c r="N1915" s="23"/>
      <c r="P1915" s="23"/>
    </row>
    <row r="1916" spans="2:16" x14ac:dyDescent="0.25">
      <c r="B1916" s="23"/>
      <c r="E1916" s="23"/>
      <c r="G1916" s="23"/>
      <c r="H1916" s="23"/>
      <c r="J1916" s="23"/>
      <c r="K1916" s="23"/>
      <c r="M1916" s="23"/>
      <c r="N1916" s="23"/>
      <c r="P1916" s="23"/>
    </row>
    <row r="1917" spans="2:16" x14ac:dyDescent="0.25">
      <c r="B1917" s="23"/>
      <c r="E1917" s="23"/>
      <c r="G1917" s="23"/>
      <c r="H1917" s="23"/>
      <c r="J1917" s="23"/>
      <c r="K1917" s="23"/>
      <c r="M1917" s="23"/>
      <c r="N1917" s="23"/>
      <c r="P1917" s="23"/>
    </row>
    <row r="1918" spans="2:16" x14ac:dyDescent="0.25">
      <c r="B1918" s="23"/>
      <c r="E1918" s="23"/>
      <c r="G1918" s="23"/>
      <c r="H1918" s="23"/>
      <c r="J1918" s="23"/>
      <c r="K1918" s="23"/>
      <c r="M1918" s="23"/>
      <c r="N1918" s="23"/>
      <c r="P1918" s="23"/>
    </row>
    <row r="1919" spans="2:16" x14ac:dyDescent="0.25">
      <c r="B1919" s="23"/>
      <c r="E1919" s="23"/>
      <c r="G1919" s="23"/>
      <c r="H1919" s="23"/>
      <c r="J1919" s="23"/>
      <c r="K1919" s="23"/>
      <c r="M1919" s="23"/>
      <c r="N1919" s="23"/>
      <c r="P1919" s="23"/>
    </row>
    <row r="1920" spans="2:16" x14ac:dyDescent="0.25">
      <c r="B1920" s="23"/>
      <c r="E1920" s="23"/>
      <c r="G1920" s="23"/>
      <c r="H1920" s="23"/>
      <c r="J1920" s="23"/>
      <c r="K1920" s="23"/>
      <c r="M1920" s="23"/>
      <c r="N1920" s="23"/>
      <c r="P1920" s="23"/>
    </row>
    <row r="1921" spans="2:16" x14ac:dyDescent="0.25">
      <c r="B1921" s="23"/>
      <c r="E1921" s="23"/>
      <c r="G1921" s="23"/>
      <c r="H1921" s="23"/>
      <c r="J1921" s="23"/>
      <c r="K1921" s="23"/>
      <c r="M1921" s="23"/>
      <c r="N1921" s="23"/>
      <c r="P1921" s="23"/>
    </row>
    <row r="1922" spans="2:16" x14ac:dyDescent="0.25">
      <c r="B1922" s="23"/>
      <c r="E1922" s="23"/>
      <c r="G1922" s="23"/>
      <c r="H1922" s="23"/>
      <c r="J1922" s="23"/>
      <c r="K1922" s="23"/>
      <c r="M1922" s="23"/>
      <c r="N1922" s="23"/>
      <c r="P1922" s="23"/>
    </row>
    <row r="1923" spans="2:16" x14ac:dyDescent="0.25">
      <c r="B1923" s="23"/>
      <c r="E1923" s="23"/>
      <c r="G1923" s="23"/>
      <c r="H1923" s="23"/>
      <c r="J1923" s="23"/>
      <c r="K1923" s="23"/>
      <c r="M1923" s="23"/>
      <c r="N1923" s="23"/>
      <c r="P1923" s="23"/>
    </row>
    <row r="1924" spans="2:16" x14ac:dyDescent="0.25">
      <c r="B1924" s="23"/>
      <c r="E1924" s="23"/>
      <c r="G1924" s="23"/>
      <c r="H1924" s="23"/>
      <c r="J1924" s="23"/>
      <c r="K1924" s="23"/>
      <c r="M1924" s="23"/>
      <c r="N1924" s="23"/>
      <c r="P1924" s="23"/>
    </row>
    <row r="1925" spans="2:16" x14ac:dyDescent="0.25">
      <c r="B1925" s="23"/>
      <c r="E1925" s="23"/>
      <c r="G1925" s="23"/>
      <c r="H1925" s="23"/>
      <c r="J1925" s="23"/>
      <c r="K1925" s="23"/>
      <c r="M1925" s="23"/>
      <c r="N1925" s="23"/>
      <c r="P1925" s="23"/>
    </row>
    <row r="1926" spans="2:16" x14ac:dyDescent="0.25">
      <c r="B1926" s="23"/>
      <c r="E1926" s="23"/>
      <c r="G1926" s="23"/>
      <c r="H1926" s="23"/>
      <c r="J1926" s="23"/>
      <c r="K1926" s="23"/>
      <c r="M1926" s="23"/>
      <c r="N1926" s="23"/>
      <c r="P1926" s="23"/>
    </row>
    <row r="1927" spans="2:16" x14ac:dyDescent="0.25">
      <c r="B1927" s="23"/>
      <c r="E1927" s="23"/>
      <c r="G1927" s="23"/>
      <c r="H1927" s="23"/>
      <c r="J1927" s="23"/>
      <c r="K1927" s="23"/>
      <c r="M1927" s="23"/>
      <c r="N1927" s="23"/>
      <c r="P1927" s="23"/>
    </row>
    <row r="1928" spans="2:16" x14ac:dyDescent="0.25">
      <c r="B1928" s="23"/>
      <c r="E1928" s="23"/>
      <c r="G1928" s="23"/>
      <c r="H1928" s="23"/>
      <c r="J1928" s="23"/>
      <c r="K1928" s="23"/>
      <c r="M1928" s="23"/>
      <c r="N1928" s="23"/>
      <c r="P1928" s="23"/>
    </row>
    <row r="1929" spans="2:16" x14ac:dyDescent="0.25">
      <c r="B1929" s="23"/>
      <c r="E1929" s="23"/>
      <c r="G1929" s="23"/>
      <c r="H1929" s="23"/>
      <c r="J1929" s="23"/>
      <c r="K1929" s="23"/>
      <c r="M1929" s="23"/>
      <c r="N1929" s="23"/>
      <c r="P1929" s="23"/>
    </row>
    <row r="1930" spans="2:16" x14ac:dyDescent="0.25">
      <c r="B1930" s="23"/>
      <c r="E1930" s="23"/>
      <c r="G1930" s="23"/>
      <c r="H1930" s="23"/>
      <c r="J1930" s="23"/>
      <c r="K1930" s="23"/>
      <c r="M1930" s="23"/>
      <c r="N1930" s="23"/>
      <c r="P1930" s="23"/>
    </row>
    <row r="1931" spans="2:16" x14ac:dyDescent="0.25">
      <c r="B1931" s="23"/>
      <c r="E1931" s="23"/>
      <c r="G1931" s="23"/>
      <c r="H1931" s="23"/>
      <c r="J1931" s="23"/>
      <c r="K1931" s="23"/>
      <c r="M1931" s="23"/>
      <c r="N1931" s="23"/>
      <c r="P1931" s="23"/>
    </row>
    <row r="1932" spans="2:16" x14ac:dyDescent="0.25">
      <c r="B1932" s="23"/>
      <c r="E1932" s="23"/>
      <c r="G1932" s="23"/>
      <c r="H1932" s="23"/>
      <c r="J1932" s="23"/>
      <c r="K1932" s="23"/>
      <c r="M1932" s="23"/>
      <c r="N1932" s="23"/>
      <c r="P1932" s="23"/>
    </row>
    <row r="1933" spans="2:16" x14ac:dyDescent="0.25">
      <c r="B1933" s="23"/>
      <c r="E1933" s="23"/>
      <c r="G1933" s="23"/>
      <c r="H1933" s="23"/>
      <c r="J1933" s="23"/>
      <c r="K1933" s="23"/>
      <c r="M1933" s="23"/>
      <c r="N1933" s="23"/>
      <c r="P1933" s="23"/>
    </row>
    <row r="1934" spans="2:16" x14ac:dyDescent="0.25">
      <c r="B1934" s="23"/>
      <c r="E1934" s="23"/>
      <c r="G1934" s="23"/>
      <c r="H1934" s="23"/>
      <c r="J1934" s="23"/>
      <c r="K1934" s="23"/>
      <c r="M1934" s="23"/>
      <c r="N1934" s="23"/>
      <c r="P1934" s="23"/>
    </row>
    <row r="1935" spans="2:16" x14ac:dyDescent="0.25">
      <c r="B1935" s="23"/>
      <c r="E1935" s="23"/>
      <c r="G1935" s="23"/>
      <c r="H1935" s="23"/>
      <c r="J1935" s="23"/>
      <c r="K1935" s="23"/>
      <c r="M1935" s="23"/>
      <c r="N1935" s="23"/>
      <c r="P1935" s="23"/>
    </row>
    <row r="1936" spans="2:16" x14ac:dyDescent="0.25">
      <c r="B1936" s="23"/>
      <c r="E1936" s="23"/>
      <c r="G1936" s="23"/>
      <c r="H1936" s="23"/>
      <c r="J1936" s="23"/>
      <c r="K1936" s="23"/>
      <c r="M1936" s="23"/>
      <c r="N1936" s="23"/>
      <c r="P1936" s="23"/>
    </row>
    <row r="1937" spans="2:16" x14ac:dyDescent="0.25">
      <c r="B1937" s="23"/>
      <c r="E1937" s="23"/>
      <c r="G1937" s="23"/>
      <c r="H1937" s="23"/>
      <c r="J1937" s="23"/>
      <c r="K1937" s="23"/>
      <c r="M1937" s="23"/>
      <c r="N1937" s="23"/>
      <c r="P1937" s="23"/>
    </row>
    <row r="1938" spans="2:16" x14ac:dyDescent="0.25">
      <c r="B1938" s="23"/>
      <c r="E1938" s="23"/>
      <c r="G1938" s="23"/>
      <c r="H1938" s="23"/>
      <c r="J1938" s="23"/>
      <c r="K1938" s="23"/>
      <c r="M1938" s="23"/>
      <c r="N1938" s="23"/>
      <c r="P1938" s="23"/>
    </row>
    <row r="1939" spans="2:16" x14ac:dyDescent="0.25">
      <c r="B1939" s="23"/>
      <c r="E1939" s="23"/>
      <c r="G1939" s="23"/>
      <c r="H1939" s="23"/>
      <c r="J1939" s="23"/>
      <c r="K1939" s="23"/>
      <c r="M1939" s="23"/>
      <c r="N1939" s="23"/>
      <c r="P1939" s="23"/>
    </row>
    <row r="1940" spans="2:16" x14ac:dyDescent="0.25">
      <c r="B1940" s="23"/>
      <c r="E1940" s="23"/>
      <c r="G1940" s="23"/>
      <c r="H1940" s="23"/>
      <c r="J1940" s="23"/>
      <c r="K1940" s="23"/>
      <c r="M1940" s="23"/>
      <c r="N1940" s="23"/>
      <c r="P1940" s="23"/>
    </row>
    <row r="1941" spans="2:16" x14ac:dyDescent="0.25">
      <c r="B1941" s="23"/>
      <c r="E1941" s="23"/>
      <c r="G1941" s="23"/>
      <c r="H1941" s="23"/>
      <c r="J1941" s="23"/>
      <c r="K1941" s="23"/>
      <c r="M1941" s="23"/>
      <c r="N1941" s="23"/>
      <c r="P1941" s="23"/>
    </row>
    <row r="1942" spans="2:16" x14ac:dyDescent="0.25">
      <c r="B1942" s="23"/>
      <c r="E1942" s="23"/>
      <c r="G1942" s="23"/>
      <c r="H1942" s="23"/>
      <c r="J1942" s="23"/>
      <c r="K1942" s="23"/>
      <c r="M1942" s="23"/>
      <c r="N1942" s="23"/>
      <c r="P1942" s="23"/>
    </row>
    <row r="1943" spans="2:16" x14ac:dyDescent="0.25">
      <c r="B1943" s="23"/>
      <c r="E1943" s="23"/>
      <c r="G1943" s="23"/>
      <c r="H1943" s="23"/>
      <c r="J1943" s="23"/>
      <c r="K1943" s="23"/>
      <c r="M1943" s="23"/>
      <c r="N1943" s="23"/>
      <c r="P1943" s="23"/>
    </row>
    <row r="1944" spans="2:16" x14ac:dyDescent="0.25">
      <c r="B1944" s="23"/>
      <c r="E1944" s="23"/>
      <c r="G1944" s="23"/>
      <c r="H1944" s="23"/>
      <c r="J1944" s="23"/>
      <c r="K1944" s="23"/>
      <c r="M1944" s="23"/>
      <c r="N1944" s="23"/>
      <c r="P1944" s="23"/>
    </row>
    <row r="1945" spans="2:16" x14ac:dyDescent="0.25">
      <c r="B1945" s="23"/>
      <c r="E1945" s="23"/>
      <c r="G1945" s="23"/>
      <c r="H1945" s="23"/>
      <c r="J1945" s="23"/>
      <c r="K1945" s="23"/>
      <c r="M1945" s="23"/>
      <c r="N1945" s="23"/>
      <c r="P1945" s="23"/>
    </row>
    <row r="1946" spans="2:16" x14ac:dyDescent="0.25">
      <c r="B1946" s="23"/>
      <c r="E1946" s="23"/>
      <c r="G1946" s="23"/>
      <c r="H1946" s="23"/>
      <c r="J1946" s="23"/>
      <c r="K1946" s="23"/>
      <c r="M1946" s="23"/>
      <c r="N1946" s="23"/>
      <c r="P1946" s="23"/>
    </row>
    <row r="1947" spans="2:16" x14ac:dyDescent="0.25">
      <c r="B1947" s="23"/>
      <c r="E1947" s="23"/>
      <c r="G1947" s="23"/>
      <c r="H1947" s="23"/>
      <c r="J1947" s="23"/>
      <c r="K1947" s="23"/>
      <c r="M1947" s="23"/>
      <c r="N1947" s="23"/>
      <c r="P1947" s="23"/>
    </row>
    <row r="1948" spans="2:16" x14ac:dyDescent="0.25">
      <c r="B1948" s="23"/>
      <c r="E1948" s="23"/>
      <c r="G1948" s="23"/>
      <c r="H1948" s="23"/>
      <c r="J1948" s="23"/>
      <c r="K1948" s="23"/>
      <c r="M1948" s="23"/>
      <c r="N1948" s="23"/>
      <c r="P1948" s="23"/>
    </row>
    <row r="1949" spans="2:16" x14ac:dyDescent="0.25">
      <c r="B1949" s="23"/>
      <c r="E1949" s="23"/>
      <c r="G1949" s="23"/>
      <c r="H1949" s="23"/>
      <c r="J1949" s="23"/>
      <c r="K1949" s="23"/>
      <c r="M1949" s="23"/>
      <c r="N1949" s="23"/>
      <c r="P1949" s="23"/>
    </row>
    <row r="1950" spans="2:16" x14ac:dyDescent="0.25">
      <c r="B1950" s="23"/>
      <c r="E1950" s="23"/>
      <c r="G1950" s="23"/>
      <c r="H1950" s="23"/>
      <c r="J1950" s="23"/>
      <c r="K1950" s="23"/>
      <c r="M1950" s="23"/>
      <c r="N1950" s="23"/>
      <c r="P1950" s="23"/>
    </row>
    <row r="1951" spans="2:16" x14ac:dyDescent="0.25">
      <c r="B1951" s="23"/>
      <c r="E1951" s="23"/>
      <c r="G1951" s="23"/>
      <c r="H1951" s="23"/>
      <c r="J1951" s="23"/>
      <c r="K1951" s="23"/>
      <c r="M1951" s="23"/>
      <c r="N1951" s="23"/>
      <c r="P1951" s="23"/>
    </row>
    <row r="1952" spans="2:16" x14ac:dyDescent="0.25">
      <c r="B1952" s="23"/>
      <c r="E1952" s="23"/>
      <c r="G1952" s="23"/>
      <c r="H1952" s="23"/>
      <c r="J1952" s="23"/>
      <c r="K1952" s="23"/>
      <c r="M1952" s="23"/>
      <c r="N1952" s="23"/>
      <c r="P1952" s="23"/>
    </row>
    <row r="1953" spans="2:16" x14ac:dyDescent="0.25">
      <c r="B1953" s="23"/>
      <c r="E1953" s="23"/>
      <c r="G1953" s="23"/>
      <c r="H1953" s="23"/>
      <c r="J1953" s="23"/>
      <c r="K1953" s="23"/>
      <c r="M1953" s="23"/>
      <c r="N1953" s="23"/>
      <c r="P1953" s="23"/>
    </row>
    <row r="1954" spans="2:16" x14ac:dyDescent="0.25">
      <c r="B1954" s="23"/>
      <c r="E1954" s="23"/>
      <c r="G1954" s="23"/>
      <c r="H1954" s="23"/>
      <c r="J1954" s="23"/>
      <c r="K1954" s="23"/>
      <c r="M1954" s="23"/>
      <c r="N1954" s="23"/>
      <c r="P1954" s="23"/>
    </row>
    <row r="1955" spans="2:16" x14ac:dyDescent="0.25">
      <c r="B1955" s="23"/>
      <c r="E1955" s="23"/>
      <c r="G1955" s="23"/>
      <c r="H1955" s="23"/>
      <c r="J1955" s="23"/>
      <c r="K1955" s="23"/>
      <c r="M1955" s="23"/>
      <c r="N1955" s="23"/>
      <c r="P1955" s="23"/>
    </row>
    <row r="1956" spans="2:16" x14ac:dyDescent="0.25">
      <c r="B1956" s="23"/>
      <c r="E1956" s="23"/>
      <c r="G1956" s="23"/>
      <c r="H1956" s="23"/>
      <c r="J1956" s="23"/>
      <c r="K1956" s="23"/>
      <c r="M1956" s="23"/>
      <c r="N1956" s="23"/>
      <c r="P1956" s="23"/>
    </row>
    <row r="1957" spans="2:16" x14ac:dyDescent="0.25">
      <c r="B1957" s="23"/>
      <c r="E1957" s="23"/>
      <c r="G1957" s="23"/>
      <c r="H1957" s="23"/>
      <c r="J1957" s="23"/>
      <c r="K1957" s="23"/>
      <c r="M1957" s="23"/>
      <c r="N1957" s="23"/>
      <c r="P1957" s="23"/>
    </row>
    <row r="1958" spans="2:16" x14ac:dyDescent="0.25">
      <c r="B1958" s="23"/>
      <c r="E1958" s="23"/>
      <c r="G1958" s="23"/>
      <c r="H1958" s="23"/>
      <c r="J1958" s="23"/>
      <c r="K1958" s="23"/>
      <c r="M1958" s="23"/>
      <c r="N1958" s="23"/>
      <c r="P1958" s="23"/>
    </row>
    <row r="1959" spans="2:16" x14ac:dyDescent="0.25">
      <c r="B1959" s="23"/>
      <c r="E1959" s="23"/>
      <c r="G1959" s="23"/>
      <c r="H1959" s="23"/>
      <c r="J1959" s="23"/>
      <c r="K1959" s="23"/>
      <c r="M1959" s="23"/>
      <c r="N1959" s="23"/>
      <c r="P1959" s="23"/>
    </row>
    <row r="1960" spans="2:16" x14ac:dyDescent="0.25">
      <c r="B1960" s="23"/>
      <c r="E1960" s="23"/>
      <c r="G1960" s="23"/>
      <c r="H1960" s="23"/>
      <c r="J1960" s="23"/>
      <c r="K1960" s="23"/>
      <c r="M1960" s="23"/>
      <c r="N1960" s="23"/>
      <c r="P1960" s="23"/>
    </row>
    <row r="1961" spans="2:16" x14ac:dyDescent="0.25">
      <c r="B1961" s="23"/>
      <c r="E1961" s="23"/>
      <c r="G1961" s="23"/>
      <c r="H1961" s="23"/>
      <c r="J1961" s="23"/>
      <c r="K1961" s="23"/>
      <c r="M1961" s="23"/>
      <c r="N1961" s="23"/>
      <c r="P1961" s="23"/>
    </row>
    <row r="1962" spans="2:16" x14ac:dyDescent="0.25">
      <c r="B1962" s="23"/>
      <c r="E1962" s="23"/>
      <c r="G1962" s="23"/>
      <c r="H1962" s="23"/>
      <c r="J1962" s="23"/>
      <c r="K1962" s="23"/>
      <c r="M1962" s="23"/>
      <c r="N1962" s="23"/>
      <c r="P1962" s="23"/>
    </row>
    <row r="1963" spans="2:16" x14ac:dyDescent="0.25">
      <c r="B1963" s="23"/>
      <c r="E1963" s="23"/>
      <c r="G1963" s="23"/>
      <c r="H1963" s="23"/>
      <c r="J1963" s="23"/>
      <c r="K1963" s="23"/>
      <c r="M1963" s="23"/>
      <c r="N1963" s="23"/>
      <c r="P1963" s="23"/>
    </row>
    <row r="1964" spans="2:16" x14ac:dyDescent="0.25">
      <c r="B1964" s="23"/>
      <c r="E1964" s="23"/>
      <c r="G1964" s="23"/>
      <c r="H1964" s="23"/>
      <c r="J1964" s="23"/>
      <c r="K1964" s="23"/>
      <c r="M1964" s="23"/>
      <c r="N1964" s="23"/>
      <c r="P1964" s="23"/>
    </row>
    <row r="1965" spans="2:16" x14ac:dyDescent="0.25">
      <c r="B1965" s="23"/>
      <c r="E1965" s="23"/>
      <c r="G1965" s="23"/>
      <c r="H1965" s="23"/>
      <c r="J1965" s="23"/>
      <c r="K1965" s="23"/>
      <c r="M1965" s="23"/>
      <c r="N1965" s="23"/>
      <c r="P1965" s="23"/>
    </row>
    <row r="1966" spans="2:16" x14ac:dyDescent="0.25">
      <c r="B1966" s="23"/>
      <c r="E1966" s="23"/>
      <c r="G1966" s="23"/>
      <c r="H1966" s="23"/>
      <c r="J1966" s="23"/>
      <c r="K1966" s="23"/>
      <c r="M1966" s="23"/>
      <c r="N1966" s="23"/>
      <c r="P1966" s="23"/>
    </row>
    <row r="1967" spans="2:16" x14ac:dyDescent="0.25">
      <c r="B1967" s="23"/>
      <c r="E1967" s="23"/>
      <c r="G1967" s="23"/>
      <c r="H1967" s="23"/>
      <c r="J1967" s="23"/>
      <c r="K1967" s="23"/>
      <c r="M1967" s="23"/>
      <c r="N1967" s="23"/>
      <c r="P1967" s="23"/>
    </row>
    <row r="1968" spans="2:16" x14ac:dyDescent="0.25">
      <c r="B1968" s="23"/>
      <c r="E1968" s="23"/>
      <c r="G1968" s="23"/>
      <c r="H1968" s="23"/>
      <c r="J1968" s="23"/>
      <c r="K1968" s="23"/>
      <c r="M1968" s="23"/>
      <c r="N1968" s="23"/>
      <c r="P1968" s="23"/>
    </row>
    <row r="1969" spans="2:16" x14ac:dyDescent="0.25">
      <c r="B1969" s="23"/>
      <c r="E1969" s="23"/>
      <c r="G1969" s="23"/>
      <c r="H1969" s="23"/>
      <c r="J1969" s="23"/>
      <c r="K1969" s="23"/>
      <c r="M1969" s="23"/>
      <c r="N1969" s="23"/>
      <c r="P1969" s="23"/>
    </row>
    <row r="1970" spans="2:16" x14ac:dyDescent="0.25">
      <c r="B1970" s="23"/>
      <c r="E1970" s="23"/>
      <c r="G1970" s="23"/>
      <c r="H1970" s="23"/>
      <c r="J1970" s="23"/>
      <c r="K1970" s="23"/>
      <c r="M1970" s="23"/>
      <c r="N1970" s="23"/>
      <c r="P1970" s="23"/>
    </row>
    <row r="1971" spans="2:16" x14ac:dyDescent="0.25">
      <c r="B1971" s="23"/>
      <c r="E1971" s="23"/>
      <c r="G1971" s="23"/>
      <c r="H1971" s="23"/>
      <c r="J1971" s="23"/>
      <c r="K1971" s="23"/>
      <c r="M1971" s="23"/>
      <c r="N1971" s="23"/>
      <c r="P1971" s="23"/>
    </row>
    <row r="1972" spans="2:16" x14ac:dyDescent="0.25">
      <c r="B1972" s="23"/>
      <c r="E1972" s="23"/>
      <c r="G1972" s="23"/>
      <c r="H1972" s="23"/>
      <c r="J1972" s="23"/>
      <c r="K1972" s="23"/>
      <c r="M1972" s="23"/>
      <c r="N1972" s="23"/>
      <c r="P1972" s="23"/>
    </row>
    <row r="1973" spans="2:16" x14ac:dyDescent="0.25">
      <c r="B1973" s="23"/>
      <c r="E1973" s="23"/>
      <c r="G1973" s="23"/>
      <c r="H1973" s="23"/>
      <c r="J1973" s="23"/>
      <c r="K1973" s="23"/>
      <c r="M1973" s="23"/>
      <c r="N1973" s="23"/>
      <c r="P1973" s="23"/>
    </row>
    <row r="1974" spans="2:16" x14ac:dyDescent="0.25">
      <c r="B1974" s="23"/>
      <c r="E1974" s="23"/>
      <c r="G1974" s="23"/>
      <c r="H1974" s="23"/>
      <c r="J1974" s="23"/>
      <c r="K1974" s="23"/>
      <c r="M1974" s="23"/>
      <c r="N1974" s="23"/>
      <c r="P1974" s="23"/>
    </row>
    <row r="1975" spans="2:16" x14ac:dyDescent="0.25">
      <c r="B1975" s="23"/>
      <c r="E1975" s="23"/>
      <c r="G1975" s="23"/>
      <c r="H1975" s="23"/>
      <c r="J1975" s="23"/>
      <c r="K1975" s="23"/>
      <c r="M1975" s="23"/>
      <c r="N1975" s="23"/>
      <c r="P1975" s="23"/>
    </row>
    <row r="1976" spans="2:16" x14ac:dyDescent="0.25">
      <c r="B1976" s="23"/>
      <c r="E1976" s="23"/>
      <c r="G1976" s="23"/>
      <c r="H1976" s="23"/>
      <c r="J1976" s="23"/>
      <c r="K1976" s="23"/>
      <c r="M1976" s="23"/>
      <c r="N1976" s="23"/>
      <c r="P1976" s="23"/>
    </row>
    <row r="1977" spans="2:16" x14ac:dyDescent="0.25">
      <c r="B1977" s="23"/>
      <c r="E1977" s="23"/>
      <c r="G1977" s="23"/>
      <c r="H1977" s="23"/>
      <c r="J1977" s="23"/>
      <c r="K1977" s="23"/>
      <c r="M1977" s="23"/>
      <c r="N1977" s="23"/>
      <c r="P1977" s="23"/>
    </row>
    <row r="1978" spans="2:16" x14ac:dyDescent="0.25">
      <c r="B1978" s="23"/>
      <c r="E1978" s="23"/>
      <c r="G1978" s="23"/>
      <c r="H1978" s="23"/>
      <c r="J1978" s="23"/>
      <c r="K1978" s="23"/>
      <c r="M1978" s="23"/>
      <c r="N1978" s="23"/>
      <c r="P1978" s="23"/>
    </row>
    <row r="1979" spans="2:16" x14ac:dyDescent="0.25">
      <c r="B1979" s="23"/>
      <c r="E1979" s="23"/>
      <c r="G1979" s="23"/>
      <c r="H1979" s="23"/>
      <c r="J1979" s="23"/>
      <c r="K1979" s="23"/>
      <c r="M1979" s="23"/>
      <c r="N1979" s="23"/>
      <c r="P1979" s="23"/>
    </row>
    <row r="1980" spans="2:16" x14ac:dyDescent="0.25">
      <c r="B1980" s="23"/>
      <c r="E1980" s="23"/>
      <c r="G1980" s="23"/>
      <c r="H1980" s="23"/>
      <c r="J1980" s="23"/>
      <c r="K1980" s="23"/>
      <c r="M1980" s="23"/>
      <c r="N1980" s="23"/>
      <c r="P1980" s="23"/>
    </row>
    <row r="1981" spans="2:16" x14ac:dyDescent="0.25">
      <c r="B1981" s="23"/>
      <c r="E1981" s="23"/>
      <c r="G1981" s="23"/>
      <c r="H1981" s="23"/>
      <c r="J1981" s="23"/>
      <c r="K1981" s="23"/>
      <c r="M1981" s="23"/>
      <c r="N1981" s="23"/>
      <c r="P1981" s="23"/>
    </row>
    <row r="1982" spans="2:16" x14ac:dyDescent="0.25">
      <c r="B1982" s="23"/>
      <c r="E1982" s="23"/>
      <c r="G1982" s="23"/>
      <c r="H1982" s="23"/>
      <c r="J1982" s="23"/>
      <c r="K1982" s="23"/>
      <c r="M1982" s="23"/>
      <c r="N1982" s="23"/>
      <c r="P1982" s="23"/>
    </row>
    <row r="1983" spans="2:16" x14ac:dyDescent="0.25">
      <c r="B1983" s="23"/>
      <c r="E1983" s="23"/>
      <c r="G1983" s="23"/>
      <c r="H1983" s="23"/>
      <c r="J1983" s="23"/>
      <c r="K1983" s="23"/>
      <c r="M1983" s="23"/>
      <c r="N1983" s="23"/>
      <c r="P1983" s="23"/>
    </row>
    <row r="1984" spans="2:16" x14ac:dyDescent="0.25">
      <c r="B1984" s="23"/>
      <c r="E1984" s="23"/>
      <c r="G1984" s="23"/>
      <c r="H1984" s="23"/>
      <c r="J1984" s="23"/>
      <c r="K1984" s="23"/>
      <c r="M1984" s="23"/>
      <c r="N1984" s="23"/>
      <c r="P1984" s="23"/>
    </row>
    <row r="1985" spans="2:16" x14ac:dyDescent="0.25">
      <c r="B1985" s="23"/>
      <c r="E1985" s="23"/>
      <c r="G1985" s="23"/>
      <c r="H1985" s="23"/>
      <c r="J1985" s="23"/>
      <c r="K1985" s="23"/>
      <c r="M1985" s="23"/>
      <c r="N1985" s="23"/>
      <c r="P1985" s="23"/>
    </row>
    <row r="1986" spans="2:16" x14ac:dyDescent="0.25">
      <c r="B1986" s="23"/>
      <c r="E1986" s="23"/>
      <c r="G1986" s="23"/>
      <c r="H1986" s="23"/>
      <c r="J1986" s="23"/>
      <c r="K1986" s="23"/>
      <c r="M1986" s="23"/>
      <c r="N1986" s="23"/>
      <c r="P1986" s="23"/>
    </row>
    <row r="1987" spans="2:16" x14ac:dyDescent="0.25">
      <c r="B1987" s="23"/>
      <c r="E1987" s="23"/>
      <c r="G1987" s="23"/>
      <c r="H1987" s="23"/>
      <c r="J1987" s="23"/>
      <c r="K1987" s="23"/>
      <c r="M1987" s="23"/>
      <c r="N1987" s="23"/>
      <c r="P1987" s="23"/>
    </row>
    <row r="1988" spans="2:16" x14ac:dyDescent="0.25">
      <c r="B1988" s="23"/>
      <c r="E1988" s="23"/>
      <c r="G1988" s="23"/>
      <c r="H1988" s="23"/>
      <c r="J1988" s="23"/>
      <c r="K1988" s="23"/>
      <c r="M1988" s="23"/>
      <c r="N1988" s="23"/>
      <c r="P1988" s="23"/>
    </row>
    <row r="1989" spans="2:16" x14ac:dyDescent="0.25">
      <c r="B1989" s="23"/>
      <c r="E1989" s="23"/>
      <c r="G1989" s="23"/>
      <c r="H1989" s="23"/>
      <c r="J1989" s="23"/>
      <c r="K1989" s="23"/>
      <c r="M1989" s="23"/>
      <c r="N1989" s="23"/>
      <c r="P1989" s="23"/>
    </row>
    <row r="1990" spans="2:16" x14ac:dyDescent="0.25">
      <c r="B1990" s="23"/>
      <c r="E1990" s="23"/>
      <c r="G1990" s="23"/>
      <c r="H1990" s="23"/>
      <c r="J1990" s="23"/>
      <c r="K1990" s="23"/>
      <c r="M1990" s="23"/>
      <c r="N1990" s="23"/>
      <c r="P1990" s="23"/>
    </row>
    <row r="1991" spans="2:16" x14ac:dyDescent="0.25">
      <c r="B1991" s="23"/>
      <c r="E1991" s="23"/>
      <c r="G1991" s="23"/>
      <c r="H1991" s="23"/>
      <c r="J1991" s="23"/>
      <c r="K1991" s="23"/>
      <c r="M1991" s="23"/>
      <c r="N1991" s="23"/>
      <c r="P1991" s="23"/>
    </row>
    <row r="1992" spans="2:16" x14ac:dyDescent="0.25">
      <c r="B1992" s="23"/>
      <c r="E1992" s="23"/>
      <c r="G1992" s="23"/>
      <c r="H1992" s="23"/>
      <c r="J1992" s="23"/>
      <c r="K1992" s="23"/>
      <c r="M1992" s="23"/>
      <c r="N1992" s="23"/>
      <c r="P1992" s="23"/>
    </row>
    <row r="1993" spans="2:16" x14ac:dyDescent="0.25">
      <c r="B1993" s="23"/>
      <c r="E1993" s="23"/>
      <c r="G1993" s="23"/>
      <c r="H1993" s="23"/>
      <c r="J1993" s="23"/>
      <c r="K1993" s="23"/>
      <c r="M1993" s="23"/>
      <c r="N1993" s="23"/>
      <c r="P1993" s="23"/>
    </row>
    <row r="1994" spans="2:16" x14ac:dyDescent="0.25">
      <c r="B1994" s="23"/>
      <c r="E1994" s="23"/>
      <c r="G1994" s="23"/>
      <c r="H1994" s="23"/>
      <c r="J1994" s="23"/>
      <c r="K1994" s="23"/>
      <c r="M1994" s="23"/>
      <c r="N1994" s="23"/>
      <c r="P1994" s="23"/>
    </row>
    <row r="1995" spans="2:16" x14ac:dyDescent="0.25">
      <c r="B1995" s="23"/>
      <c r="E1995" s="23"/>
      <c r="G1995" s="23"/>
      <c r="H1995" s="23"/>
      <c r="J1995" s="23"/>
      <c r="K1995" s="23"/>
      <c r="M1995" s="23"/>
      <c r="N1995" s="23"/>
      <c r="P1995" s="23"/>
    </row>
    <row r="1996" spans="2:16" x14ac:dyDescent="0.25">
      <c r="B1996" s="23"/>
      <c r="E1996" s="23"/>
      <c r="G1996" s="23"/>
      <c r="H1996" s="23"/>
      <c r="J1996" s="23"/>
      <c r="K1996" s="23"/>
      <c r="M1996" s="23"/>
      <c r="N1996" s="23"/>
      <c r="P1996" s="23"/>
    </row>
    <row r="1997" spans="2:16" x14ac:dyDescent="0.25">
      <c r="B1997" s="23"/>
      <c r="E1997" s="23"/>
      <c r="G1997" s="23"/>
      <c r="H1997" s="23"/>
      <c r="J1997" s="23"/>
      <c r="K1997" s="23"/>
      <c r="M1997" s="23"/>
      <c r="N1997" s="23"/>
      <c r="P1997" s="23"/>
    </row>
    <row r="1998" spans="2:16" x14ac:dyDescent="0.25">
      <c r="B1998" s="23"/>
      <c r="E1998" s="23"/>
      <c r="G1998" s="23"/>
      <c r="H1998" s="23"/>
      <c r="J1998" s="23"/>
      <c r="K1998" s="23"/>
      <c r="M1998" s="23"/>
      <c r="N1998" s="23"/>
      <c r="P1998" s="23"/>
    </row>
    <row r="1999" spans="2:16" x14ac:dyDescent="0.25">
      <c r="B1999" s="23"/>
      <c r="E1999" s="23"/>
      <c r="G1999" s="23"/>
      <c r="H1999" s="23"/>
      <c r="J1999" s="23"/>
      <c r="K1999" s="23"/>
      <c r="M1999" s="23"/>
      <c r="N1999" s="23"/>
      <c r="P1999" s="23"/>
    </row>
    <row r="2000" spans="2:16" x14ac:dyDescent="0.25">
      <c r="B2000" s="23"/>
      <c r="E2000" s="23"/>
      <c r="G2000" s="23"/>
      <c r="H2000" s="23"/>
      <c r="J2000" s="23"/>
      <c r="K2000" s="23"/>
      <c r="M2000" s="23"/>
      <c r="N2000" s="23"/>
      <c r="P2000" s="23"/>
    </row>
    <row r="2001" spans="2:16" x14ac:dyDescent="0.25">
      <c r="B2001" s="23"/>
      <c r="E2001" s="23"/>
      <c r="G2001" s="23"/>
      <c r="H2001" s="23"/>
      <c r="J2001" s="23"/>
      <c r="K2001" s="23"/>
      <c r="M2001" s="23"/>
      <c r="N2001" s="23"/>
      <c r="P2001" s="23"/>
    </row>
    <row r="2002" spans="2:16" x14ac:dyDescent="0.25">
      <c r="B2002" s="23"/>
      <c r="E2002" s="23"/>
      <c r="G2002" s="23"/>
      <c r="H2002" s="23"/>
      <c r="J2002" s="23"/>
      <c r="K2002" s="23"/>
      <c r="M2002" s="23"/>
      <c r="N2002" s="23"/>
      <c r="P2002" s="23"/>
    </row>
    <row r="2003" spans="2:16" x14ac:dyDescent="0.25">
      <c r="B2003" s="23"/>
      <c r="E2003" s="23"/>
      <c r="G2003" s="23"/>
      <c r="H2003" s="23"/>
      <c r="J2003" s="23"/>
      <c r="K2003" s="23"/>
      <c r="M2003" s="23"/>
      <c r="N2003" s="23"/>
      <c r="P2003" s="23"/>
    </row>
    <row r="2004" spans="2:16" x14ac:dyDescent="0.25">
      <c r="B2004" s="23"/>
      <c r="E2004" s="23"/>
      <c r="G2004" s="23"/>
      <c r="H2004" s="23"/>
      <c r="J2004" s="23"/>
      <c r="K2004" s="23"/>
      <c r="M2004" s="23"/>
      <c r="N2004" s="23"/>
      <c r="P2004" s="23"/>
    </row>
    <row r="2005" spans="2:16" x14ac:dyDescent="0.25">
      <c r="B2005" s="23"/>
      <c r="E2005" s="23"/>
      <c r="G2005" s="23"/>
      <c r="H2005" s="23"/>
      <c r="J2005" s="23"/>
      <c r="K2005" s="23"/>
      <c r="M2005" s="23"/>
      <c r="N2005" s="23"/>
      <c r="P2005" s="23"/>
    </row>
    <row r="2006" spans="2:16" x14ac:dyDescent="0.25">
      <c r="B2006" s="23"/>
      <c r="E2006" s="23"/>
      <c r="G2006" s="23"/>
      <c r="H2006" s="23"/>
      <c r="J2006" s="23"/>
      <c r="K2006" s="23"/>
      <c r="M2006" s="23"/>
      <c r="N2006" s="23"/>
      <c r="P2006" s="23"/>
    </row>
    <row r="2007" spans="2:16" x14ac:dyDescent="0.25">
      <c r="B2007" s="23"/>
      <c r="E2007" s="23"/>
      <c r="G2007" s="23"/>
      <c r="H2007" s="23"/>
      <c r="J2007" s="23"/>
      <c r="K2007" s="23"/>
      <c r="M2007" s="23"/>
      <c r="N2007" s="23"/>
      <c r="P2007" s="23"/>
    </row>
    <row r="2008" spans="2:16" x14ac:dyDescent="0.25">
      <c r="B2008" s="23"/>
      <c r="E2008" s="23"/>
      <c r="G2008" s="23"/>
      <c r="H2008" s="23"/>
      <c r="J2008" s="23"/>
      <c r="K2008" s="23"/>
      <c r="M2008" s="23"/>
      <c r="N2008" s="23"/>
      <c r="P2008" s="23"/>
    </row>
    <row r="2009" spans="2:16" x14ac:dyDescent="0.25">
      <c r="B2009" s="23"/>
      <c r="E2009" s="23"/>
      <c r="G2009" s="23"/>
      <c r="H2009" s="23"/>
      <c r="J2009" s="23"/>
      <c r="K2009" s="23"/>
      <c r="M2009" s="23"/>
      <c r="N2009" s="23"/>
      <c r="P2009" s="23"/>
    </row>
    <row r="2010" spans="2:16" x14ac:dyDescent="0.25">
      <c r="B2010" s="23"/>
      <c r="E2010" s="23"/>
      <c r="G2010" s="23"/>
      <c r="H2010" s="23"/>
      <c r="J2010" s="23"/>
      <c r="K2010" s="23"/>
      <c r="M2010" s="23"/>
      <c r="N2010" s="23"/>
      <c r="P2010" s="23"/>
    </row>
    <row r="2011" spans="2:16" x14ac:dyDescent="0.25">
      <c r="B2011" s="23"/>
      <c r="E2011" s="23"/>
      <c r="G2011" s="23"/>
      <c r="H2011" s="23"/>
      <c r="J2011" s="23"/>
      <c r="K2011" s="23"/>
      <c r="M2011" s="23"/>
      <c r="N2011" s="23"/>
      <c r="P2011" s="23"/>
    </row>
    <row r="2012" spans="2:16" x14ac:dyDescent="0.25">
      <c r="B2012" s="23"/>
      <c r="E2012" s="23"/>
      <c r="G2012" s="23"/>
      <c r="H2012" s="23"/>
      <c r="J2012" s="23"/>
      <c r="K2012" s="23"/>
      <c r="M2012" s="23"/>
      <c r="N2012" s="23"/>
      <c r="P2012" s="23"/>
    </row>
    <row r="2013" spans="2:16" x14ac:dyDescent="0.25">
      <c r="B2013" s="23"/>
      <c r="E2013" s="23"/>
      <c r="G2013" s="23"/>
      <c r="H2013" s="23"/>
      <c r="J2013" s="23"/>
      <c r="K2013" s="23"/>
      <c r="M2013" s="23"/>
      <c r="N2013" s="23"/>
      <c r="P2013" s="23"/>
    </row>
    <row r="2014" spans="2:16" x14ac:dyDescent="0.25">
      <c r="B2014" s="23"/>
      <c r="E2014" s="23"/>
      <c r="G2014" s="23"/>
      <c r="H2014" s="23"/>
      <c r="J2014" s="23"/>
      <c r="K2014" s="23"/>
      <c r="M2014" s="23"/>
      <c r="N2014" s="23"/>
      <c r="P2014" s="23"/>
    </row>
    <row r="2015" spans="2:16" x14ac:dyDescent="0.25">
      <c r="B2015" s="23"/>
      <c r="E2015" s="23"/>
      <c r="G2015" s="23"/>
      <c r="H2015" s="23"/>
      <c r="J2015" s="23"/>
      <c r="K2015" s="23"/>
      <c r="M2015" s="23"/>
      <c r="N2015" s="23"/>
      <c r="P2015" s="23"/>
    </row>
    <row r="2016" spans="2:16" x14ac:dyDescent="0.25">
      <c r="B2016" s="23"/>
      <c r="E2016" s="23"/>
      <c r="G2016" s="23"/>
      <c r="H2016" s="23"/>
      <c r="J2016" s="23"/>
      <c r="K2016" s="23"/>
      <c r="M2016" s="23"/>
      <c r="N2016" s="23"/>
      <c r="P2016" s="23"/>
    </row>
    <row r="2017" spans="2:16" x14ac:dyDescent="0.25">
      <c r="B2017" s="23"/>
      <c r="E2017" s="23"/>
      <c r="G2017" s="23"/>
      <c r="H2017" s="23"/>
      <c r="J2017" s="23"/>
      <c r="K2017" s="23"/>
      <c r="M2017" s="23"/>
      <c r="N2017" s="23"/>
      <c r="P2017" s="23"/>
    </row>
    <row r="2018" spans="2:16" x14ac:dyDescent="0.25">
      <c r="B2018" s="23"/>
      <c r="E2018" s="23"/>
      <c r="G2018" s="23"/>
      <c r="H2018" s="23"/>
      <c r="J2018" s="23"/>
      <c r="K2018" s="23"/>
      <c r="M2018" s="23"/>
      <c r="N2018" s="23"/>
      <c r="P2018" s="23"/>
    </row>
    <row r="2019" spans="2:16" x14ac:dyDescent="0.25">
      <c r="B2019" s="23"/>
      <c r="E2019" s="23"/>
      <c r="G2019" s="23"/>
      <c r="H2019" s="23"/>
      <c r="J2019" s="23"/>
      <c r="K2019" s="23"/>
      <c r="M2019" s="23"/>
      <c r="N2019" s="23"/>
      <c r="P2019" s="23"/>
    </row>
    <row r="2020" spans="2:16" x14ac:dyDescent="0.25">
      <c r="B2020" s="23"/>
      <c r="E2020" s="23"/>
      <c r="G2020" s="23"/>
      <c r="H2020" s="23"/>
      <c r="J2020" s="23"/>
      <c r="K2020" s="23"/>
      <c r="M2020" s="23"/>
      <c r="N2020" s="23"/>
      <c r="P2020" s="23"/>
    </row>
    <row r="2021" spans="2:16" x14ac:dyDescent="0.25">
      <c r="B2021" s="23"/>
      <c r="E2021" s="23"/>
      <c r="G2021" s="23"/>
      <c r="H2021" s="23"/>
      <c r="J2021" s="23"/>
      <c r="K2021" s="23"/>
      <c r="M2021" s="23"/>
      <c r="N2021" s="23"/>
      <c r="P2021" s="23"/>
    </row>
    <row r="2022" spans="2:16" x14ac:dyDescent="0.25">
      <c r="B2022" s="23"/>
      <c r="E2022" s="23"/>
      <c r="G2022" s="23"/>
      <c r="H2022" s="23"/>
      <c r="J2022" s="23"/>
      <c r="K2022" s="23"/>
      <c r="M2022" s="23"/>
      <c r="N2022" s="23"/>
      <c r="P2022" s="23"/>
    </row>
    <row r="2023" spans="2:16" x14ac:dyDescent="0.25">
      <c r="B2023" s="23"/>
      <c r="E2023" s="23"/>
      <c r="G2023" s="23"/>
      <c r="H2023" s="23"/>
      <c r="J2023" s="23"/>
      <c r="K2023" s="23"/>
      <c r="M2023" s="23"/>
      <c r="N2023" s="23"/>
      <c r="P2023" s="23"/>
    </row>
    <row r="2024" spans="2:16" x14ac:dyDescent="0.25">
      <c r="B2024" s="23"/>
      <c r="E2024" s="23"/>
      <c r="G2024" s="23"/>
      <c r="H2024" s="23"/>
      <c r="J2024" s="23"/>
      <c r="K2024" s="23"/>
      <c r="M2024" s="23"/>
      <c r="N2024" s="23"/>
      <c r="P2024" s="23"/>
    </row>
    <row r="2025" spans="2:16" x14ac:dyDescent="0.25">
      <c r="B2025" s="23"/>
      <c r="E2025" s="23"/>
      <c r="G2025" s="23"/>
      <c r="H2025" s="23"/>
      <c r="J2025" s="23"/>
      <c r="K2025" s="23"/>
      <c r="M2025" s="23"/>
      <c r="N2025" s="23"/>
      <c r="P2025" s="23"/>
    </row>
    <row r="2026" spans="2:16" x14ac:dyDescent="0.25">
      <c r="B2026" s="23"/>
      <c r="E2026" s="23"/>
      <c r="G2026" s="23"/>
      <c r="H2026" s="23"/>
      <c r="J2026" s="23"/>
      <c r="K2026" s="23"/>
      <c r="M2026" s="23"/>
      <c r="N2026" s="23"/>
      <c r="P2026" s="23"/>
    </row>
    <row r="2027" spans="2:16" x14ac:dyDescent="0.25">
      <c r="B2027" s="23"/>
      <c r="E2027" s="23"/>
      <c r="G2027" s="23"/>
      <c r="H2027" s="23"/>
      <c r="J2027" s="23"/>
      <c r="K2027" s="23"/>
      <c r="M2027" s="23"/>
      <c r="N2027" s="23"/>
      <c r="P2027" s="23"/>
    </row>
    <row r="2028" spans="2:16" x14ac:dyDescent="0.25">
      <c r="B2028" s="23"/>
      <c r="E2028" s="23"/>
      <c r="G2028" s="23"/>
      <c r="H2028" s="23"/>
      <c r="J2028" s="23"/>
      <c r="K2028" s="23"/>
      <c r="M2028" s="23"/>
      <c r="N2028" s="23"/>
      <c r="P2028" s="23"/>
    </row>
    <row r="2029" spans="2:16" x14ac:dyDescent="0.25">
      <c r="B2029" s="23"/>
      <c r="E2029" s="23"/>
      <c r="G2029" s="23"/>
      <c r="H2029" s="23"/>
      <c r="J2029" s="23"/>
      <c r="K2029" s="23"/>
      <c r="M2029" s="23"/>
      <c r="N2029" s="23"/>
      <c r="P2029" s="23"/>
    </row>
    <row r="2030" spans="2:16" x14ac:dyDescent="0.25">
      <c r="B2030" s="23"/>
      <c r="E2030" s="23"/>
      <c r="G2030" s="23"/>
      <c r="H2030" s="23"/>
      <c r="J2030" s="23"/>
      <c r="K2030" s="23"/>
      <c r="M2030" s="23"/>
      <c r="N2030" s="23"/>
      <c r="P2030" s="23"/>
    </row>
    <row r="2031" spans="2:16" x14ac:dyDescent="0.25">
      <c r="B2031" s="23"/>
      <c r="E2031" s="23"/>
      <c r="G2031" s="23"/>
      <c r="H2031" s="23"/>
      <c r="J2031" s="23"/>
      <c r="K2031" s="23"/>
      <c r="M2031" s="23"/>
      <c r="N2031" s="23"/>
      <c r="P2031" s="23"/>
    </row>
    <row r="2032" spans="2:16" x14ac:dyDescent="0.25">
      <c r="B2032" s="23"/>
      <c r="E2032" s="23"/>
      <c r="G2032" s="23"/>
      <c r="H2032" s="23"/>
      <c r="J2032" s="23"/>
      <c r="K2032" s="23"/>
      <c r="M2032" s="23"/>
      <c r="N2032" s="23"/>
      <c r="P2032" s="23"/>
    </row>
    <row r="2033" spans="2:16" x14ac:dyDescent="0.25">
      <c r="B2033" s="23"/>
      <c r="E2033" s="23"/>
      <c r="G2033" s="23"/>
      <c r="H2033" s="23"/>
      <c r="J2033" s="23"/>
      <c r="K2033" s="23"/>
      <c r="M2033" s="23"/>
      <c r="N2033" s="23"/>
      <c r="P2033" s="23"/>
    </row>
    <row r="2034" spans="2:16" x14ac:dyDescent="0.25">
      <c r="B2034" s="23"/>
      <c r="E2034" s="23"/>
      <c r="G2034" s="23"/>
      <c r="H2034" s="23"/>
      <c r="J2034" s="23"/>
      <c r="K2034" s="23"/>
      <c r="M2034" s="23"/>
      <c r="N2034" s="23"/>
      <c r="P2034" s="23"/>
    </row>
    <row r="2035" spans="2:16" x14ac:dyDescent="0.25">
      <c r="B2035" s="23"/>
      <c r="E2035" s="23"/>
      <c r="G2035" s="23"/>
      <c r="H2035" s="23"/>
      <c r="J2035" s="23"/>
      <c r="K2035" s="23"/>
      <c r="M2035" s="23"/>
      <c r="N2035" s="23"/>
      <c r="P2035" s="23"/>
    </row>
    <row r="2036" spans="2:16" x14ac:dyDescent="0.25">
      <c r="B2036" s="23"/>
      <c r="E2036" s="23"/>
      <c r="G2036" s="23"/>
      <c r="H2036" s="23"/>
      <c r="J2036" s="23"/>
      <c r="K2036" s="23"/>
      <c r="M2036" s="23"/>
      <c r="N2036" s="23"/>
      <c r="P2036" s="23"/>
    </row>
    <row r="2037" spans="2:16" x14ac:dyDescent="0.25">
      <c r="B2037" s="23"/>
      <c r="E2037" s="23"/>
      <c r="G2037" s="23"/>
      <c r="H2037" s="23"/>
      <c r="J2037" s="23"/>
      <c r="K2037" s="23"/>
      <c r="M2037" s="23"/>
      <c r="N2037" s="23"/>
      <c r="P2037" s="23"/>
    </row>
    <row r="2038" spans="2:16" x14ac:dyDescent="0.25">
      <c r="B2038" s="23"/>
      <c r="E2038" s="23"/>
      <c r="G2038" s="23"/>
      <c r="H2038" s="23"/>
      <c r="J2038" s="23"/>
      <c r="K2038" s="23"/>
      <c r="M2038" s="23"/>
      <c r="N2038" s="23"/>
      <c r="P2038" s="23"/>
    </row>
    <row r="2039" spans="2:16" x14ac:dyDescent="0.25">
      <c r="B2039" s="23"/>
      <c r="E2039" s="23"/>
      <c r="G2039" s="23"/>
      <c r="H2039" s="23"/>
      <c r="J2039" s="23"/>
      <c r="K2039" s="23"/>
      <c r="M2039" s="23"/>
      <c r="N2039" s="23"/>
      <c r="P2039" s="23"/>
    </row>
    <row r="2040" spans="2:16" x14ac:dyDescent="0.25">
      <c r="B2040" s="23"/>
      <c r="E2040" s="23"/>
      <c r="G2040" s="23"/>
      <c r="H2040" s="23"/>
      <c r="J2040" s="23"/>
      <c r="K2040" s="23"/>
      <c r="M2040" s="23"/>
      <c r="N2040" s="23"/>
      <c r="P2040" s="23"/>
    </row>
    <row r="2041" spans="2:16" x14ac:dyDescent="0.25">
      <c r="B2041" s="23"/>
      <c r="E2041" s="23"/>
      <c r="G2041" s="23"/>
      <c r="H2041" s="23"/>
      <c r="J2041" s="23"/>
      <c r="K2041" s="23"/>
      <c r="M2041" s="23"/>
      <c r="N2041" s="23"/>
      <c r="P2041" s="23"/>
    </row>
    <row r="2042" spans="2:16" x14ac:dyDescent="0.25">
      <c r="B2042" s="23"/>
      <c r="E2042" s="23"/>
      <c r="G2042" s="23"/>
      <c r="H2042" s="23"/>
      <c r="J2042" s="23"/>
      <c r="K2042" s="23"/>
      <c r="M2042" s="23"/>
      <c r="N2042" s="23"/>
      <c r="P2042" s="23"/>
    </row>
    <row r="2043" spans="2:16" x14ac:dyDescent="0.25">
      <c r="B2043" s="23"/>
      <c r="E2043" s="23"/>
      <c r="G2043" s="23"/>
      <c r="H2043" s="23"/>
      <c r="J2043" s="23"/>
      <c r="K2043" s="23"/>
      <c r="M2043" s="23"/>
      <c r="N2043" s="23"/>
      <c r="P2043" s="23"/>
    </row>
    <row r="2044" spans="2:16" x14ac:dyDescent="0.25">
      <c r="B2044" s="23"/>
      <c r="E2044" s="23"/>
      <c r="G2044" s="23"/>
      <c r="H2044" s="23"/>
      <c r="J2044" s="23"/>
      <c r="K2044" s="23"/>
      <c r="M2044" s="23"/>
      <c r="N2044" s="23"/>
      <c r="P2044" s="23"/>
    </row>
    <row r="2045" spans="2:16" x14ac:dyDescent="0.25">
      <c r="B2045" s="23"/>
      <c r="E2045" s="23"/>
      <c r="G2045" s="23"/>
      <c r="H2045" s="23"/>
      <c r="J2045" s="23"/>
      <c r="K2045" s="23"/>
      <c r="M2045" s="23"/>
      <c r="N2045" s="23"/>
      <c r="P2045" s="23"/>
    </row>
    <row r="2046" spans="2:16" x14ac:dyDescent="0.25">
      <c r="B2046" s="23"/>
      <c r="E2046" s="23"/>
      <c r="G2046" s="23"/>
      <c r="H2046" s="23"/>
      <c r="J2046" s="23"/>
      <c r="K2046" s="23"/>
      <c r="M2046" s="23"/>
      <c r="N2046" s="23"/>
      <c r="P2046" s="23"/>
    </row>
    <row r="2047" spans="2:16" x14ac:dyDescent="0.25">
      <c r="B2047" s="23"/>
      <c r="E2047" s="23"/>
      <c r="G2047" s="23"/>
      <c r="H2047" s="23"/>
      <c r="J2047" s="23"/>
      <c r="K2047" s="23"/>
      <c r="M2047" s="23"/>
      <c r="N2047" s="23"/>
      <c r="P2047" s="23"/>
    </row>
    <row r="2048" spans="2:16" x14ac:dyDescent="0.25">
      <c r="B2048" s="23"/>
      <c r="E2048" s="23"/>
      <c r="G2048" s="23"/>
      <c r="H2048" s="23"/>
      <c r="J2048" s="23"/>
      <c r="K2048" s="23"/>
      <c r="M2048" s="23"/>
      <c r="N2048" s="23"/>
      <c r="P2048" s="23"/>
    </row>
    <row r="2049" spans="2:16" x14ac:dyDescent="0.25">
      <c r="B2049" s="23"/>
      <c r="E2049" s="23"/>
      <c r="G2049" s="23"/>
      <c r="H2049" s="23"/>
      <c r="J2049" s="23"/>
      <c r="K2049" s="23"/>
      <c r="M2049" s="23"/>
      <c r="N2049" s="23"/>
      <c r="P2049" s="23"/>
    </row>
    <row r="2050" spans="2:16" x14ac:dyDescent="0.25">
      <c r="B2050" s="23"/>
      <c r="E2050" s="23"/>
      <c r="G2050" s="23"/>
      <c r="H2050" s="23"/>
      <c r="J2050" s="23"/>
      <c r="K2050" s="23"/>
      <c r="M2050" s="23"/>
      <c r="N2050" s="23"/>
      <c r="P2050" s="23"/>
    </row>
    <row r="2051" spans="2:16" x14ac:dyDescent="0.25">
      <c r="B2051" s="23"/>
      <c r="E2051" s="23"/>
      <c r="G2051" s="23"/>
      <c r="H2051" s="23"/>
      <c r="J2051" s="23"/>
      <c r="K2051" s="23"/>
      <c r="M2051" s="23"/>
      <c r="N2051" s="23"/>
      <c r="P2051" s="23"/>
    </row>
    <row r="2052" spans="2:16" x14ac:dyDescent="0.25">
      <c r="B2052" s="23"/>
      <c r="E2052" s="23"/>
      <c r="G2052" s="23"/>
      <c r="H2052" s="23"/>
      <c r="J2052" s="23"/>
      <c r="K2052" s="23"/>
      <c r="M2052" s="23"/>
      <c r="N2052" s="23"/>
      <c r="P2052" s="23"/>
    </row>
    <row r="2053" spans="2:16" x14ac:dyDescent="0.25">
      <c r="B2053" s="23"/>
      <c r="E2053" s="23"/>
      <c r="G2053" s="23"/>
      <c r="H2053" s="23"/>
      <c r="J2053" s="23"/>
      <c r="K2053" s="23"/>
      <c r="M2053" s="23"/>
      <c r="N2053" s="23"/>
      <c r="P2053" s="23"/>
    </row>
    <row r="2054" spans="2:16" x14ac:dyDescent="0.25">
      <c r="B2054" s="23"/>
      <c r="E2054" s="23"/>
      <c r="G2054" s="23"/>
      <c r="H2054" s="23"/>
      <c r="J2054" s="23"/>
      <c r="K2054" s="23"/>
      <c r="M2054" s="23"/>
      <c r="N2054" s="23"/>
      <c r="P2054" s="23"/>
    </row>
    <row r="2055" spans="2:16" x14ac:dyDescent="0.25">
      <c r="B2055" s="23"/>
      <c r="E2055" s="23"/>
      <c r="G2055" s="23"/>
      <c r="H2055" s="23"/>
      <c r="J2055" s="23"/>
      <c r="K2055" s="23"/>
      <c r="M2055" s="23"/>
      <c r="N2055" s="23"/>
      <c r="P2055" s="23"/>
    </row>
    <row r="2056" spans="2:16" x14ac:dyDescent="0.25">
      <c r="B2056" s="23"/>
      <c r="E2056" s="23"/>
      <c r="G2056" s="23"/>
      <c r="H2056" s="23"/>
      <c r="J2056" s="23"/>
      <c r="K2056" s="23"/>
      <c r="M2056" s="23"/>
      <c r="N2056" s="23"/>
      <c r="P2056" s="23"/>
    </row>
    <row r="2057" spans="2:16" x14ac:dyDescent="0.25">
      <c r="B2057" s="23"/>
      <c r="E2057" s="23"/>
      <c r="G2057" s="23"/>
      <c r="H2057" s="23"/>
      <c r="J2057" s="23"/>
      <c r="K2057" s="23"/>
      <c r="M2057" s="23"/>
      <c r="N2057" s="23"/>
      <c r="P2057" s="23"/>
    </row>
    <row r="2058" spans="2:16" x14ac:dyDescent="0.25">
      <c r="B2058" s="23"/>
      <c r="E2058" s="23"/>
      <c r="G2058" s="23"/>
      <c r="H2058" s="23"/>
      <c r="J2058" s="23"/>
      <c r="K2058" s="23"/>
      <c r="M2058" s="23"/>
      <c r="N2058" s="23"/>
      <c r="P2058" s="23"/>
    </row>
    <row r="2059" spans="2:16" x14ac:dyDescent="0.25">
      <c r="B2059" s="23"/>
      <c r="E2059" s="23"/>
      <c r="G2059" s="23"/>
      <c r="H2059" s="23"/>
      <c r="J2059" s="23"/>
      <c r="K2059" s="23"/>
      <c r="M2059" s="23"/>
      <c r="N2059" s="23"/>
      <c r="P2059" s="23"/>
    </row>
    <row r="2060" spans="2:16" x14ac:dyDescent="0.25">
      <c r="B2060" s="23"/>
      <c r="E2060" s="23"/>
      <c r="G2060" s="23"/>
      <c r="H2060" s="23"/>
      <c r="J2060" s="23"/>
      <c r="K2060" s="23"/>
      <c r="M2060" s="23"/>
      <c r="N2060" s="23"/>
      <c r="P2060" s="23"/>
    </row>
    <row r="2061" spans="2:16" x14ac:dyDescent="0.25">
      <c r="B2061" s="23"/>
      <c r="E2061" s="23"/>
      <c r="G2061" s="23"/>
      <c r="H2061" s="23"/>
      <c r="J2061" s="23"/>
      <c r="K2061" s="23"/>
      <c r="M2061" s="23"/>
      <c r="N2061" s="23"/>
      <c r="P2061" s="23"/>
    </row>
    <row r="2062" spans="2:16" x14ac:dyDescent="0.25">
      <c r="B2062" s="23"/>
      <c r="E2062" s="23"/>
      <c r="G2062" s="23"/>
      <c r="H2062" s="23"/>
      <c r="J2062" s="23"/>
      <c r="K2062" s="23"/>
      <c r="M2062" s="23"/>
      <c r="N2062" s="23"/>
      <c r="P2062" s="23"/>
    </row>
    <row r="2063" spans="2:16" x14ac:dyDescent="0.25">
      <c r="B2063" s="23"/>
      <c r="E2063" s="23"/>
      <c r="G2063" s="23"/>
      <c r="H2063" s="23"/>
      <c r="J2063" s="23"/>
      <c r="K2063" s="23"/>
      <c r="M2063" s="23"/>
      <c r="N2063" s="23"/>
      <c r="P2063" s="23"/>
    </row>
    <row r="2064" spans="2:16" x14ac:dyDescent="0.25">
      <c r="B2064" s="23"/>
      <c r="E2064" s="23"/>
      <c r="G2064" s="23"/>
      <c r="H2064" s="23"/>
      <c r="J2064" s="23"/>
      <c r="K2064" s="23"/>
      <c r="M2064" s="23"/>
      <c r="N2064" s="23"/>
      <c r="P2064" s="23"/>
    </row>
    <row r="2065" spans="2:16" x14ac:dyDescent="0.25">
      <c r="B2065" s="23"/>
      <c r="E2065" s="23"/>
      <c r="G2065" s="23"/>
      <c r="H2065" s="23"/>
      <c r="J2065" s="23"/>
      <c r="K2065" s="23"/>
      <c r="M2065" s="23"/>
      <c r="N2065" s="23"/>
      <c r="P2065" s="23"/>
    </row>
    <row r="2066" spans="2:16" x14ac:dyDescent="0.25">
      <c r="B2066" s="23"/>
      <c r="E2066" s="23"/>
      <c r="G2066" s="23"/>
      <c r="H2066" s="23"/>
      <c r="J2066" s="23"/>
      <c r="K2066" s="23"/>
      <c r="M2066" s="23"/>
      <c r="N2066" s="23"/>
      <c r="P2066" s="23"/>
    </row>
    <row r="2067" spans="2:16" x14ac:dyDescent="0.25">
      <c r="B2067" s="23"/>
      <c r="E2067" s="23"/>
      <c r="G2067" s="23"/>
      <c r="H2067" s="23"/>
      <c r="J2067" s="23"/>
      <c r="K2067" s="23"/>
      <c r="M2067" s="23"/>
      <c r="N2067" s="23"/>
      <c r="P2067" s="23"/>
    </row>
    <row r="2068" spans="2:16" x14ac:dyDescent="0.25">
      <c r="B2068" s="23"/>
      <c r="E2068" s="23"/>
      <c r="G2068" s="23"/>
      <c r="H2068" s="23"/>
      <c r="J2068" s="23"/>
      <c r="K2068" s="23"/>
      <c r="M2068" s="23"/>
      <c r="N2068" s="23"/>
      <c r="P2068" s="23"/>
    </row>
    <row r="2069" spans="2:16" x14ac:dyDescent="0.25">
      <c r="B2069" s="23"/>
      <c r="E2069" s="23"/>
      <c r="G2069" s="23"/>
      <c r="H2069" s="23"/>
      <c r="J2069" s="23"/>
      <c r="K2069" s="23"/>
      <c r="M2069" s="23"/>
      <c r="N2069" s="23"/>
      <c r="P2069" s="23"/>
    </row>
    <row r="2070" spans="2:16" x14ac:dyDescent="0.25">
      <c r="B2070" s="23"/>
      <c r="E2070" s="23"/>
      <c r="G2070" s="23"/>
      <c r="H2070" s="23"/>
      <c r="J2070" s="23"/>
      <c r="K2070" s="23"/>
      <c r="M2070" s="23"/>
      <c r="N2070" s="23"/>
      <c r="P2070" s="23"/>
    </row>
    <row r="2071" spans="2:16" x14ac:dyDescent="0.25">
      <c r="B2071" s="23"/>
      <c r="E2071" s="23"/>
      <c r="G2071" s="23"/>
      <c r="H2071" s="23"/>
      <c r="J2071" s="23"/>
      <c r="K2071" s="23"/>
      <c r="M2071" s="23"/>
      <c r="N2071" s="23"/>
      <c r="P2071" s="23"/>
    </row>
    <row r="2072" spans="2:16" x14ac:dyDescent="0.25">
      <c r="B2072" s="23"/>
      <c r="E2072" s="23"/>
      <c r="G2072" s="23"/>
      <c r="H2072" s="23"/>
      <c r="J2072" s="23"/>
      <c r="K2072" s="23"/>
      <c r="M2072" s="23"/>
      <c r="N2072" s="23"/>
      <c r="P2072" s="23"/>
    </row>
    <row r="2073" spans="2:16" x14ac:dyDescent="0.25">
      <c r="B2073" s="23"/>
      <c r="E2073" s="23"/>
      <c r="G2073" s="23"/>
      <c r="H2073" s="23"/>
      <c r="J2073" s="23"/>
      <c r="K2073" s="23"/>
      <c r="M2073" s="23"/>
      <c r="N2073" s="23"/>
      <c r="P2073" s="23"/>
    </row>
    <row r="2074" spans="2:16" x14ac:dyDescent="0.25">
      <c r="B2074" s="23"/>
      <c r="E2074" s="23"/>
      <c r="G2074" s="23"/>
      <c r="H2074" s="23"/>
      <c r="J2074" s="23"/>
      <c r="K2074" s="23"/>
      <c r="M2074" s="23"/>
      <c r="N2074" s="23"/>
      <c r="P2074" s="23"/>
    </row>
    <row r="2075" spans="2:16" x14ac:dyDescent="0.25">
      <c r="B2075" s="23"/>
      <c r="E2075" s="23"/>
      <c r="G2075" s="23"/>
      <c r="H2075" s="23"/>
      <c r="J2075" s="23"/>
      <c r="K2075" s="23"/>
      <c r="M2075" s="23"/>
      <c r="N2075" s="23"/>
      <c r="P2075" s="23"/>
    </row>
    <row r="2076" spans="2:16" x14ac:dyDescent="0.25">
      <c r="B2076" s="23"/>
      <c r="E2076" s="23"/>
      <c r="G2076" s="23"/>
      <c r="H2076" s="23"/>
      <c r="J2076" s="23"/>
      <c r="K2076" s="23"/>
      <c r="M2076" s="23"/>
      <c r="N2076" s="23"/>
      <c r="P2076" s="23"/>
    </row>
    <row r="2077" spans="2:16" x14ac:dyDescent="0.25">
      <c r="B2077" s="23"/>
      <c r="E2077" s="23"/>
      <c r="G2077" s="23"/>
      <c r="H2077" s="23"/>
      <c r="J2077" s="23"/>
      <c r="K2077" s="23"/>
      <c r="M2077" s="23"/>
      <c r="N2077" s="23"/>
      <c r="P2077" s="23"/>
    </row>
    <row r="2078" spans="2:16" x14ac:dyDescent="0.25">
      <c r="B2078" s="23"/>
      <c r="E2078" s="23"/>
      <c r="G2078" s="23"/>
      <c r="H2078" s="23"/>
      <c r="J2078" s="23"/>
      <c r="K2078" s="23"/>
      <c r="M2078" s="23"/>
      <c r="N2078" s="23"/>
      <c r="P2078" s="23"/>
    </row>
    <row r="2079" spans="2:16" x14ac:dyDescent="0.25">
      <c r="B2079" s="23"/>
      <c r="E2079" s="23"/>
      <c r="G2079" s="23"/>
      <c r="H2079" s="23"/>
      <c r="J2079" s="23"/>
      <c r="K2079" s="23"/>
      <c r="M2079" s="23"/>
      <c r="N2079" s="23"/>
      <c r="P2079" s="23"/>
    </row>
    <row r="2080" spans="2:16" x14ac:dyDescent="0.25">
      <c r="B2080" s="23"/>
      <c r="E2080" s="23"/>
      <c r="G2080" s="23"/>
      <c r="H2080" s="23"/>
      <c r="J2080" s="23"/>
      <c r="K2080" s="23"/>
      <c r="M2080" s="23"/>
      <c r="N2080" s="23"/>
      <c r="P2080" s="23"/>
    </row>
    <row r="2081" spans="2:16" x14ac:dyDescent="0.25">
      <c r="B2081" s="23"/>
      <c r="E2081" s="23"/>
      <c r="G2081" s="23"/>
      <c r="H2081" s="23"/>
      <c r="J2081" s="23"/>
      <c r="K2081" s="23"/>
      <c r="M2081" s="23"/>
      <c r="N2081" s="23"/>
      <c r="P2081" s="23"/>
    </row>
    <row r="2082" spans="2:16" x14ac:dyDescent="0.25">
      <c r="B2082" s="23"/>
      <c r="E2082" s="23"/>
      <c r="G2082" s="23"/>
      <c r="H2082" s="23"/>
      <c r="J2082" s="23"/>
      <c r="K2082" s="23"/>
      <c r="M2082" s="23"/>
      <c r="N2082" s="23"/>
      <c r="P2082" s="23"/>
    </row>
    <row r="2083" spans="2:16" x14ac:dyDescent="0.25">
      <c r="B2083" s="23"/>
      <c r="E2083" s="23"/>
      <c r="G2083" s="23"/>
      <c r="H2083" s="23"/>
      <c r="J2083" s="23"/>
      <c r="K2083" s="23"/>
      <c r="M2083" s="23"/>
      <c r="N2083" s="23"/>
      <c r="P2083" s="23"/>
    </row>
    <row r="2084" spans="2:16" x14ac:dyDescent="0.25">
      <c r="B2084" s="23"/>
      <c r="E2084" s="23"/>
      <c r="G2084" s="23"/>
      <c r="H2084" s="23"/>
      <c r="J2084" s="23"/>
      <c r="K2084" s="23"/>
      <c r="M2084" s="23"/>
      <c r="N2084" s="23"/>
      <c r="P2084" s="23"/>
    </row>
    <row r="2085" spans="2:16" x14ac:dyDescent="0.25">
      <c r="B2085" s="23"/>
      <c r="E2085" s="23"/>
      <c r="G2085" s="23"/>
      <c r="H2085" s="23"/>
      <c r="J2085" s="23"/>
      <c r="K2085" s="23"/>
      <c r="M2085" s="23"/>
      <c r="N2085" s="23"/>
      <c r="P2085" s="23"/>
    </row>
    <row r="2086" spans="2:16" x14ac:dyDescent="0.25">
      <c r="B2086" s="23"/>
      <c r="E2086" s="23"/>
      <c r="G2086" s="23"/>
      <c r="H2086" s="23"/>
      <c r="J2086" s="23"/>
      <c r="K2086" s="23"/>
      <c r="M2086" s="23"/>
      <c r="N2086" s="23"/>
      <c r="P2086" s="23"/>
    </row>
    <row r="2087" spans="2:16" x14ac:dyDescent="0.25">
      <c r="B2087" s="23"/>
      <c r="E2087" s="23"/>
      <c r="G2087" s="23"/>
      <c r="H2087" s="23"/>
      <c r="J2087" s="23"/>
      <c r="K2087" s="23"/>
      <c r="M2087" s="23"/>
      <c r="N2087" s="23"/>
      <c r="P2087" s="23"/>
    </row>
    <row r="2088" spans="2:16" x14ac:dyDescent="0.25">
      <c r="B2088" s="23"/>
      <c r="E2088" s="23"/>
      <c r="G2088" s="23"/>
      <c r="H2088" s="23"/>
      <c r="J2088" s="23"/>
      <c r="K2088" s="23"/>
      <c r="M2088" s="23"/>
      <c r="N2088" s="23"/>
      <c r="P2088" s="23"/>
    </row>
    <row r="2089" spans="2:16" x14ac:dyDescent="0.25">
      <c r="B2089" s="23"/>
      <c r="E2089" s="23"/>
      <c r="G2089" s="23"/>
      <c r="H2089" s="23"/>
      <c r="J2089" s="23"/>
      <c r="K2089" s="23"/>
      <c r="M2089" s="23"/>
      <c r="N2089" s="23"/>
      <c r="P2089" s="23"/>
    </row>
    <row r="2090" spans="2:16" x14ac:dyDescent="0.25">
      <c r="B2090" s="23"/>
      <c r="E2090" s="23"/>
      <c r="G2090" s="23"/>
      <c r="H2090" s="23"/>
      <c r="J2090" s="23"/>
      <c r="K2090" s="23"/>
      <c r="M2090" s="23"/>
      <c r="N2090" s="23"/>
      <c r="P2090" s="23"/>
    </row>
    <row r="2091" spans="2:16" x14ac:dyDescent="0.25">
      <c r="B2091" s="23"/>
      <c r="E2091" s="23"/>
      <c r="G2091" s="23"/>
      <c r="H2091" s="23"/>
      <c r="J2091" s="23"/>
      <c r="K2091" s="23"/>
      <c r="M2091" s="23"/>
      <c r="N2091" s="23"/>
      <c r="P2091" s="23"/>
    </row>
    <row r="2092" spans="2:16" x14ac:dyDescent="0.25">
      <c r="B2092" s="23"/>
      <c r="E2092" s="23"/>
      <c r="G2092" s="23"/>
      <c r="H2092" s="23"/>
      <c r="J2092" s="23"/>
      <c r="K2092" s="23"/>
      <c r="M2092" s="23"/>
      <c r="N2092" s="23"/>
      <c r="P2092" s="23"/>
    </row>
    <row r="2093" spans="2:16" x14ac:dyDescent="0.25">
      <c r="B2093" s="23"/>
      <c r="E2093" s="23"/>
      <c r="G2093" s="23"/>
      <c r="H2093" s="23"/>
      <c r="J2093" s="23"/>
      <c r="K2093" s="23"/>
      <c r="M2093" s="23"/>
      <c r="N2093" s="23"/>
      <c r="P2093" s="23"/>
    </row>
    <row r="2094" spans="2:16" x14ac:dyDescent="0.25">
      <c r="B2094" s="23"/>
      <c r="E2094" s="23"/>
      <c r="G2094" s="23"/>
      <c r="H2094" s="23"/>
      <c r="J2094" s="23"/>
      <c r="K2094" s="23"/>
      <c r="M2094" s="23"/>
      <c r="N2094" s="23"/>
      <c r="P2094" s="23"/>
    </row>
    <row r="2095" spans="2:16" x14ac:dyDescent="0.25">
      <c r="B2095" s="23"/>
      <c r="E2095" s="23"/>
      <c r="G2095" s="23"/>
      <c r="H2095" s="23"/>
      <c r="J2095" s="23"/>
      <c r="K2095" s="23"/>
      <c r="M2095" s="23"/>
      <c r="N2095" s="23"/>
      <c r="P2095" s="23"/>
    </row>
    <row r="2096" spans="2:16" x14ac:dyDescent="0.25">
      <c r="B2096" s="23"/>
      <c r="E2096" s="23"/>
      <c r="G2096" s="23"/>
      <c r="H2096" s="23"/>
      <c r="J2096" s="23"/>
      <c r="K2096" s="23"/>
      <c r="M2096" s="23"/>
      <c r="N2096" s="23"/>
      <c r="P2096" s="23"/>
    </row>
    <row r="2097" spans="2:16" x14ac:dyDescent="0.25">
      <c r="B2097" s="23"/>
      <c r="E2097" s="23"/>
      <c r="G2097" s="23"/>
      <c r="H2097" s="23"/>
      <c r="J2097" s="23"/>
      <c r="K2097" s="23"/>
      <c r="M2097" s="23"/>
      <c r="N2097" s="23"/>
      <c r="P2097" s="23"/>
    </row>
    <row r="2098" spans="2:16" x14ac:dyDescent="0.25">
      <c r="B2098" s="23"/>
      <c r="E2098" s="23"/>
      <c r="G2098" s="23"/>
      <c r="H2098" s="23"/>
      <c r="J2098" s="23"/>
      <c r="K2098" s="23"/>
      <c r="M2098" s="23"/>
      <c r="N2098" s="23"/>
      <c r="P2098" s="23"/>
    </row>
    <row r="2099" spans="2:16" x14ac:dyDescent="0.25">
      <c r="B2099" s="23"/>
      <c r="E2099" s="23"/>
      <c r="G2099" s="23"/>
      <c r="H2099" s="23"/>
      <c r="J2099" s="23"/>
      <c r="K2099" s="23"/>
      <c r="M2099" s="23"/>
      <c r="N2099" s="23"/>
      <c r="P2099" s="23"/>
    </row>
    <row r="2100" spans="2:16" x14ac:dyDescent="0.25">
      <c r="B2100" s="23"/>
      <c r="E2100" s="23"/>
      <c r="G2100" s="23"/>
      <c r="H2100" s="23"/>
      <c r="J2100" s="23"/>
      <c r="K2100" s="23"/>
      <c r="M2100" s="23"/>
      <c r="N2100" s="23"/>
      <c r="P2100" s="23"/>
    </row>
    <row r="2101" spans="2:16" x14ac:dyDescent="0.25">
      <c r="B2101" s="23"/>
      <c r="E2101" s="23"/>
      <c r="G2101" s="23"/>
      <c r="H2101" s="23"/>
      <c r="J2101" s="23"/>
      <c r="K2101" s="23"/>
      <c r="M2101" s="23"/>
      <c r="N2101" s="23"/>
      <c r="P2101" s="23"/>
    </row>
    <row r="2102" spans="2:16" x14ac:dyDescent="0.25">
      <c r="B2102" s="23"/>
      <c r="E2102" s="23"/>
      <c r="G2102" s="23"/>
      <c r="H2102" s="23"/>
      <c r="J2102" s="23"/>
      <c r="K2102" s="23"/>
      <c r="M2102" s="23"/>
      <c r="N2102" s="23"/>
      <c r="P2102" s="23"/>
    </row>
    <row r="2103" spans="2:16" x14ac:dyDescent="0.25">
      <c r="B2103" s="23"/>
      <c r="E2103" s="23"/>
      <c r="G2103" s="23"/>
      <c r="H2103" s="23"/>
      <c r="J2103" s="23"/>
      <c r="K2103" s="23"/>
      <c r="M2103" s="23"/>
      <c r="N2103" s="23"/>
      <c r="P2103" s="23"/>
    </row>
    <row r="2104" spans="2:16" x14ac:dyDescent="0.25">
      <c r="B2104" s="23"/>
      <c r="E2104" s="23"/>
      <c r="G2104" s="23"/>
      <c r="H2104" s="23"/>
      <c r="J2104" s="23"/>
      <c r="K2104" s="23"/>
      <c r="M2104" s="23"/>
      <c r="N2104" s="23"/>
      <c r="P2104" s="23"/>
    </row>
    <row r="2105" spans="2:16" x14ac:dyDescent="0.25">
      <c r="B2105" s="23"/>
      <c r="E2105" s="23"/>
      <c r="G2105" s="23"/>
      <c r="H2105" s="23"/>
      <c r="J2105" s="23"/>
      <c r="K2105" s="23"/>
      <c r="M2105" s="23"/>
      <c r="N2105" s="23"/>
      <c r="P2105" s="23"/>
    </row>
    <row r="2106" spans="2:16" x14ac:dyDescent="0.25">
      <c r="B2106" s="23"/>
      <c r="E2106" s="23"/>
      <c r="G2106" s="23"/>
      <c r="H2106" s="23"/>
      <c r="J2106" s="23"/>
      <c r="K2106" s="23"/>
      <c r="M2106" s="23"/>
      <c r="N2106" s="23"/>
      <c r="P2106" s="23"/>
    </row>
    <row r="2107" spans="2:16" x14ac:dyDescent="0.25">
      <c r="B2107" s="23"/>
      <c r="E2107" s="23"/>
      <c r="G2107" s="23"/>
      <c r="H2107" s="23"/>
      <c r="J2107" s="23"/>
      <c r="K2107" s="23"/>
      <c r="M2107" s="23"/>
      <c r="N2107" s="23"/>
      <c r="P2107" s="23"/>
    </row>
    <row r="2108" spans="2:16" x14ac:dyDescent="0.25">
      <c r="B2108" s="23"/>
      <c r="E2108" s="23"/>
      <c r="G2108" s="23"/>
      <c r="H2108" s="23"/>
      <c r="J2108" s="23"/>
      <c r="K2108" s="23"/>
      <c r="M2108" s="23"/>
      <c r="N2108" s="23"/>
      <c r="P2108" s="23"/>
    </row>
    <row r="2109" spans="2:16" x14ac:dyDescent="0.25">
      <c r="B2109" s="23"/>
      <c r="E2109" s="23"/>
      <c r="G2109" s="23"/>
      <c r="H2109" s="23"/>
      <c r="J2109" s="23"/>
      <c r="K2109" s="23"/>
      <c r="M2109" s="23"/>
      <c r="N2109" s="23"/>
      <c r="P2109" s="23"/>
    </row>
    <row r="2110" spans="2:16" x14ac:dyDescent="0.25">
      <c r="B2110" s="23"/>
      <c r="E2110" s="23"/>
      <c r="G2110" s="23"/>
      <c r="H2110" s="23"/>
      <c r="J2110" s="23"/>
      <c r="K2110" s="23"/>
      <c r="M2110" s="23"/>
      <c r="N2110" s="23"/>
      <c r="P2110" s="23"/>
    </row>
    <row r="2111" spans="2:16" x14ac:dyDescent="0.25">
      <c r="B2111" s="23"/>
      <c r="E2111" s="23"/>
      <c r="G2111" s="23"/>
      <c r="H2111" s="23"/>
      <c r="J2111" s="23"/>
      <c r="K2111" s="23"/>
      <c r="M2111" s="23"/>
      <c r="N2111" s="23"/>
      <c r="P2111" s="23"/>
    </row>
    <row r="2112" spans="2:16" x14ac:dyDescent="0.25">
      <c r="B2112" s="23"/>
      <c r="E2112" s="23"/>
      <c r="G2112" s="23"/>
      <c r="H2112" s="23"/>
      <c r="J2112" s="23"/>
      <c r="K2112" s="23"/>
      <c r="M2112" s="23"/>
      <c r="N2112" s="23"/>
      <c r="P2112" s="23"/>
    </row>
    <row r="2113" spans="2:16" x14ac:dyDescent="0.25">
      <c r="B2113" s="23"/>
      <c r="E2113" s="23"/>
      <c r="G2113" s="23"/>
      <c r="H2113" s="23"/>
      <c r="J2113" s="23"/>
      <c r="K2113" s="23"/>
      <c r="M2113" s="23"/>
      <c r="N2113" s="23"/>
      <c r="P2113" s="23"/>
    </row>
    <row r="2114" spans="2:16" x14ac:dyDescent="0.25">
      <c r="B2114" s="23"/>
      <c r="E2114" s="23"/>
      <c r="G2114" s="23"/>
      <c r="H2114" s="23"/>
      <c r="J2114" s="23"/>
      <c r="K2114" s="23"/>
      <c r="M2114" s="23"/>
      <c r="N2114" s="23"/>
      <c r="P2114" s="23"/>
    </row>
    <row r="2115" spans="2:16" x14ac:dyDescent="0.25">
      <c r="B2115" s="23"/>
      <c r="E2115" s="23"/>
      <c r="G2115" s="23"/>
      <c r="H2115" s="23"/>
      <c r="J2115" s="23"/>
      <c r="K2115" s="23"/>
      <c r="M2115" s="23"/>
      <c r="N2115" s="23"/>
      <c r="P2115" s="23"/>
    </row>
    <row r="2116" spans="2:16" x14ac:dyDescent="0.25">
      <c r="B2116" s="23"/>
      <c r="E2116" s="23"/>
      <c r="G2116" s="23"/>
      <c r="H2116" s="23"/>
      <c r="J2116" s="23"/>
      <c r="K2116" s="23"/>
      <c r="M2116" s="23"/>
      <c r="N2116" s="23"/>
      <c r="P2116" s="23"/>
    </row>
    <row r="2117" spans="2:16" x14ac:dyDescent="0.25">
      <c r="B2117" s="23"/>
      <c r="E2117" s="23"/>
      <c r="G2117" s="23"/>
      <c r="H2117" s="23"/>
      <c r="J2117" s="23"/>
      <c r="K2117" s="23"/>
      <c r="M2117" s="23"/>
      <c r="N2117" s="23"/>
      <c r="P2117" s="23"/>
    </row>
    <row r="2118" spans="2:16" x14ac:dyDescent="0.25">
      <c r="B2118" s="23"/>
      <c r="E2118" s="23"/>
      <c r="G2118" s="23"/>
      <c r="H2118" s="23"/>
      <c r="J2118" s="23"/>
      <c r="K2118" s="23"/>
      <c r="M2118" s="23"/>
      <c r="N2118" s="23"/>
      <c r="P2118" s="23"/>
    </row>
    <row r="2119" spans="2:16" x14ac:dyDescent="0.25">
      <c r="B2119" s="23"/>
      <c r="E2119" s="23"/>
      <c r="G2119" s="23"/>
      <c r="H2119" s="23"/>
      <c r="J2119" s="23"/>
      <c r="K2119" s="23"/>
      <c r="M2119" s="23"/>
      <c r="N2119" s="23"/>
      <c r="P2119" s="23"/>
    </row>
    <row r="2120" spans="2:16" x14ac:dyDescent="0.25">
      <c r="B2120" s="23"/>
      <c r="E2120" s="23"/>
      <c r="G2120" s="23"/>
      <c r="H2120" s="23"/>
      <c r="J2120" s="23"/>
      <c r="K2120" s="23"/>
      <c r="M2120" s="23"/>
      <c r="N2120" s="23"/>
      <c r="P2120" s="23"/>
    </row>
    <row r="2121" spans="2:16" x14ac:dyDescent="0.25">
      <c r="B2121" s="23"/>
      <c r="E2121" s="23"/>
      <c r="G2121" s="23"/>
      <c r="H2121" s="23"/>
      <c r="J2121" s="23"/>
      <c r="K2121" s="23"/>
      <c r="M2121" s="23"/>
      <c r="N2121" s="23"/>
      <c r="P2121" s="23"/>
    </row>
    <row r="2122" spans="2:16" x14ac:dyDescent="0.25">
      <c r="B2122" s="23"/>
      <c r="E2122" s="23"/>
      <c r="G2122" s="23"/>
      <c r="H2122" s="23"/>
      <c r="J2122" s="23"/>
      <c r="K2122" s="23"/>
      <c r="M2122" s="23"/>
      <c r="N2122" s="23"/>
      <c r="P2122" s="23"/>
    </row>
    <row r="2123" spans="2:16" x14ac:dyDescent="0.25">
      <c r="B2123" s="23"/>
      <c r="E2123" s="23"/>
      <c r="G2123" s="23"/>
      <c r="H2123" s="23"/>
      <c r="J2123" s="23"/>
      <c r="K2123" s="23"/>
      <c r="M2123" s="23"/>
      <c r="N2123" s="23"/>
      <c r="P2123" s="23"/>
    </row>
    <row r="2124" spans="2:16" x14ac:dyDescent="0.25">
      <c r="B2124" s="23"/>
      <c r="E2124" s="23"/>
      <c r="G2124" s="23"/>
      <c r="H2124" s="23"/>
      <c r="J2124" s="23"/>
      <c r="K2124" s="23"/>
      <c r="M2124" s="23"/>
      <c r="N2124" s="23"/>
      <c r="P2124" s="23"/>
    </row>
    <row r="2125" spans="2:16" x14ac:dyDescent="0.25">
      <c r="B2125" s="23"/>
      <c r="E2125" s="23"/>
      <c r="G2125" s="23"/>
      <c r="H2125" s="23"/>
      <c r="J2125" s="23"/>
      <c r="K2125" s="23"/>
      <c r="M2125" s="23"/>
      <c r="N2125" s="23"/>
      <c r="P2125" s="23"/>
    </row>
    <row r="2126" spans="2:16" x14ac:dyDescent="0.25">
      <c r="B2126" s="23"/>
      <c r="E2126" s="23"/>
      <c r="G2126" s="23"/>
      <c r="H2126" s="23"/>
      <c r="J2126" s="23"/>
      <c r="K2126" s="23"/>
      <c r="M2126" s="23"/>
      <c r="N2126" s="23"/>
      <c r="P2126" s="23"/>
    </row>
    <row r="2127" spans="2:16" x14ac:dyDescent="0.25">
      <c r="B2127" s="23"/>
      <c r="E2127" s="23"/>
      <c r="G2127" s="23"/>
      <c r="H2127" s="23"/>
      <c r="J2127" s="23"/>
      <c r="K2127" s="23"/>
      <c r="M2127" s="23"/>
      <c r="N2127" s="23"/>
      <c r="P2127" s="23"/>
    </row>
    <row r="2128" spans="2:16" x14ac:dyDescent="0.25">
      <c r="B2128" s="23"/>
      <c r="E2128" s="23"/>
      <c r="G2128" s="23"/>
      <c r="H2128" s="23"/>
      <c r="J2128" s="23"/>
      <c r="K2128" s="23"/>
      <c r="M2128" s="23"/>
      <c r="N2128" s="23"/>
      <c r="P2128" s="23"/>
    </row>
    <row r="2129" spans="2:16" x14ac:dyDescent="0.25">
      <c r="B2129" s="23"/>
      <c r="E2129" s="23"/>
      <c r="G2129" s="23"/>
      <c r="H2129" s="23"/>
      <c r="J2129" s="23"/>
      <c r="K2129" s="23"/>
      <c r="M2129" s="23"/>
      <c r="N2129" s="23"/>
      <c r="P2129" s="23"/>
    </row>
    <row r="2130" spans="2:16" x14ac:dyDescent="0.25">
      <c r="B2130" s="23"/>
      <c r="E2130" s="23"/>
      <c r="G2130" s="23"/>
      <c r="H2130" s="23"/>
      <c r="J2130" s="23"/>
      <c r="K2130" s="23"/>
      <c r="M2130" s="23"/>
      <c r="N2130" s="23"/>
      <c r="P2130" s="23"/>
    </row>
    <row r="2131" spans="2:16" x14ac:dyDescent="0.25">
      <c r="B2131" s="23"/>
      <c r="E2131" s="23"/>
      <c r="G2131" s="23"/>
      <c r="H2131" s="23"/>
      <c r="J2131" s="23"/>
      <c r="K2131" s="23"/>
      <c r="M2131" s="23"/>
      <c r="N2131" s="23"/>
      <c r="P2131" s="23"/>
    </row>
    <row r="2132" spans="2:16" x14ac:dyDescent="0.25">
      <c r="B2132" s="23"/>
      <c r="E2132" s="23"/>
      <c r="G2132" s="23"/>
      <c r="H2132" s="23"/>
      <c r="J2132" s="23"/>
      <c r="K2132" s="23"/>
      <c r="M2132" s="23"/>
      <c r="N2132" s="23"/>
      <c r="P2132" s="23"/>
    </row>
    <row r="2133" spans="2:16" x14ac:dyDescent="0.25">
      <c r="B2133" s="23"/>
      <c r="E2133" s="23"/>
      <c r="G2133" s="23"/>
      <c r="H2133" s="23"/>
      <c r="J2133" s="23"/>
      <c r="K2133" s="23"/>
      <c r="M2133" s="23"/>
      <c r="N2133" s="23"/>
      <c r="P2133" s="23"/>
    </row>
    <row r="2134" spans="2:16" x14ac:dyDescent="0.25">
      <c r="B2134" s="23"/>
      <c r="E2134" s="23"/>
      <c r="G2134" s="23"/>
      <c r="H2134" s="23"/>
      <c r="J2134" s="23"/>
      <c r="K2134" s="23"/>
      <c r="M2134" s="23"/>
      <c r="N2134" s="23"/>
      <c r="P2134" s="23"/>
    </row>
    <row r="2135" spans="2:16" x14ac:dyDescent="0.25">
      <c r="B2135" s="23"/>
      <c r="E2135" s="23"/>
      <c r="G2135" s="23"/>
      <c r="H2135" s="23"/>
      <c r="J2135" s="23"/>
      <c r="K2135" s="23"/>
      <c r="M2135" s="23"/>
      <c r="N2135" s="23"/>
      <c r="P2135" s="23"/>
    </row>
    <row r="2136" spans="2:16" x14ac:dyDescent="0.25">
      <c r="B2136" s="23"/>
      <c r="E2136" s="23"/>
      <c r="G2136" s="23"/>
      <c r="H2136" s="23"/>
      <c r="J2136" s="23"/>
      <c r="K2136" s="23"/>
      <c r="M2136" s="23"/>
      <c r="N2136" s="23"/>
      <c r="P2136" s="23"/>
    </row>
    <row r="2137" spans="2:16" x14ac:dyDescent="0.25">
      <c r="B2137" s="23"/>
      <c r="E2137" s="23"/>
      <c r="G2137" s="23"/>
      <c r="H2137" s="23"/>
      <c r="J2137" s="23"/>
      <c r="K2137" s="23"/>
      <c r="M2137" s="23"/>
      <c r="N2137" s="23"/>
      <c r="P2137" s="23"/>
    </row>
    <row r="2138" spans="2:16" x14ac:dyDescent="0.25">
      <c r="B2138" s="23"/>
      <c r="E2138" s="23"/>
      <c r="G2138" s="23"/>
      <c r="H2138" s="23"/>
      <c r="J2138" s="23"/>
      <c r="K2138" s="23"/>
      <c r="M2138" s="23"/>
      <c r="N2138" s="23"/>
      <c r="P2138" s="23"/>
    </row>
    <row r="2139" spans="2:16" x14ac:dyDescent="0.25">
      <c r="B2139" s="23"/>
      <c r="E2139" s="23"/>
      <c r="G2139" s="23"/>
      <c r="H2139" s="23"/>
      <c r="J2139" s="23"/>
      <c r="K2139" s="23"/>
      <c r="M2139" s="23"/>
      <c r="N2139" s="23"/>
      <c r="P2139" s="23"/>
    </row>
    <row r="2140" spans="2:16" x14ac:dyDescent="0.25">
      <c r="B2140" s="23"/>
      <c r="E2140" s="23"/>
      <c r="G2140" s="23"/>
      <c r="H2140" s="23"/>
      <c r="J2140" s="23"/>
      <c r="K2140" s="23"/>
      <c r="M2140" s="23"/>
      <c r="N2140" s="23"/>
      <c r="P2140" s="23"/>
    </row>
    <row r="2141" spans="2:16" x14ac:dyDescent="0.25">
      <c r="B2141" s="23"/>
      <c r="E2141" s="23"/>
      <c r="G2141" s="23"/>
      <c r="H2141" s="23"/>
      <c r="J2141" s="23"/>
      <c r="K2141" s="23"/>
      <c r="M2141" s="23"/>
      <c r="N2141" s="23"/>
      <c r="P2141" s="23"/>
    </row>
    <row r="2142" spans="2:16" x14ac:dyDescent="0.25">
      <c r="B2142" s="23"/>
      <c r="E2142" s="23"/>
      <c r="G2142" s="23"/>
      <c r="H2142" s="23"/>
      <c r="J2142" s="23"/>
      <c r="K2142" s="23"/>
      <c r="M2142" s="23"/>
      <c r="N2142" s="23"/>
      <c r="P2142" s="23"/>
    </row>
    <row r="2143" spans="2:16" x14ac:dyDescent="0.25">
      <c r="B2143" s="23"/>
      <c r="E2143" s="23"/>
      <c r="G2143" s="23"/>
      <c r="H2143" s="23"/>
      <c r="J2143" s="23"/>
      <c r="K2143" s="23"/>
      <c r="M2143" s="23"/>
      <c r="N2143" s="23"/>
      <c r="P2143" s="23"/>
    </row>
    <row r="2144" spans="2:16" x14ac:dyDescent="0.25">
      <c r="B2144" s="23"/>
      <c r="E2144" s="23"/>
      <c r="G2144" s="23"/>
      <c r="H2144" s="23"/>
      <c r="J2144" s="23"/>
      <c r="K2144" s="23"/>
      <c r="M2144" s="23"/>
      <c r="N2144" s="23"/>
      <c r="P2144" s="23"/>
    </row>
    <row r="2145" spans="2:16" x14ac:dyDescent="0.25">
      <c r="B2145" s="23"/>
      <c r="E2145" s="23"/>
      <c r="G2145" s="23"/>
      <c r="H2145" s="23"/>
      <c r="J2145" s="23"/>
      <c r="K2145" s="23"/>
      <c r="M2145" s="23"/>
      <c r="N2145" s="23"/>
      <c r="P2145" s="23"/>
    </row>
    <row r="2146" spans="2:16" x14ac:dyDescent="0.25">
      <c r="B2146" s="23"/>
      <c r="E2146" s="23"/>
      <c r="G2146" s="23"/>
      <c r="H2146" s="23"/>
      <c r="J2146" s="23"/>
      <c r="K2146" s="23"/>
      <c r="M2146" s="23"/>
      <c r="N2146" s="23"/>
      <c r="P2146" s="23"/>
    </row>
    <row r="2147" spans="2:16" x14ac:dyDescent="0.25">
      <c r="B2147" s="23"/>
      <c r="E2147" s="23"/>
      <c r="G2147" s="23"/>
      <c r="H2147" s="23"/>
      <c r="J2147" s="23"/>
      <c r="K2147" s="23"/>
      <c r="M2147" s="23"/>
      <c r="N2147" s="23"/>
      <c r="P2147" s="23"/>
    </row>
    <row r="2148" spans="2:16" x14ac:dyDescent="0.25">
      <c r="B2148" s="23"/>
      <c r="E2148" s="23"/>
      <c r="G2148" s="23"/>
      <c r="H2148" s="23"/>
      <c r="J2148" s="23"/>
      <c r="K2148" s="23"/>
      <c r="M2148" s="23"/>
      <c r="N2148" s="23"/>
      <c r="P2148" s="23"/>
    </row>
    <row r="2149" spans="2:16" x14ac:dyDescent="0.25">
      <c r="B2149" s="23"/>
      <c r="E2149" s="23"/>
      <c r="G2149" s="23"/>
      <c r="H2149" s="23"/>
      <c r="J2149" s="23"/>
      <c r="K2149" s="23"/>
      <c r="M2149" s="23"/>
      <c r="N2149" s="23"/>
      <c r="P2149" s="23"/>
    </row>
    <row r="2150" spans="2:16" x14ac:dyDescent="0.25">
      <c r="B2150" s="23"/>
      <c r="E2150" s="23"/>
      <c r="G2150" s="23"/>
      <c r="H2150" s="23"/>
      <c r="J2150" s="23"/>
      <c r="K2150" s="23"/>
      <c r="M2150" s="23"/>
      <c r="N2150" s="23"/>
      <c r="P2150" s="23"/>
    </row>
    <row r="2151" spans="2:16" x14ac:dyDescent="0.25">
      <c r="B2151" s="23"/>
      <c r="E2151" s="23"/>
      <c r="G2151" s="23"/>
      <c r="H2151" s="23"/>
      <c r="J2151" s="23"/>
      <c r="K2151" s="23"/>
      <c r="M2151" s="23"/>
      <c r="N2151" s="23"/>
      <c r="P2151" s="23"/>
    </row>
    <row r="2152" spans="2:16" x14ac:dyDescent="0.25">
      <c r="B2152" s="23"/>
      <c r="E2152" s="23"/>
      <c r="G2152" s="23"/>
      <c r="H2152" s="23"/>
      <c r="J2152" s="23"/>
      <c r="K2152" s="23"/>
      <c r="M2152" s="23"/>
      <c r="N2152" s="23"/>
      <c r="P2152" s="23"/>
    </row>
    <row r="2153" spans="2:16" x14ac:dyDescent="0.25">
      <c r="B2153" s="23"/>
      <c r="E2153" s="23"/>
      <c r="G2153" s="23"/>
      <c r="H2153" s="23"/>
      <c r="J2153" s="23"/>
      <c r="K2153" s="23"/>
      <c r="M2153" s="23"/>
      <c r="N2153" s="23"/>
      <c r="P2153" s="23"/>
    </row>
    <row r="2154" spans="2:16" x14ac:dyDescent="0.25">
      <c r="B2154" s="23"/>
      <c r="E2154" s="23"/>
      <c r="G2154" s="23"/>
      <c r="H2154" s="23"/>
      <c r="J2154" s="23"/>
      <c r="K2154" s="23"/>
      <c r="M2154" s="23"/>
      <c r="N2154" s="23"/>
      <c r="P2154" s="23"/>
    </row>
    <row r="2155" spans="2:16" x14ac:dyDescent="0.25">
      <c r="B2155" s="23"/>
      <c r="E2155" s="23"/>
      <c r="G2155" s="23"/>
      <c r="H2155" s="23"/>
      <c r="J2155" s="23"/>
      <c r="K2155" s="23"/>
      <c r="M2155" s="23"/>
      <c r="N2155" s="23"/>
      <c r="P2155" s="23"/>
    </row>
    <row r="2156" spans="2:16" x14ac:dyDescent="0.25">
      <c r="B2156" s="23"/>
      <c r="E2156" s="23"/>
      <c r="G2156" s="23"/>
      <c r="H2156" s="23"/>
      <c r="J2156" s="23"/>
      <c r="K2156" s="23"/>
      <c r="M2156" s="23"/>
      <c r="N2156" s="23"/>
      <c r="P2156" s="23"/>
    </row>
    <row r="2157" spans="2:16" x14ac:dyDescent="0.25">
      <c r="B2157" s="23"/>
      <c r="E2157" s="23"/>
      <c r="G2157" s="23"/>
      <c r="H2157" s="23"/>
      <c r="J2157" s="23"/>
      <c r="K2157" s="23"/>
      <c r="M2157" s="23"/>
      <c r="N2157" s="23"/>
      <c r="P2157" s="23"/>
    </row>
    <row r="2158" spans="2:16" x14ac:dyDescent="0.25">
      <c r="B2158" s="23"/>
      <c r="E2158" s="23"/>
      <c r="G2158" s="23"/>
      <c r="H2158" s="23"/>
      <c r="J2158" s="23"/>
      <c r="K2158" s="23"/>
      <c r="M2158" s="23"/>
      <c r="N2158" s="23"/>
      <c r="P2158" s="23"/>
    </row>
    <row r="2159" spans="2:16" x14ac:dyDescent="0.25">
      <c r="B2159" s="23"/>
      <c r="E2159" s="23"/>
      <c r="G2159" s="23"/>
      <c r="H2159" s="23"/>
      <c r="J2159" s="23"/>
      <c r="K2159" s="23"/>
      <c r="M2159" s="23"/>
      <c r="N2159" s="23"/>
      <c r="P2159" s="23"/>
    </row>
    <row r="2160" spans="2:16" x14ac:dyDescent="0.25">
      <c r="B2160" s="23"/>
      <c r="E2160" s="23"/>
      <c r="G2160" s="23"/>
      <c r="H2160" s="23"/>
      <c r="J2160" s="23"/>
      <c r="K2160" s="23"/>
      <c r="M2160" s="23"/>
      <c r="N2160" s="23"/>
      <c r="P2160" s="23"/>
    </row>
    <row r="2161" spans="2:16" x14ac:dyDescent="0.25">
      <c r="B2161" s="23"/>
      <c r="E2161" s="23"/>
      <c r="G2161" s="23"/>
      <c r="H2161" s="23"/>
      <c r="J2161" s="23"/>
      <c r="K2161" s="23"/>
      <c r="M2161" s="23"/>
      <c r="N2161" s="23"/>
      <c r="P2161" s="23"/>
    </row>
    <row r="2162" spans="2:16" x14ac:dyDescent="0.25">
      <c r="B2162" s="23"/>
      <c r="E2162" s="23"/>
      <c r="G2162" s="23"/>
      <c r="H2162" s="23"/>
      <c r="J2162" s="23"/>
      <c r="K2162" s="23"/>
      <c r="M2162" s="23"/>
      <c r="N2162" s="23"/>
      <c r="P2162" s="23"/>
    </row>
    <row r="2163" spans="2:16" x14ac:dyDescent="0.25">
      <c r="B2163" s="23"/>
      <c r="E2163" s="23"/>
      <c r="G2163" s="23"/>
      <c r="H2163" s="23"/>
      <c r="J2163" s="23"/>
      <c r="K2163" s="23"/>
      <c r="M2163" s="23"/>
      <c r="N2163" s="23"/>
      <c r="P2163" s="23"/>
    </row>
    <row r="2164" spans="2:16" x14ac:dyDescent="0.25">
      <c r="B2164" s="23"/>
      <c r="E2164" s="23"/>
      <c r="G2164" s="23"/>
      <c r="H2164" s="23"/>
      <c r="J2164" s="23"/>
      <c r="K2164" s="23"/>
      <c r="M2164" s="23"/>
      <c r="N2164" s="23"/>
      <c r="P2164" s="23"/>
    </row>
    <row r="2165" spans="2:16" x14ac:dyDescent="0.25">
      <c r="B2165" s="23"/>
      <c r="E2165" s="23"/>
      <c r="G2165" s="23"/>
      <c r="H2165" s="23"/>
      <c r="J2165" s="23"/>
      <c r="K2165" s="23"/>
      <c r="M2165" s="23"/>
      <c r="N2165" s="23"/>
      <c r="P2165" s="23"/>
    </row>
    <row r="2166" spans="2:16" x14ac:dyDescent="0.25">
      <c r="B2166" s="23"/>
      <c r="E2166" s="23"/>
      <c r="G2166" s="23"/>
      <c r="H2166" s="23"/>
      <c r="J2166" s="23"/>
      <c r="K2166" s="23"/>
      <c r="M2166" s="23"/>
      <c r="N2166" s="23"/>
      <c r="P2166" s="23"/>
    </row>
    <row r="2167" spans="2:16" x14ac:dyDescent="0.25">
      <c r="B2167" s="23"/>
      <c r="E2167" s="23"/>
      <c r="G2167" s="23"/>
      <c r="H2167" s="23"/>
      <c r="J2167" s="23"/>
      <c r="K2167" s="23"/>
      <c r="M2167" s="23"/>
      <c r="N2167" s="23"/>
      <c r="P2167" s="23"/>
    </row>
    <row r="2168" spans="2:16" x14ac:dyDescent="0.25">
      <c r="B2168" s="23"/>
      <c r="E2168" s="23"/>
      <c r="G2168" s="23"/>
      <c r="H2168" s="23"/>
      <c r="J2168" s="23"/>
      <c r="K2168" s="23"/>
      <c r="M2168" s="23"/>
      <c r="N2168" s="23"/>
      <c r="P2168" s="23"/>
    </row>
    <row r="2169" spans="2:16" x14ac:dyDescent="0.25">
      <c r="B2169" s="23"/>
      <c r="E2169" s="23"/>
      <c r="G2169" s="23"/>
      <c r="H2169" s="23"/>
      <c r="J2169" s="23"/>
      <c r="K2169" s="23"/>
      <c r="M2169" s="23"/>
      <c r="N2169" s="23"/>
      <c r="P2169" s="23"/>
    </row>
    <row r="2170" spans="2:16" x14ac:dyDescent="0.25">
      <c r="B2170" s="23"/>
      <c r="E2170" s="23"/>
      <c r="G2170" s="23"/>
      <c r="H2170" s="23"/>
      <c r="J2170" s="23"/>
      <c r="K2170" s="23"/>
      <c r="M2170" s="23"/>
      <c r="N2170" s="23"/>
      <c r="P2170" s="23"/>
    </row>
    <row r="2171" spans="2:16" x14ac:dyDescent="0.25">
      <c r="B2171" s="23"/>
      <c r="E2171" s="23"/>
      <c r="G2171" s="23"/>
      <c r="H2171" s="23"/>
      <c r="J2171" s="23"/>
      <c r="K2171" s="23"/>
      <c r="M2171" s="23"/>
      <c r="N2171" s="23"/>
      <c r="P2171" s="23"/>
    </row>
    <row r="2172" spans="2:16" x14ac:dyDescent="0.25">
      <c r="B2172" s="23"/>
      <c r="E2172" s="23"/>
      <c r="G2172" s="23"/>
      <c r="H2172" s="23"/>
      <c r="J2172" s="23"/>
      <c r="K2172" s="23"/>
      <c r="M2172" s="23"/>
      <c r="N2172" s="23"/>
      <c r="P2172" s="23"/>
    </row>
    <row r="2173" spans="2:16" x14ac:dyDescent="0.25">
      <c r="B2173" s="23"/>
      <c r="E2173" s="23"/>
      <c r="G2173" s="23"/>
      <c r="H2173" s="23"/>
      <c r="J2173" s="23"/>
      <c r="K2173" s="23"/>
      <c r="M2173" s="23"/>
      <c r="N2173" s="23"/>
      <c r="P2173" s="23"/>
    </row>
    <row r="2174" spans="2:16" x14ac:dyDescent="0.25">
      <c r="B2174" s="23"/>
      <c r="E2174" s="23"/>
      <c r="G2174" s="23"/>
      <c r="H2174" s="23"/>
      <c r="J2174" s="23"/>
      <c r="K2174" s="23"/>
      <c r="M2174" s="23"/>
      <c r="N2174" s="23"/>
      <c r="P2174" s="23"/>
    </row>
    <row r="2175" spans="2:16" x14ac:dyDescent="0.25">
      <c r="B2175" s="23"/>
      <c r="E2175" s="23"/>
      <c r="G2175" s="23"/>
      <c r="H2175" s="23"/>
      <c r="J2175" s="23"/>
      <c r="K2175" s="23"/>
      <c r="M2175" s="23"/>
      <c r="N2175" s="23"/>
      <c r="P2175" s="23"/>
    </row>
    <row r="2176" spans="2:16" x14ac:dyDescent="0.25">
      <c r="B2176" s="23"/>
      <c r="E2176" s="23"/>
      <c r="G2176" s="23"/>
      <c r="H2176" s="23"/>
      <c r="J2176" s="23"/>
      <c r="K2176" s="23"/>
      <c r="M2176" s="23"/>
      <c r="N2176" s="23"/>
      <c r="P2176" s="23"/>
    </row>
    <row r="2177" spans="2:16" x14ac:dyDescent="0.25">
      <c r="B2177" s="23"/>
      <c r="E2177" s="23"/>
      <c r="G2177" s="23"/>
      <c r="H2177" s="23"/>
      <c r="J2177" s="23"/>
      <c r="K2177" s="23"/>
      <c r="M2177" s="23"/>
      <c r="N2177" s="23"/>
      <c r="P2177" s="23"/>
    </row>
    <row r="2178" spans="2:16" x14ac:dyDescent="0.25">
      <c r="B2178" s="23"/>
      <c r="E2178" s="23"/>
      <c r="G2178" s="23"/>
      <c r="H2178" s="23"/>
      <c r="J2178" s="23"/>
      <c r="K2178" s="23"/>
      <c r="M2178" s="23"/>
      <c r="N2178" s="23"/>
      <c r="P2178" s="23"/>
    </row>
    <row r="2179" spans="2:16" x14ac:dyDescent="0.25">
      <c r="B2179" s="23"/>
      <c r="E2179" s="23"/>
      <c r="G2179" s="23"/>
      <c r="H2179" s="23"/>
      <c r="J2179" s="23"/>
      <c r="K2179" s="23"/>
      <c r="M2179" s="23"/>
      <c r="N2179" s="23"/>
      <c r="P2179" s="23"/>
    </row>
    <row r="2180" spans="2:16" x14ac:dyDescent="0.25">
      <c r="B2180" s="23"/>
      <c r="E2180" s="23"/>
      <c r="G2180" s="23"/>
      <c r="H2180" s="23"/>
      <c r="J2180" s="23"/>
      <c r="K2180" s="23"/>
      <c r="M2180" s="23"/>
      <c r="N2180" s="23"/>
      <c r="P2180" s="23"/>
    </row>
    <row r="2181" spans="2:16" x14ac:dyDescent="0.25">
      <c r="B2181" s="23"/>
      <c r="E2181" s="23"/>
      <c r="G2181" s="23"/>
      <c r="H2181" s="23"/>
      <c r="J2181" s="23"/>
      <c r="K2181" s="23"/>
      <c r="M2181" s="23"/>
      <c r="N2181" s="23"/>
      <c r="P2181" s="23"/>
    </row>
    <row r="2182" spans="2:16" x14ac:dyDescent="0.25">
      <c r="B2182" s="23"/>
      <c r="E2182" s="23"/>
      <c r="G2182" s="23"/>
      <c r="H2182" s="23"/>
      <c r="J2182" s="23"/>
      <c r="K2182" s="23"/>
      <c r="M2182" s="23"/>
      <c r="N2182" s="23"/>
      <c r="P2182" s="23"/>
    </row>
    <row r="2183" spans="2:16" x14ac:dyDescent="0.25">
      <c r="B2183" s="23"/>
      <c r="E2183" s="23"/>
      <c r="G2183" s="23"/>
      <c r="H2183" s="23"/>
      <c r="J2183" s="23"/>
      <c r="K2183" s="23"/>
      <c r="M2183" s="23"/>
      <c r="N2183" s="23"/>
      <c r="P2183" s="23"/>
    </row>
    <row r="2184" spans="2:16" x14ac:dyDescent="0.25">
      <c r="B2184" s="23"/>
      <c r="E2184" s="23"/>
      <c r="G2184" s="23"/>
      <c r="H2184" s="23"/>
      <c r="J2184" s="23"/>
      <c r="K2184" s="23"/>
      <c r="M2184" s="23"/>
      <c r="N2184" s="23"/>
      <c r="P2184" s="23"/>
    </row>
    <row r="2185" spans="2:16" x14ac:dyDescent="0.25">
      <c r="B2185" s="23"/>
      <c r="E2185" s="23"/>
      <c r="G2185" s="23"/>
      <c r="H2185" s="23"/>
      <c r="J2185" s="23"/>
      <c r="K2185" s="23"/>
      <c r="M2185" s="23"/>
      <c r="N2185" s="23"/>
      <c r="P2185" s="23"/>
    </row>
    <row r="2186" spans="2:16" x14ac:dyDescent="0.25">
      <c r="B2186" s="23"/>
      <c r="E2186" s="23"/>
      <c r="G2186" s="23"/>
      <c r="H2186" s="23"/>
      <c r="J2186" s="23"/>
      <c r="K2186" s="23"/>
      <c r="M2186" s="23"/>
      <c r="N2186" s="23"/>
      <c r="P2186" s="23"/>
    </row>
    <row r="2187" spans="2:16" x14ac:dyDescent="0.25">
      <c r="B2187" s="23"/>
      <c r="E2187" s="23"/>
      <c r="G2187" s="23"/>
      <c r="H2187" s="23"/>
      <c r="J2187" s="23"/>
      <c r="K2187" s="23"/>
      <c r="M2187" s="23"/>
      <c r="N2187" s="23"/>
      <c r="P2187" s="23"/>
    </row>
    <row r="2188" spans="2:16" x14ac:dyDescent="0.25">
      <c r="B2188" s="23"/>
      <c r="E2188" s="23"/>
      <c r="G2188" s="23"/>
      <c r="H2188" s="23"/>
      <c r="J2188" s="23"/>
      <c r="K2188" s="23"/>
      <c r="M2188" s="23"/>
      <c r="N2188" s="23"/>
      <c r="P2188" s="23"/>
    </row>
    <row r="2189" spans="2:16" x14ac:dyDescent="0.25">
      <c r="B2189" s="23"/>
      <c r="E2189" s="23"/>
      <c r="G2189" s="23"/>
      <c r="H2189" s="23"/>
      <c r="J2189" s="23"/>
      <c r="K2189" s="23"/>
      <c r="M2189" s="23"/>
      <c r="N2189" s="23"/>
      <c r="P2189" s="23"/>
    </row>
    <row r="2190" spans="2:16" x14ac:dyDescent="0.25">
      <c r="B2190" s="23"/>
      <c r="E2190" s="23"/>
      <c r="G2190" s="23"/>
      <c r="H2190" s="23"/>
      <c r="J2190" s="23"/>
      <c r="K2190" s="23"/>
      <c r="M2190" s="23"/>
      <c r="N2190" s="23"/>
      <c r="P2190" s="23"/>
    </row>
    <row r="2191" spans="2:16" x14ac:dyDescent="0.25">
      <c r="B2191" s="23"/>
      <c r="E2191" s="23"/>
      <c r="G2191" s="23"/>
      <c r="H2191" s="23"/>
      <c r="J2191" s="23"/>
      <c r="K2191" s="23"/>
      <c r="M2191" s="23"/>
      <c r="N2191" s="23"/>
      <c r="P2191" s="23"/>
    </row>
    <row r="2192" spans="2:16" x14ac:dyDescent="0.25">
      <c r="B2192" s="23"/>
      <c r="E2192" s="23"/>
      <c r="G2192" s="23"/>
      <c r="H2192" s="23"/>
      <c r="J2192" s="23"/>
      <c r="K2192" s="23"/>
      <c r="M2192" s="23"/>
      <c r="N2192" s="23"/>
      <c r="P2192" s="23"/>
    </row>
    <row r="2193" spans="2:16" x14ac:dyDescent="0.25">
      <c r="B2193" s="23"/>
      <c r="E2193" s="23"/>
      <c r="G2193" s="23"/>
      <c r="H2193" s="23"/>
      <c r="J2193" s="23"/>
      <c r="K2193" s="23"/>
      <c r="M2193" s="23"/>
      <c r="N2193" s="23"/>
      <c r="P2193" s="23"/>
    </row>
    <row r="2194" spans="2:16" x14ac:dyDescent="0.25">
      <c r="B2194" s="23"/>
      <c r="E2194" s="23"/>
      <c r="G2194" s="23"/>
      <c r="H2194" s="23"/>
      <c r="J2194" s="23"/>
      <c r="K2194" s="23"/>
      <c r="M2194" s="23"/>
      <c r="N2194" s="23"/>
      <c r="P2194" s="23"/>
    </row>
    <row r="2195" spans="2:16" x14ac:dyDescent="0.25">
      <c r="B2195" s="23"/>
      <c r="E2195" s="23"/>
      <c r="G2195" s="23"/>
      <c r="H2195" s="23"/>
      <c r="J2195" s="23"/>
      <c r="K2195" s="23"/>
      <c r="M2195" s="23"/>
      <c r="N2195" s="23"/>
      <c r="P2195" s="23"/>
    </row>
    <row r="2196" spans="2:16" x14ac:dyDescent="0.25">
      <c r="B2196" s="23"/>
      <c r="E2196" s="23"/>
      <c r="G2196" s="23"/>
      <c r="H2196" s="23"/>
      <c r="J2196" s="23"/>
      <c r="K2196" s="23"/>
      <c r="M2196" s="23"/>
      <c r="N2196" s="23"/>
      <c r="P2196" s="23"/>
    </row>
    <row r="2197" spans="2:16" x14ac:dyDescent="0.25">
      <c r="B2197" s="23"/>
      <c r="E2197" s="23"/>
      <c r="G2197" s="23"/>
      <c r="H2197" s="23"/>
      <c r="J2197" s="23"/>
      <c r="K2197" s="23"/>
      <c r="M2197" s="23"/>
      <c r="N2197" s="23"/>
      <c r="P2197" s="23"/>
    </row>
    <row r="2198" spans="2:16" x14ac:dyDescent="0.25">
      <c r="B2198" s="23"/>
      <c r="E2198" s="23"/>
      <c r="G2198" s="23"/>
      <c r="H2198" s="23"/>
      <c r="J2198" s="23"/>
      <c r="K2198" s="23"/>
      <c r="M2198" s="23"/>
      <c r="N2198" s="23"/>
      <c r="P2198" s="23"/>
    </row>
    <row r="2199" spans="2:16" x14ac:dyDescent="0.25">
      <c r="B2199" s="23"/>
      <c r="E2199" s="23"/>
      <c r="G2199" s="23"/>
      <c r="H2199" s="23"/>
      <c r="J2199" s="23"/>
      <c r="K2199" s="23"/>
      <c r="M2199" s="23"/>
      <c r="N2199" s="23"/>
      <c r="P2199" s="23"/>
    </row>
    <row r="2200" spans="2:16" x14ac:dyDescent="0.25">
      <c r="B2200" s="23"/>
      <c r="E2200" s="23"/>
      <c r="G2200" s="23"/>
      <c r="H2200" s="23"/>
      <c r="J2200" s="23"/>
      <c r="K2200" s="23"/>
      <c r="M2200" s="23"/>
      <c r="N2200" s="23"/>
      <c r="P2200" s="23"/>
    </row>
    <row r="2201" spans="2:16" x14ac:dyDescent="0.25">
      <c r="B2201" s="23"/>
      <c r="E2201" s="23"/>
      <c r="G2201" s="23"/>
      <c r="H2201" s="23"/>
      <c r="J2201" s="23"/>
      <c r="K2201" s="23"/>
      <c r="M2201" s="23"/>
      <c r="N2201" s="23"/>
      <c r="P2201" s="23"/>
    </row>
    <row r="2202" spans="2:16" x14ac:dyDescent="0.25">
      <c r="B2202" s="23"/>
      <c r="E2202" s="23"/>
      <c r="G2202" s="23"/>
      <c r="H2202" s="23"/>
      <c r="J2202" s="23"/>
      <c r="K2202" s="23"/>
      <c r="M2202" s="23"/>
      <c r="N2202" s="23"/>
      <c r="P2202" s="23"/>
    </row>
    <row r="2203" spans="2:16" x14ac:dyDescent="0.25">
      <c r="B2203" s="23"/>
      <c r="E2203" s="23"/>
      <c r="G2203" s="23"/>
      <c r="H2203" s="23"/>
      <c r="J2203" s="23"/>
      <c r="K2203" s="23"/>
      <c r="M2203" s="23"/>
      <c r="N2203" s="23"/>
      <c r="P2203" s="23"/>
    </row>
    <row r="2204" spans="2:16" x14ac:dyDescent="0.25">
      <c r="B2204" s="23"/>
      <c r="E2204" s="23"/>
      <c r="G2204" s="23"/>
      <c r="H2204" s="23"/>
      <c r="J2204" s="23"/>
      <c r="K2204" s="23"/>
      <c r="M2204" s="23"/>
      <c r="N2204" s="23"/>
      <c r="P2204" s="23"/>
    </row>
    <row r="2205" spans="2:16" x14ac:dyDescent="0.25">
      <c r="B2205" s="23"/>
      <c r="E2205" s="23"/>
      <c r="G2205" s="23"/>
      <c r="H2205" s="23"/>
      <c r="J2205" s="23"/>
      <c r="K2205" s="23"/>
      <c r="M2205" s="23"/>
      <c r="N2205" s="23"/>
      <c r="P2205" s="23"/>
    </row>
    <row r="2206" spans="2:16" x14ac:dyDescent="0.25">
      <c r="B2206" s="23"/>
      <c r="E2206" s="23"/>
      <c r="G2206" s="23"/>
      <c r="H2206" s="23"/>
      <c r="J2206" s="23"/>
      <c r="K2206" s="23"/>
      <c r="M2206" s="23"/>
      <c r="N2206" s="23"/>
      <c r="P2206" s="23"/>
    </row>
    <row r="2207" spans="2:16" x14ac:dyDescent="0.25">
      <c r="B2207" s="23"/>
      <c r="E2207" s="23"/>
      <c r="G2207" s="23"/>
      <c r="H2207" s="23"/>
      <c r="J2207" s="23"/>
      <c r="K2207" s="23"/>
      <c r="M2207" s="23"/>
      <c r="N2207" s="23"/>
      <c r="P2207" s="23"/>
    </row>
    <row r="2208" spans="2:16" x14ac:dyDescent="0.25">
      <c r="B2208" s="23"/>
      <c r="E2208" s="23"/>
      <c r="G2208" s="23"/>
      <c r="H2208" s="23"/>
      <c r="J2208" s="23"/>
      <c r="K2208" s="23"/>
      <c r="M2208" s="23"/>
      <c r="N2208" s="23"/>
      <c r="P2208" s="23"/>
    </row>
    <row r="2209" spans="2:16" x14ac:dyDescent="0.25">
      <c r="B2209" s="23"/>
      <c r="E2209" s="23"/>
      <c r="G2209" s="23"/>
      <c r="H2209" s="23"/>
      <c r="J2209" s="23"/>
      <c r="K2209" s="23"/>
      <c r="M2209" s="23"/>
      <c r="N2209" s="23"/>
      <c r="P2209" s="23"/>
    </row>
    <row r="2210" spans="2:16" x14ac:dyDescent="0.25">
      <c r="B2210" s="23"/>
      <c r="E2210" s="23"/>
      <c r="G2210" s="23"/>
      <c r="H2210" s="23"/>
      <c r="J2210" s="23"/>
      <c r="K2210" s="23"/>
      <c r="M2210" s="23"/>
      <c r="N2210" s="23"/>
      <c r="P2210" s="23"/>
    </row>
    <row r="2211" spans="2:16" x14ac:dyDescent="0.25">
      <c r="B2211" s="23"/>
      <c r="E2211" s="23"/>
      <c r="G2211" s="23"/>
      <c r="H2211" s="23"/>
      <c r="J2211" s="23"/>
      <c r="K2211" s="23"/>
      <c r="M2211" s="23"/>
      <c r="N2211" s="23"/>
      <c r="P2211" s="23"/>
    </row>
    <row r="2212" spans="2:16" x14ac:dyDescent="0.25">
      <c r="B2212" s="23"/>
      <c r="E2212" s="23"/>
      <c r="G2212" s="23"/>
      <c r="H2212" s="23"/>
      <c r="J2212" s="23"/>
      <c r="K2212" s="23"/>
      <c r="M2212" s="23"/>
      <c r="N2212" s="23"/>
      <c r="P2212" s="23"/>
    </row>
    <row r="2213" spans="2:16" x14ac:dyDescent="0.25">
      <c r="B2213" s="23"/>
      <c r="E2213" s="23"/>
      <c r="G2213" s="23"/>
      <c r="H2213" s="23"/>
      <c r="J2213" s="23"/>
      <c r="K2213" s="23"/>
      <c r="M2213" s="23"/>
      <c r="N2213" s="23"/>
      <c r="P2213" s="23"/>
    </row>
    <row r="2214" spans="2:16" x14ac:dyDescent="0.25">
      <c r="B2214" s="23"/>
      <c r="E2214" s="23"/>
      <c r="G2214" s="23"/>
      <c r="H2214" s="23"/>
      <c r="J2214" s="23"/>
      <c r="K2214" s="23"/>
      <c r="M2214" s="23"/>
      <c r="N2214" s="23"/>
      <c r="P2214" s="23"/>
    </row>
    <row r="2215" spans="2:16" x14ac:dyDescent="0.25">
      <c r="B2215" s="23"/>
      <c r="E2215" s="23"/>
      <c r="G2215" s="23"/>
      <c r="H2215" s="23"/>
      <c r="J2215" s="23"/>
      <c r="K2215" s="23"/>
      <c r="M2215" s="23"/>
      <c r="N2215" s="23"/>
      <c r="P2215" s="23"/>
    </row>
    <row r="2216" spans="2:16" x14ac:dyDescent="0.25">
      <c r="B2216" s="23"/>
      <c r="E2216" s="23"/>
      <c r="G2216" s="23"/>
      <c r="H2216" s="23"/>
      <c r="J2216" s="23"/>
      <c r="K2216" s="23"/>
      <c r="M2216" s="23"/>
      <c r="N2216" s="23"/>
      <c r="P2216" s="23"/>
    </row>
    <row r="2217" spans="2:16" x14ac:dyDescent="0.25">
      <c r="B2217" s="23"/>
      <c r="E2217" s="23"/>
      <c r="G2217" s="23"/>
      <c r="H2217" s="23"/>
      <c r="J2217" s="23"/>
      <c r="K2217" s="23"/>
      <c r="M2217" s="23"/>
      <c r="N2217" s="23"/>
      <c r="P2217" s="23"/>
    </row>
    <row r="2218" spans="2:16" x14ac:dyDescent="0.25">
      <c r="B2218" s="23"/>
      <c r="E2218" s="23"/>
      <c r="G2218" s="23"/>
      <c r="H2218" s="23"/>
      <c r="J2218" s="23"/>
      <c r="K2218" s="23"/>
      <c r="M2218" s="23"/>
      <c r="N2218" s="23"/>
      <c r="P2218" s="23"/>
    </row>
    <row r="2219" spans="2:16" x14ac:dyDescent="0.25">
      <c r="B2219" s="23"/>
      <c r="E2219" s="23"/>
      <c r="G2219" s="23"/>
      <c r="H2219" s="23"/>
      <c r="J2219" s="23"/>
      <c r="K2219" s="23"/>
      <c r="M2219" s="23"/>
      <c r="N2219" s="23"/>
      <c r="P2219" s="23"/>
    </row>
    <row r="2220" spans="2:16" x14ac:dyDescent="0.25">
      <c r="B2220" s="23"/>
      <c r="E2220" s="23"/>
      <c r="G2220" s="23"/>
      <c r="H2220" s="23"/>
      <c r="J2220" s="23"/>
      <c r="K2220" s="23"/>
      <c r="M2220" s="23"/>
      <c r="N2220" s="23"/>
      <c r="P2220" s="23"/>
    </row>
    <row r="2221" spans="2:16" x14ac:dyDescent="0.25">
      <c r="B2221" s="23"/>
      <c r="E2221" s="23"/>
      <c r="G2221" s="23"/>
      <c r="H2221" s="23"/>
      <c r="J2221" s="23"/>
      <c r="K2221" s="23"/>
      <c r="M2221" s="23"/>
      <c r="N2221" s="23"/>
      <c r="P2221" s="23"/>
    </row>
    <row r="2222" spans="2:16" x14ac:dyDescent="0.25">
      <c r="B2222" s="23"/>
      <c r="E2222" s="23"/>
      <c r="G2222" s="23"/>
      <c r="H2222" s="23"/>
      <c r="J2222" s="23"/>
      <c r="K2222" s="23"/>
      <c r="M2222" s="23"/>
      <c r="N2222" s="23"/>
      <c r="P2222" s="23"/>
    </row>
    <row r="2223" spans="2:16" x14ac:dyDescent="0.25">
      <c r="B2223" s="23"/>
      <c r="E2223" s="23"/>
      <c r="G2223" s="23"/>
      <c r="H2223" s="23"/>
      <c r="J2223" s="23"/>
      <c r="K2223" s="23"/>
      <c r="M2223" s="23"/>
      <c r="N2223" s="23"/>
      <c r="P2223" s="23"/>
    </row>
    <row r="2224" spans="2:16" x14ac:dyDescent="0.25">
      <c r="B2224" s="23"/>
      <c r="E2224" s="23"/>
      <c r="G2224" s="23"/>
      <c r="H2224" s="23"/>
      <c r="J2224" s="23"/>
      <c r="K2224" s="23"/>
      <c r="M2224" s="23"/>
      <c r="N2224" s="23"/>
      <c r="P2224" s="23"/>
    </row>
    <row r="2225" spans="2:16" x14ac:dyDescent="0.25">
      <c r="B2225" s="23"/>
      <c r="E2225" s="23"/>
      <c r="G2225" s="23"/>
      <c r="H2225" s="23"/>
      <c r="J2225" s="23"/>
      <c r="K2225" s="23"/>
      <c r="M2225" s="23"/>
      <c r="N2225" s="23"/>
      <c r="P2225" s="23"/>
    </row>
    <row r="2226" spans="2:16" x14ac:dyDescent="0.25">
      <c r="B2226" s="23"/>
      <c r="E2226" s="23"/>
      <c r="G2226" s="23"/>
      <c r="H2226" s="23"/>
      <c r="J2226" s="23"/>
      <c r="K2226" s="23"/>
      <c r="M2226" s="23"/>
      <c r="N2226" s="23"/>
      <c r="P2226" s="23"/>
    </row>
    <row r="2227" spans="2:16" x14ac:dyDescent="0.25">
      <c r="B2227" s="23"/>
      <c r="E2227" s="23"/>
      <c r="G2227" s="23"/>
      <c r="H2227" s="23"/>
      <c r="J2227" s="23"/>
      <c r="K2227" s="23"/>
      <c r="M2227" s="23"/>
      <c r="N2227" s="23"/>
      <c r="P2227" s="23"/>
    </row>
    <row r="2228" spans="2:16" x14ac:dyDescent="0.25">
      <c r="B2228" s="23"/>
      <c r="E2228" s="23"/>
      <c r="G2228" s="23"/>
      <c r="H2228" s="23"/>
      <c r="J2228" s="23"/>
      <c r="K2228" s="23"/>
      <c r="M2228" s="23"/>
      <c r="N2228" s="23"/>
      <c r="P2228" s="23"/>
    </row>
    <row r="2229" spans="2:16" x14ac:dyDescent="0.25">
      <c r="B2229" s="23"/>
      <c r="E2229" s="23"/>
      <c r="G2229" s="23"/>
      <c r="H2229" s="23"/>
      <c r="J2229" s="23"/>
      <c r="K2229" s="23"/>
      <c r="M2229" s="23"/>
      <c r="N2229" s="23"/>
      <c r="P2229" s="23"/>
    </row>
    <row r="2230" spans="2:16" x14ac:dyDescent="0.25">
      <c r="B2230" s="23"/>
      <c r="E2230" s="23"/>
      <c r="G2230" s="23"/>
      <c r="H2230" s="23"/>
      <c r="J2230" s="23"/>
      <c r="K2230" s="23"/>
      <c r="M2230" s="23"/>
      <c r="N2230" s="23"/>
      <c r="P2230" s="23"/>
    </row>
    <row r="2231" spans="2:16" x14ac:dyDescent="0.25">
      <c r="B2231" s="23"/>
      <c r="E2231" s="23"/>
      <c r="G2231" s="23"/>
      <c r="H2231" s="23"/>
      <c r="J2231" s="23"/>
      <c r="K2231" s="23"/>
      <c r="M2231" s="23"/>
      <c r="N2231" s="23"/>
      <c r="P2231" s="23"/>
    </row>
    <row r="2232" spans="2:16" x14ac:dyDescent="0.25">
      <c r="B2232" s="23"/>
      <c r="E2232" s="23"/>
      <c r="G2232" s="23"/>
      <c r="H2232" s="23"/>
      <c r="J2232" s="23"/>
      <c r="K2232" s="23"/>
      <c r="M2232" s="23"/>
      <c r="N2232" s="23"/>
      <c r="P2232" s="23"/>
    </row>
    <row r="2233" spans="2:16" x14ac:dyDescent="0.25">
      <c r="B2233" s="23"/>
      <c r="E2233" s="23"/>
      <c r="G2233" s="23"/>
      <c r="H2233" s="23"/>
      <c r="J2233" s="23"/>
      <c r="K2233" s="23"/>
      <c r="M2233" s="23"/>
      <c r="N2233" s="23"/>
      <c r="P2233" s="23"/>
    </row>
    <row r="2234" spans="2:16" x14ac:dyDescent="0.25">
      <c r="B2234" s="23"/>
      <c r="E2234" s="23"/>
      <c r="G2234" s="23"/>
      <c r="H2234" s="23"/>
      <c r="J2234" s="23"/>
      <c r="K2234" s="23"/>
      <c r="M2234" s="23"/>
      <c r="N2234" s="23"/>
      <c r="P2234" s="23"/>
    </row>
    <row r="2235" spans="2:16" x14ac:dyDescent="0.25">
      <c r="B2235" s="23"/>
      <c r="E2235" s="23"/>
      <c r="G2235" s="23"/>
      <c r="H2235" s="23"/>
      <c r="J2235" s="23"/>
      <c r="K2235" s="23"/>
      <c r="M2235" s="23"/>
      <c r="N2235" s="23"/>
      <c r="P2235" s="23"/>
    </row>
    <row r="2236" spans="2:16" x14ac:dyDescent="0.25">
      <c r="B2236" s="23"/>
      <c r="E2236" s="23"/>
      <c r="G2236" s="23"/>
      <c r="H2236" s="23"/>
      <c r="J2236" s="23"/>
      <c r="K2236" s="23"/>
      <c r="M2236" s="23"/>
      <c r="N2236" s="23"/>
      <c r="P2236" s="23"/>
    </row>
    <row r="2237" spans="2:16" x14ac:dyDescent="0.25">
      <c r="B2237" s="23"/>
      <c r="E2237" s="23"/>
      <c r="G2237" s="23"/>
      <c r="H2237" s="23"/>
      <c r="J2237" s="23"/>
      <c r="K2237" s="23"/>
      <c r="M2237" s="23"/>
      <c r="N2237" s="23"/>
      <c r="P2237" s="23"/>
    </row>
    <row r="2238" spans="2:16" x14ac:dyDescent="0.25">
      <c r="B2238" s="23"/>
      <c r="E2238" s="23"/>
      <c r="G2238" s="23"/>
      <c r="H2238" s="23"/>
      <c r="J2238" s="23"/>
      <c r="K2238" s="23"/>
      <c r="M2238" s="23"/>
      <c r="N2238" s="23"/>
      <c r="P2238" s="23"/>
    </row>
    <row r="2239" spans="2:16" x14ac:dyDescent="0.25">
      <c r="B2239" s="23"/>
      <c r="E2239" s="23"/>
      <c r="G2239" s="23"/>
      <c r="H2239" s="23"/>
      <c r="J2239" s="23"/>
      <c r="K2239" s="23"/>
      <c r="M2239" s="23"/>
      <c r="N2239" s="23"/>
      <c r="P2239" s="23"/>
    </row>
    <row r="2240" spans="2:16" x14ac:dyDescent="0.25">
      <c r="B2240" s="23"/>
      <c r="E2240" s="23"/>
      <c r="G2240" s="23"/>
      <c r="H2240" s="23"/>
      <c r="J2240" s="23"/>
      <c r="K2240" s="23"/>
      <c r="M2240" s="23"/>
      <c r="N2240" s="23"/>
      <c r="P2240" s="23"/>
    </row>
    <row r="2241" spans="2:16" x14ac:dyDescent="0.25">
      <c r="B2241" s="23"/>
      <c r="E2241" s="23"/>
      <c r="G2241" s="23"/>
      <c r="H2241" s="23"/>
      <c r="J2241" s="23"/>
      <c r="K2241" s="23"/>
      <c r="M2241" s="23"/>
      <c r="N2241" s="23"/>
      <c r="P2241" s="23"/>
    </row>
    <row r="2242" spans="2:16" x14ac:dyDescent="0.25">
      <c r="B2242" s="23"/>
      <c r="E2242" s="23"/>
      <c r="G2242" s="23"/>
      <c r="H2242" s="23"/>
      <c r="J2242" s="23"/>
      <c r="K2242" s="23"/>
      <c r="M2242" s="23"/>
      <c r="N2242" s="23"/>
      <c r="P2242" s="23"/>
    </row>
    <row r="2243" spans="2:16" x14ac:dyDescent="0.25">
      <c r="B2243" s="23"/>
      <c r="E2243" s="23"/>
      <c r="G2243" s="23"/>
      <c r="H2243" s="23"/>
      <c r="J2243" s="23"/>
      <c r="K2243" s="23"/>
      <c r="M2243" s="23"/>
      <c r="N2243" s="23"/>
      <c r="P2243" s="23"/>
    </row>
    <row r="2244" spans="2:16" x14ac:dyDescent="0.25">
      <c r="B2244" s="23"/>
      <c r="E2244" s="23"/>
      <c r="G2244" s="23"/>
      <c r="H2244" s="23"/>
      <c r="J2244" s="23"/>
      <c r="K2244" s="23"/>
      <c r="M2244" s="23"/>
      <c r="N2244" s="23"/>
      <c r="P2244" s="23"/>
    </row>
    <row r="2245" spans="2:16" x14ac:dyDescent="0.25">
      <c r="B2245" s="23"/>
      <c r="E2245" s="23"/>
      <c r="G2245" s="23"/>
      <c r="H2245" s="23"/>
      <c r="J2245" s="23"/>
      <c r="K2245" s="23"/>
      <c r="M2245" s="23"/>
      <c r="N2245" s="23"/>
      <c r="P2245" s="23"/>
    </row>
    <row r="2246" spans="2:16" x14ac:dyDescent="0.25">
      <c r="B2246" s="23"/>
      <c r="E2246" s="23"/>
      <c r="G2246" s="23"/>
      <c r="H2246" s="23"/>
      <c r="J2246" s="23"/>
      <c r="K2246" s="23"/>
      <c r="M2246" s="23"/>
      <c r="N2246" s="23"/>
      <c r="P2246" s="23"/>
    </row>
    <row r="2247" spans="2:16" x14ac:dyDescent="0.25">
      <c r="B2247" s="23"/>
      <c r="E2247" s="23"/>
      <c r="G2247" s="23"/>
      <c r="H2247" s="23"/>
      <c r="J2247" s="23"/>
      <c r="K2247" s="23"/>
      <c r="M2247" s="23"/>
      <c r="N2247" s="23"/>
      <c r="P2247" s="23"/>
    </row>
    <row r="2248" spans="2:16" x14ac:dyDescent="0.25">
      <c r="B2248" s="23"/>
      <c r="E2248" s="23"/>
      <c r="G2248" s="23"/>
      <c r="H2248" s="23"/>
      <c r="J2248" s="23"/>
      <c r="K2248" s="23"/>
      <c r="M2248" s="23"/>
      <c r="N2248" s="23"/>
      <c r="P2248" s="23"/>
    </row>
    <row r="2249" spans="2:16" x14ac:dyDescent="0.25">
      <c r="B2249" s="23"/>
      <c r="E2249" s="23"/>
      <c r="G2249" s="23"/>
      <c r="H2249" s="23"/>
      <c r="J2249" s="23"/>
      <c r="K2249" s="23"/>
      <c r="M2249" s="23"/>
      <c r="N2249" s="23"/>
      <c r="P2249" s="23"/>
    </row>
    <row r="2250" spans="2:16" x14ac:dyDescent="0.25">
      <c r="B2250" s="23"/>
      <c r="E2250" s="23"/>
      <c r="G2250" s="23"/>
      <c r="H2250" s="23"/>
      <c r="J2250" s="23"/>
      <c r="K2250" s="23"/>
      <c r="M2250" s="23"/>
      <c r="N2250" s="23"/>
      <c r="P2250" s="23"/>
    </row>
    <row r="2251" spans="2:16" x14ac:dyDescent="0.25">
      <c r="B2251" s="23"/>
      <c r="E2251" s="23"/>
      <c r="G2251" s="23"/>
      <c r="H2251" s="23"/>
      <c r="J2251" s="23"/>
      <c r="K2251" s="23"/>
      <c r="M2251" s="23"/>
      <c r="N2251" s="23"/>
      <c r="P2251" s="23"/>
    </row>
    <row r="2252" spans="2:16" x14ac:dyDescent="0.25">
      <c r="B2252" s="23"/>
      <c r="E2252" s="23"/>
      <c r="G2252" s="23"/>
      <c r="H2252" s="23"/>
      <c r="J2252" s="23"/>
      <c r="K2252" s="23"/>
      <c r="M2252" s="23"/>
      <c r="N2252" s="23"/>
      <c r="P2252" s="23"/>
    </row>
    <row r="2253" spans="2:16" x14ac:dyDescent="0.25">
      <c r="B2253" s="23"/>
      <c r="E2253" s="23"/>
      <c r="G2253" s="23"/>
      <c r="H2253" s="23"/>
      <c r="J2253" s="23"/>
      <c r="K2253" s="23"/>
      <c r="M2253" s="23"/>
      <c r="N2253" s="23"/>
      <c r="P2253" s="23"/>
    </row>
    <row r="2254" spans="2:16" x14ac:dyDescent="0.25">
      <c r="B2254" s="23"/>
      <c r="E2254" s="23"/>
      <c r="G2254" s="23"/>
      <c r="H2254" s="23"/>
      <c r="J2254" s="23"/>
      <c r="K2254" s="23"/>
      <c r="M2254" s="23"/>
      <c r="N2254" s="23"/>
      <c r="P2254" s="23"/>
    </row>
    <row r="2255" spans="2:16" x14ac:dyDescent="0.25">
      <c r="B2255" s="23"/>
      <c r="E2255" s="23"/>
      <c r="G2255" s="23"/>
      <c r="H2255" s="23"/>
      <c r="J2255" s="23"/>
      <c r="K2255" s="23"/>
      <c r="M2255" s="23"/>
      <c r="N2255" s="23"/>
      <c r="P2255" s="23"/>
    </row>
    <row r="2256" spans="2:16" x14ac:dyDescent="0.25">
      <c r="B2256" s="23"/>
      <c r="E2256" s="23"/>
      <c r="G2256" s="23"/>
      <c r="H2256" s="23"/>
      <c r="J2256" s="23"/>
      <c r="K2256" s="23"/>
      <c r="M2256" s="23"/>
      <c r="N2256" s="23"/>
      <c r="P2256" s="23"/>
    </row>
    <row r="2257" spans="2:16" x14ac:dyDescent="0.25">
      <c r="B2257" s="23"/>
      <c r="E2257" s="23"/>
      <c r="G2257" s="23"/>
      <c r="H2257" s="23"/>
      <c r="J2257" s="23"/>
      <c r="K2257" s="23"/>
      <c r="M2257" s="23"/>
      <c r="N2257" s="23"/>
      <c r="P2257" s="23"/>
    </row>
    <row r="2258" spans="2:16" x14ac:dyDescent="0.25">
      <c r="B2258" s="23"/>
      <c r="E2258" s="23"/>
      <c r="G2258" s="23"/>
      <c r="H2258" s="23"/>
      <c r="J2258" s="23"/>
      <c r="K2258" s="23"/>
      <c r="M2258" s="23"/>
      <c r="N2258" s="23"/>
      <c r="P2258" s="23"/>
    </row>
    <row r="2259" spans="2:16" x14ac:dyDescent="0.25">
      <c r="B2259" s="23"/>
      <c r="E2259" s="23"/>
      <c r="G2259" s="23"/>
      <c r="H2259" s="23"/>
      <c r="J2259" s="23"/>
      <c r="K2259" s="23"/>
      <c r="M2259" s="23"/>
      <c r="N2259" s="23"/>
      <c r="P2259" s="23"/>
    </row>
    <row r="2260" spans="2:16" x14ac:dyDescent="0.25">
      <c r="B2260" s="23"/>
      <c r="E2260" s="23"/>
      <c r="G2260" s="23"/>
      <c r="H2260" s="23"/>
      <c r="J2260" s="23"/>
      <c r="K2260" s="23"/>
      <c r="M2260" s="23"/>
      <c r="N2260" s="23"/>
      <c r="P2260" s="23"/>
    </row>
    <row r="2261" spans="2:16" x14ac:dyDescent="0.25">
      <c r="B2261" s="23"/>
      <c r="E2261" s="23"/>
      <c r="G2261" s="23"/>
      <c r="H2261" s="23"/>
      <c r="J2261" s="23"/>
      <c r="K2261" s="23"/>
      <c r="M2261" s="23"/>
      <c r="N2261" s="23"/>
      <c r="P2261" s="23"/>
    </row>
    <row r="2262" spans="2:16" x14ac:dyDescent="0.25">
      <c r="B2262" s="23"/>
      <c r="E2262" s="23"/>
      <c r="G2262" s="23"/>
      <c r="H2262" s="23"/>
      <c r="J2262" s="23"/>
      <c r="K2262" s="23"/>
      <c r="M2262" s="23"/>
      <c r="N2262" s="23"/>
      <c r="P2262" s="23"/>
    </row>
    <row r="2263" spans="2:16" x14ac:dyDescent="0.25">
      <c r="B2263" s="23"/>
      <c r="E2263" s="23"/>
      <c r="G2263" s="23"/>
      <c r="H2263" s="23"/>
      <c r="J2263" s="23"/>
      <c r="K2263" s="23"/>
      <c r="M2263" s="23"/>
      <c r="N2263" s="23"/>
      <c r="P2263" s="23"/>
    </row>
    <row r="2264" spans="2:16" x14ac:dyDescent="0.25">
      <c r="B2264" s="23"/>
      <c r="E2264" s="23"/>
      <c r="G2264" s="23"/>
      <c r="H2264" s="23"/>
      <c r="J2264" s="23"/>
      <c r="K2264" s="23"/>
      <c r="M2264" s="23"/>
      <c r="N2264" s="23"/>
      <c r="P2264" s="23"/>
    </row>
    <row r="2265" spans="2:16" x14ac:dyDescent="0.25">
      <c r="B2265" s="23"/>
      <c r="E2265" s="23"/>
      <c r="G2265" s="23"/>
      <c r="H2265" s="23"/>
      <c r="J2265" s="23"/>
      <c r="K2265" s="23"/>
      <c r="M2265" s="23"/>
      <c r="N2265" s="23"/>
      <c r="P2265" s="23"/>
    </row>
    <row r="2266" spans="2:16" x14ac:dyDescent="0.25">
      <c r="B2266" s="23"/>
      <c r="E2266" s="23"/>
      <c r="G2266" s="23"/>
      <c r="H2266" s="23"/>
      <c r="J2266" s="23"/>
      <c r="K2266" s="23"/>
      <c r="M2266" s="23"/>
      <c r="N2266" s="23"/>
      <c r="P2266" s="23"/>
    </row>
    <row r="2267" spans="2:16" x14ac:dyDescent="0.25">
      <c r="B2267" s="23"/>
      <c r="E2267" s="23"/>
      <c r="G2267" s="23"/>
      <c r="H2267" s="23"/>
      <c r="J2267" s="23"/>
      <c r="K2267" s="23"/>
      <c r="M2267" s="23"/>
      <c r="N2267" s="23"/>
      <c r="P2267" s="23"/>
    </row>
    <row r="2268" spans="2:16" x14ac:dyDescent="0.25">
      <c r="B2268" s="23"/>
      <c r="E2268" s="23"/>
      <c r="G2268" s="23"/>
      <c r="H2268" s="23"/>
      <c r="J2268" s="23"/>
      <c r="K2268" s="23"/>
      <c r="M2268" s="23"/>
      <c r="N2268" s="23"/>
      <c r="P2268" s="23"/>
    </row>
    <row r="2269" spans="2:16" x14ac:dyDescent="0.25">
      <c r="B2269" s="23"/>
      <c r="E2269" s="23"/>
      <c r="G2269" s="23"/>
      <c r="H2269" s="23"/>
      <c r="J2269" s="23"/>
      <c r="K2269" s="23"/>
      <c r="M2269" s="23"/>
      <c r="N2269" s="23"/>
      <c r="P2269" s="23"/>
    </row>
    <row r="2270" spans="2:16" x14ac:dyDescent="0.25">
      <c r="B2270" s="23"/>
      <c r="E2270" s="23"/>
      <c r="G2270" s="23"/>
      <c r="H2270" s="23"/>
      <c r="J2270" s="23"/>
      <c r="K2270" s="23"/>
      <c r="M2270" s="23"/>
      <c r="N2270" s="23"/>
      <c r="P2270" s="23"/>
    </row>
    <row r="2271" spans="2:16" x14ac:dyDescent="0.25">
      <c r="B2271" s="23"/>
      <c r="E2271" s="23"/>
      <c r="G2271" s="23"/>
      <c r="H2271" s="23"/>
      <c r="J2271" s="23"/>
      <c r="K2271" s="23"/>
      <c r="M2271" s="23"/>
      <c r="N2271" s="23"/>
      <c r="P2271" s="23"/>
    </row>
    <row r="2272" spans="2:16" x14ac:dyDescent="0.25">
      <c r="B2272" s="23"/>
      <c r="E2272" s="23"/>
      <c r="G2272" s="23"/>
      <c r="H2272" s="23"/>
      <c r="J2272" s="23"/>
      <c r="K2272" s="23"/>
      <c r="M2272" s="23"/>
      <c r="N2272" s="23"/>
      <c r="P2272" s="23"/>
    </row>
    <row r="2273" spans="2:16" x14ac:dyDescent="0.25">
      <c r="B2273" s="23"/>
      <c r="E2273" s="23"/>
      <c r="G2273" s="23"/>
      <c r="H2273" s="23"/>
      <c r="J2273" s="23"/>
      <c r="K2273" s="23"/>
      <c r="M2273" s="23"/>
      <c r="N2273" s="23"/>
      <c r="P2273" s="23"/>
    </row>
    <row r="2274" spans="2:16" x14ac:dyDescent="0.25">
      <c r="B2274" s="23"/>
      <c r="E2274" s="23"/>
      <c r="G2274" s="23"/>
      <c r="H2274" s="23"/>
      <c r="J2274" s="23"/>
      <c r="K2274" s="23"/>
      <c r="M2274" s="23"/>
      <c r="N2274" s="23"/>
      <c r="P2274" s="23"/>
    </row>
    <row r="2275" spans="2:16" x14ac:dyDescent="0.25">
      <c r="B2275" s="23"/>
      <c r="E2275" s="23"/>
      <c r="G2275" s="23"/>
      <c r="H2275" s="23"/>
      <c r="J2275" s="23"/>
      <c r="K2275" s="23"/>
      <c r="M2275" s="23"/>
      <c r="N2275" s="23"/>
      <c r="P2275" s="23"/>
    </row>
    <row r="2276" spans="2:16" x14ac:dyDescent="0.25">
      <c r="B2276" s="23"/>
      <c r="E2276" s="23"/>
      <c r="G2276" s="23"/>
      <c r="H2276" s="23"/>
      <c r="J2276" s="23"/>
      <c r="K2276" s="23"/>
      <c r="M2276" s="23"/>
      <c r="N2276" s="23"/>
      <c r="P2276" s="23"/>
    </row>
    <row r="2277" spans="2:16" x14ac:dyDescent="0.25">
      <c r="B2277" s="23"/>
      <c r="E2277" s="23"/>
      <c r="G2277" s="23"/>
      <c r="H2277" s="23"/>
      <c r="J2277" s="23"/>
      <c r="K2277" s="23"/>
      <c r="M2277" s="23"/>
      <c r="N2277" s="23"/>
      <c r="P2277" s="23"/>
    </row>
    <row r="2278" spans="2:16" x14ac:dyDescent="0.25">
      <c r="B2278" s="23"/>
      <c r="E2278" s="23"/>
      <c r="G2278" s="23"/>
      <c r="H2278" s="23"/>
      <c r="J2278" s="23"/>
      <c r="K2278" s="23"/>
      <c r="M2278" s="23"/>
      <c r="N2278" s="23"/>
      <c r="P2278" s="23"/>
    </row>
    <row r="2279" spans="2:16" x14ac:dyDescent="0.25">
      <c r="B2279" s="23"/>
      <c r="E2279" s="23"/>
      <c r="G2279" s="23"/>
      <c r="H2279" s="23"/>
      <c r="J2279" s="23"/>
      <c r="K2279" s="23"/>
      <c r="M2279" s="23"/>
      <c r="N2279" s="23"/>
      <c r="P2279" s="23"/>
    </row>
    <row r="2280" spans="2:16" x14ac:dyDescent="0.25">
      <c r="B2280" s="23"/>
      <c r="E2280" s="23"/>
      <c r="G2280" s="23"/>
      <c r="H2280" s="23"/>
      <c r="J2280" s="23"/>
      <c r="K2280" s="23"/>
      <c r="M2280" s="23"/>
      <c r="N2280" s="23"/>
      <c r="P2280" s="23"/>
    </row>
    <row r="2281" spans="2:16" x14ac:dyDescent="0.25">
      <c r="B2281" s="23"/>
      <c r="E2281" s="23"/>
      <c r="G2281" s="23"/>
      <c r="H2281" s="23"/>
      <c r="J2281" s="23"/>
      <c r="K2281" s="23"/>
      <c r="M2281" s="23"/>
      <c r="N2281" s="23"/>
      <c r="P2281" s="23"/>
    </row>
    <row r="2282" spans="2:16" x14ac:dyDescent="0.25">
      <c r="B2282" s="23"/>
      <c r="E2282" s="23"/>
      <c r="G2282" s="23"/>
      <c r="H2282" s="23"/>
      <c r="J2282" s="23"/>
      <c r="K2282" s="23"/>
      <c r="M2282" s="23"/>
      <c r="N2282" s="23"/>
      <c r="P2282" s="23"/>
    </row>
    <row r="2283" spans="2:16" x14ac:dyDescent="0.25">
      <c r="B2283" s="23"/>
      <c r="E2283" s="23"/>
      <c r="G2283" s="23"/>
      <c r="H2283" s="23"/>
      <c r="J2283" s="23"/>
      <c r="K2283" s="23"/>
      <c r="M2283" s="23"/>
      <c r="N2283" s="23"/>
      <c r="P2283" s="23"/>
    </row>
    <row r="2284" spans="2:16" x14ac:dyDescent="0.25">
      <c r="B2284" s="23"/>
      <c r="E2284" s="23"/>
      <c r="G2284" s="23"/>
      <c r="H2284" s="23"/>
      <c r="J2284" s="23"/>
      <c r="K2284" s="23"/>
      <c r="M2284" s="23"/>
      <c r="N2284" s="23"/>
      <c r="P2284" s="23"/>
    </row>
    <row r="2285" spans="2:16" x14ac:dyDescent="0.25">
      <c r="B2285" s="23"/>
      <c r="E2285" s="23"/>
      <c r="G2285" s="23"/>
      <c r="H2285" s="23"/>
      <c r="J2285" s="23"/>
      <c r="K2285" s="23"/>
      <c r="M2285" s="23"/>
      <c r="N2285" s="23"/>
      <c r="P2285" s="23"/>
    </row>
    <row r="2286" spans="2:16" x14ac:dyDescent="0.25">
      <c r="B2286" s="23"/>
      <c r="E2286" s="23"/>
      <c r="G2286" s="23"/>
      <c r="H2286" s="23"/>
      <c r="J2286" s="23"/>
      <c r="K2286" s="23"/>
      <c r="M2286" s="23"/>
      <c r="N2286" s="23"/>
      <c r="P2286" s="23"/>
    </row>
    <row r="2287" spans="2:16" x14ac:dyDescent="0.25">
      <c r="B2287" s="23"/>
      <c r="E2287" s="23"/>
      <c r="G2287" s="23"/>
      <c r="H2287" s="23"/>
      <c r="J2287" s="23"/>
      <c r="K2287" s="23"/>
      <c r="M2287" s="23"/>
      <c r="N2287" s="23"/>
      <c r="P2287" s="23"/>
    </row>
    <row r="2288" spans="2:16" x14ac:dyDescent="0.25">
      <c r="B2288" s="23"/>
      <c r="E2288" s="23"/>
      <c r="G2288" s="23"/>
      <c r="H2288" s="23"/>
      <c r="J2288" s="23"/>
      <c r="K2288" s="23"/>
      <c r="M2288" s="23"/>
      <c r="N2288" s="23"/>
      <c r="P2288" s="23"/>
    </row>
    <row r="2289" spans="2:16" x14ac:dyDescent="0.25">
      <c r="B2289" s="23"/>
      <c r="E2289" s="23"/>
      <c r="G2289" s="23"/>
      <c r="H2289" s="23"/>
      <c r="J2289" s="23"/>
      <c r="K2289" s="23"/>
      <c r="M2289" s="23"/>
      <c r="N2289" s="23"/>
      <c r="P2289" s="23"/>
    </row>
    <row r="2290" spans="2:16" x14ac:dyDescent="0.25">
      <c r="B2290" s="23"/>
      <c r="E2290" s="23"/>
      <c r="G2290" s="23"/>
      <c r="H2290" s="23"/>
      <c r="J2290" s="23"/>
      <c r="K2290" s="23"/>
      <c r="M2290" s="23"/>
      <c r="N2290" s="23"/>
      <c r="P2290" s="23"/>
    </row>
    <row r="2291" spans="2:16" x14ac:dyDescent="0.25">
      <c r="B2291" s="23"/>
      <c r="E2291" s="23"/>
      <c r="G2291" s="23"/>
      <c r="H2291" s="23"/>
      <c r="J2291" s="23"/>
      <c r="K2291" s="23"/>
      <c r="M2291" s="23"/>
      <c r="N2291" s="23"/>
      <c r="P2291" s="23"/>
    </row>
    <row r="2292" spans="2:16" x14ac:dyDescent="0.25">
      <c r="B2292" s="23"/>
      <c r="E2292" s="23"/>
      <c r="G2292" s="23"/>
      <c r="H2292" s="23"/>
      <c r="J2292" s="23"/>
      <c r="K2292" s="23"/>
      <c r="M2292" s="23"/>
      <c r="N2292" s="23"/>
      <c r="P2292" s="23"/>
    </row>
    <row r="2293" spans="2:16" x14ac:dyDescent="0.25">
      <c r="B2293" s="23"/>
      <c r="E2293" s="23"/>
      <c r="G2293" s="23"/>
      <c r="H2293" s="23"/>
      <c r="J2293" s="23"/>
      <c r="K2293" s="23"/>
      <c r="M2293" s="23"/>
      <c r="N2293" s="23"/>
      <c r="P2293" s="23"/>
    </row>
    <row r="2294" spans="2:16" x14ac:dyDescent="0.25">
      <c r="B2294" s="23"/>
      <c r="E2294" s="23"/>
      <c r="G2294" s="23"/>
      <c r="H2294" s="23"/>
      <c r="J2294" s="23"/>
      <c r="K2294" s="23"/>
      <c r="M2294" s="23"/>
      <c r="N2294" s="23"/>
      <c r="P2294" s="23"/>
    </row>
    <row r="2295" spans="2:16" x14ac:dyDescent="0.25">
      <c r="B2295" s="23"/>
      <c r="E2295" s="23"/>
      <c r="G2295" s="23"/>
      <c r="H2295" s="23"/>
      <c r="J2295" s="23"/>
      <c r="K2295" s="23"/>
      <c r="M2295" s="23"/>
      <c r="N2295" s="23"/>
      <c r="P2295" s="23"/>
    </row>
    <row r="2296" spans="2:16" x14ac:dyDescent="0.25">
      <c r="B2296" s="23"/>
      <c r="E2296" s="23"/>
      <c r="G2296" s="23"/>
      <c r="H2296" s="23"/>
      <c r="J2296" s="23"/>
      <c r="K2296" s="23"/>
      <c r="M2296" s="23"/>
      <c r="N2296" s="23"/>
      <c r="P2296" s="23"/>
    </row>
    <row r="2297" spans="2:16" x14ac:dyDescent="0.25">
      <c r="B2297" s="23"/>
      <c r="E2297" s="23"/>
      <c r="G2297" s="23"/>
      <c r="H2297" s="23"/>
      <c r="J2297" s="23"/>
      <c r="K2297" s="23"/>
      <c r="M2297" s="23"/>
      <c r="N2297" s="23"/>
      <c r="P2297" s="23"/>
    </row>
    <row r="2298" spans="2:16" x14ac:dyDescent="0.25">
      <c r="B2298" s="23"/>
      <c r="E2298" s="23"/>
      <c r="G2298" s="23"/>
      <c r="H2298" s="23"/>
      <c r="J2298" s="23"/>
      <c r="K2298" s="23"/>
      <c r="M2298" s="23"/>
      <c r="N2298" s="23"/>
      <c r="P2298" s="23"/>
    </row>
    <row r="2299" spans="2:16" x14ac:dyDescent="0.25">
      <c r="B2299" s="23"/>
      <c r="E2299" s="23"/>
      <c r="G2299" s="23"/>
      <c r="H2299" s="23"/>
      <c r="J2299" s="23"/>
      <c r="K2299" s="23"/>
      <c r="M2299" s="23"/>
      <c r="N2299" s="23"/>
      <c r="P2299" s="23"/>
    </row>
    <row r="2300" spans="2:16" x14ac:dyDescent="0.25">
      <c r="B2300" s="23"/>
      <c r="E2300" s="23"/>
      <c r="G2300" s="23"/>
      <c r="H2300" s="23"/>
      <c r="J2300" s="23"/>
      <c r="K2300" s="23"/>
      <c r="M2300" s="23"/>
      <c r="N2300" s="23"/>
      <c r="P2300" s="23"/>
    </row>
    <row r="2301" spans="2:16" x14ac:dyDescent="0.25">
      <c r="B2301" s="23"/>
      <c r="E2301" s="23"/>
      <c r="G2301" s="23"/>
      <c r="H2301" s="23"/>
      <c r="J2301" s="23"/>
      <c r="K2301" s="23"/>
      <c r="M2301" s="23"/>
      <c r="N2301" s="23"/>
      <c r="P2301" s="23"/>
    </row>
    <row r="2302" spans="2:16" x14ac:dyDescent="0.25">
      <c r="B2302" s="23"/>
      <c r="E2302" s="23"/>
      <c r="G2302" s="23"/>
      <c r="H2302" s="23"/>
      <c r="J2302" s="23"/>
      <c r="K2302" s="23"/>
      <c r="M2302" s="23"/>
      <c r="N2302" s="23"/>
      <c r="P2302" s="23"/>
    </row>
    <row r="2303" spans="2:16" x14ac:dyDescent="0.25">
      <c r="B2303" s="23"/>
      <c r="E2303" s="23"/>
      <c r="G2303" s="23"/>
      <c r="H2303" s="23"/>
      <c r="J2303" s="23"/>
      <c r="K2303" s="23"/>
      <c r="M2303" s="23"/>
      <c r="N2303" s="23"/>
      <c r="P2303" s="23"/>
    </row>
    <row r="2304" spans="2:16" x14ac:dyDescent="0.25">
      <c r="B2304" s="23"/>
      <c r="E2304" s="23"/>
      <c r="G2304" s="23"/>
      <c r="H2304" s="23"/>
      <c r="J2304" s="23"/>
      <c r="K2304" s="23"/>
      <c r="M2304" s="23"/>
      <c r="N2304" s="23"/>
      <c r="P2304" s="23"/>
    </row>
    <row r="2305" spans="2:16" x14ac:dyDescent="0.25">
      <c r="B2305" s="23"/>
      <c r="E2305" s="23"/>
      <c r="G2305" s="23"/>
      <c r="H2305" s="23"/>
      <c r="J2305" s="23"/>
      <c r="K2305" s="23"/>
      <c r="M2305" s="23"/>
      <c r="N2305" s="23"/>
      <c r="P2305" s="23"/>
    </row>
    <row r="2306" spans="2:16" x14ac:dyDescent="0.25">
      <c r="B2306" s="23"/>
      <c r="E2306" s="23"/>
      <c r="G2306" s="23"/>
      <c r="H2306" s="23"/>
      <c r="J2306" s="23"/>
      <c r="K2306" s="23"/>
      <c r="M2306" s="23"/>
      <c r="N2306" s="23"/>
      <c r="P2306" s="23"/>
    </row>
    <row r="2307" spans="2:16" x14ac:dyDescent="0.25">
      <c r="B2307" s="23"/>
      <c r="E2307" s="23"/>
      <c r="G2307" s="23"/>
      <c r="H2307" s="23"/>
      <c r="J2307" s="23"/>
      <c r="K2307" s="23"/>
      <c r="M2307" s="23"/>
      <c r="N2307" s="23"/>
      <c r="P2307" s="23"/>
    </row>
    <row r="2308" spans="2:16" x14ac:dyDescent="0.25">
      <c r="B2308" s="23"/>
      <c r="E2308" s="23"/>
      <c r="G2308" s="23"/>
      <c r="H2308" s="23"/>
      <c r="J2308" s="23"/>
      <c r="K2308" s="23"/>
      <c r="M2308" s="23"/>
      <c r="N2308" s="23"/>
      <c r="P2308" s="23"/>
    </row>
    <row r="2309" spans="2:16" x14ac:dyDescent="0.25">
      <c r="B2309" s="23"/>
      <c r="E2309" s="23"/>
      <c r="G2309" s="23"/>
      <c r="H2309" s="23"/>
      <c r="J2309" s="23"/>
      <c r="K2309" s="23"/>
      <c r="M2309" s="23"/>
      <c r="N2309" s="23"/>
      <c r="P2309" s="23"/>
    </row>
    <row r="2310" spans="2:16" x14ac:dyDescent="0.25">
      <c r="B2310" s="23"/>
      <c r="E2310" s="23"/>
      <c r="G2310" s="23"/>
      <c r="H2310" s="23"/>
      <c r="J2310" s="23"/>
      <c r="K2310" s="23"/>
      <c r="M2310" s="23"/>
      <c r="N2310" s="23"/>
      <c r="P2310" s="23"/>
    </row>
    <row r="2311" spans="2:16" x14ac:dyDescent="0.25">
      <c r="B2311" s="23"/>
      <c r="E2311" s="23"/>
      <c r="G2311" s="23"/>
      <c r="H2311" s="23"/>
      <c r="J2311" s="23"/>
      <c r="K2311" s="23"/>
      <c r="M2311" s="23"/>
      <c r="N2311" s="23"/>
      <c r="P2311" s="23"/>
    </row>
    <row r="2312" spans="2:16" x14ac:dyDescent="0.25">
      <c r="B2312" s="23"/>
      <c r="E2312" s="23"/>
      <c r="G2312" s="23"/>
      <c r="H2312" s="23"/>
      <c r="J2312" s="23"/>
      <c r="K2312" s="23"/>
      <c r="M2312" s="23"/>
      <c r="N2312" s="23"/>
      <c r="P2312" s="23"/>
    </row>
    <row r="2313" spans="2:16" x14ac:dyDescent="0.25">
      <c r="B2313" s="23"/>
      <c r="E2313" s="23"/>
      <c r="G2313" s="23"/>
      <c r="H2313" s="23"/>
      <c r="J2313" s="23"/>
      <c r="K2313" s="23"/>
      <c r="M2313" s="23"/>
      <c r="N2313" s="23"/>
      <c r="P2313" s="23"/>
    </row>
    <row r="2314" spans="2:16" x14ac:dyDescent="0.25">
      <c r="B2314" s="23"/>
      <c r="E2314" s="23"/>
      <c r="G2314" s="23"/>
      <c r="H2314" s="23"/>
      <c r="J2314" s="23"/>
      <c r="K2314" s="23"/>
      <c r="M2314" s="23"/>
      <c r="N2314" s="23"/>
      <c r="P2314" s="23"/>
    </row>
    <row r="2315" spans="2:16" x14ac:dyDescent="0.25">
      <c r="B2315" s="23"/>
      <c r="E2315" s="23"/>
      <c r="G2315" s="23"/>
      <c r="H2315" s="23"/>
      <c r="J2315" s="23"/>
      <c r="K2315" s="23"/>
      <c r="M2315" s="23"/>
      <c r="N2315" s="23"/>
      <c r="P2315" s="23"/>
    </row>
    <row r="2316" spans="2:16" x14ac:dyDescent="0.25">
      <c r="B2316" s="23"/>
      <c r="E2316" s="23"/>
      <c r="G2316" s="23"/>
      <c r="H2316" s="23"/>
      <c r="J2316" s="23"/>
      <c r="K2316" s="23"/>
      <c r="M2316" s="23"/>
      <c r="N2316" s="23"/>
      <c r="P2316" s="23"/>
    </row>
    <row r="2317" spans="2:16" x14ac:dyDescent="0.25">
      <c r="B2317" s="23"/>
      <c r="E2317" s="23"/>
      <c r="G2317" s="23"/>
      <c r="H2317" s="23"/>
      <c r="J2317" s="23"/>
      <c r="K2317" s="23"/>
      <c r="M2317" s="23"/>
      <c r="N2317" s="23"/>
      <c r="P2317" s="23"/>
    </row>
    <row r="2318" spans="2:16" x14ac:dyDescent="0.25">
      <c r="B2318" s="23"/>
      <c r="E2318" s="23"/>
      <c r="G2318" s="23"/>
      <c r="H2318" s="23"/>
      <c r="J2318" s="23"/>
      <c r="K2318" s="23"/>
      <c r="M2318" s="23"/>
      <c r="N2318" s="23"/>
      <c r="P2318" s="23"/>
    </row>
    <row r="2319" spans="2:16" x14ac:dyDescent="0.25">
      <c r="B2319" s="23"/>
      <c r="E2319" s="23"/>
      <c r="G2319" s="23"/>
      <c r="H2319" s="23"/>
      <c r="J2319" s="23"/>
      <c r="K2319" s="23"/>
      <c r="M2319" s="23"/>
      <c r="N2319" s="23"/>
      <c r="P2319" s="23"/>
    </row>
    <row r="2320" spans="2:16" x14ac:dyDescent="0.25">
      <c r="B2320" s="23"/>
      <c r="E2320" s="23"/>
      <c r="G2320" s="23"/>
      <c r="H2320" s="23"/>
      <c r="J2320" s="23"/>
      <c r="K2320" s="23"/>
      <c r="M2320" s="23"/>
      <c r="N2320" s="23"/>
      <c r="P2320" s="23"/>
    </row>
    <row r="2321" spans="2:16" x14ac:dyDescent="0.25">
      <c r="B2321" s="23"/>
      <c r="E2321" s="23"/>
      <c r="G2321" s="23"/>
      <c r="H2321" s="23"/>
      <c r="J2321" s="23"/>
      <c r="K2321" s="23"/>
      <c r="M2321" s="23"/>
      <c r="N2321" s="23"/>
      <c r="P2321" s="23"/>
    </row>
    <row r="2322" spans="2:16" x14ac:dyDescent="0.25">
      <c r="B2322" s="23"/>
      <c r="E2322" s="23"/>
      <c r="G2322" s="23"/>
      <c r="H2322" s="23"/>
      <c r="J2322" s="23"/>
      <c r="K2322" s="23"/>
      <c r="M2322" s="23"/>
      <c r="N2322" s="23"/>
      <c r="P2322" s="23"/>
    </row>
    <row r="2323" spans="2:16" x14ac:dyDescent="0.25">
      <c r="B2323" s="23"/>
      <c r="E2323" s="23"/>
      <c r="G2323" s="23"/>
      <c r="H2323" s="23"/>
      <c r="J2323" s="23"/>
      <c r="K2323" s="23"/>
      <c r="M2323" s="23"/>
      <c r="N2323" s="23"/>
      <c r="P2323" s="23"/>
    </row>
    <row r="2324" spans="2:16" x14ac:dyDescent="0.25">
      <c r="B2324" s="23"/>
      <c r="E2324" s="23"/>
      <c r="G2324" s="23"/>
      <c r="H2324" s="23"/>
      <c r="J2324" s="23"/>
      <c r="K2324" s="23"/>
      <c r="M2324" s="23"/>
      <c r="N2324" s="23"/>
      <c r="P2324" s="23"/>
    </row>
    <row r="2325" spans="2:16" x14ac:dyDescent="0.25">
      <c r="B2325" s="23"/>
      <c r="E2325" s="23"/>
      <c r="G2325" s="23"/>
      <c r="H2325" s="23"/>
      <c r="J2325" s="23"/>
      <c r="K2325" s="23"/>
      <c r="M2325" s="23"/>
      <c r="N2325" s="23"/>
      <c r="P2325" s="23"/>
    </row>
    <row r="2326" spans="2:16" x14ac:dyDescent="0.25">
      <c r="B2326" s="23"/>
      <c r="E2326" s="23"/>
      <c r="G2326" s="23"/>
      <c r="H2326" s="23"/>
      <c r="J2326" s="23"/>
      <c r="K2326" s="23"/>
      <c r="M2326" s="23"/>
      <c r="N2326" s="23"/>
      <c r="P2326" s="23"/>
    </row>
    <row r="2327" spans="2:16" x14ac:dyDescent="0.25">
      <c r="B2327" s="23"/>
      <c r="E2327" s="23"/>
      <c r="G2327" s="23"/>
      <c r="H2327" s="23"/>
      <c r="J2327" s="23"/>
      <c r="K2327" s="23"/>
      <c r="M2327" s="23"/>
      <c r="N2327" s="23"/>
      <c r="P2327" s="23"/>
    </row>
    <row r="2328" spans="2:16" x14ac:dyDescent="0.25">
      <c r="B2328" s="23"/>
      <c r="E2328" s="23"/>
      <c r="G2328" s="23"/>
      <c r="H2328" s="23"/>
      <c r="J2328" s="23"/>
      <c r="K2328" s="23"/>
      <c r="M2328" s="23"/>
      <c r="N2328" s="23"/>
      <c r="P2328" s="23"/>
    </row>
    <row r="2329" spans="2:16" x14ac:dyDescent="0.25">
      <c r="B2329" s="23"/>
      <c r="E2329" s="23"/>
      <c r="G2329" s="23"/>
      <c r="H2329" s="23"/>
      <c r="J2329" s="23"/>
      <c r="K2329" s="23"/>
      <c r="M2329" s="23"/>
      <c r="N2329" s="23"/>
      <c r="P2329" s="23"/>
    </row>
    <row r="2330" spans="2:16" x14ac:dyDescent="0.25">
      <c r="B2330" s="23"/>
      <c r="E2330" s="23"/>
      <c r="G2330" s="23"/>
      <c r="H2330" s="23"/>
      <c r="J2330" s="23"/>
      <c r="K2330" s="23"/>
      <c r="M2330" s="23"/>
      <c r="N2330" s="23"/>
      <c r="P2330" s="23"/>
    </row>
    <row r="2331" spans="2:16" x14ac:dyDescent="0.25">
      <c r="B2331" s="23"/>
      <c r="E2331" s="23"/>
      <c r="G2331" s="23"/>
      <c r="H2331" s="23"/>
      <c r="J2331" s="23"/>
      <c r="K2331" s="23"/>
      <c r="M2331" s="23"/>
      <c r="N2331" s="23"/>
      <c r="P2331" s="23"/>
    </row>
    <row r="2332" spans="2:16" x14ac:dyDescent="0.25">
      <c r="B2332" s="23"/>
      <c r="E2332" s="23"/>
      <c r="G2332" s="23"/>
      <c r="H2332" s="23"/>
      <c r="J2332" s="23"/>
      <c r="K2332" s="23"/>
      <c r="M2332" s="23"/>
      <c r="N2332" s="23"/>
      <c r="P2332" s="23"/>
    </row>
    <row r="2333" spans="2:16" x14ac:dyDescent="0.25">
      <c r="B2333" s="23"/>
      <c r="E2333" s="23"/>
      <c r="G2333" s="23"/>
      <c r="H2333" s="23"/>
      <c r="J2333" s="23"/>
      <c r="K2333" s="23"/>
      <c r="M2333" s="23"/>
      <c r="N2333" s="23"/>
      <c r="P2333" s="23"/>
    </row>
    <row r="2334" spans="2:16" x14ac:dyDescent="0.25">
      <c r="B2334" s="23"/>
      <c r="E2334" s="23"/>
      <c r="G2334" s="23"/>
      <c r="H2334" s="23"/>
      <c r="J2334" s="23"/>
      <c r="K2334" s="23"/>
      <c r="M2334" s="23"/>
      <c r="N2334" s="23"/>
      <c r="P2334" s="23"/>
    </row>
    <row r="2335" spans="2:16" x14ac:dyDescent="0.25">
      <c r="B2335" s="23"/>
      <c r="E2335" s="23"/>
      <c r="G2335" s="23"/>
      <c r="H2335" s="23"/>
      <c r="J2335" s="23"/>
      <c r="K2335" s="23"/>
      <c r="M2335" s="23"/>
      <c r="N2335" s="23"/>
      <c r="P2335" s="23"/>
    </row>
    <row r="2336" spans="2:16" x14ac:dyDescent="0.25">
      <c r="B2336" s="23"/>
      <c r="E2336" s="23"/>
      <c r="G2336" s="23"/>
      <c r="H2336" s="23"/>
      <c r="J2336" s="23"/>
      <c r="K2336" s="23"/>
      <c r="M2336" s="23"/>
      <c r="N2336" s="23"/>
      <c r="P2336" s="23"/>
    </row>
    <row r="2337" spans="2:16" x14ac:dyDescent="0.25">
      <c r="B2337" s="23"/>
      <c r="E2337" s="23"/>
      <c r="G2337" s="23"/>
      <c r="H2337" s="23"/>
      <c r="J2337" s="23"/>
      <c r="K2337" s="23"/>
      <c r="M2337" s="23"/>
      <c r="N2337" s="23"/>
      <c r="P2337" s="23"/>
    </row>
    <row r="2338" spans="2:16" x14ac:dyDescent="0.25">
      <c r="B2338" s="23"/>
      <c r="E2338" s="23"/>
      <c r="G2338" s="23"/>
      <c r="H2338" s="23"/>
      <c r="J2338" s="23"/>
      <c r="K2338" s="23"/>
      <c r="M2338" s="23"/>
      <c r="N2338" s="23"/>
      <c r="P2338" s="23"/>
    </row>
    <row r="2339" spans="2:16" x14ac:dyDescent="0.25">
      <c r="B2339" s="23"/>
      <c r="E2339" s="23"/>
      <c r="G2339" s="23"/>
      <c r="H2339" s="23"/>
      <c r="J2339" s="23"/>
      <c r="K2339" s="23"/>
      <c r="M2339" s="23"/>
      <c r="N2339" s="23"/>
      <c r="P2339" s="23"/>
    </row>
    <row r="2340" spans="2:16" x14ac:dyDescent="0.25">
      <c r="B2340" s="23"/>
      <c r="E2340" s="23"/>
      <c r="G2340" s="23"/>
      <c r="H2340" s="23"/>
      <c r="J2340" s="23"/>
      <c r="K2340" s="23"/>
      <c r="M2340" s="23"/>
      <c r="N2340" s="23"/>
      <c r="P2340" s="23"/>
    </row>
    <row r="2341" spans="2:16" x14ac:dyDescent="0.25">
      <c r="B2341" s="23"/>
      <c r="E2341" s="23"/>
      <c r="G2341" s="23"/>
      <c r="H2341" s="23"/>
      <c r="J2341" s="23"/>
      <c r="K2341" s="23"/>
      <c r="M2341" s="23"/>
      <c r="N2341" s="23"/>
      <c r="P2341" s="23"/>
    </row>
    <row r="2342" spans="2:16" x14ac:dyDescent="0.25">
      <c r="B2342" s="23"/>
      <c r="E2342" s="23"/>
      <c r="G2342" s="23"/>
      <c r="H2342" s="23"/>
      <c r="J2342" s="23"/>
      <c r="K2342" s="23"/>
      <c r="M2342" s="23"/>
      <c r="N2342" s="23"/>
      <c r="P2342" s="23"/>
    </row>
    <row r="2343" spans="2:16" x14ac:dyDescent="0.25">
      <c r="B2343" s="23"/>
      <c r="E2343" s="23"/>
      <c r="G2343" s="23"/>
      <c r="H2343" s="23"/>
      <c r="J2343" s="23"/>
      <c r="K2343" s="23"/>
      <c r="M2343" s="23"/>
      <c r="N2343" s="23"/>
      <c r="P2343" s="23"/>
    </row>
    <row r="2344" spans="2:16" x14ac:dyDescent="0.25">
      <c r="B2344" s="23"/>
      <c r="E2344" s="23"/>
      <c r="G2344" s="23"/>
      <c r="H2344" s="23"/>
      <c r="J2344" s="23"/>
      <c r="K2344" s="23"/>
      <c r="M2344" s="23"/>
      <c r="N2344" s="23"/>
      <c r="P2344" s="23"/>
    </row>
    <row r="2345" spans="2:16" x14ac:dyDescent="0.25">
      <c r="B2345" s="23"/>
      <c r="E2345" s="23"/>
      <c r="G2345" s="23"/>
      <c r="H2345" s="23"/>
      <c r="J2345" s="23"/>
      <c r="K2345" s="23"/>
      <c r="M2345" s="23"/>
      <c r="N2345" s="23"/>
      <c r="P2345" s="23"/>
    </row>
    <row r="2346" spans="2:16" x14ac:dyDescent="0.25">
      <c r="B2346" s="23"/>
      <c r="E2346" s="23"/>
      <c r="G2346" s="23"/>
      <c r="H2346" s="23"/>
      <c r="J2346" s="23"/>
      <c r="K2346" s="23"/>
      <c r="M2346" s="23"/>
      <c r="N2346" s="23"/>
      <c r="P2346" s="23"/>
    </row>
    <row r="2347" spans="2:16" x14ac:dyDescent="0.25">
      <c r="B2347" s="23"/>
      <c r="E2347" s="23"/>
      <c r="G2347" s="23"/>
      <c r="H2347" s="23"/>
      <c r="J2347" s="23"/>
      <c r="K2347" s="23"/>
      <c r="M2347" s="23"/>
      <c r="N2347" s="23"/>
      <c r="P2347" s="23"/>
    </row>
    <row r="2348" spans="2:16" x14ac:dyDescent="0.25">
      <c r="B2348" s="23"/>
      <c r="E2348" s="23"/>
      <c r="G2348" s="23"/>
      <c r="H2348" s="23"/>
      <c r="J2348" s="23"/>
      <c r="K2348" s="23"/>
      <c r="M2348" s="23"/>
      <c r="N2348" s="23"/>
      <c r="P2348" s="23"/>
    </row>
    <row r="2349" spans="2:16" x14ac:dyDescent="0.25">
      <c r="B2349" s="23"/>
      <c r="E2349" s="23"/>
      <c r="G2349" s="23"/>
      <c r="H2349" s="23"/>
      <c r="J2349" s="23"/>
      <c r="K2349" s="23"/>
      <c r="M2349" s="23"/>
      <c r="N2349" s="23"/>
      <c r="P2349" s="23"/>
    </row>
    <row r="2350" spans="2:16" x14ac:dyDescent="0.25">
      <c r="B2350" s="23"/>
      <c r="E2350" s="23"/>
      <c r="G2350" s="23"/>
      <c r="H2350" s="23"/>
      <c r="J2350" s="23"/>
      <c r="K2350" s="23"/>
      <c r="M2350" s="23"/>
      <c r="N2350" s="23"/>
      <c r="P2350" s="23"/>
    </row>
    <row r="2351" spans="2:16" x14ac:dyDescent="0.25">
      <c r="B2351" s="23"/>
      <c r="E2351" s="23"/>
      <c r="G2351" s="23"/>
      <c r="H2351" s="23"/>
      <c r="J2351" s="23"/>
      <c r="K2351" s="23"/>
      <c r="M2351" s="23"/>
      <c r="N2351" s="23"/>
      <c r="P2351" s="23"/>
    </row>
    <row r="2352" spans="2:16" x14ac:dyDescent="0.25">
      <c r="B2352" s="23"/>
      <c r="E2352" s="23"/>
      <c r="G2352" s="23"/>
      <c r="H2352" s="23"/>
      <c r="J2352" s="23"/>
      <c r="K2352" s="23"/>
      <c r="M2352" s="23"/>
      <c r="N2352" s="23"/>
      <c r="P2352" s="23"/>
    </row>
    <row r="2353" spans="2:16" x14ac:dyDescent="0.25">
      <c r="B2353" s="23"/>
      <c r="E2353" s="23"/>
      <c r="G2353" s="23"/>
      <c r="H2353" s="23"/>
      <c r="J2353" s="23"/>
      <c r="K2353" s="23"/>
      <c r="M2353" s="23"/>
      <c r="N2353" s="23"/>
      <c r="P2353" s="23"/>
    </row>
    <row r="2354" spans="2:16" x14ac:dyDescent="0.25">
      <c r="B2354" s="23"/>
      <c r="E2354" s="23"/>
      <c r="G2354" s="23"/>
      <c r="H2354" s="23"/>
      <c r="J2354" s="23"/>
      <c r="K2354" s="23"/>
      <c r="M2354" s="23"/>
      <c r="N2354" s="23"/>
      <c r="P2354" s="23"/>
    </row>
    <row r="2355" spans="2:16" x14ac:dyDescent="0.25">
      <c r="B2355" s="23"/>
      <c r="E2355" s="23"/>
      <c r="G2355" s="23"/>
      <c r="H2355" s="23"/>
      <c r="J2355" s="23"/>
      <c r="K2355" s="23"/>
      <c r="M2355" s="23"/>
      <c r="N2355" s="23"/>
      <c r="P2355" s="23"/>
    </row>
    <row r="2356" spans="2:16" x14ac:dyDescent="0.25">
      <c r="B2356" s="23"/>
      <c r="E2356" s="23"/>
      <c r="G2356" s="23"/>
      <c r="H2356" s="23"/>
      <c r="J2356" s="23"/>
      <c r="K2356" s="23"/>
      <c r="M2356" s="23"/>
      <c r="N2356" s="23"/>
      <c r="P2356" s="23"/>
    </row>
    <row r="2357" spans="2:16" x14ac:dyDescent="0.25">
      <c r="B2357" s="23"/>
      <c r="E2357" s="23"/>
      <c r="G2357" s="23"/>
      <c r="H2357" s="23"/>
      <c r="J2357" s="23"/>
      <c r="K2357" s="23"/>
      <c r="M2357" s="23"/>
      <c r="N2357" s="23"/>
      <c r="P2357" s="23"/>
    </row>
    <row r="2358" spans="2:16" x14ac:dyDescent="0.25">
      <c r="B2358" s="23"/>
      <c r="E2358" s="23"/>
      <c r="G2358" s="23"/>
      <c r="H2358" s="23"/>
      <c r="J2358" s="23"/>
      <c r="K2358" s="23"/>
      <c r="M2358" s="23"/>
      <c r="N2358" s="23"/>
      <c r="P2358" s="23"/>
    </row>
    <row r="2359" spans="2:16" x14ac:dyDescent="0.25">
      <c r="B2359" s="23"/>
      <c r="E2359" s="23"/>
      <c r="G2359" s="23"/>
      <c r="H2359" s="23"/>
      <c r="J2359" s="23"/>
      <c r="K2359" s="23"/>
      <c r="M2359" s="23"/>
      <c r="N2359" s="23"/>
      <c r="P2359" s="23"/>
    </row>
    <row r="2360" spans="2:16" x14ac:dyDescent="0.25">
      <c r="B2360" s="23"/>
      <c r="E2360" s="23"/>
      <c r="G2360" s="23"/>
      <c r="H2360" s="23"/>
      <c r="J2360" s="23"/>
      <c r="K2360" s="23"/>
      <c r="M2360" s="23"/>
      <c r="N2360" s="23"/>
      <c r="P2360" s="23"/>
    </row>
    <row r="2361" spans="2:16" x14ac:dyDescent="0.25">
      <c r="B2361" s="23"/>
      <c r="E2361" s="23"/>
      <c r="G2361" s="23"/>
      <c r="H2361" s="23"/>
      <c r="J2361" s="23"/>
      <c r="K2361" s="23"/>
      <c r="M2361" s="23"/>
      <c r="N2361" s="23"/>
      <c r="P2361" s="23"/>
    </row>
    <row r="2362" spans="2:16" x14ac:dyDescent="0.25">
      <c r="B2362" s="23"/>
      <c r="E2362" s="23"/>
      <c r="G2362" s="23"/>
      <c r="H2362" s="23"/>
      <c r="J2362" s="23"/>
      <c r="K2362" s="23"/>
      <c r="M2362" s="23"/>
      <c r="N2362" s="23"/>
      <c r="P2362" s="23"/>
    </row>
    <row r="2363" spans="2:16" x14ac:dyDescent="0.25">
      <c r="B2363" s="23"/>
      <c r="E2363" s="23"/>
      <c r="G2363" s="23"/>
      <c r="H2363" s="23"/>
      <c r="J2363" s="23"/>
      <c r="K2363" s="23"/>
      <c r="M2363" s="23"/>
      <c r="N2363" s="23"/>
      <c r="P2363" s="23"/>
    </row>
    <row r="2364" spans="2:16" x14ac:dyDescent="0.25">
      <c r="B2364" s="23"/>
      <c r="E2364" s="23"/>
      <c r="G2364" s="23"/>
      <c r="H2364" s="23"/>
      <c r="J2364" s="23"/>
      <c r="K2364" s="23"/>
      <c r="M2364" s="23"/>
      <c r="N2364" s="23"/>
      <c r="P2364" s="23"/>
    </row>
    <row r="2365" spans="2:16" x14ac:dyDescent="0.25">
      <c r="B2365" s="23"/>
      <c r="E2365" s="23"/>
      <c r="G2365" s="23"/>
      <c r="H2365" s="23"/>
      <c r="J2365" s="23"/>
      <c r="K2365" s="23"/>
      <c r="M2365" s="23"/>
      <c r="N2365" s="23"/>
      <c r="P2365" s="23"/>
    </row>
    <row r="2366" spans="2:16" x14ac:dyDescent="0.25">
      <c r="B2366" s="23"/>
      <c r="E2366" s="23"/>
      <c r="G2366" s="23"/>
      <c r="H2366" s="23"/>
      <c r="J2366" s="23"/>
      <c r="K2366" s="23"/>
      <c r="M2366" s="23"/>
      <c r="N2366" s="23"/>
      <c r="P2366" s="23"/>
    </row>
    <row r="2367" spans="2:16" x14ac:dyDescent="0.25">
      <c r="B2367" s="23"/>
      <c r="E2367" s="23"/>
      <c r="G2367" s="23"/>
      <c r="H2367" s="23"/>
      <c r="J2367" s="23"/>
      <c r="K2367" s="23"/>
      <c r="M2367" s="23"/>
      <c r="N2367" s="23"/>
      <c r="P2367" s="23"/>
    </row>
    <row r="2368" spans="2:16" x14ac:dyDescent="0.25">
      <c r="B2368" s="23"/>
      <c r="E2368" s="23"/>
      <c r="G2368" s="23"/>
      <c r="H2368" s="23"/>
      <c r="J2368" s="23"/>
      <c r="K2368" s="23"/>
      <c r="M2368" s="23"/>
      <c r="N2368" s="23"/>
      <c r="P2368" s="23"/>
    </row>
    <row r="2369" spans="2:16" x14ac:dyDescent="0.25">
      <c r="B2369" s="23"/>
      <c r="E2369" s="23"/>
      <c r="G2369" s="23"/>
      <c r="H2369" s="23"/>
      <c r="J2369" s="23"/>
      <c r="K2369" s="23"/>
      <c r="M2369" s="23"/>
      <c r="N2369" s="23"/>
      <c r="P2369" s="23"/>
    </row>
    <row r="2370" spans="2:16" x14ac:dyDescent="0.25">
      <c r="B2370" s="23"/>
      <c r="E2370" s="23"/>
      <c r="G2370" s="23"/>
      <c r="H2370" s="23"/>
      <c r="J2370" s="23"/>
      <c r="K2370" s="23"/>
      <c r="M2370" s="23"/>
      <c r="N2370" s="23"/>
      <c r="P2370" s="23"/>
    </row>
    <row r="2371" spans="2:16" x14ac:dyDescent="0.25">
      <c r="B2371" s="23"/>
      <c r="E2371" s="23"/>
      <c r="G2371" s="23"/>
      <c r="H2371" s="23"/>
      <c r="J2371" s="23"/>
      <c r="K2371" s="23"/>
      <c r="M2371" s="23"/>
      <c r="N2371" s="23"/>
      <c r="P2371" s="23"/>
    </row>
    <row r="2372" spans="2:16" x14ac:dyDescent="0.25">
      <c r="B2372" s="23"/>
      <c r="E2372" s="23"/>
      <c r="G2372" s="23"/>
      <c r="H2372" s="23"/>
      <c r="J2372" s="23"/>
      <c r="K2372" s="23"/>
      <c r="M2372" s="23"/>
      <c r="N2372" s="23"/>
      <c r="P2372" s="23"/>
    </row>
    <row r="2373" spans="2:16" x14ac:dyDescent="0.25">
      <c r="B2373" s="23"/>
      <c r="E2373" s="23"/>
      <c r="G2373" s="23"/>
      <c r="H2373" s="23"/>
      <c r="J2373" s="23"/>
      <c r="K2373" s="23"/>
      <c r="M2373" s="23"/>
      <c r="N2373" s="23"/>
      <c r="P2373" s="23"/>
    </row>
    <row r="2374" spans="2:16" x14ac:dyDescent="0.25">
      <c r="B2374" s="23"/>
      <c r="E2374" s="23"/>
      <c r="G2374" s="23"/>
      <c r="H2374" s="23"/>
      <c r="J2374" s="23"/>
      <c r="K2374" s="23"/>
      <c r="M2374" s="23"/>
      <c r="N2374" s="23"/>
      <c r="P2374" s="23"/>
    </row>
    <row r="2375" spans="2:16" x14ac:dyDescent="0.25">
      <c r="B2375" s="23"/>
      <c r="E2375" s="23"/>
      <c r="G2375" s="23"/>
      <c r="H2375" s="23"/>
      <c r="J2375" s="23"/>
      <c r="K2375" s="23"/>
      <c r="M2375" s="23"/>
      <c r="N2375" s="23"/>
      <c r="P2375" s="23"/>
    </row>
    <row r="2376" spans="2:16" x14ac:dyDescent="0.25">
      <c r="B2376" s="23"/>
      <c r="E2376" s="23"/>
      <c r="G2376" s="23"/>
      <c r="H2376" s="23"/>
      <c r="J2376" s="23"/>
      <c r="K2376" s="23"/>
      <c r="M2376" s="23"/>
      <c r="N2376" s="23"/>
      <c r="P2376" s="23"/>
    </row>
    <row r="2377" spans="2:16" x14ac:dyDescent="0.25">
      <c r="B2377" s="23"/>
      <c r="E2377" s="23"/>
      <c r="G2377" s="23"/>
      <c r="H2377" s="23"/>
      <c r="J2377" s="23"/>
      <c r="K2377" s="23"/>
      <c r="M2377" s="23"/>
      <c r="N2377" s="23"/>
      <c r="P2377" s="23"/>
    </row>
    <row r="2378" spans="2:16" x14ac:dyDescent="0.25">
      <c r="B2378" s="23"/>
      <c r="E2378" s="23"/>
      <c r="G2378" s="23"/>
      <c r="H2378" s="23"/>
      <c r="J2378" s="23"/>
      <c r="K2378" s="23"/>
      <c r="M2378" s="23"/>
      <c r="N2378" s="23"/>
      <c r="P2378" s="23"/>
    </row>
    <row r="2379" spans="2:16" x14ac:dyDescent="0.25">
      <c r="B2379" s="23"/>
      <c r="E2379" s="23"/>
      <c r="G2379" s="23"/>
      <c r="H2379" s="23"/>
      <c r="J2379" s="23"/>
      <c r="K2379" s="23"/>
      <c r="M2379" s="23"/>
      <c r="N2379" s="23"/>
      <c r="P2379" s="23"/>
    </row>
    <row r="2380" spans="2:16" x14ac:dyDescent="0.25">
      <c r="B2380" s="23"/>
      <c r="E2380" s="23"/>
      <c r="G2380" s="23"/>
      <c r="H2380" s="23"/>
      <c r="J2380" s="23"/>
      <c r="K2380" s="23"/>
      <c r="M2380" s="23"/>
      <c r="N2380" s="23"/>
      <c r="P2380" s="23"/>
    </row>
    <row r="2381" spans="2:16" x14ac:dyDescent="0.25">
      <c r="B2381" s="23"/>
      <c r="E2381" s="23"/>
      <c r="G2381" s="23"/>
      <c r="H2381" s="23"/>
      <c r="J2381" s="23"/>
      <c r="K2381" s="23"/>
      <c r="M2381" s="23"/>
      <c r="N2381" s="23"/>
      <c r="P2381" s="23"/>
    </row>
    <row r="2382" spans="2:16" x14ac:dyDescent="0.25">
      <c r="B2382" s="23"/>
      <c r="E2382" s="23"/>
      <c r="G2382" s="23"/>
      <c r="H2382" s="23"/>
      <c r="J2382" s="23"/>
      <c r="K2382" s="23"/>
      <c r="M2382" s="23"/>
      <c r="N2382" s="23"/>
      <c r="P2382" s="23"/>
    </row>
    <row r="2383" spans="2:16" x14ac:dyDescent="0.25">
      <c r="B2383" s="23"/>
      <c r="E2383" s="23"/>
      <c r="G2383" s="23"/>
      <c r="H2383" s="23"/>
      <c r="J2383" s="23"/>
      <c r="K2383" s="23"/>
      <c r="M2383" s="23"/>
      <c r="N2383" s="23"/>
      <c r="P2383" s="23"/>
    </row>
    <row r="2384" spans="2:16" x14ac:dyDescent="0.25">
      <c r="B2384" s="23"/>
      <c r="E2384" s="23"/>
      <c r="G2384" s="23"/>
      <c r="H2384" s="23"/>
      <c r="J2384" s="23"/>
      <c r="K2384" s="23"/>
      <c r="M2384" s="23"/>
      <c r="N2384" s="23"/>
      <c r="P2384" s="23"/>
    </row>
    <row r="2385" spans="2:16" x14ac:dyDescent="0.25">
      <c r="B2385" s="23"/>
      <c r="E2385" s="23"/>
      <c r="G2385" s="23"/>
      <c r="H2385" s="23"/>
      <c r="J2385" s="23"/>
      <c r="K2385" s="23"/>
      <c r="M2385" s="23"/>
      <c r="N2385" s="23"/>
      <c r="P2385" s="23"/>
    </row>
    <row r="2386" spans="2:16" x14ac:dyDescent="0.25">
      <c r="B2386" s="23"/>
      <c r="E2386" s="23"/>
      <c r="G2386" s="23"/>
      <c r="H2386" s="23"/>
      <c r="J2386" s="23"/>
      <c r="K2386" s="23"/>
      <c r="M2386" s="23"/>
      <c r="N2386" s="23"/>
      <c r="P2386" s="23"/>
    </row>
    <row r="2387" spans="2:16" x14ac:dyDescent="0.25">
      <c r="B2387" s="23"/>
      <c r="E2387" s="23"/>
      <c r="G2387" s="23"/>
      <c r="H2387" s="23"/>
      <c r="J2387" s="23"/>
      <c r="K2387" s="23"/>
      <c r="M2387" s="23"/>
      <c r="N2387" s="23"/>
      <c r="P2387" s="23"/>
    </row>
    <row r="2388" spans="2:16" x14ac:dyDescent="0.25">
      <c r="B2388" s="23"/>
      <c r="E2388" s="23"/>
      <c r="G2388" s="23"/>
      <c r="H2388" s="23"/>
      <c r="J2388" s="23"/>
      <c r="K2388" s="23"/>
      <c r="M2388" s="23"/>
      <c r="N2388" s="23"/>
      <c r="P2388" s="23"/>
    </row>
    <row r="2389" spans="2:16" x14ac:dyDescent="0.25">
      <c r="B2389" s="23"/>
      <c r="E2389" s="23"/>
      <c r="G2389" s="23"/>
      <c r="H2389" s="23"/>
      <c r="J2389" s="23"/>
      <c r="K2389" s="23"/>
      <c r="M2389" s="23"/>
      <c r="N2389" s="23"/>
      <c r="P2389" s="23"/>
    </row>
    <row r="2390" spans="2:16" x14ac:dyDescent="0.25">
      <c r="B2390" s="23"/>
      <c r="E2390" s="23"/>
      <c r="G2390" s="23"/>
      <c r="H2390" s="23"/>
      <c r="J2390" s="23"/>
      <c r="K2390" s="23"/>
      <c r="M2390" s="23"/>
      <c r="N2390" s="23"/>
      <c r="P2390" s="23"/>
    </row>
    <row r="2391" spans="2:16" x14ac:dyDescent="0.25">
      <c r="B2391" s="23"/>
      <c r="E2391" s="23"/>
      <c r="G2391" s="23"/>
      <c r="H2391" s="23"/>
      <c r="J2391" s="23"/>
      <c r="K2391" s="23"/>
      <c r="M2391" s="23"/>
      <c r="N2391" s="23"/>
      <c r="P2391" s="23"/>
    </row>
    <row r="2392" spans="2:16" x14ac:dyDescent="0.25">
      <c r="B2392" s="23"/>
      <c r="E2392" s="23"/>
      <c r="G2392" s="23"/>
      <c r="H2392" s="23"/>
      <c r="J2392" s="23"/>
      <c r="K2392" s="23"/>
      <c r="M2392" s="23"/>
      <c r="N2392" s="23"/>
      <c r="P2392" s="23"/>
    </row>
    <row r="2393" spans="2:16" x14ac:dyDescent="0.25">
      <c r="B2393" s="23"/>
      <c r="E2393" s="23"/>
      <c r="G2393" s="23"/>
      <c r="H2393" s="23"/>
      <c r="J2393" s="23"/>
      <c r="K2393" s="23"/>
      <c r="M2393" s="23"/>
      <c r="N2393" s="23"/>
      <c r="P2393" s="23"/>
    </row>
    <row r="2394" spans="2:16" x14ac:dyDescent="0.25">
      <c r="B2394" s="23"/>
      <c r="E2394" s="23"/>
      <c r="G2394" s="23"/>
      <c r="H2394" s="23"/>
      <c r="J2394" s="23"/>
      <c r="K2394" s="23"/>
      <c r="M2394" s="23"/>
      <c r="N2394" s="23"/>
      <c r="P2394" s="23"/>
    </row>
    <row r="2395" spans="2:16" x14ac:dyDescent="0.25">
      <c r="B2395" s="23"/>
      <c r="E2395" s="23"/>
      <c r="G2395" s="23"/>
      <c r="H2395" s="23"/>
      <c r="J2395" s="23"/>
      <c r="K2395" s="23"/>
      <c r="M2395" s="23"/>
      <c r="N2395" s="23"/>
      <c r="P2395" s="23"/>
    </row>
    <row r="2396" spans="2:16" x14ac:dyDescent="0.25">
      <c r="B2396" s="23"/>
      <c r="E2396" s="23"/>
      <c r="G2396" s="23"/>
      <c r="H2396" s="23"/>
      <c r="J2396" s="23"/>
      <c r="K2396" s="23"/>
      <c r="M2396" s="23"/>
      <c r="N2396" s="23"/>
      <c r="P2396" s="23"/>
    </row>
    <row r="2397" spans="2:16" x14ac:dyDescent="0.25">
      <c r="B2397" s="23"/>
      <c r="E2397" s="23"/>
      <c r="G2397" s="23"/>
      <c r="H2397" s="23"/>
      <c r="J2397" s="23"/>
      <c r="K2397" s="23"/>
      <c r="M2397" s="23"/>
      <c r="N2397" s="23"/>
      <c r="P2397" s="23"/>
    </row>
    <row r="2398" spans="2:16" x14ac:dyDescent="0.25">
      <c r="B2398" s="23"/>
      <c r="E2398" s="23"/>
      <c r="G2398" s="23"/>
      <c r="H2398" s="23"/>
      <c r="J2398" s="23"/>
      <c r="K2398" s="23"/>
      <c r="M2398" s="23"/>
      <c r="N2398" s="23"/>
      <c r="P2398" s="23"/>
    </row>
    <row r="2399" spans="2:16" x14ac:dyDescent="0.25">
      <c r="B2399" s="23"/>
      <c r="E2399" s="23"/>
      <c r="G2399" s="23"/>
      <c r="H2399" s="23"/>
      <c r="J2399" s="23"/>
      <c r="K2399" s="23"/>
      <c r="M2399" s="23"/>
      <c r="N2399" s="23"/>
      <c r="P2399" s="23"/>
    </row>
    <row r="2400" spans="2:16" x14ac:dyDescent="0.25">
      <c r="B2400" s="23"/>
      <c r="E2400" s="23"/>
      <c r="G2400" s="23"/>
      <c r="H2400" s="23"/>
      <c r="J2400" s="23"/>
      <c r="K2400" s="23"/>
      <c r="M2400" s="23"/>
      <c r="N2400" s="23"/>
      <c r="P2400" s="23"/>
    </row>
    <row r="2401" spans="2:16" x14ac:dyDescent="0.25">
      <c r="B2401" s="23"/>
      <c r="E2401" s="23"/>
      <c r="G2401" s="23"/>
      <c r="H2401" s="23"/>
      <c r="J2401" s="23"/>
      <c r="K2401" s="23"/>
      <c r="M2401" s="23"/>
      <c r="N2401" s="23"/>
      <c r="P2401" s="23"/>
    </row>
    <row r="2402" spans="2:16" x14ac:dyDescent="0.25">
      <c r="B2402" s="23"/>
      <c r="E2402" s="23"/>
      <c r="G2402" s="23"/>
      <c r="H2402" s="23"/>
      <c r="J2402" s="23"/>
      <c r="K2402" s="23"/>
      <c r="M2402" s="23"/>
      <c r="N2402" s="23"/>
      <c r="P2402" s="23"/>
    </row>
    <row r="2403" spans="2:16" x14ac:dyDescent="0.25">
      <c r="B2403" s="23"/>
      <c r="E2403" s="23"/>
      <c r="G2403" s="23"/>
      <c r="H2403" s="23"/>
      <c r="J2403" s="23"/>
      <c r="K2403" s="23"/>
      <c r="M2403" s="23"/>
      <c r="N2403" s="23"/>
      <c r="P2403" s="23"/>
    </row>
    <row r="2404" spans="2:16" x14ac:dyDescent="0.25">
      <c r="B2404" s="23"/>
      <c r="E2404" s="23"/>
      <c r="G2404" s="23"/>
      <c r="H2404" s="23"/>
      <c r="J2404" s="23"/>
      <c r="K2404" s="23"/>
      <c r="M2404" s="23"/>
      <c r="N2404" s="23"/>
      <c r="P2404" s="23"/>
    </row>
    <row r="2405" spans="2:16" x14ac:dyDescent="0.25">
      <c r="B2405" s="23"/>
      <c r="E2405" s="23"/>
      <c r="G2405" s="23"/>
      <c r="H2405" s="23"/>
      <c r="J2405" s="23"/>
      <c r="K2405" s="23"/>
      <c r="M2405" s="23"/>
      <c r="N2405" s="23"/>
      <c r="P2405" s="23"/>
    </row>
    <row r="2406" spans="2:16" x14ac:dyDescent="0.25">
      <c r="B2406" s="23"/>
      <c r="E2406" s="23"/>
      <c r="G2406" s="23"/>
      <c r="H2406" s="23"/>
      <c r="J2406" s="23"/>
      <c r="K2406" s="23"/>
      <c r="M2406" s="23"/>
      <c r="N2406" s="23"/>
      <c r="P2406" s="23"/>
    </row>
    <row r="2407" spans="2:16" x14ac:dyDescent="0.25">
      <c r="B2407" s="23"/>
      <c r="E2407" s="23"/>
      <c r="G2407" s="23"/>
      <c r="H2407" s="23"/>
      <c r="J2407" s="23"/>
      <c r="K2407" s="23"/>
      <c r="M2407" s="23"/>
      <c r="N2407" s="23"/>
      <c r="P2407" s="23"/>
    </row>
    <row r="2408" spans="2:16" x14ac:dyDescent="0.25">
      <c r="B2408" s="23"/>
      <c r="E2408" s="23"/>
      <c r="G2408" s="23"/>
      <c r="H2408" s="23"/>
      <c r="J2408" s="23"/>
      <c r="K2408" s="23"/>
      <c r="M2408" s="23"/>
      <c r="N2408" s="23"/>
      <c r="P2408" s="23"/>
    </row>
    <row r="2409" spans="2:16" x14ac:dyDescent="0.25">
      <c r="B2409" s="23"/>
      <c r="E2409" s="23"/>
      <c r="G2409" s="23"/>
      <c r="H2409" s="23"/>
      <c r="J2409" s="23"/>
      <c r="K2409" s="23"/>
      <c r="M2409" s="23"/>
      <c r="N2409" s="23"/>
      <c r="P2409" s="23"/>
    </row>
    <row r="2410" spans="2:16" x14ac:dyDescent="0.25">
      <c r="B2410" s="23"/>
      <c r="E2410" s="23"/>
      <c r="G2410" s="23"/>
      <c r="H2410" s="23"/>
      <c r="J2410" s="23"/>
      <c r="K2410" s="23"/>
      <c r="M2410" s="23"/>
      <c r="N2410" s="23"/>
      <c r="P2410" s="23"/>
    </row>
    <row r="2411" spans="2:16" x14ac:dyDescent="0.25">
      <c r="B2411" s="23"/>
      <c r="E2411" s="23"/>
      <c r="G2411" s="23"/>
      <c r="H2411" s="23"/>
      <c r="J2411" s="23"/>
      <c r="K2411" s="23"/>
      <c r="M2411" s="23"/>
      <c r="N2411" s="23"/>
      <c r="P2411" s="23"/>
    </row>
    <row r="2412" spans="2:16" x14ac:dyDescent="0.25">
      <c r="B2412" s="23"/>
      <c r="E2412" s="23"/>
      <c r="G2412" s="23"/>
      <c r="H2412" s="23"/>
      <c r="J2412" s="23"/>
      <c r="K2412" s="23"/>
      <c r="M2412" s="23"/>
      <c r="N2412" s="23"/>
      <c r="P2412" s="23"/>
    </row>
    <row r="2413" spans="2:16" x14ac:dyDescent="0.25">
      <c r="B2413" s="23"/>
      <c r="E2413" s="23"/>
      <c r="G2413" s="23"/>
      <c r="H2413" s="23"/>
      <c r="J2413" s="23"/>
      <c r="K2413" s="23"/>
      <c r="M2413" s="23"/>
      <c r="N2413" s="23"/>
      <c r="P2413" s="23"/>
    </row>
    <row r="2414" spans="2:16" x14ac:dyDescent="0.25">
      <c r="B2414" s="23"/>
      <c r="E2414" s="23"/>
      <c r="G2414" s="23"/>
      <c r="H2414" s="23"/>
      <c r="J2414" s="23"/>
      <c r="K2414" s="23"/>
      <c r="M2414" s="23"/>
      <c r="N2414" s="23"/>
      <c r="P2414" s="23"/>
    </row>
    <row r="2415" spans="2:16" x14ac:dyDescent="0.25">
      <c r="B2415" s="23"/>
      <c r="E2415" s="23"/>
      <c r="G2415" s="23"/>
      <c r="H2415" s="23"/>
      <c r="J2415" s="23"/>
      <c r="K2415" s="23"/>
      <c r="M2415" s="23"/>
      <c r="N2415" s="23"/>
      <c r="P2415" s="23"/>
    </row>
    <row r="2416" spans="2:16" x14ac:dyDescent="0.25">
      <c r="B2416" s="23"/>
      <c r="E2416" s="23"/>
      <c r="G2416" s="23"/>
      <c r="H2416" s="23"/>
      <c r="J2416" s="23"/>
      <c r="K2416" s="23"/>
      <c r="M2416" s="23"/>
      <c r="N2416" s="23"/>
      <c r="P2416" s="23"/>
    </row>
    <row r="2417" spans="2:16" x14ac:dyDescent="0.25">
      <c r="B2417" s="23"/>
      <c r="E2417" s="23"/>
      <c r="G2417" s="23"/>
      <c r="H2417" s="23"/>
      <c r="J2417" s="23"/>
      <c r="K2417" s="23"/>
      <c r="M2417" s="23"/>
      <c r="N2417" s="23"/>
      <c r="P2417" s="23"/>
    </row>
    <row r="2418" spans="2:16" x14ac:dyDescent="0.25">
      <c r="B2418" s="23"/>
      <c r="E2418" s="23"/>
      <c r="G2418" s="23"/>
      <c r="H2418" s="23"/>
      <c r="J2418" s="23"/>
      <c r="K2418" s="23"/>
      <c r="M2418" s="23"/>
      <c r="N2418" s="23"/>
      <c r="P2418" s="23"/>
    </row>
    <row r="2419" spans="2:16" x14ac:dyDescent="0.25">
      <c r="B2419" s="23"/>
      <c r="E2419" s="23"/>
      <c r="G2419" s="23"/>
      <c r="H2419" s="23"/>
      <c r="J2419" s="23"/>
      <c r="K2419" s="23"/>
      <c r="M2419" s="23"/>
      <c r="N2419" s="23"/>
      <c r="P2419" s="23"/>
    </row>
    <row r="2420" spans="2:16" x14ac:dyDescent="0.25">
      <c r="B2420" s="23"/>
      <c r="E2420" s="23"/>
      <c r="G2420" s="23"/>
      <c r="H2420" s="23"/>
      <c r="J2420" s="23"/>
      <c r="K2420" s="23"/>
      <c r="M2420" s="23"/>
      <c r="N2420" s="23"/>
      <c r="P2420" s="23"/>
    </row>
    <row r="2421" spans="2:16" x14ac:dyDescent="0.25">
      <c r="B2421" s="23"/>
      <c r="E2421" s="23"/>
      <c r="G2421" s="23"/>
      <c r="H2421" s="23"/>
      <c r="J2421" s="23"/>
      <c r="K2421" s="23"/>
      <c r="M2421" s="23"/>
      <c r="N2421" s="23"/>
      <c r="P2421" s="23"/>
    </row>
    <row r="2422" spans="2:16" x14ac:dyDescent="0.25">
      <c r="B2422" s="23"/>
      <c r="E2422" s="23"/>
      <c r="G2422" s="23"/>
      <c r="H2422" s="23"/>
      <c r="J2422" s="23"/>
      <c r="K2422" s="23"/>
      <c r="M2422" s="23"/>
      <c r="N2422" s="23"/>
      <c r="P2422" s="23"/>
    </row>
    <row r="2423" spans="2:16" x14ac:dyDescent="0.25">
      <c r="B2423" s="23"/>
      <c r="E2423" s="23"/>
      <c r="G2423" s="23"/>
      <c r="H2423" s="23"/>
      <c r="J2423" s="23"/>
      <c r="K2423" s="23"/>
      <c r="M2423" s="23"/>
      <c r="N2423" s="23"/>
      <c r="P2423" s="23"/>
    </row>
    <row r="2424" spans="2:16" x14ac:dyDescent="0.25">
      <c r="B2424" s="23"/>
      <c r="E2424" s="23"/>
      <c r="G2424" s="23"/>
      <c r="H2424" s="23"/>
      <c r="J2424" s="23"/>
      <c r="K2424" s="23"/>
      <c r="M2424" s="23"/>
      <c r="N2424" s="23"/>
      <c r="P2424" s="23"/>
    </row>
    <row r="2425" spans="2:16" x14ac:dyDescent="0.25">
      <c r="B2425" s="23"/>
      <c r="E2425" s="23"/>
      <c r="G2425" s="23"/>
      <c r="H2425" s="23"/>
      <c r="J2425" s="23"/>
      <c r="K2425" s="23"/>
      <c r="M2425" s="23"/>
      <c r="N2425" s="23"/>
      <c r="P2425" s="23"/>
    </row>
    <row r="2426" spans="2:16" x14ac:dyDescent="0.25">
      <c r="B2426" s="23"/>
      <c r="E2426" s="23"/>
      <c r="G2426" s="23"/>
      <c r="H2426" s="23"/>
      <c r="J2426" s="23"/>
      <c r="K2426" s="23"/>
      <c r="M2426" s="23"/>
      <c r="N2426" s="23"/>
      <c r="P2426" s="23"/>
    </row>
    <row r="2427" spans="2:16" x14ac:dyDescent="0.25">
      <c r="B2427" s="23"/>
      <c r="E2427" s="23"/>
      <c r="G2427" s="23"/>
      <c r="H2427" s="23"/>
      <c r="J2427" s="23"/>
      <c r="K2427" s="23"/>
      <c r="M2427" s="23"/>
      <c r="N2427" s="23"/>
      <c r="P2427" s="23"/>
    </row>
    <row r="2428" spans="2:16" x14ac:dyDescent="0.25">
      <c r="B2428" s="23"/>
      <c r="E2428" s="23"/>
      <c r="G2428" s="23"/>
      <c r="H2428" s="23"/>
      <c r="J2428" s="23"/>
      <c r="K2428" s="23"/>
      <c r="M2428" s="23"/>
      <c r="N2428" s="23"/>
      <c r="P2428" s="23"/>
    </row>
    <row r="2429" spans="2:16" x14ac:dyDescent="0.25">
      <c r="B2429" s="23"/>
      <c r="E2429" s="23"/>
      <c r="G2429" s="23"/>
      <c r="H2429" s="23"/>
      <c r="J2429" s="23"/>
      <c r="K2429" s="23"/>
      <c r="M2429" s="23"/>
      <c r="N2429" s="23"/>
      <c r="P2429" s="23"/>
    </row>
    <row r="2430" spans="2:16" x14ac:dyDescent="0.25">
      <c r="B2430" s="23"/>
      <c r="E2430" s="23"/>
      <c r="G2430" s="23"/>
      <c r="H2430" s="23"/>
      <c r="J2430" s="23"/>
      <c r="K2430" s="23"/>
      <c r="M2430" s="23"/>
      <c r="N2430" s="23"/>
      <c r="P2430" s="23"/>
    </row>
    <row r="2431" spans="2:16" x14ac:dyDescent="0.25">
      <c r="B2431" s="23"/>
      <c r="E2431" s="23"/>
      <c r="G2431" s="23"/>
      <c r="H2431" s="23"/>
      <c r="J2431" s="23"/>
      <c r="K2431" s="23"/>
      <c r="M2431" s="23"/>
      <c r="N2431" s="23"/>
      <c r="P2431" s="23"/>
    </row>
    <row r="2432" spans="2:16" x14ac:dyDescent="0.25">
      <c r="B2432" s="23"/>
      <c r="E2432" s="23"/>
      <c r="G2432" s="23"/>
      <c r="H2432" s="23"/>
      <c r="J2432" s="23"/>
      <c r="K2432" s="23"/>
      <c r="M2432" s="23"/>
      <c r="N2432" s="23"/>
      <c r="P2432" s="23"/>
    </row>
    <row r="2433" spans="2:16" x14ac:dyDescent="0.25">
      <c r="B2433" s="23"/>
      <c r="E2433" s="23"/>
      <c r="G2433" s="23"/>
      <c r="H2433" s="23"/>
      <c r="J2433" s="23"/>
      <c r="K2433" s="23"/>
      <c r="M2433" s="23"/>
      <c r="N2433" s="23"/>
      <c r="P2433" s="23"/>
    </row>
    <row r="2434" spans="2:16" x14ac:dyDescent="0.25">
      <c r="B2434" s="23"/>
      <c r="E2434" s="23"/>
      <c r="G2434" s="23"/>
      <c r="H2434" s="23"/>
      <c r="J2434" s="23"/>
      <c r="K2434" s="23"/>
      <c r="M2434" s="23"/>
      <c r="N2434" s="23"/>
      <c r="P2434" s="23"/>
    </row>
    <row r="2435" spans="2:16" x14ac:dyDescent="0.25">
      <c r="B2435" s="23"/>
      <c r="E2435" s="23"/>
      <c r="G2435" s="23"/>
      <c r="H2435" s="23"/>
      <c r="J2435" s="23"/>
      <c r="K2435" s="23"/>
      <c r="M2435" s="23"/>
      <c r="N2435" s="23"/>
      <c r="P2435" s="23"/>
    </row>
    <row r="2436" spans="2:16" x14ac:dyDescent="0.25">
      <c r="B2436" s="23"/>
      <c r="E2436" s="23"/>
      <c r="G2436" s="23"/>
      <c r="H2436" s="23"/>
      <c r="J2436" s="23"/>
      <c r="K2436" s="23"/>
      <c r="M2436" s="23"/>
      <c r="N2436" s="23"/>
      <c r="P2436" s="23"/>
    </row>
    <row r="2437" spans="2:16" x14ac:dyDescent="0.25">
      <c r="B2437" s="23"/>
      <c r="E2437" s="23"/>
      <c r="G2437" s="23"/>
      <c r="H2437" s="23"/>
      <c r="J2437" s="23"/>
      <c r="K2437" s="23"/>
      <c r="M2437" s="23"/>
      <c r="N2437" s="23"/>
      <c r="P2437" s="23"/>
    </row>
    <row r="2438" spans="2:16" x14ac:dyDescent="0.25">
      <c r="B2438" s="23"/>
      <c r="E2438" s="23"/>
      <c r="G2438" s="23"/>
      <c r="H2438" s="23"/>
      <c r="J2438" s="23"/>
      <c r="K2438" s="23"/>
      <c r="M2438" s="23"/>
      <c r="N2438" s="23"/>
      <c r="P2438" s="23"/>
    </row>
    <row r="2439" spans="2:16" x14ac:dyDescent="0.25">
      <c r="B2439" s="23"/>
      <c r="E2439" s="23"/>
      <c r="G2439" s="23"/>
      <c r="H2439" s="23"/>
      <c r="J2439" s="23"/>
      <c r="K2439" s="23"/>
      <c r="M2439" s="23"/>
      <c r="N2439" s="23"/>
      <c r="P2439" s="23"/>
    </row>
    <row r="2440" spans="2:16" x14ac:dyDescent="0.25">
      <c r="B2440" s="23"/>
      <c r="E2440" s="23"/>
      <c r="G2440" s="23"/>
      <c r="H2440" s="23"/>
      <c r="J2440" s="23"/>
      <c r="K2440" s="23"/>
      <c r="M2440" s="23"/>
      <c r="N2440" s="23"/>
      <c r="P2440" s="23"/>
    </row>
    <row r="2441" spans="2:16" x14ac:dyDescent="0.25">
      <c r="B2441" s="23"/>
      <c r="E2441" s="23"/>
      <c r="G2441" s="23"/>
      <c r="H2441" s="23"/>
      <c r="J2441" s="23"/>
      <c r="K2441" s="23"/>
      <c r="M2441" s="23"/>
      <c r="N2441" s="23"/>
      <c r="P2441" s="23"/>
    </row>
    <row r="2442" spans="2:16" x14ac:dyDescent="0.25">
      <c r="B2442" s="23"/>
      <c r="E2442" s="23"/>
      <c r="G2442" s="23"/>
      <c r="H2442" s="23"/>
      <c r="J2442" s="23"/>
      <c r="K2442" s="23"/>
      <c r="M2442" s="23"/>
      <c r="N2442" s="23"/>
      <c r="P2442" s="23"/>
    </row>
    <row r="2443" spans="2:16" x14ac:dyDescent="0.25">
      <c r="B2443" s="23"/>
      <c r="E2443" s="23"/>
      <c r="G2443" s="23"/>
      <c r="H2443" s="23"/>
      <c r="J2443" s="23"/>
      <c r="K2443" s="23"/>
      <c r="M2443" s="23"/>
      <c r="N2443" s="23"/>
      <c r="P2443" s="23"/>
    </row>
    <row r="2444" spans="2:16" x14ac:dyDescent="0.25">
      <c r="B2444" s="23"/>
      <c r="E2444" s="23"/>
      <c r="G2444" s="23"/>
      <c r="H2444" s="23"/>
      <c r="J2444" s="23"/>
      <c r="K2444" s="23"/>
      <c r="M2444" s="23"/>
      <c r="N2444" s="23"/>
      <c r="P2444" s="23"/>
    </row>
    <row r="2445" spans="2:16" x14ac:dyDescent="0.25">
      <c r="B2445" s="23"/>
      <c r="E2445" s="23"/>
      <c r="G2445" s="23"/>
      <c r="H2445" s="23"/>
      <c r="J2445" s="23"/>
      <c r="K2445" s="23"/>
      <c r="M2445" s="23"/>
      <c r="N2445" s="23"/>
      <c r="P2445" s="23"/>
    </row>
    <row r="2446" spans="2:16" x14ac:dyDescent="0.25">
      <c r="B2446" s="23"/>
      <c r="E2446" s="23"/>
      <c r="G2446" s="23"/>
      <c r="H2446" s="23"/>
      <c r="J2446" s="23"/>
      <c r="K2446" s="23"/>
      <c r="M2446" s="23"/>
      <c r="N2446" s="23"/>
      <c r="P2446" s="23"/>
    </row>
    <row r="2447" spans="2:16" x14ac:dyDescent="0.25">
      <c r="B2447" s="23"/>
      <c r="E2447" s="23"/>
      <c r="G2447" s="23"/>
      <c r="H2447" s="23"/>
      <c r="J2447" s="23"/>
      <c r="K2447" s="23"/>
      <c r="M2447" s="23"/>
      <c r="N2447" s="23"/>
      <c r="P2447" s="23"/>
    </row>
    <row r="2448" spans="2:16" x14ac:dyDescent="0.25">
      <c r="B2448" s="23"/>
      <c r="E2448" s="23"/>
      <c r="G2448" s="23"/>
      <c r="H2448" s="23"/>
      <c r="J2448" s="23"/>
      <c r="K2448" s="23"/>
      <c r="M2448" s="23"/>
      <c r="N2448" s="23"/>
      <c r="P2448" s="23"/>
    </row>
    <row r="2449" spans="2:16" x14ac:dyDescent="0.25">
      <c r="B2449" s="23"/>
      <c r="E2449" s="23"/>
      <c r="G2449" s="23"/>
      <c r="H2449" s="23"/>
      <c r="J2449" s="23"/>
      <c r="K2449" s="23"/>
      <c r="M2449" s="23"/>
      <c r="N2449" s="23"/>
      <c r="P2449" s="23"/>
    </row>
    <row r="2450" spans="2:16" x14ac:dyDescent="0.25">
      <c r="B2450" s="23"/>
      <c r="E2450" s="23"/>
      <c r="G2450" s="23"/>
      <c r="H2450" s="23"/>
      <c r="J2450" s="23"/>
      <c r="K2450" s="23"/>
      <c r="M2450" s="23"/>
      <c r="N2450" s="23"/>
      <c r="P2450" s="23"/>
    </row>
    <row r="2451" spans="2:16" x14ac:dyDescent="0.25">
      <c r="B2451" s="23"/>
      <c r="E2451" s="23"/>
      <c r="G2451" s="23"/>
      <c r="H2451" s="23"/>
      <c r="J2451" s="23"/>
      <c r="K2451" s="23"/>
      <c r="M2451" s="23"/>
      <c r="N2451" s="23"/>
      <c r="P2451" s="23"/>
    </row>
    <row r="2452" spans="2:16" x14ac:dyDescent="0.25">
      <c r="B2452" s="23"/>
      <c r="E2452" s="23"/>
      <c r="G2452" s="23"/>
      <c r="H2452" s="23"/>
      <c r="J2452" s="23"/>
      <c r="K2452" s="23"/>
      <c r="M2452" s="23"/>
      <c r="N2452" s="23"/>
      <c r="P2452" s="23"/>
    </row>
    <row r="2453" spans="2:16" x14ac:dyDescent="0.25">
      <c r="B2453" s="23"/>
      <c r="E2453" s="23"/>
      <c r="G2453" s="23"/>
      <c r="H2453" s="23"/>
      <c r="J2453" s="23"/>
      <c r="K2453" s="23"/>
      <c r="M2453" s="23"/>
      <c r="N2453" s="23"/>
      <c r="P2453" s="23"/>
    </row>
    <row r="2454" spans="2:16" x14ac:dyDescent="0.25">
      <c r="B2454" s="23"/>
      <c r="E2454" s="23"/>
      <c r="G2454" s="23"/>
      <c r="H2454" s="23"/>
      <c r="J2454" s="23"/>
      <c r="K2454" s="23"/>
      <c r="M2454" s="23"/>
      <c r="N2454" s="23"/>
      <c r="P2454" s="23"/>
    </row>
    <row r="2455" spans="2:16" x14ac:dyDescent="0.25">
      <c r="B2455" s="23"/>
      <c r="E2455" s="23"/>
      <c r="G2455" s="23"/>
      <c r="H2455" s="23"/>
      <c r="J2455" s="23"/>
      <c r="K2455" s="23"/>
      <c r="M2455" s="23"/>
      <c r="N2455" s="23"/>
      <c r="P2455" s="23"/>
    </row>
    <row r="2456" spans="2:16" x14ac:dyDescent="0.25">
      <c r="B2456" s="23"/>
      <c r="E2456" s="23"/>
      <c r="G2456" s="23"/>
      <c r="H2456" s="23"/>
      <c r="J2456" s="23"/>
      <c r="K2456" s="23"/>
      <c r="M2456" s="23"/>
      <c r="N2456" s="23"/>
      <c r="P2456" s="23"/>
    </row>
    <row r="2457" spans="2:16" x14ac:dyDescent="0.25">
      <c r="B2457" s="23"/>
      <c r="E2457" s="23"/>
      <c r="G2457" s="23"/>
      <c r="H2457" s="23"/>
      <c r="J2457" s="23"/>
      <c r="K2457" s="23"/>
      <c r="M2457" s="23"/>
      <c r="N2457" s="23"/>
      <c r="P2457" s="23"/>
    </row>
    <row r="2458" spans="2:16" x14ac:dyDescent="0.25">
      <c r="B2458" s="23"/>
      <c r="E2458" s="23"/>
      <c r="G2458" s="23"/>
      <c r="H2458" s="23"/>
      <c r="J2458" s="23"/>
      <c r="K2458" s="23"/>
      <c r="M2458" s="23"/>
      <c r="N2458" s="23"/>
      <c r="P2458" s="23"/>
    </row>
    <row r="2459" spans="2:16" x14ac:dyDescent="0.25">
      <c r="B2459" s="23"/>
      <c r="E2459" s="23"/>
      <c r="G2459" s="23"/>
      <c r="H2459" s="23"/>
      <c r="J2459" s="23"/>
      <c r="K2459" s="23"/>
      <c r="M2459" s="23"/>
      <c r="N2459" s="23"/>
      <c r="P2459" s="23"/>
    </row>
    <row r="2460" spans="2:16" x14ac:dyDescent="0.25">
      <c r="B2460" s="23"/>
      <c r="E2460" s="23"/>
      <c r="G2460" s="23"/>
      <c r="H2460" s="23"/>
      <c r="J2460" s="23"/>
      <c r="K2460" s="23"/>
      <c r="M2460" s="23"/>
      <c r="N2460" s="23"/>
      <c r="P2460" s="23"/>
    </row>
    <row r="2461" spans="2:16" x14ac:dyDescent="0.25">
      <c r="B2461" s="23"/>
      <c r="E2461" s="23"/>
      <c r="G2461" s="23"/>
      <c r="H2461" s="23"/>
      <c r="J2461" s="23"/>
      <c r="K2461" s="23"/>
      <c r="M2461" s="23"/>
      <c r="N2461" s="23"/>
      <c r="P2461" s="23"/>
    </row>
    <row r="2462" spans="2:16" x14ac:dyDescent="0.25">
      <c r="B2462" s="23"/>
      <c r="E2462" s="23"/>
      <c r="G2462" s="23"/>
      <c r="H2462" s="23"/>
      <c r="J2462" s="23"/>
      <c r="K2462" s="23"/>
      <c r="M2462" s="23"/>
      <c r="N2462" s="23"/>
      <c r="P2462" s="23"/>
    </row>
    <row r="2463" spans="2:16" x14ac:dyDescent="0.25">
      <c r="B2463" s="23"/>
      <c r="E2463" s="23"/>
      <c r="G2463" s="23"/>
      <c r="H2463" s="23"/>
      <c r="J2463" s="23"/>
      <c r="K2463" s="23"/>
      <c r="M2463" s="23"/>
      <c r="N2463" s="23"/>
      <c r="P2463" s="23"/>
    </row>
    <row r="2464" spans="2:16" x14ac:dyDescent="0.25">
      <c r="B2464" s="23"/>
      <c r="E2464" s="23"/>
      <c r="G2464" s="23"/>
      <c r="H2464" s="23"/>
      <c r="J2464" s="23"/>
      <c r="K2464" s="23"/>
      <c r="M2464" s="23"/>
      <c r="N2464" s="23"/>
      <c r="P2464" s="23"/>
    </row>
    <row r="2465" spans="2:16" x14ac:dyDescent="0.25">
      <c r="B2465" s="23"/>
      <c r="E2465" s="23"/>
      <c r="G2465" s="23"/>
      <c r="H2465" s="23"/>
      <c r="J2465" s="23"/>
      <c r="K2465" s="23"/>
      <c r="M2465" s="23"/>
      <c r="N2465" s="23"/>
      <c r="P2465" s="23"/>
    </row>
    <row r="2466" spans="2:16" x14ac:dyDescent="0.25">
      <c r="B2466" s="23"/>
      <c r="E2466" s="23"/>
      <c r="G2466" s="23"/>
      <c r="H2466" s="23"/>
      <c r="J2466" s="23"/>
      <c r="K2466" s="23"/>
      <c r="M2466" s="23"/>
      <c r="N2466" s="23"/>
      <c r="P2466" s="23"/>
    </row>
    <row r="2467" spans="2:16" x14ac:dyDescent="0.25">
      <c r="B2467" s="23"/>
      <c r="E2467" s="23"/>
      <c r="G2467" s="23"/>
      <c r="H2467" s="23"/>
      <c r="J2467" s="23"/>
      <c r="K2467" s="23"/>
      <c r="M2467" s="23"/>
      <c r="N2467" s="23"/>
      <c r="P2467" s="23"/>
    </row>
    <row r="2468" spans="2:16" x14ac:dyDescent="0.25">
      <c r="B2468" s="23"/>
      <c r="E2468" s="23"/>
      <c r="G2468" s="23"/>
      <c r="H2468" s="23"/>
      <c r="J2468" s="23"/>
      <c r="K2468" s="23"/>
      <c r="M2468" s="23"/>
      <c r="N2468" s="23"/>
      <c r="P2468" s="23"/>
    </row>
    <row r="2469" spans="2:16" x14ac:dyDescent="0.25">
      <c r="B2469" s="23"/>
      <c r="E2469" s="23"/>
      <c r="G2469" s="23"/>
      <c r="H2469" s="23"/>
      <c r="J2469" s="23"/>
      <c r="K2469" s="23"/>
      <c r="M2469" s="23"/>
      <c r="N2469" s="23"/>
      <c r="P2469" s="23"/>
    </row>
    <row r="2470" spans="2:16" x14ac:dyDescent="0.25">
      <c r="B2470" s="23"/>
      <c r="E2470" s="23"/>
      <c r="G2470" s="23"/>
      <c r="H2470" s="23"/>
      <c r="J2470" s="23"/>
      <c r="K2470" s="23"/>
      <c r="M2470" s="23"/>
      <c r="N2470" s="23"/>
      <c r="P2470" s="23"/>
    </row>
    <row r="2471" spans="2:16" x14ac:dyDescent="0.25">
      <c r="B2471" s="23"/>
      <c r="E2471" s="23"/>
      <c r="G2471" s="23"/>
      <c r="H2471" s="23"/>
      <c r="J2471" s="23"/>
      <c r="K2471" s="23"/>
      <c r="M2471" s="23"/>
      <c r="N2471" s="23"/>
      <c r="P2471" s="23"/>
    </row>
    <row r="2472" spans="2:16" x14ac:dyDescent="0.25">
      <c r="B2472" s="23"/>
      <c r="E2472" s="23"/>
      <c r="G2472" s="23"/>
      <c r="H2472" s="23"/>
      <c r="J2472" s="23"/>
      <c r="K2472" s="23"/>
      <c r="M2472" s="23"/>
      <c r="N2472" s="23"/>
      <c r="P2472" s="23"/>
    </row>
    <row r="2473" spans="2:16" x14ac:dyDescent="0.25">
      <c r="B2473" s="23"/>
      <c r="E2473" s="23"/>
      <c r="G2473" s="23"/>
      <c r="H2473" s="23"/>
      <c r="J2473" s="23"/>
      <c r="K2473" s="23"/>
      <c r="M2473" s="23"/>
      <c r="N2473" s="23"/>
      <c r="P2473" s="23"/>
    </row>
    <row r="2474" spans="2:16" x14ac:dyDescent="0.25">
      <c r="B2474" s="23"/>
      <c r="E2474" s="23"/>
      <c r="G2474" s="23"/>
      <c r="H2474" s="23"/>
      <c r="J2474" s="23"/>
      <c r="K2474" s="23"/>
      <c r="M2474" s="23"/>
      <c r="N2474" s="23"/>
      <c r="P2474" s="23"/>
    </row>
    <row r="2475" spans="2:16" x14ac:dyDescent="0.25">
      <c r="B2475" s="23"/>
      <c r="E2475" s="23"/>
      <c r="G2475" s="23"/>
      <c r="H2475" s="23"/>
      <c r="J2475" s="23"/>
      <c r="K2475" s="23"/>
      <c r="M2475" s="23"/>
      <c r="N2475" s="23"/>
      <c r="P2475" s="23"/>
    </row>
    <row r="2476" spans="2:16" x14ac:dyDescent="0.25">
      <c r="B2476" s="23"/>
      <c r="E2476" s="23"/>
      <c r="G2476" s="23"/>
      <c r="H2476" s="23"/>
      <c r="J2476" s="23"/>
      <c r="K2476" s="23"/>
      <c r="M2476" s="23"/>
      <c r="N2476" s="23"/>
      <c r="P2476" s="23"/>
    </row>
    <row r="2477" spans="2:16" x14ac:dyDescent="0.25">
      <c r="B2477" s="23"/>
      <c r="E2477" s="23"/>
      <c r="G2477" s="23"/>
      <c r="H2477" s="23"/>
      <c r="J2477" s="23"/>
      <c r="K2477" s="23"/>
      <c r="M2477" s="23"/>
      <c r="N2477" s="23"/>
      <c r="P2477" s="23"/>
    </row>
    <row r="2478" spans="2:16" x14ac:dyDescent="0.25">
      <c r="B2478" s="23"/>
      <c r="E2478" s="23"/>
      <c r="G2478" s="23"/>
      <c r="H2478" s="23"/>
      <c r="J2478" s="23"/>
      <c r="K2478" s="23"/>
      <c r="M2478" s="23"/>
      <c r="N2478" s="23"/>
      <c r="P2478" s="23"/>
    </row>
    <row r="2479" spans="2:16" x14ac:dyDescent="0.25">
      <c r="B2479" s="23"/>
      <c r="E2479" s="23"/>
      <c r="G2479" s="23"/>
      <c r="H2479" s="23"/>
      <c r="J2479" s="23"/>
      <c r="K2479" s="23"/>
      <c r="M2479" s="23"/>
      <c r="N2479" s="23"/>
      <c r="P2479" s="23"/>
    </row>
    <row r="2480" spans="2:16" x14ac:dyDescent="0.25">
      <c r="B2480" s="23"/>
      <c r="E2480" s="23"/>
      <c r="G2480" s="23"/>
      <c r="H2480" s="23"/>
      <c r="J2480" s="23"/>
      <c r="K2480" s="23"/>
      <c r="M2480" s="23"/>
      <c r="N2480" s="23"/>
      <c r="P2480" s="23"/>
    </row>
    <row r="2481" spans="2:16" x14ac:dyDescent="0.25">
      <c r="B2481" s="23"/>
      <c r="E2481" s="23"/>
      <c r="G2481" s="23"/>
      <c r="H2481" s="23"/>
      <c r="J2481" s="23"/>
      <c r="K2481" s="23"/>
      <c r="M2481" s="23"/>
      <c r="N2481" s="23"/>
      <c r="P2481" s="23"/>
    </row>
    <row r="2482" spans="2:16" x14ac:dyDescent="0.25">
      <c r="B2482" s="23"/>
      <c r="E2482" s="23"/>
      <c r="G2482" s="23"/>
      <c r="H2482" s="23"/>
      <c r="J2482" s="23"/>
      <c r="K2482" s="23"/>
      <c r="M2482" s="23"/>
      <c r="N2482" s="23"/>
      <c r="P2482" s="23"/>
    </row>
    <row r="2483" spans="2:16" x14ac:dyDescent="0.25">
      <c r="B2483" s="23"/>
      <c r="E2483" s="23"/>
      <c r="G2483" s="23"/>
      <c r="H2483" s="23"/>
      <c r="J2483" s="23"/>
      <c r="K2483" s="23"/>
      <c r="M2483" s="23"/>
      <c r="N2483" s="23"/>
      <c r="P2483" s="23"/>
    </row>
    <row r="2484" spans="2:16" x14ac:dyDescent="0.25">
      <c r="B2484" s="23"/>
      <c r="E2484" s="23"/>
      <c r="G2484" s="23"/>
      <c r="H2484" s="23"/>
      <c r="J2484" s="23"/>
      <c r="K2484" s="23"/>
      <c r="M2484" s="23"/>
      <c r="N2484" s="23"/>
      <c r="P2484" s="23"/>
    </row>
    <row r="2485" spans="2:16" x14ac:dyDescent="0.25">
      <c r="B2485" s="23"/>
      <c r="E2485" s="23"/>
      <c r="G2485" s="23"/>
      <c r="H2485" s="23"/>
      <c r="J2485" s="23"/>
      <c r="K2485" s="23"/>
      <c r="M2485" s="23"/>
      <c r="N2485" s="23"/>
      <c r="P2485" s="23"/>
    </row>
    <row r="2486" spans="2:16" x14ac:dyDescent="0.25">
      <c r="B2486" s="23"/>
      <c r="E2486" s="23"/>
      <c r="G2486" s="23"/>
      <c r="H2486" s="23"/>
      <c r="J2486" s="23"/>
      <c r="K2486" s="23"/>
      <c r="M2486" s="23"/>
      <c r="N2486" s="23"/>
      <c r="P2486" s="23"/>
    </row>
    <row r="2487" spans="2:16" x14ac:dyDescent="0.25">
      <c r="B2487" s="23"/>
      <c r="E2487" s="23"/>
      <c r="G2487" s="23"/>
      <c r="H2487" s="23"/>
      <c r="J2487" s="23"/>
      <c r="K2487" s="23"/>
      <c r="M2487" s="23"/>
      <c r="N2487" s="23"/>
      <c r="P2487" s="23"/>
    </row>
    <row r="2488" spans="2:16" x14ac:dyDescent="0.25">
      <c r="B2488" s="23"/>
      <c r="E2488" s="23"/>
      <c r="G2488" s="23"/>
      <c r="H2488" s="23"/>
      <c r="J2488" s="23"/>
      <c r="K2488" s="23"/>
      <c r="M2488" s="23"/>
      <c r="N2488" s="23"/>
      <c r="P2488" s="23"/>
    </row>
    <row r="2489" spans="2:16" x14ac:dyDescent="0.25">
      <c r="B2489" s="23"/>
      <c r="E2489" s="23"/>
      <c r="G2489" s="23"/>
      <c r="H2489" s="23"/>
      <c r="J2489" s="23"/>
      <c r="K2489" s="23"/>
      <c r="M2489" s="23"/>
      <c r="N2489" s="23"/>
      <c r="P2489" s="23"/>
    </row>
    <row r="2490" spans="2:16" x14ac:dyDescent="0.25">
      <c r="B2490" s="23"/>
      <c r="E2490" s="23"/>
      <c r="G2490" s="23"/>
      <c r="H2490" s="23"/>
      <c r="J2490" s="23"/>
      <c r="K2490" s="23"/>
      <c r="M2490" s="23"/>
      <c r="N2490" s="23"/>
      <c r="P2490" s="23"/>
    </row>
    <row r="2491" spans="2:16" x14ac:dyDescent="0.25">
      <c r="B2491" s="23"/>
      <c r="E2491" s="23"/>
      <c r="G2491" s="23"/>
      <c r="H2491" s="23"/>
      <c r="J2491" s="23"/>
      <c r="K2491" s="23"/>
      <c r="M2491" s="23"/>
      <c r="N2491" s="23"/>
      <c r="P2491" s="23"/>
    </row>
    <row r="2492" spans="2:16" x14ac:dyDescent="0.25">
      <c r="B2492" s="23"/>
      <c r="E2492" s="23"/>
      <c r="G2492" s="23"/>
      <c r="H2492" s="23"/>
      <c r="J2492" s="23"/>
      <c r="K2492" s="23"/>
      <c r="M2492" s="23"/>
      <c r="N2492" s="23"/>
      <c r="P2492" s="23"/>
    </row>
    <row r="2493" spans="2:16" x14ac:dyDescent="0.25">
      <c r="B2493" s="23"/>
      <c r="E2493" s="23"/>
      <c r="G2493" s="23"/>
      <c r="H2493" s="23"/>
      <c r="J2493" s="23"/>
      <c r="K2493" s="23"/>
      <c r="M2493" s="23"/>
      <c r="N2493" s="23"/>
      <c r="P2493" s="23"/>
    </row>
    <row r="2494" spans="2:16" x14ac:dyDescent="0.25">
      <c r="B2494" s="23"/>
      <c r="E2494" s="23"/>
      <c r="G2494" s="23"/>
      <c r="H2494" s="23"/>
      <c r="J2494" s="23"/>
      <c r="K2494" s="23"/>
      <c r="M2494" s="23"/>
      <c r="N2494" s="23"/>
      <c r="P2494" s="23"/>
    </row>
    <row r="2495" spans="2:16" x14ac:dyDescent="0.25">
      <c r="B2495" s="23"/>
      <c r="E2495" s="23"/>
      <c r="G2495" s="23"/>
      <c r="H2495" s="23"/>
      <c r="J2495" s="23"/>
      <c r="K2495" s="23"/>
      <c r="M2495" s="23"/>
      <c r="N2495" s="23"/>
      <c r="P2495" s="23"/>
    </row>
    <row r="2496" spans="2:16" x14ac:dyDescent="0.25">
      <c r="B2496" s="23"/>
      <c r="E2496" s="23"/>
      <c r="G2496" s="23"/>
      <c r="H2496" s="23"/>
      <c r="J2496" s="23"/>
      <c r="K2496" s="23"/>
      <c r="M2496" s="23"/>
      <c r="N2496" s="23"/>
      <c r="P2496" s="23"/>
    </row>
    <row r="2497" spans="2:16" x14ac:dyDescent="0.25">
      <c r="B2497" s="23"/>
      <c r="E2497" s="23"/>
      <c r="G2497" s="23"/>
      <c r="H2497" s="23"/>
      <c r="J2497" s="23"/>
      <c r="K2497" s="23"/>
      <c r="M2497" s="23"/>
      <c r="N2497" s="23"/>
      <c r="P2497" s="23"/>
    </row>
    <row r="2498" spans="2:16" x14ac:dyDescent="0.25">
      <c r="B2498" s="23"/>
      <c r="E2498" s="23"/>
      <c r="G2498" s="23"/>
      <c r="H2498" s="23"/>
      <c r="J2498" s="23"/>
      <c r="K2498" s="23"/>
      <c r="M2498" s="23"/>
      <c r="N2498" s="23"/>
      <c r="P2498" s="23"/>
    </row>
    <row r="2499" spans="2:16" x14ac:dyDescent="0.25">
      <c r="B2499" s="23"/>
      <c r="E2499" s="23"/>
      <c r="G2499" s="23"/>
      <c r="H2499" s="23"/>
      <c r="J2499" s="23"/>
      <c r="K2499" s="23"/>
      <c r="M2499" s="23"/>
      <c r="N2499" s="23"/>
      <c r="P2499" s="23"/>
    </row>
    <row r="2500" spans="2:16" x14ac:dyDescent="0.25">
      <c r="B2500" s="23"/>
      <c r="E2500" s="23"/>
      <c r="G2500" s="23"/>
      <c r="H2500" s="23"/>
      <c r="J2500" s="23"/>
      <c r="K2500" s="23"/>
      <c r="M2500" s="23"/>
      <c r="N2500" s="23"/>
      <c r="P2500" s="23"/>
    </row>
    <row r="2501" spans="2:16" x14ac:dyDescent="0.25">
      <c r="B2501" s="23"/>
      <c r="E2501" s="23"/>
      <c r="G2501" s="23"/>
      <c r="H2501" s="23"/>
      <c r="J2501" s="23"/>
      <c r="K2501" s="23"/>
      <c r="M2501" s="23"/>
      <c r="N2501" s="23"/>
      <c r="P2501" s="23"/>
    </row>
    <row r="2502" spans="2:16" x14ac:dyDescent="0.25">
      <c r="B2502" s="23"/>
      <c r="E2502" s="23"/>
      <c r="G2502" s="23"/>
      <c r="H2502" s="23"/>
      <c r="J2502" s="23"/>
      <c r="K2502" s="23"/>
      <c r="M2502" s="23"/>
      <c r="N2502" s="23"/>
      <c r="P2502" s="23"/>
    </row>
    <row r="2503" spans="2:16" x14ac:dyDescent="0.25">
      <c r="B2503" s="23"/>
      <c r="E2503" s="23"/>
      <c r="G2503" s="23"/>
      <c r="H2503" s="23"/>
      <c r="J2503" s="23"/>
      <c r="K2503" s="23"/>
      <c r="M2503" s="23"/>
      <c r="N2503" s="23"/>
      <c r="P2503" s="23"/>
    </row>
    <row r="2504" spans="2:16" x14ac:dyDescent="0.25">
      <c r="B2504" s="23"/>
      <c r="E2504" s="23"/>
      <c r="G2504" s="23"/>
      <c r="H2504" s="23"/>
      <c r="J2504" s="23"/>
      <c r="K2504" s="23"/>
      <c r="M2504" s="23"/>
      <c r="N2504" s="23"/>
      <c r="P2504" s="23"/>
    </row>
    <row r="2505" spans="2:16" x14ac:dyDescent="0.25">
      <c r="B2505" s="23"/>
      <c r="E2505" s="23"/>
      <c r="G2505" s="23"/>
      <c r="H2505" s="23"/>
      <c r="J2505" s="23"/>
      <c r="K2505" s="23"/>
      <c r="M2505" s="23"/>
      <c r="N2505" s="23"/>
      <c r="P2505" s="23"/>
    </row>
    <row r="2506" spans="2:16" x14ac:dyDescent="0.25">
      <c r="B2506" s="23"/>
      <c r="E2506" s="23"/>
      <c r="G2506" s="23"/>
      <c r="H2506" s="23"/>
      <c r="J2506" s="23"/>
      <c r="K2506" s="23"/>
      <c r="M2506" s="23"/>
      <c r="N2506" s="23"/>
      <c r="P2506" s="23"/>
    </row>
    <row r="2507" spans="2:16" x14ac:dyDescent="0.25">
      <c r="B2507" s="23"/>
      <c r="E2507" s="23"/>
      <c r="G2507" s="23"/>
      <c r="H2507" s="23"/>
      <c r="J2507" s="23"/>
      <c r="K2507" s="23"/>
      <c r="M2507" s="23"/>
      <c r="N2507" s="23"/>
      <c r="P2507" s="23"/>
    </row>
    <row r="2508" spans="2:16" x14ac:dyDescent="0.25">
      <c r="B2508" s="23"/>
      <c r="E2508" s="23"/>
      <c r="G2508" s="23"/>
      <c r="H2508" s="23"/>
      <c r="J2508" s="23"/>
      <c r="K2508" s="23"/>
      <c r="M2508" s="23"/>
      <c r="N2508" s="23"/>
      <c r="P2508" s="23"/>
    </row>
    <row r="2509" spans="2:16" x14ac:dyDescent="0.25">
      <c r="B2509" s="23"/>
      <c r="E2509" s="23"/>
      <c r="G2509" s="23"/>
      <c r="H2509" s="23"/>
      <c r="J2509" s="23"/>
      <c r="K2509" s="23"/>
      <c r="M2509" s="23"/>
      <c r="N2509" s="23"/>
      <c r="P2509" s="23"/>
    </row>
    <row r="2510" spans="2:16" x14ac:dyDescent="0.25">
      <c r="B2510" s="23"/>
      <c r="E2510" s="23"/>
      <c r="G2510" s="23"/>
      <c r="H2510" s="23"/>
      <c r="J2510" s="23"/>
      <c r="K2510" s="23"/>
      <c r="M2510" s="23"/>
      <c r="N2510" s="23"/>
      <c r="P2510" s="23"/>
    </row>
    <row r="2511" spans="2:16" x14ac:dyDescent="0.25">
      <c r="B2511" s="23"/>
      <c r="E2511" s="23"/>
      <c r="G2511" s="23"/>
      <c r="H2511" s="23"/>
      <c r="J2511" s="23"/>
      <c r="K2511" s="23"/>
      <c r="M2511" s="23"/>
      <c r="N2511" s="23"/>
      <c r="P2511" s="23"/>
    </row>
    <row r="2512" spans="2:16" x14ac:dyDescent="0.25">
      <c r="B2512" s="23"/>
      <c r="E2512" s="23"/>
      <c r="G2512" s="23"/>
      <c r="H2512" s="23"/>
      <c r="J2512" s="23"/>
      <c r="K2512" s="23"/>
      <c r="M2512" s="23"/>
      <c r="N2512" s="23"/>
      <c r="P2512" s="23"/>
    </row>
    <row r="2513" spans="2:16" x14ac:dyDescent="0.25">
      <c r="B2513" s="23"/>
      <c r="E2513" s="23"/>
      <c r="G2513" s="23"/>
      <c r="H2513" s="23"/>
      <c r="J2513" s="23"/>
      <c r="K2513" s="23"/>
      <c r="M2513" s="23"/>
      <c r="N2513" s="23"/>
      <c r="P2513" s="23"/>
    </row>
    <row r="2514" spans="2:16" x14ac:dyDescent="0.25">
      <c r="B2514" s="23"/>
      <c r="E2514" s="23"/>
      <c r="G2514" s="23"/>
      <c r="H2514" s="23"/>
      <c r="J2514" s="23"/>
      <c r="K2514" s="23"/>
      <c r="M2514" s="23"/>
      <c r="N2514" s="23"/>
      <c r="P2514" s="23"/>
    </row>
    <row r="2515" spans="2:16" x14ac:dyDescent="0.25">
      <c r="B2515" s="23"/>
      <c r="E2515" s="23"/>
      <c r="G2515" s="23"/>
      <c r="H2515" s="23"/>
      <c r="J2515" s="23"/>
      <c r="K2515" s="23"/>
      <c r="M2515" s="23"/>
      <c r="N2515" s="23"/>
      <c r="P2515" s="23"/>
    </row>
    <row r="2516" spans="2:16" x14ac:dyDescent="0.25">
      <c r="B2516" s="23"/>
      <c r="E2516" s="23"/>
      <c r="G2516" s="23"/>
      <c r="H2516" s="23"/>
      <c r="J2516" s="23"/>
      <c r="K2516" s="23"/>
      <c r="M2516" s="23"/>
      <c r="N2516" s="23"/>
      <c r="P2516" s="23"/>
    </row>
    <row r="2517" spans="2:16" x14ac:dyDescent="0.25">
      <c r="B2517" s="23"/>
      <c r="E2517" s="23"/>
      <c r="G2517" s="23"/>
      <c r="H2517" s="23"/>
      <c r="J2517" s="23"/>
      <c r="K2517" s="23"/>
      <c r="M2517" s="23"/>
      <c r="N2517" s="23"/>
      <c r="P2517" s="23"/>
    </row>
    <row r="2518" spans="2:16" x14ac:dyDescent="0.25">
      <c r="B2518" s="23"/>
      <c r="E2518" s="23"/>
      <c r="G2518" s="23"/>
      <c r="H2518" s="23"/>
      <c r="J2518" s="23"/>
      <c r="K2518" s="23"/>
      <c r="M2518" s="23"/>
      <c r="N2518" s="23"/>
      <c r="P2518" s="23"/>
    </row>
    <row r="2519" spans="2:16" x14ac:dyDescent="0.25">
      <c r="B2519" s="23"/>
      <c r="E2519" s="23"/>
      <c r="G2519" s="23"/>
      <c r="H2519" s="23"/>
      <c r="J2519" s="23"/>
      <c r="K2519" s="23"/>
      <c r="M2519" s="23"/>
      <c r="N2519" s="23"/>
      <c r="P2519" s="23"/>
    </row>
    <row r="2520" spans="2:16" x14ac:dyDescent="0.25">
      <c r="B2520" s="23"/>
      <c r="E2520" s="23"/>
      <c r="G2520" s="23"/>
      <c r="H2520" s="23"/>
      <c r="J2520" s="23"/>
      <c r="K2520" s="23"/>
      <c r="M2520" s="23"/>
      <c r="N2520" s="23"/>
      <c r="P2520" s="23"/>
    </row>
    <row r="2521" spans="2:16" x14ac:dyDescent="0.25">
      <c r="B2521" s="23"/>
      <c r="E2521" s="23"/>
      <c r="G2521" s="23"/>
      <c r="H2521" s="23"/>
      <c r="J2521" s="23"/>
      <c r="K2521" s="23"/>
      <c r="M2521" s="23"/>
      <c r="N2521" s="23"/>
      <c r="P2521" s="23"/>
    </row>
    <row r="2522" spans="2:16" x14ac:dyDescent="0.25">
      <c r="B2522" s="23"/>
      <c r="E2522" s="23"/>
      <c r="G2522" s="23"/>
      <c r="H2522" s="23"/>
      <c r="J2522" s="23"/>
      <c r="K2522" s="23"/>
      <c r="M2522" s="23"/>
      <c r="N2522" s="23"/>
      <c r="P2522" s="23"/>
    </row>
    <row r="2523" spans="2:16" x14ac:dyDescent="0.25">
      <c r="B2523" s="23"/>
      <c r="E2523" s="23"/>
      <c r="G2523" s="23"/>
      <c r="H2523" s="23"/>
      <c r="J2523" s="23"/>
      <c r="K2523" s="23"/>
      <c r="M2523" s="23"/>
      <c r="N2523" s="23"/>
      <c r="P2523" s="23"/>
    </row>
    <row r="2524" spans="2:16" x14ac:dyDescent="0.25">
      <c r="B2524" s="23"/>
      <c r="E2524" s="23"/>
      <c r="G2524" s="23"/>
      <c r="H2524" s="23"/>
      <c r="J2524" s="23"/>
      <c r="K2524" s="23"/>
      <c r="M2524" s="23"/>
      <c r="N2524" s="23"/>
      <c r="P2524" s="23"/>
    </row>
    <row r="2525" spans="2:16" x14ac:dyDescent="0.25">
      <c r="B2525" s="23"/>
      <c r="E2525" s="23"/>
      <c r="G2525" s="23"/>
      <c r="H2525" s="23"/>
      <c r="J2525" s="23"/>
      <c r="K2525" s="23"/>
      <c r="M2525" s="23"/>
      <c r="N2525" s="23"/>
      <c r="P2525" s="23"/>
    </row>
    <row r="2526" spans="2:16" x14ac:dyDescent="0.25">
      <c r="B2526" s="23"/>
      <c r="E2526" s="23"/>
      <c r="G2526" s="23"/>
      <c r="H2526" s="23"/>
      <c r="J2526" s="23"/>
      <c r="K2526" s="23"/>
      <c r="M2526" s="23"/>
      <c r="N2526" s="23"/>
      <c r="P2526" s="23"/>
    </row>
    <row r="2527" spans="2:16" x14ac:dyDescent="0.25">
      <c r="B2527" s="23"/>
      <c r="E2527" s="23"/>
      <c r="G2527" s="23"/>
      <c r="H2527" s="23"/>
      <c r="J2527" s="23"/>
      <c r="K2527" s="23"/>
      <c r="M2527" s="23"/>
      <c r="N2527" s="23"/>
      <c r="P2527" s="23"/>
    </row>
    <row r="2528" spans="2:16" x14ac:dyDescent="0.25">
      <c r="B2528" s="23"/>
      <c r="E2528" s="23"/>
      <c r="G2528" s="23"/>
      <c r="H2528" s="23"/>
      <c r="J2528" s="23"/>
      <c r="K2528" s="23"/>
      <c r="M2528" s="23"/>
      <c r="N2528" s="23"/>
      <c r="P2528" s="23"/>
    </row>
    <row r="2529" spans="2:16" x14ac:dyDescent="0.25">
      <c r="B2529" s="23"/>
      <c r="E2529" s="23"/>
      <c r="G2529" s="23"/>
      <c r="H2529" s="23"/>
      <c r="J2529" s="23"/>
      <c r="K2529" s="23"/>
      <c r="M2529" s="23"/>
      <c r="N2529" s="23"/>
      <c r="P2529" s="23"/>
    </row>
    <row r="2530" spans="2:16" x14ac:dyDescent="0.25">
      <c r="B2530" s="23"/>
      <c r="E2530" s="23"/>
      <c r="G2530" s="23"/>
      <c r="H2530" s="23"/>
      <c r="J2530" s="23"/>
      <c r="K2530" s="23"/>
      <c r="M2530" s="23"/>
      <c r="N2530" s="23"/>
      <c r="P2530" s="23"/>
    </row>
    <row r="2531" spans="2:16" x14ac:dyDescent="0.25">
      <c r="B2531" s="23"/>
      <c r="E2531" s="23"/>
      <c r="G2531" s="23"/>
      <c r="H2531" s="23"/>
      <c r="J2531" s="23"/>
      <c r="K2531" s="23"/>
      <c r="M2531" s="23"/>
      <c r="N2531" s="23"/>
      <c r="P2531" s="23"/>
    </row>
    <row r="2532" spans="2:16" x14ac:dyDescent="0.25">
      <c r="B2532" s="23"/>
      <c r="E2532" s="23"/>
      <c r="G2532" s="23"/>
      <c r="H2532" s="23"/>
      <c r="J2532" s="23"/>
      <c r="K2532" s="23"/>
      <c r="M2532" s="23"/>
      <c r="N2532" s="23"/>
      <c r="P2532" s="23"/>
    </row>
    <row r="2533" spans="2:16" x14ac:dyDescent="0.25">
      <c r="B2533" s="23"/>
      <c r="E2533" s="23"/>
      <c r="G2533" s="23"/>
      <c r="H2533" s="23"/>
      <c r="J2533" s="23"/>
      <c r="K2533" s="23"/>
      <c r="M2533" s="23"/>
      <c r="N2533" s="23"/>
      <c r="P2533" s="23"/>
    </row>
    <row r="2534" spans="2:16" x14ac:dyDescent="0.25">
      <c r="B2534" s="23"/>
      <c r="E2534" s="23"/>
      <c r="G2534" s="23"/>
      <c r="H2534" s="23"/>
      <c r="J2534" s="23"/>
      <c r="K2534" s="23"/>
      <c r="M2534" s="23"/>
      <c r="N2534" s="23"/>
      <c r="P2534" s="23"/>
    </row>
    <row r="2535" spans="2:16" x14ac:dyDescent="0.25">
      <c r="B2535" s="23"/>
      <c r="E2535" s="23"/>
      <c r="G2535" s="23"/>
      <c r="H2535" s="23"/>
      <c r="J2535" s="23"/>
      <c r="K2535" s="23"/>
      <c r="M2535" s="23"/>
      <c r="N2535" s="23"/>
      <c r="P2535" s="23"/>
    </row>
    <row r="2536" spans="2:16" x14ac:dyDescent="0.25">
      <c r="B2536" s="23"/>
      <c r="E2536" s="23"/>
      <c r="G2536" s="23"/>
      <c r="H2536" s="23"/>
      <c r="J2536" s="23"/>
      <c r="K2536" s="23"/>
      <c r="M2536" s="23"/>
      <c r="N2536" s="23"/>
      <c r="P2536" s="23"/>
    </row>
    <row r="2537" spans="2:16" x14ac:dyDescent="0.25">
      <c r="B2537" s="23"/>
      <c r="E2537" s="23"/>
      <c r="G2537" s="23"/>
      <c r="H2537" s="23"/>
      <c r="J2537" s="23"/>
      <c r="K2537" s="23"/>
      <c r="M2537" s="23"/>
      <c r="N2537" s="23"/>
      <c r="P2537" s="23"/>
    </row>
    <row r="2538" spans="2:16" x14ac:dyDescent="0.25">
      <c r="B2538" s="23"/>
      <c r="E2538" s="23"/>
      <c r="G2538" s="23"/>
      <c r="H2538" s="23"/>
      <c r="J2538" s="23"/>
      <c r="K2538" s="23"/>
      <c r="M2538" s="23"/>
      <c r="N2538" s="23"/>
      <c r="P2538" s="23"/>
    </row>
    <row r="2539" spans="2:16" x14ac:dyDescent="0.25">
      <c r="B2539" s="23"/>
      <c r="E2539" s="23"/>
      <c r="G2539" s="23"/>
      <c r="H2539" s="23"/>
      <c r="J2539" s="23"/>
      <c r="K2539" s="23"/>
      <c r="M2539" s="23"/>
      <c r="N2539" s="23"/>
      <c r="P2539" s="23"/>
    </row>
    <row r="2540" spans="2:16" x14ac:dyDescent="0.25">
      <c r="B2540" s="23"/>
      <c r="E2540" s="23"/>
      <c r="G2540" s="23"/>
      <c r="H2540" s="23"/>
      <c r="J2540" s="23"/>
      <c r="K2540" s="23"/>
      <c r="M2540" s="23"/>
      <c r="N2540" s="23"/>
      <c r="P2540" s="23"/>
    </row>
    <row r="2541" spans="2:16" x14ac:dyDescent="0.25">
      <c r="B2541" s="23"/>
      <c r="E2541" s="23"/>
      <c r="G2541" s="23"/>
      <c r="H2541" s="23"/>
      <c r="J2541" s="23"/>
      <c r="K2541" s="23"/>
      <c r="M2541" s="23"/>
      <c r="N2541" s="23"/>
      <c r="P2541" s="23"/>
    </row>
    <row r="2542" spans="2:16" x14ac:dyDescent="0.25">
      <c r="B2542" s="23"/>
      <c r="E2542" s="23"/>
      <c r="G2542" s="23"/>
      <c r="H2542" s="23"/>
      <c r="J2542" s="23"/>
      <c r="K2542" s="23"/>
      <c r="M2542" s="23"/>
      <c r="N2542" s="23"/>
      <c r="P2542" s="23"/>
    </row>
    <row r="2543" spans="2:16" x14ac:dyDescent="0.25">
      <c r="B2543" s="23"/>
      <c r="E2543" s="23"/>
      <c r="G2543" s="23"/>
      <c r="H2543" s="23"/>
      <c r="J2543" s="23"/>
      <c r="K2543" s="23"/>
      <c r="M2543" s="23"/>
      <c r="N2543" s="23"/>
      <c r="P2543" s="23"/>
    </row>
    <row r="2544" spans="2:16" x14ac:dyDescent="0.25">
      <c r="B2544" s="23"/>
      <c r="E2544" s="23"/>
      <c r="G2544" s="23"/>
      <c r="H2544" s="23"/>
      <c r="J2544" s="23"/>
      <c r="K2544" s="23"/>
      <c r="M2544" s="23"/>
      <c r="N2544" s="23"/>
      <c r="P2544" s="23"/>
    </row>
    <row r="2545" spans="2:16" x14ac:dyDescent="0.25">
      <c r="B2545" s="23"/>
      <c r="E2545" s="23"/>
      <c r="G2545" s="23"/>
      <c r="H2545" s="23"/>
      <c r="J2545" s="23"/>
      <c r="K2545" s="23"/>
      <c r="M2545" s="23"/>
      <c r="N2545" s="23"/>
      <c r="P2545" s="23"/>
    </row>
    <row r="2546" spans="2:16" x14ac:dyDescent="0.25">
      <c r="B2546" s="23"/>
      <c r="E2546" s="23"/>
      <c r="G2546" s="23"/>
      <c r="H2546" s="23"/>
      <c r="J2546" s="23"/>
      <c r="K2546" s="23"/>
      <c r="M2546" s="23"/>
      <c r="N2546" s="23"/>
      <c r="P2546" s="23"/>
    </row>
    <row r="2547" spans="2:16" x14ac:dyDescent="0.25">
      <c r="B2547" s="23"/>
      <c r="E2547" s="23"/>
      <c r="G2547" s="23"/>
      <c r="H2547" s="23"/>
      <c r="J2547" s="23"/>
      <c r="K2547" s="23"/>
      <c r="M2547" s="23"/>
      <c r="N2547" s="23"/>
      <c r="P2547" s="23"/>
    </row>
    <row r="2548" spans="2:16" x14ac:dyDescent="0.25">
      <c r="B2548" s="23"/>
      <c r="E2548" s="23"/>
      <c r="G2548" s="23"/>
      <c r="H2548" s="23"/>
      <c r="J2548" s="23"/>
      <c r="K2548" s="23"/>
      <c r="M2548" s="23"/>
      <c r="N2548" s="23"/>
      <c r="P2548" s="23"/>
    </row>
    <row r="2549" spans="2:16" x14ac:dyDescent="0.25">
      <c r="B2549" s="23"/>
      <c r="E2549" s="23"/>
      <c r="G2549" s="23"/>
      <c r="H2549" s="23"/>
      <c r="J2549" s="23"/>
      <c r="K2549" s="23"/>
      <c r="M2549" s="23"/>
      <c r="N2549" s="23"/>
      <c r="P2549" s="23"/>
    </row>
    <row r="2550" spans="2:16" x14ac:dyDescent="0.25">
      <c r="B2550" s="23"/>
      <c r="E2550" s="23"/>
      <c r="G2550" s="23"/>
      <c r="H2550" s="23"/>
      <c r="J2550" s="23"/>
      <c r="K2550" s="23"/>
      <c r="M2550" s="23"/>
      <c r="N2550" s="23"/>
      <c r="P2550" s="23"/>
    </row>
    <row r="2551" spans="2:16" x14ac:dyDescent="0.25">
      <c r="B2551" s="23"/>
      <c r="E2551" s="23"/>
      <c r="G2551" s="23"/>
      <c r="H2551" s="23"/>
      <c r="J2551" s="23"/>
      <c r="K2551" s="23"/>
      <c r="M2551" s="23"/>
      <c r="N2551" s="23"/>
      <c r="P2551" s="23"/>
    </row>
    <row r="2552" spans="2:16" x14ac:dyDescent="0.25">
      <c r="B2552" s="23"/>
      <c r="E2552" s="23"/>
      <c r="G2552" s="23"/>
      <c r="H2552" s="23"/>
      <c r="J2552" s="23"/>
      <c r="K2552" s="23"/>
      <c r="M2552" s="23"/>
      <c r="N2552" s="23"/>
      <c r="P2552" s="23"/>
    </row>
    <row r="2553" spans="2:16" x14ac:dyDescent="0.25">
      <c r="B2553" s="23"/>
      <c r="E2553" s="23"/>
      <c r="G2553" s="23"/>
      <c r="H2553" s="23"/>
      <c r="J2553" s="23"/>
      <c r="K2553" s="23"/>
      <c r="M2553" s="23"/>
      <c r="N2553" s="23"/>
      <c r="P2553" s="23"/>
    </row>
    <row r="2554" spans="2:16" x14ac:dyDescent="0.25">
      <c r="B2554" s="23"/>
      <c r="E2554" s="23"/>
      <c r="G2554" s="23"/>
      <c r="H2554" s="23"/>
      <c r="J2554" s="23"/>
      <c r="K2554" s="23"/>
      <c r="M2554" s="23"/>
      <c r="N2554" s="23"/>
      <c r="P2554" s="23"/>
    </row>
    <row r="2555" spans="2:16" x14ac:dyDescent="0.25">
      <c r="B2555" s="23"/>
      <c r="E2555" s="23"/>
      <c r="G2555" s="23"/>
      <c r="H2555" s="23"/>
      <c r="J2555" s="23"/>
      <c r="K2555" s="23"/>
      <c r="M2555" s="23"/>
      <c r="N2555" s="23"/>
      <c r="P2555" s="23"/>
    </row>
    <row r="2556" spans="2:16" x14ac:dyDescent="0.25">
      <c r="B2556" s="23"/>
      <c r="E2556" s="23"/>
      <c r="G2556" s="23"/>
      <c r="H2556" s="23"/>
      <c r="J2556" s="23"/>
      <c r="K2556" s="23"/>
      <c r="M2556" s="23"/>
      <c r="N2556" s="23"/>
      <c r="P2556" s="23"/>
    </row>
    <row r="2557" spans="2:16" x14ac:dyDescent="0.25">
      <c r="B2557" s="23"/>
      <c r="E2557" s="23"/>
      <c r="G2557" s="23"/>
      <c r="H2557" s="23"/>
      <c r="J2557" s="23"/>
      <c r="K2557" s="23"/>
      <c r="M2557" s="23"/>
      <c r="N2557" s="23"/>
      <c r="P2557" s="23"/>
    </row>
    <row r="2558" spans="2:16" x14ac:dyDescent="0.25">
      <c r="B2558" s="23"/>
      <c r="E2558" s="23"/>
      <c r="G2558" s="23"/>
      <c r="H2558" s="23"/>
      <c r="J2558" s="23"/>
      <c r="K2558" s="23"/>
      <c r="M2558" s="23"/>
      <c r="N2558" s="23"/>
      <c r="P2558" s="23"/>
    </row>
    <row r="2559" spans="2:16" x14ac:dyDescent="0.25">
      <c r="B2559" s="23"/>
      <c r="E2559" s="23"/>
      <c r="G2559" s="23"/>
      <c r="H2559" s="23"/>
      <c r="J2559" s="23"/>
      <c r="K2559" s="23"/>
      <c r="M2559" s="23"/>
      <c r="N2559" s="23"/>
      <c r="P2559" s="23"/>
    </row>
    <row r="2560" spans="2:16" x14ac:dyDescent="0.25">
      <c r="B2560" s="23"/>
      <c r="E2560" s="23"/>
      <c r="G2560" s="23"/>
      <c r="H2560" s="23"/>
      <c r="J2560" s="23"/>
      <c r="K2560" s="23"/>
      <c r="M2560" s="23"/>
      <c r="N2560" s="23"/>
      <c r="P2560" s="23"/>
    </row>
    <row r="2561" spans="2:16" x14ac:dyDescent="0.25">
      <c r="B2561" s="23"/>
      <c r="E2561" s="23"/>
      <c r="G2561" s="23"/>
      <c r="H2561" s="23"/>
      <c r="J2561" s="23"/>
      <c r="K2561" s="23"/>
      <c r="M2561" s="23"/>
      <c r="N2561" s="23"/>
      <c r="P2561" s="23"/>
    </row>
    <row r="2562" spans="2:16" x14ac:dyDescent="0.25">
      <c r="B2562" s="23"/>
      <c r="E2562" s="23"/>
      <c r="G2562" s="23"/>
      <c r="H2562" s="23"/>
      <c r="J2562" s="23"/>
      <c r="K2562" s="23"/>
      <c r="M2562" s="23"/>
      <c r="N2562" s="23"/>
      <c r="P2562" s="23"/>
    </row>
    <row r="2563" spans="2:16" x14ac:dyDescent="0.25">
      <c r="B2563" s="23"/>
      <c r="E2563" s="23"/>
      <c r="G2563" s="23"/>
      <c r="H2563" s="23"/>
      <c r="J2563" s="23"/>
      <c r="K2563" s="23"/>
      <c r="M2563" s="23"/>
      <c r="N2563" s="23"/>
      <c r="P2563" s="23"/>
    </row>
    <row r="2564" spans="2:16" x14ac:dyDescent="0.25">
      <c r="B2564" s="23"/>
      <c r="E2564" s="23"/>
      <c r="G2564" s="23"/>
      <c r="H2564" s="23"/>
      <c r="J2564" s="23"/>
      <c r="K2564" s="23"/>
      <c r="M2564" s="23"/>
      <c r="N2564" s="23"/>
      <c r="P2564" s="23"/>
    </row>
    <row r="2565" spans="2:16" x14ac:dyDescent="0.25">
      <c r="B2565" s="23"/>
      <c r="E2565" s="23"/>
      <c r="G2565" s="23"/>
      <c r="H2565" s="23"/>
      <c r="J2565" s="23"/>
      <c r="K2565" s="23"/>
      <c r="M2565" s="23"/>
      <c r="N2565" s="23"/>
      <c r="P2565" s="23"/>
    </row>
    <row r="2566" spans="2:16" x14ac:dyDescent="0.25">
      <c r="B2566" s="23"/>
      <c r="E2566" s="23"/>
      <c r="G2566" s="23"/>
      <c r="H2566" s="23"/>
      <c r="J2566" s="23"/>
      <c r="K2566" s="23"/>
      <c r="M2566" s="23"/>
      <c r="N2566" s="23"/>
      <c r="P2566" s="23"/>
    </row>
    <row r="2567" spans="2:16" x14ac:dyDescent="0.25">
      <c r="B2567" s="23"/>
      <c r="E2567" s="23"/>
      <c r="G2567" s="23"/>
      <c r="H2567" s="23"/>
      <c r="J2567" s="23"/>
      <c r="K2567" s="23"/>
      <c r="M2567" s="23"/>
      <c r="N2567" s="23"/>
      <c r="P2567" s="23"/>
    </row>
    <row r="2568" spans="2:16" x14ac:dyDescent="0.25">
      <c r="B2568" s="23"/>
      <c r="E2568" s="23"/>
      <c r="G2568" s="23"/>
      <c r="H2568" s="23"/>
      <c r="J2568" s="23"/>
      <c r="K2568" s="23"/>
      <c r="M2568" s="23"/>
      <c r="N2568" s="23"/>
      <c r="P2568" s="23"/>
    </row>
    <row r="2569" spans="2:16" x14ac:dyDescent="0.25">
      <c r="B2569" s="23"/>
      <c r="E2569" s="23"/>
      <c r="G2569" s="23"/>
      <c r="H2569" s="23"/>
      <c r="J2569" s="23"/>
      <c r="K2569" s="23"/>
      <c r="M2569" s="23"/>
      <c r="N2569" s="23"/>
      <c r="P2569" s="23"/>
    </row>
    <row r="2570" spans="2:16" x14ac:dyDescent="0.25">
      <c r="B2570" s="23"/>
      <c r="E2570" s="23"/>
      <c r="G2570" s="23"/>
      <c r="H2570" s="23"/>
      <c r="J2570" s="23"/>
      <c r="K2570" s="23"/>
      <c r="M2570" s="23"/>
      <c r="N2570" s="23"/>
      <c r="P2570" s="23"/>
    </row>
    <row r="2571" spans="2:16" x14ac:dyDescent="0.25">
      <c r="B2571" s="23"/>
      <c r="E2571" s="23"/>
      <c r="G2571" s="23"/>
      <c r="H2571" s="23"/>
      <c r="J2571" s="23"/>
      <c r="K2571" s="23"/>
      <c r="M2571" s="23"/>
      <c r="N2571" s="23"/>
      <c r="P2571" s="23"/>
    </row>
    <row r="2572" spans="2:16" x14ac:dyDescent="0.25">
      <c r="B2572" s="23"/>
      <c r="E2572" s="23"/>
      <c r="G2572" s="23"/>
      <c r="H2572" s="23"/>
      <c r="J2572" s="23"/>
      <c r="K2572" s="23"/>
      <c r="M2572" s="23"/>
      <c r="N2572" s="23"/>
      <c r="P2572" s="23"/>
    </row>
    <row r="2573" spans="2:16" x14ac:dyDescent="0.25">
      <c r="B2573" s="23"/>
      <c r="E2573" s="23"/>
      <c r="G2573" s="23"/>
      <c r="H2573" s="23"/>
      <c r="J2573" s="23"/>
      <c r="K2573" s="23"/>
      <c r="M2573" s="23"/>
      <c r="N2573" s="23"/>
      <c r="P2573" s="23"/>
    </row>
    <row r="2574" spans="2:16" x14ac:dyDescent="0.25">
      <c r="B2574" s="23"/>
      <c r="E2574" s="23"/>
      <c r="G2574" s="23"/>
      <c r="H2574" s="23"/>
      <c r="J2574" s="23"/>
      <c r="K2574" s="23"/>
      <c r="M2574" s="23"/>
      <c r="N2574" s="23"/>
      <c r="P2574" s="23"/>
    </row>
    <row r="2575" spans="2:16" x14ac:dyDescent="0.25">
      <c r="B2575" s="23"/>
      <c r="E2575" s="23"/>
      <c r="G2575" s="23"/>
      <c r="H2575" s="23"/>
      <c r="J2575" s="23"/>
      <c r="K2575" s="23"/>
      <c r="M2575" s="23"/>
      <c r="N2575" s="23"/>
      <c r="P2575" s="23"/>
    </row>
    <row r="2576" spans="2:16" x14ac:dyDescent="0.25">
      <c r="B2576" s="23"/>
      <c r="E2576" s="23"/>
      <c r="G2576" s="23"/>
      <c r="H2576" s="23"/>
      <c r="J2576" s="23"/>
      <c r="K2576" s="23"/>
      <c r="M2576" s="23"/>
      <c r="N2576" s="23"/>
      <c r="P2576" s="23"/>
    </row>
    <row r="2577" spans="2:16" x14ac:dyDescent="0.25">
      <c r="B2577" s="23"/>
      <c r="E2577" s="23"/>
      <c r="G2577" s="23"/>
      <c r="H2577" s="23"/>
      <c r="J2577" s="23"/>
      <c r="K2577" s="23"/>
      <c r="M2577" s="23"/>
      <c r="N2577" s="23"/>
      <c r="P2577" s="23"/>
    </row>
    <row r="2578" spans="2:16" x14ac:dyDescent="0.25">
      <c r="B2578" s="23"/>
      <c r="E2578" s="23"/>
      <c r="G2578" s="23"/>
      <c r="H2578" s="23"/>
      <c r="J2578" s="23"/>
      <c r="K2578" s="23"/>
      <c r="M2578" s="23"/>
      <c r="N2578" s="23"/>
      <c r="P2578" s="23"/>
    </row>
    <row r="2579" spans="2:16" x14ac:dyDescent="0.25">
      <c r="B2579" s="23"/>
      <c r="E2579" s="23"/>
      <c r="G2579" s="23"/>
      <c r="H2579" s="23"/>
      <c r="J2579" s="23"/>
      <c r="K2579" s="23"/>
      <c r="M2579" s="23"/>
      <c r="N2579" s="23"/>
      <c r="P2579" s="23"/>
    </row>
    <row r="2580" spans="2:16" x14ac:dyDescent="0.25">
      <c r="B2580" s="23"/>
      <c r="E2580" s="23"/>
      <c r="G2580" s="23"/>
      <c r="H2580" s="23"/>
      <c r="J2580" s="23"/>
      <c r="K2580" s="23"/>
      <c r="M2580" s="23"/>
      <c r="N2580" s="23"/>
      <c r="P2580" s="23"/>
    </row>
    <row r="2581" spans="2:16" x14ac:dyDescent="0.25">
      <c r="B2581" s="23"/>
      <c r="E2581" s="23"/>
      <c r="G2581" s="23"/>
      <c r="H2581" s="23"/>
      <c r="J2581" s="23"/>
      <c r="K2581" s="23"/>
      <c r="M2581" s="23"/>
      <c r="N2581" s="23"/>
      <c r="P2581" s="23"/>
    </row>
    <row r="2582" spans="2:16" x14ac:dyDescent="0.25">
      <c r="B2582" s="23"/>
      <c r="E2582" s="23"/>
      <c r="G2582" s="23"/>
      <c r="H2582" s="23"/>
      <c r="J2582" s="23"/>
      <c r="K2582" s="23"/>
      <c r="M2582" s="23"/>
      <c r="N2582" s="23"/>
      <c r="P2582" s="23"/>
    </row>
    <row r="2583" spans="2:16" x14ac:dyDescent="0.25">
      <c r="B2583" s="23"/>
      <c r="E2583" s="23"/>
      <c r="G2583" s="23"/>
      <c r="H2583" s="23"/>
      <c r="J2583" s="23"/>
      <c r="K2583" s="23"/>
      <c r="M2583" s="23"/>
      <c r="N2583" s="23"/>
      <c r="P2583" s="23"/>
    </row>
    <row r="2584" spans="2:16" x14ac:dyDescent="0.25">
      <c r="B2584" s="23"/>
      <c r="E2584" s="23"/>
      <c r="G2584" s="23"/>
      <c r="H2584" s="23"/>
      <c r="J2584" s="23"/>
      <c r="K2584" s="23"/>
      <c r="M2584" s="23"/>
      <c r="N2584" s="23"/>
      <c r="P2584" s="23"/>
    </row>
    <row r="2585" spans="2:16" x14ac:dyDescent="0.25">
      <c r="B2585" s="23"/>
      <c r="E2585" s="23"/>
      <c r="G2585" s="23"/>
      <c r="H2585" s="23"/>
      <c r="J2585" s="23"/>
      <c r="K2585" s="23"/>
      <c r="M2585" s="23"/>
      <c r="N2585" s="23"/>
      <c r="P2585" s="23"/>
    </row>
    <row r="2586" spans="2:16" x14ac:dyDescent="0.25">
      <c r="B2586" s="23"/>
      <c r="E2586" s="23"/>
      <c r="G2586" s="23"/>
      <c r="H2586" s="23"/>
      <c r="J2586" s="23"/>
      <c r="K2586" s="23"/>
      <c r="M2586" s="23"/>
      <c r="N2586" s="23"/>
      <c r="P2586" s="23"/>
    </row>
    <row r="2587" spans="2:16" x14ac:dyDescent="0.25">
      <c r="B2587" s="23"/>
      <c r="E2587" s="23"/>
      <c r="G2587" s="23"/>
      <c r="H2587" s="23"/>
      <c r="J2587" s="23"/>
      <c r="K2587" s="23"/>
      <c r="M2587" s="23"/>
      <c r="N2587" s="23"/>
      <c r="P2587" s="23"/>
    </row>
    <row r="2588" spans="2:16" x14ac:dyDescent="0.25">
      <c r="B2588" s="23"/>
      <c r="E2588" s="23"/>
      <c r="G2588" s="23"/>
      <c r="H2588" s="23"/>
      <c r="J2588" s="23"/>
      <c r="K2588" s="23"/>
      <c r="M2588" s="23"/>
      <c r="N2588" s="23"/>
      <c r="P2588" s="23"/>
    </row>
    <row r="2589" spans="2:16" x14ac:dyDescent="0.25">
      <c r="B2589" s="23"/>
      <c r="E2589" s="23"/>
      <c r="G2589" s="23"/>
      <c r="H2589" s="23"/>
      <c r="J2589" s="23"/>
      <c r="K2589" s="23"/>
      <c r="M2589" s="23"/>
      <c r="N2589" s="23"/>
      <c r="P2589" s="23"/>
    </row>
    <row r="2590" spans="2:16" x14ac:dyDescent="0.25">
      <c r="B2590" s="23"/>
      <c r="E2590" s="23"/>
      <c r="G2590" s="23"/>
      <c r="H2590" s="23"/>
      <c r="J2590" s="23"/>
      <c r="K2590" s="23"/>
      <c r="M2590" s="23"/>
      <c r="N2590" s="23"/>
      <c r="P2590" s="23"/>
    </row>
    <row r="2591" spans="2:16" x14ac:dyDescent="0.25">
      <c r="B2591" s="23"/>
      <c r="E2591" s="23"/>
      <c r="G2591" s="23"/>
      <c r="H2591" s="23"/>
      <c r="J2591" s="23"/>
      <c r="K2591" s="23"/>
      <c r="M2591" s="23"/>
      <c r="N2591" s="23"/>
      <c r="P2591" s="23"/>
    </row>
    <row r="2592" spans="2:16" x14ac:dyDescent="0.25">
      <c r="B2592" s="23"/>
      <c r="E2592" s="23"/>
      <c r="G2592" s="23"/>
      <c r="H2592" s="23"/>
      <c r="J2592" s="23"/>
      <c r="K2592" s="23"/>
      <c r="M2592" s="23"/>
      <c r="N2592" s="23"/>
      <c r="P2592" s="23"/>
    </row>
    <row r="2593" spans="2:16" x14ac:dyDescent="0.25">
      <c r="B2593" s="23"/>
      <c r="E2593" s="23"/>
      <c r="G2593" s="23"/>
      <c r="H2593" s="23"/>
      <c r="J2593" s="23"/>
      <c r="K2593" s="23"/>
      <c r="M2593" s="23"/>
      <c r="N2593" s="23"/>
      <c r="P2593" s="23"/>
    </row>
    <row r="2594" spans="2:16" x14ac:dyDescent="0.25">
      <c r="B2594" s="23"/>
      <c r="E2594" s="23"/>
      <c r="G2594" s="23"/>
      <c r="H2594" s="23"/>
      <c r="J2594" s="23"/>
      <c r="K2594" s="23"/>
      <c r="M2594" s="23"/>
      <c r="N2594" s="23"/>
      <c r="P2594" s="23"/>
    </row>
    <row r="2595" spans="2:16" x14ac:dyDescent="0.25">
      <c r="B2595" s="23"/>
      <c r="E2595" s="23"/>
      <c r="G2595" s="23"/>
      <c r="H2595" s="23"/>
      <c r="J2595" s="23"/>
      <c r="K2595" s="23"/>
      <c r="M2595" s="23"/>
      <c r="N2595" s="23"/>
      <c r="P2595" s="23"/>
    </row>
    <row r="2596" spans="2:16" x14ac:dyDescent="0.25">
      <c r="B2596" s="23"/>
      <c r="E2596" s="23"/>
      <c r="G2596" s="23"/>
      <c r="H2596" s="23"/>
      <c r="J2596" s="23"/>
      <c r="K2596" s="23"/>
      <c r="M2596" s="23"/>
      <c r="N2596" s="23"/>
      <c r="P2596" s="23"/>
    </row>
    <row r="2597" spans="2:16" x14ac:dyDescent="0.25">
      <c r="B2597" s="23"/>
      <c r="E2597" s="23"/>
      <c r="G2597" s="23"/>
      <c r="H2597" s="23"/>
      <c r="J2597" s="23"/>
      <c r="K2597" s="23"/>
      <c r="M2597" s="23"/>
      <c r="N2597" s="23"/>
      <c r="P2597" s="23"/>
    </row>
    <row r="2598" spans="2:16" x14ac:dyDescent="0.25">
      <c r="B2598" s="23"/>
      <c r="E2598" s="23"/>
      <c r="G2598" s="23"/>
      <c r="H2598" s="23"/>
      <c r="J2598" s="23"/>
      <c r="K2598" s="23"/>
      <c r="M2598" s="23"/>
      <c r="N2598" s="23"/>
      <c r="P2598" s="23"/>
    </row>
    <row r="2599" spans="2:16" x14ac:dyDescent="0.25">
      <c r="B2599" s="23"/>
      <c r="E2599" s="23"/>
      <c r="G2599" s="23"/>
      <c r="H2599" s="23"/>
      <c r="J2599" s="23"/>
      <c r="K2599" s="23"/>
      <c r="M2599" s="23"/>
      <c r="N2599" s="23"/>
      <c r="P2599" s="23"/>
    </row>
    <row r="2600" spans="2:16" x14ac:dyDescent="0.25">
      <c r="B2600" s="23"/>
      <c r="E2600" s="23"/>
      <c r="G2600" s="23"/>
      <c r="H2600" s="23"/>
      <c r="J2600" s="23"/>
      <c r="K2600" s="23"/>
      <c r="M2600" s="23"/>
      <c r="N2600" s="23"/>
      <c r="P2600" s="23"/>
    </row>
    <row r="2601" spans="2:16" x14ac:dyDescent="0.25">
      <c r="B2601" s="23"/>
      <c r="E2601" s="23"/>
      <c r="G2601" s="23"/>
      <c r="H2601" s="23"/>
      <c r="J2601" s="23"/>
      <c r="K2601" s="23"/>
      <c r="M2601" s="23"/>
      <c r="N2601" s="23"/>
      <c r="P2601" s="23"/>
    </row>
    <row r="2602" spans="2:16" x14ac:dyDescent="0.25">
      <c r="B2602" s="23"/>
      <c r="E2602" s="23"/>
      <c r="G2602" s="23"/>
      <c r="H2602" s="23"/>
      <c r="J2602" s="23"/>
      <c r="K2602" s="23"/>
      <c r="M2602" s="23"/>
      <c r="N2602" s="23"/>
      <c r="P2602" s="23"/>
    </row>
    <row r="2603" spans="2:16" x14ac:dyDescent="0.25">
      <c r="B2603" s="23"/>
      <c r="E2603" s="23"/>
      <c r="G2603" s="23"/>
      <c r="H2603" s="23"/>
      <c r="J2603" s="23"/>
      <c r="K2603" s="23"/>
      <c r="M2603" s="23"/>
      <c r="N2603" s="23"/>
      <c r="P2603" s="23"/>
    </row>
    <row r="2604" spans="2:16" x14ac:dyDescent="0.25">
      <c r="B2604" s="23"/>
      <c r="E2604" s="23"/>
      <c r="G2604" s="23"/>
      <c r="H2604" s="23"/>
      <c r="J2604" s="23"/>
      <c r="K2604" s="23"/>
      <c r="M2604" s="23"/>
      <c r="N2604" s="23"/>
      <c r="P2604" s="23"/>
    </row>
    <row r="2605" spans="2:16" x14ac:dyDescent="0.25">
      <c r="B2605" s="23"/>
      <c r="E2605" s="23"/>
      <c r="G2605" s="23"/>
      <c r="H2605" s="23"/>
      <c r="J2605" s="23"/>
      <c r="K2605" s="23"/>
      <c r="M2605" s="23"/>
      <c r="N2605" s="23"/>
      <c r="P2605" s="23"/>
    </row>
    <row r="2606" spans="2:16" x14ac:dyDescent="0.25">
      <c r="B2606" s="23"/>
      <c r="E2606" s="23"/>
      <c r="G2606" s="23"/>
      <c r="H2606" s="23"/>
      <c r="J2606" s="23"/>
      <c r="K2606" s="23"/>
      <c r="M2606" s="23"/>
      <c r="N2606" s="23"/>
      <c r="P2606" s="23"/>
    </row>
    <row r="2607" spans="2:16" x14ac:dyDescent="0.25">
      <c r="B2607" s="23"/>
      <c r="E2607" s="23"/>
      <c r="G2607" s="23"/>
      <c r="H2607" s="23"/>
      <c r="J2607" s="23"/>
      <c r="K2607" s="23"/>
      <c r="M2607" s="23"/>
      <c r="N2607" s="23"/>
      <c r="P2607" s="23"/>
    </row>
    <row r="2608" spans="2:16" x14ac:dyDescent="0.25">
      <c r="B2608" s="23"/>
      <c r="E2608" s="23"/>
      <c r="G2608" s="23"/>
      <c r="H2608" s="23"/>
      <c r="J2608" s="23"/>
      <c r="K2608" s="23"/>
      <c r="M2608" s="23"/>
      <c r="N2608" s="23"/>
      <c r="P2608" s="23"/>
    </row>
    <row r="2609" spans="2:16" x14ac:dyDescent="0.25">
      <c r="B2609" s="23"/>
      <c r="E2609" s="23"/>
      <c r="G2609" s="23"/>
      <c r="H2609" s="23"/>
      <c r="J2609" s="23"/>
      <c r="K2609" s="23"/>
      <c r="M2609" s="23"/>
      <c r="N2609" s="23"/>
      <c r="P2609" s="23"/>
    </row>
    <row r="2610" spans="2:16" x14ac:dyDescent="0.25">
      <c r="B2610" s="23"/>
      <c r="E2610" s="23"/>
      <c r="G2610" s="23"/>
      <c r="H2610" s="23"/>
      <c r="J2610" s="23"/>
      <c r="K2610" s="23"/>
      <c r="M2610" s="23"/>
      <c r="N2610" s="23"/>
      <c r="P2610" s="23"/>
    </row>
    <row r="2611" spans="2:16" x14ac:dyDescent="0.25">
      <c r="B2611" s="23"/>
      <c r="E2611" s="23"/>
      <c r="G2611" s="23"/>
      <c r="H2611" s="23"/>
      <c r="J2611" s="23"/>
      <c r="K2611" s="23"/>
      <c r="M2611" s="23"/>
      <c r="N2611" s="23"/>
      <c r="P2611" s="23"/>
    </row>
    <row r="2612" spans="2:16" x14ac:dyDescent="0.25">
      <c r="B2612" s="23"/>
      <c r="E2612" s="23"/>
      <c r="G2612" s="23"/>
      <c r="H2612" s="23"/>
      <c r="J2612" s="23"/>
      <c r="K2612" s="23"/>
      <c r="M2612" s="23"/>
      <c r="N2612" s="23"/>
      <c r="P2612" s="23"/>
    </row>
    <row r="2613" spans="2:16" x14ac:dyDescent="0.25">
      <c r="B2613" s="23"/>
      <c r="E2613" s="23"/>
      <c r="G2613" s="23"/>
      <c r="H2613" s="23"/>
      <c r="J2613" s="23"/>
      <c r="K2613" s="23"/>
      <c r="M2613" s="23"/>
      <c r="N2613" s="23"/>
      <c r="P2613" s="23"/>
    </row>
    <row r="2614" spans="2:16" x14ac:dyDescent="0.25">
      <c r="B2614" s="23"/>
      <c r="E2614" s="23"/>
      <c r="G2614" s="23"/>
      <c r="H2614" s="23"/>
      <c r="J2614" s="23"/>
      <c r="K2614" s="23"/>
      <c r="M2614" s="23"/>
      <c r="N2614" s="23"/>
      <c r="P2614" s="23"/>
    </row>
    <row r="2615" spans="2:16" x14ac:dyDescent="0.25">
      <c r="B2615" s="23"/>
      <c r="E2615" s="23"/>
      <c r="G2615" s="23"/>
      <c r="H2615" s="23"/>
      <c r="J2615" s="23"/>
      <c r="K2615" s="23"/>
      <c r="M2615" s="23"/>
      <c r="N2615" s="23"/>
      <c r="P2615" s="23"/>
    </row>
    <row r="2616" spans="2:16" x14ac:dyDescent="0.25">
      <c r="B2616" s="23"/>
      <c r="E2616" s="23"/>
      <c r="G2616" s="23"/>
      <c r="H2616" s="23"/>
      <c r="J2616" s="23"/>
      <c r="K2616" s="23"/>
      <c r="M2616" s="23"/>
      <c r="N2616" s="23"/>
      <c r="P2616" s="23"/>
    </row>
    <row r="2617" spans="2:16" x14ac:dyDescent="0.25">
      <c r="B2617" s="23"/>
      <c r="E2617" s="23"/>
      <c r="G2617" s="23"/>
      <c r="H2617" s="23"/>
      <c r="J2617" s="23"/>
      <c r="K2617" s="23"/>
      <c r="M2617" s="23"/>
      <c r="N2617" s="23"/>
      <c r="P2617" s="23"/>
    </row>
    <row r="2618" spans="2:16" x14ac:dyDescent="0.25">
      <c r="B2618" s="23"/>
      <c r="E2618" s="23"/>
      <c r="G2618" s="23"/>
      <c r="H2618" s="23"/>
      <c r="J2618" s="23"/>
      <c r="K2618" s="23"/>
      <c r="M2618" s="23"/>
      <c r="N2618" s="23"/>
      <c r="P2618" s="23"/>
    </row>
    <row r="2619" spans="2:16" x14ac:dyDescent="0.25">
      <c r="B2619" s="23"/>
      <c r="E2619" s="23"/>
      <c r="G2619" s="23"/>
      <c r="H2619" s="23"/>
      <c r="J2619" s="23"/>
      <c r="K2619" s="23"/>
      <c r="M2619" s="23"/>
      <c r="N2619" s="23"/>
      <c r="P2619" s="23"/>
    </row>
    <row r="2620" spans="2:16" x14ac:dyDescent="0.25">
      <c r="B2620" s="23"/>
      <c r="E2620" s="23"/>
      <c r="G2620" s="23"/>
      <c r="H2620" s="23"/>
      <c r="J2620" s="23"/>
      <c r="K2620" s="23"/>
      <c r="M2620" s="23"/>
      <c r="N2620" s="23"/>
      <c r="P2620" s="23"/>
    </row>
    <row r="2621" spans="2:16" x14ac:dyDescent="0.25">
      <c r="B2621" s="23"/>
      <c r="E2621" s="23"/>
      <c r="G2621" s="23"/>
      <c r="H2621" s="23"/>
      <c r="J2621" s="23"/>
      <c r="K2621" s="23"/>
      <c r="M2621" s="23"/>
      <c r="N2621" s="23"/>
      <c r="P2621" s="23"/>
    </row>
    <row r="2622" spans="2:16" x14ac:dyDescent="0.25">
      <c r="B2622" s="23"/>
      <c r="E2622" s="23"/>
      <c r="G2622" s="23"/>
      <c r="H2622" s="23"/>
      <c r="J2622" s="23"/>
      <c r="K2622" s="23"/>
      <c r="M2622" s="23"/>
      <c r="N2622" s="23"/>
      <c r="P2622" s="23"/>
    </row>
    <row r="2623" spans="2:16" x14ac:dyDescent="0.25">
      <c r="B2623" s="23"/>
      <c r="E2623" s="23"/>
      <c r="G2623" s="23"/>
      <c r="H2623" s="23"/>
      <c r="J2623" s="23"/>
      <c r="K2623" s="23"/>
      <c r="M2623" s="23"/>
      <c r="N2623" s="23"/>
      <c r="P2623" s="23"/>
    </row>
    <row r="2624" spans="2:16" x14ac:dyDescent="0.25">
      <c r="B2624" s="23"/>
      <c r="E2624" s="23"/>
      <c r="G2624" s="23"/>
      <c r="H2624" s="23"/>
      <c r="J2624" s="23"/>
      <c r="K2624" s="23"/>
      <c r="M2624" s="23"/>
      <c r="N2624" s="23"/>
      <c r="P2624" s="23"/>
    </row>
    <row r="2625" spans="2:16" x14ac:dyDescent="0.25">
      <c r="B2625" s="23"/>
      <c r="E2625" s="23"/>
      <c r="G2625" s="23"/>
      <c r="H2625" s="23"/>
      <c r="J2625" s="23"/>
      <c r="K2625" s="23"/>
      <c r="M2625" s="23"/>
      <c r="N2625" s="23"/>
      <c r="P2625" s="23"/>
    </row>
    <row r="2626" spans="2:16" x14ac:dyDescent="0.25">
      <c r="B2626" s="23"/>
      <c r="E2626" s="23"/>
      <c r="G2626" s="23"/>
      <c r="H2626" s="23"/>
      <c r="J2626" s="23"/>
      <c r="K2626" s="23"/>
      <c r="M2626" s="23"/>
      <c r="N2626" s="23"/>
      <c r="P2626" s="23"/>
    </row>
    <row r="2627" spans="2:16" x14ac:dyDescent="0.25">
      <c r="B2627" s="23"/>
      <c r="E2627" s="23"/>
      <c r="G2627" s="23"/>
      <c r="H2627" s="23"/>
      <c r="J2627" s="23"/>
      <c r="K2627" s="23"/>
      <c r="M2627" s="23"/>
      <c r="N2627" s="23"/>
      <c r="P2627" s="23"/>
    </row>
    <row r="2628" spans="2:16" x14ac:dyDescent="0.25">
      <c r="B2628" s="23"/>
      <c r="E2628" s="23"/>
      <c r="G2628" s="23"/>
      <c r="H2628" s="23"/>
      <c r="J2628" s="23"/>
      <c r="K2628" s="23"/>
      <c r="M2628" s="23"/>
      <c r="N2628" s="23"/>
      <c r="P2628" s="23"/>
    </row>
    <row r="2629" spans="2:16" x14ac:dyDescent="0.25">
      <c r="B2629" s="23"/>
      <c r="E2629" s="23"/>
      <c r="G2629" s="23"/>
      <c r="H2629" s="23"/>
      <c r="J2629" s="23"/>
      <c r="K2629" s="23"/>
      <c r="M2629" s="23"/>
      <c r="N2629" s="23"/>
      <c r="P2629" s="23"/>
    </row>
    <row r="2630" spans="2:16" x14ac:dyDescent="0.25">
      <c r="B2630" s="23"/>
      <c r="E2630" s="23"/>
      <c r="G2630" s="23"/>
      <c r="H2630" s="23"/>
      <c r="J2630" s="23"/>
      <c r="K2630" s="23"/>
      <c r="M2630" s="23"/>
      <c r="N2630" s="23"/>
      <c r="P2630" s="23"/>
    </row>
    <row r="2631" spans="2:16" x14ac:dyDescent="0.25">
      <c r="B2631" s="23"/>
      <c r="E2631" s="23"/>
      <c r="G2631" s="23"/>
      <c r="H2631" s="23"/>
      <c r="J2631" s="23"/>
      <c r="K2631" s="23"/>
      <c r="M2631" s="23"/>
      <c r="N2631" s="23"/>
      <c r="P2631" s="23"/>
    </row>
    <row r="2632" spans="2:16" x14ac:dyDescent="0.25">
      <c r="B2632" s="23"/>
      <c r="E2632" s="23"/>
      <c r="G2632" s="23"/>
      <c r="H2632" s="23"/>
      <c r="J2632" s="23"/>
      <c r="K2632" s="23"/>
      <c r="M2632" s="23"/>
      <c r="N2632" s="23"/>
      <c r="P2632" s="23"/>
    </row>
    <row r="2633" spans="2:16" x14ac:dyDescent="0.25">
      <c r="B2633" s="23"/>
      <c r="E2633" s="23"/>
      <c r="G2633" s="23"/>
      <c r="H2633" s="23"/>
      <c r="J2633" s="23"/>
      <c r="K2633" s="23"/>
      <c r="M2633" s="23"/>
      <c r="N2633" s="23"/>
      <c r="P2633" s="23"/>
    </row>
    <row r="2634" spans="2:16" x14ac:dyDescent="0.25">
      <c r="B2634" s="23"/>
      <c r="E2634" s="23"/>
      <c r="G2634" s="23"/>
      <c r="H2634" s="23"/>
      <c r="J2634" s="23"/>
      <c r="K2634" s="23"/>
      <c r="M2634" s="23"/>
      <c r="N2634" s="23"/>
      <c r="P2634" s="23"/>
    </row>
    <row r="2635" spans="2:16" x14ac:dyDescent="0.25">
      <c r="B2635" s="23"/>
      <c r="E2635" s="23"/>
      <c r="G2635" s="23"/>
      <c r="H2635" s="23"/>
      <c r="J2635" s="23"/>
      <c r="K2635" s="23"/>
      <c r="M2635" s="23"/>
      <c r="N2635" s="23"/>
      <c r="P2635" s="23"/>
    </row>
    <row r="2636" spans="2:16" x14ac:dyDescent="0.25">
      <c r="B2636" s="23"/>
      <c r="E2636" s="23"/>
      <c r="G2636" s="23"/>
      <c r="H2636" s="23"/>
      <c r="J2636" s="23"/>
      <c r="K2636" s="23"/>
      <c r="M2636" s="23"/>
      <c r="N2636" s="23"/>
      <c r="P2636" s="23"/>
    </row>
    <row r="2637" spans="2:16" x14ac:dyDescent="0.25">
      <c r="B2637" s="23"/>
      <c r="E2637" s="23"/>
      <c r="G2637" s="23"/>
      <c r="H2637" s="23"/>
      <c r="J2637" s="23"/>
      <c r="K2637" s="23"/>
      <c r="M2637" s="23"/>
      <c r="N2637" s="23"/>
      <c r="P2637" s="23"/>
    </row>
    <row r="2638" spans="2:16" x14ac:dyDescent="0.25">
      <c r="B2638" s="23"/>
      <c r="E2638" s="23"/>
      <c r="G2638" s="23"/>
      <c r="H2638" s="23"/>
      <c r="J2638" s="23"/>
      <c r="K2638" s="23"/>
      <c r="M2638" s="23"/>
      <c r="N2638" s="23"/>
      <c r="P2638" s="23"/>
    </row>
    <row r="2639" spans="2:16" x14ac:dyDescent="0.25">
      <c r="B2639" s="23"/>
      <c r="E2639" s="23"/>
      <c r="G2639" s="23"/>
      <c r="H2639" s="23"/>
      <c r="J2639" s="23"/>
      <c r="K2639" s="23"/>
      <c r="M2639" s="23"/>
      <c r="N2639" s="23"/>
      <c r="P2639" s="23"/>
    </row>
    <row r="2640" spans="2:16" x14ac:dyDescent="0.25">
      <c r="B2640" s="23"/>
      <c r="E2640" s="23"/>
      <c r="G2640" s="23"/>
      <c r="H2640" s="23"/>
      <c r="J2640" s="23"/>
      <c r="K2640" s="23"/>
      <c r="M2640" s="23"/>
      <c r="N2640" s="23"/>
      <c r="P2640" s="23"/>
    </row>
    <row r="2641" spans="2:16" x14ac:dyDescent="0.25">
      <c r="B2641" s="23"/>
      <c r="E2641" s="23"/>
      <c r="G2641" s="23"/>
      <c r="H2641" s="23"/>
      <c r="J2641" s="23"/>
      <c r="K2641" s="23"/>
      <c r="M2641" s="23"/>
      <c r="N2641" s="23"/>
      <c r="P2641" s="23"/>
    </row>
    <row r="2642" spans="2:16" x14ac:dyDescent="0.25">
      <c r="B2642" s="23"/>
      <c r="E2642" s="23"/>
      <c r="G2642" s="23"/>
      <c r="H2642" s="23"/>
      <c r="J2642" s="23"/>
      <c r="K2642" s="23"/>
      <c r="M2642" s="23"/>
      <c r="N2642" s="23"/>
      <c r="P2642" s="23"/>
    </row>
    <row r="2643" spans="2:16" x14ac:dyDescent="0.25">
      <c r="B2643" s="23"/>
      <c r="E2643" s="23"/>
      <c r="G2643" s="23"/>
      <c r="H2643" s="23"/>
      <c r="J2643" s="23"/>
      <c r="K2643" s="23"/>
      <c r="M2643" s="23"/>
      <c r="N2643" s="23"/>
      <c r="P2643" s="23"/>
    </row>
    <row r="2644" spans="2:16" x14ac:dyDescent="0.25">
      <c r="B2644" s="23"/>
      <c r="E2644" s="23"/>
      <c r="G2644" s="23"/>
      <c r="H2644" s="23"/>
      <c r="J2644" s="23"/>
      <c r="K2644" s="23"/>
      <c r="M2644" s="23"/>
      <c r="N2644" s="23"/>
      <c r="P2644" s="23"/>
    </row>
    <row r="2645" spans="2:16" x14ac:dyDescent="0.25">
      <c r="B2645" s="23"/>
      <c r="E2645" s="23"/>
      <c r="G2645" s="23"/>
      <c r="H2645" s="23"/>
      <c r="J2645" s="23"/>
      <c r="K2645" s="23"/>
      <c r="M2645" s="23"/>
      <c r="N2645" s="23"/>
      <c r="P2645" s="23"/>
    </row>
    <row r="2646" spans="2:16" x14ac:dyDescent="0.25">
      <c r="B2646" s="23"/>
      <c r="E2646" s="23"/>
      <c r="G2646" s="23"/>
      <c r="H2646" s="23"/>
      <c r="J2646" s="23"/>
      <c r="K2646" s="23"/>
      <c r="M2646" s="23"/>
      <c r="N2646" s="23"/>
      <c r="P2646" s="23"/>
    </row>
    <row r="2647" spans="2:16" x14ac:dyDescent="0.25">
      <c r="B2647" s="23"/>
      <c r="E2647" s="23"/>
      <c r="G2647" s="23"/>
      <c r="H2647" s="23"/>
      <c r="J2647" s="23"/>
      <c r="K2647" s="23"/>
      <c r="M2647" s="23"/>
      <c r="N2647" s="23"/>
      <c r="P2647" s="23"/>
    </row>
    <row r="2648" spans="2:16" x14ac:dyDescent="0.25">
      <c r="B2648" s="23"/>
      <c r="E2648" s="23"/>
      <c r="G2648" s="23"/>
      <c r="H2648" s="23"/>
      <c r="J2648" s="23"/>
      <c r="K2648" s="23"/>
      <c r="M2648" s="23"/>
      <c r="N2648" s="23"/>
      <c r="P2648" s="23"/>
    </row>
    <row r="2649" spans="2:16" x14ac:dyDescent="0.25">
      <c r="B2649" s="23"/>
      <c r="E2649" s="23"/>
      <c r="G2649" s="23"/>
      <c r="H2649" s="23"/>
      <c r="J2649" s="23"/>
      <c r="K2649" s="23"/>
      <c r="M2649" s="23"/>
      <c r="N2649" s="23"/>
      <c r="P2649" s="23"/>
    </row>
    <row r="2650" spans="2:16" x14ac:dyDescent="0.25">
      <c r="B2650" s="23"/>
      <c r="E2650" s="23"/>
      <c r="G2650" s="23"/>
      <c r="H2650" s="23"/>
      <c r="J2650" s="23"/>
      <c r="K2650" s="23"/>
      <c r="M2650" s="23"/>
      <c r="N2650" s="23"/>
      <c r="P2650" s="23"/>
    </row>
    <row r="2651" spans="2:16" x14ac:dyDescent="0.25">
      <c r="B2651" s="23"/>
      <c r="E2651" s="23"/>
      <c r="G2651" s="23"/>
      <c r="H2651" s="23"/>
      <c r="J2651" s="23"/>
      <c r="K2651" s="23"/>
      <c r="M2651" s="23"/>
      <c r="N2651" s="23"/>
      <c r="P2651" s="23"/>
    </row>
    <row r="2652" spans="2:16" x14ac:dyDescent="0.25">
      <c r="B2652" s="23"/>
      <c r="E2652" s="23"/>
      <c r="G2652" s="23"/>
      <c r="H2652" s="23"/>
      <c r="J2652" s="23"/>
      <c r="K2652" s="23"/>
      <c r="M2652" s="23"/>
      <c r="N2652" s="23"/>
      <c r="P2652" s="23"/>
    </row>
    <row r="2653" spans="2:16" x14ac:dyDescent="0.25">
      <c r="B2653" s="23"/>
      <c r="E2653" s="23"/>
      <c r="G2653" s="23"/>
      <c r="H2653" s="23"/>
      <c r="J2653" s="23"/>
      <c r="K2653" s="23"/>
      <c r="M2653" s="23"/>
      <c r="N2653" s="23"/>
      <c r="P2653" s="23"/>
    </row>
    <row r="2654" spans="2:16" x14ac:dyDescent="0.25">
      <c r="B2654" s="23"/>
      <c r="E2654" s="23"/>
      <c r="G2654" s="23"/>
      <c r="H2654" s="23"/>
      <c r="J2654" s="23"/>
      <c r="K2654" s="23"/>
      <c r="M2654" s="23"/>
      <c r="N2654" s="23"/>
      <c r="P2654" s="23"/>
    </row>
    <row r="2655" spans="2:16" x14ac:dyDescent="0.25">
      <c r="B2655" s="23"/>
      <c r="E2655" s="23"/>
      <c r="G2655" s="23"/>
      <c r="H2655" s="23"/>
      <c r="J2655" s="23"/>
      <c r="K2655" s="23"/>
      <c r="M2655" s="23"/>
      <c r="N2655" s="23"/>
      <c r="P2655" s="23"/>
    </row>
    <row r="2656" spans="2:16" x14ac:dyDescent="0.25">
      <c r="B2656" s="23"/>
      <c r="E2656" s="23"/>
      <c r="G2656" s="23"/>
      <c r="H2656" s="23"/>
      <c r="J2656" s="23"/>
      <c r="K2656" s="23"/>
      <c r="M2656" s="23"/>
      <c r="N2656" s="23"/>
      <c r="P2656" s="23"/>
    </row>
    <row r="2657" spans="2:16" x14ac:dyDescent="0.25">
      <c r="B2657" s="23"/>
      <c r="E2657" s="23"/>
      <c r="G2657" s="23"/>
      <c r="H2657" s="23"/>
      <c r="J2657" s="23"/>
      <c r="K2657" s="23"/>
      <c r="M2657" s="23"/>
      <c r="N2657" s="23"/>
      <c r="P2657" s="23"/>
    </row>
    <row r="2658" spans="2:16" x14ac:dyDescent="0.25">
      <c r="B2658" s="23"/>
      <c r="E2658" s="23"/>
      <c r="G2658" s="23"/>
      <c r="H2658" s="23"/>
      <c r="J2658" s="23"/>
      <c r="K2658" s="23"/>
      <c r="M2658" s="23"/>
      <c r="N2658" s="23"/>
      <c r="P2658" s="23"/>
    </row>
    <row r="2659" spans="2:16" x14ac:dyDescent="0.25">
      <c r="B2659" s="23"/>
      <c r="E2659" s="23"/>
      <c r="G2659" s="23"/>
      <c r="H2659" s="23"/>
      <c r="J2659" s="23"/>
      <c r="K2659" s="23"/>
      <c r="M2659" s="23"/>
      <c r="N2659" s="23"/>
      <c r="P2659" s="23"/>
    </row>
    <row r="2660" spans="2:16" x14ac:dyDescent="0.25">
      <c r="B2660" s="23"/>
      <c r="E2660" s="23"/>
      <c r="G2660" s="23"/>
      <c r="H2660" s="23"/>
      <c r="J2660" s="23"/>
      <c r="K2660" s="23"/>
      <c r="M2660" s="23"/>
      <c r="N2660" s="23"/>
      <c r="P2660" s="23"/>
    </row>
    <row r="2661" spans="2:16" x14ac:dyDescent="0.25">
      <c r="B2661" s="23"/>
      <c r="E2661" s="23"/>
      <c r="G2661" s="23"/>
      <c r="H2661" s="23"/>
      <c r="J2661" s="23"/>
      <c r="K2661" s="23"/>
      <c r="M2661" s="23"/>
      <c r="N2661" s="23"/>
      <c r="P2661" s="23"/>
    </row>
    <row r="2662" spans="2:16" x14ac:dyDescent="0.25">
      <c r="B2662" s="23"/>
      <c r="E2662" s="23"/>
      <c r="G2662" s="23"/>
      <c r="H2662" s="23"/>
      <c r="J2662" s="23"/>
      <c r="K2662" s="23"/>
      <c r="M2662" s="23"/>
      <c r="N2662" s="23"/>
      <c r="P2662" s="23"/>
    </row>
    <row r="2663" spans="2:16" x14ac:dyDescent="0.25">
      <c r="B2663" s="23"/>
      <c r="E2663" s="23"/>
      <c r="G2663" s="23"/>
      <c r="H2663" s="23"/>
      <c r="J2663" s="23"/>
      <c r="K2663" s="23"/>
      <c r="M2663" s="23"/>
      <c r="N2663" s="23"/>
      <c r="P2663" s="23"/>
    </row>
    <row r="2664" spans="2:16" x14ac:dyDescent="0.25">
      <c r="B2664" s="23"/>
      <c r="E2664" s="23"/>
      <c r="G2664" s="23"/>
      <c r="H2664" s="23"/>
      <c r="J2664" s="23"/>
      <c r="K2664" s="23"/>
      <c r="M2664" s="23"/>
      <c r="N2664" s="23"/>
      <c r="P2664" s="23"/>
    </row>
    <row r="2665" spans="2:16" x14ac:dyDescent="0.25">
      <c r="B2665" s="23"/>
      <c r="E2665" s="23"/>
      <c r="G2665" s="23"/>
      <c r="H2665" s="23"/>
      <c r="J2665" s="23"/>
      <c r="K2665" s="23"/>
      <c r="M2665" s="23"/>
      <c r="N2665" s="23"/>
      <c r="P2665" s="23"/>
    </row>
    <row r="2666" spans="2:16" x14ac:dyDescent="0.25">
      <c r="B2666" s="23"/>
      <c r="E2666" s="23"/>
      <c r="G2666" s="23"/>
      <c r="H2666" s="23"/>
      <c r="J2666" s="23"/>
      <c r="K2666" s="23"/>
      <c r="M2666" s="23"/>
      <c r="N2666" s="23"/>
      <c r="P2666" s="23"/>
    </row>
    <row r="2667" spans="2:16" x14ac:dyDescent="0.25">
      <c r="B2667" s="23"/>
      <c r="E2667" s="23"/>
      <c r="G2667" s="23"/>
      <c r="H2667" s="23"/>
      <c r="J2667" s="23"/>
      <c r="K2667" s="23"/>
      <c r="M2667" s="23"/>
      <c r="N2667" s="23"/>
      <c r="P2667" s="23"/>
    </row>
    <row r="2668" spans="2:16" x14ac:dyDescent="0.25">
      <c r="B2668" s="23"/>
      <c r="E2668" s="23"/>
      <c r="G2668" s="23"/>
      <c r="H2668" s="23"/>
      <c r="J2668" s="23"/>
      <c r="K2668" s="23"/>
      <c r="M2668" s="23"/>
      <c r="N2668" s="23"/>
      <c r="P2668" s="23"/>
    </row>
    <row r="2669" spans="2:16" x14ac:dyDescent="0.25">
      <c r="B2669" s="23"/>
      <c r="E2669" s="23"/>
      <c r="G2669" s="23"/>
      <c r="H2669" s="23"/>
      <c r="J2669" s="23"/>
      <c r="K2669" s="23"/>
      <c r="M2669" s="23"/>
      <c r="N2669" s="23"/>
      <c r="P2669" s="23"/>
    </row>
    <row r="2670" spans="2:16" x14ac:dyDescent="0.25">
      <c r="B2670" s="23"/>
      <c r="E2670" s="23"/>
      <c r="G2670" s="23"/>
      <c r="H2670" s="23"/>
      <c r="J2670" s="23"/>
      <c r="K2670" s="23"/>
      <c r="M2670" s="23"/>
      <c r="N2670" s="23"/>
      <c r="P2670" s="23"/>
    </row>
    <row r="2671" spans="2:16" x14ac:dyDescent="0.25">
      <c r="B2671" s="23"/>
      <c r="E2671" s="23"/>
      <c r="G2671" s="23"/>
      <c r="H2671" s="23"/>
      <c r="J2671" s="23"/>
      <c r="K2671" s="23"/>
      <c r="M2671" s="23"/>
      <c r="N2671" s="23"/>
      <c r="P2671" s="23"/>
    </row>
    <row r="2672" spans="2:16" x14ac:dyDescent="0.25">
      <c r="B2672" s="23"/>
      <c r="E2672" s="23"/>
      <c r="G2672" s="23"/>
      <c r="H2672" s="23"/>
      <c r="J2672" s="23"/>
      <c r="K2672" s="23"/>
      <c r="M2672" s="23"/>
      <c r="N2672" s="23"/>
      <c r="P2672" s="23"/>
    </row>
    <row r="2673" spans="2:16" x14ac:dyDescent="0.25">
      <c r="B2673" s="23"/>
      <c r="E2673" s="23"/>
      <c r="G2673" s="23"/>
      <c r="H2673" s="23"/>
      <c r="J2673" s="23"/>
      <c r="K2673" s="23"/>
      <c r="M2673" s="23"/>
      <c r="N2673" s="23"/>
      <c r="P2673" s="23"/>
    </row>
    <row r="2674" spans="2:16" x14ac:dyDescent="0.25">
      <c r="B2674" s="23"/>
      <c r="E2674" s="23"/>
      <c r="G2674" s="23"/>
      <c r="H2674" s="23"/>
      <c r="J2674" s="23"/>
      <c r="K2674" s="23"/>
      <c r="M2674" s="23"/>
      <c r="N2674" s="23"/>
      <c r="P2674" s="23"/>
    </row>
    <row r="2675" spans="2:16" x14ac:dyDescent="0.25">
      <c r="B2675" s="23"/>
      <c r="E2675" s="23"/>
      <c r="G2675" s="23"/>
      <c r="H2675" s="23"/>
      <c r="J2675" s="23"/>
      <c r="K2675" s="23"/>
      <c r="M2675" s="23"/>
      <c r="N2675" s="23"/>
      <c r="P2675" s="23"/>
    </row>
    <row r="2676" spans="2:16" x14ac:dyDescent="0.25">
      <c r="B2676" s="23"/>
      <c r="E2676" s="23"/>
      <c r="G2676" s="23"/>
      <c r="H2676" s="23"/>
      <c r="J2676" s="23"/>
      <c r="K2676" s="23"/>
      <c r="M2676" s="23"/>
      <c r="N2676" s="23"/>
      <c r="P2676" s="23"/>
    </row>
    <row r="2677" spans="2:16" x14ac:dyDescent="0.25">
      <c r="B2677" s="23"/>
      <c r="E2677" s="23"/>
      <c r="G2677" s="23"/>
      <c r="H2677" s="23"/>
      <c r="J2677" s="23"/>
      <c r="K2677" s="23"/>
      <c r="M2677" s="23"/>
      <c r="N2677" s="23"/>
      <c r="P2677" s="23"/>
    </row>
    <row r="2678" spans="2:16" x14ac:dyDescent="0.25">
      <c r="B2678" s="23"/>
      <c r="E2678" s="23"/>
      <c r="G2678" s="23"/>
      <c r="H2678" s="23"/>
      <c r="J2678" s="23"/>
      <c r="K2678" s="23"/>
      <c r="M2678" s="23"/>
      <c r="N2678" s="23"/>
      <c r="P2678" s="23"/>
    </row>
    <row r="2679" spans="2:16" x14ac:dyDescent="0.25">
      <c r="B2679" s="23"/>
      <c r="E2679" s="23"/>
      <c r="G2679" s="23"/>
      <c r="H2679" s="23"/>
      <c r="J2679" s="23"/>
      <c r="K2679" s="23"/>
      <c r="M2679" s="23"/>
      <c r="N2679" s="23"/>
      <c r="P2679" s="23"/>
    </row>
    <row r="2680" spans="2:16" x14ac:dyDescent="0.25">
      <c r="B2680" s="23"/>
      <c r="E2680" s="23"/>
      <c r="G2680" s="23"/>
      <c r="H2680" s="23"/>
      <c r="J2680" s="23"/>
      <c r="K2680" s="23"/>
      <c r="M2680" s="23"/>
      <c r="N2680" s="23"/>
      <c r="P2680" s="23"/>
    </row>
    <row r="2681" spans="2:16" x14ac:dyDescent="0.25">
      <c r="B2681" s="23"/>
      <c r="E2681" s="23"/>
      <c r="G2681" s="23"/>
      <c r="H2681" s="23"/>
      <c r="J2681" s="23"/>
      <c r="K2681" s="23"/>
      <c r="M2681" s="23"/>
      <c r="N2681" s="23"/>
      <c r="P2681" s="23"/>
    </row>
    <row r="2682" spans="2:16" x14ac:dyDescent="0.25">
      <c r="B2682" s="23"/>
      <c r="E2682" s="23"/>
      <c r="G2682" s="23"/>
      <c r="H2682" s="23"/>
      <c r="J2682" s="23"/>
      <c r="K2682" s="23"/>
      <c r="M2682" s="23"/>
      <c r="N2682" s="23"/>
      <c r="P2682" s="23"/>
    </row>
    <row r="2683" spans="2:16" x14ac:dyDescent="0.25">
      <c r="B2683" s="23"/>
      <c r="E2683" s="23"/>
      <c r="G2683" s="23"/>
      <c r="H2683" s="23"/>
      <c r="J2683" s="23"/>
      <c r="K2683" s="23"/>
      <c r="M2683" s="23"/>
      <c r="N2683" s="23"/>
      <c r="P2683" s="23"/>
    </row>
    <row r="2684" spans="2:16" x14ac:dyDescent="0.25">
      <c r="B2684" s="23"/>
      <c r="E2684" s="23"/>
      <c r="G2684" s="23"/>
      <c r="H2684" s="23"/>
      <c r="J2684" s="23"/>
      <c r="K2684" s="23"/>
      <c r="M2684" s="23"/>
      <c r="N2684" s="23"/>
      <c r="P2684" s="23"/>
    </row>
    <row r="2685" spans="2:16" x14ac:dyDescent="0.25">
      <c r="B2685" s="23"/>
      <c r="E2685" s="23"/>
      <c r="G2685" s="23"/>
      <c r="H2685" s="23"/>
      <c r="J2685" s="23"/>
      <c r="K2685" s="23"/>
      <c r="M2685" s="23"/>
      <c r="N2685" s="23"/>
      <c r="P2685" s="23"/>
    </row>
    <row r="2686" spans="2:16" x14ac:dyDescent="0.25">
      <c r="B2686" s="23"/>
      <c r="E2686" s="23"/>
      <c r="G2686" s="23"/>
      <c r="H2686" s="23"/>
      <c r="J2686" s="23"/>
      <c r="K2686" s="23"/>
      <c r="M2686" s="23"/>
      <c r="N2686" s="23"/>
      <c r="P2686" s="23"/>
    </row>
    <row r="2687" spans="2:16" x14ac:dyDescent="0.25">
      <c r="B2687" s="23"/>
      <c r="E2687" s="23"/>
      <c r="G2687" s="23"/>
      <c r="H2687" s="23"/>
      <c r="J2687" s="23"/>
      <c r="K2687" s="23"/>
      <c r="M2687" s="23"/>
      <c r="N2687" s="23"/>
      <c r="P2687" s="23"/>
    </row>
    <row r="2688" spans="2:16" x14ac:dyDescent="0.25">
      <c r="B2688" s="23"/>
      <c r="E2688" s="23"/>
      <c r="G2688" s="23"/>
      <c r="H2688" s="23"/>
      <c r="J2688" s="23"/>
      <c r="K2688" s="23"/>
      <c r="M2688" s="23"/>
      <c r="N2688" s="23"/>
      <c r="P2688" s="23"/>
    </row>
    <row r="2689" spans="2:16" x14ac:dyDescent="0.25">
      <c r="B2689" s="23"/>
      <c r="E2689" s="23"/>
      <c r="G2689" s="23"/>
      <c r="H2689" s="23"/>
      <c r="J2689" s="23"/>
      <c r="K2689" s="23"/>
      <c r="M2689" s="23"/>
      <c r="N2689" s="23"/>
      <c r="P2689" s="23"/>
    </row>
    <row r="2690" spans="2:16" x14ac:dyDescent="0.25">
      <c r="B2690" s="23"/>
      <c r="E2690" s="23"/>
      <c r="G2690" s="23"/>
      <c r="H2690" s="23"/>
      <c r="J2690" s="23"/>
      <c r="K2690" s="23"/>
      <c r="M2690" s="23"/>
      <c r="N2690" s="23"/>
      <c r="P2690" s="23"/>
    </row>
    <row r="2691" spans="2:16" x14ac:dyDescent="0.25">
      <c r="B2691" s="23"/>
      <c r="E2691" s="23"/>
      <c r="G2691" s="23"/>
      <c r="H2691" s="23"/>
      <c r="J2691" s="23"/>
      <c r="K2691" s="23"/>
      <c r="M2691" s="23"/>
      <c r="N2691" s="23"/>
      <c r="P2691" s="23"/>
    </row>
    <row r="2692" spans="2:16" x14ac:dyDescent="0.25">
      <c r="B2692" s="23"/>
      <c r="E2692" s="23"/>
      <c r="G2692" s="23"/>
      <c r="H2692" s="23"/>
      <c r="J2692" s="23"/>
      <c r="K2692" s="23"/>
      <c r="M2692" s="23"/>
      <c r="N2692" s="23"/>
      <c r="P2692" s="23"/>
    </row>
    <row r="2693" spans="2:16" x14ac:dyDescent="0.25">
      <c r="B2693" s="23"/>
      <c r="E2693" s="23"/>
      <c r="G2693" s="23"/>
      <c r="H2693" s="23"/>
      <c r="J2693" s="23"/>
      <c r="K2693" s="23"/>
      <c r="M2693" s="23"/>
      <c r="N2693" s="23"/>
      <c r="P2693" s="23"/>
    </row>
    <row r="2694" spans="2:16" x14ac:dyDescent="0.25">
      <c r="B2694" s="23"/>
      <c r="E2694" s="23"/>
      <c r="G2694" s="23"/>
      <c r="H2694" s="23"/>
      <c r="J2694" s="23"/>
      <c r="K2694" s="23"/>
      <c r="M2694" s="23"/>
      <c r="N2694" s="23"/>
      <c r="P2694" s="23"/>
    </row>
    <row r="2695" spans="2:16" x14ac:dyDescent="0.25">
      <c r="B2695" s="23"/>
      <c r="E2695" s="23"/>
      <c r="G2695" s="23"/>
      <c r="H2695" s="23"/>
      <c r="J2695" s="23"/>
      <c r="K2695" s="23"/>
      <c r="M2695" s="23"/>
      <c r="N2695" s="23"/>
      <c r="P2695" s="23"/>
    </row>
    <row r="2696" spans="2:16" x14ac:dyDescent="0.25">
      <c r="B2696" s="23"/>
      <c r="E2696" s="23"/>
      <c r="G2696" s="23"/>
      <c r="H2696" s="23"/>
      <c r="J2696" s="23"/>
      <c r="K2696" s="23"/>
      <c r="M2696" s="23"/>
      <c r="N2696" s="23"/>
      <c r="P2696" s="23"/>
    </row>
    <row r="2697" spans="2:16" x14ac:dyDescent="0.25">
      <c r="B2697" s="23"/>
      <c r="E2697" s="23"/>
      <c r="G2697" s="23"/>
      <c r="H2697" s="23"/>
      <c r="J2697" s="23"/>
      <c r="K2697" s="23"/>
      <c r="M2697" s="23"/>
      <c r="N2697" s="23"/>
      <c r="P2697" s="23"/>
    </row>
    <row r="2698" spans="2:16" x14ac:dyDescent="0.25">
      <c r="B2698" s="23"/>
      <c r="E2698" s="23"/>
      <c r="G2698" s="23"/>
      <c r="H2698" s="23"/>
      <c r="J2698" s="23"/>
      <c r="K2698" s="23"/>
      <c r="M2698" s="23"/>
      <c r="N2698" s="23"/>
      <c r="P2698" s="23"/>
    </row>
    <row r="2699" spans="2:16" x14ac:dyDescent="0.25">
      <c r="B2699" s="23"/>
      <c r="E2699" s="23"/>
      <c r="G2699" s="23"/>
      <c r="H2699" s="23"/>
      <c r="J2699" s="23"/>
      <c r="K2699" s="23"/>
      <c r="M2699" s="23"/>
      <c r="N2699" s="23"/>
      <c r="P2699" s="23"/>
    </row>
    <row r="2700" spans="2:16" x14ac:dyDescent="0.25">
      <c r="B2700" s="23"/>
      <c r="E2700" s="23"/>
      <c r="G2700" s="23"/>
      <c r="H2700" s="23"/>
      <c r="J2700" s="23"/>
      <c r="K2700" s="23"/>
      <c r="M2700" s="23"/>
      <c r="N2700" s="23"/>
      <c r="P2700" s="23"/>
    </row>
    <row r="2701" spans="2:16" x14ac:dyDescent="0.25">
      <c r="B2701" s="23"/>
      <c r="E2701" s="23"/>
      <c r="G2701" s="23"/>
      <c r="H2701" s="23"/>
      <c r="J2701" s="23"/>
      <c r="K2701" s="23"/>
      <c r="M2701" s="23"/>
      <c r="N2701" s="23"/>
      <c r="P2701" s="23"/>
    </row>
    <row r="2702" spans="2:16" x14ac:dyDescent="0.25">
      <c r="B2702" s="23"/>
      <c r="E2702" s="23"/>
      <c r="G2702" s="23"/>
      <c r="H2702" s="23"/>
      <c r="J2702" s="23"/>
      <c r="K2702" s="23"/>
      <c r="M2702" s="23"/>
      <c r="N2702" s="23"/>
      <c r="P2702" s="23"/>
    </row>
    <row r="2703" spans="2:16" x14ac:dyDescent="0.25">
      <c r="B2703" s="23"/>
      <c r="E2703" s="23"/>
      <c r="G2703" s="23"/>
      <c r="H2703" s="23"/>
      <c r="J2703" s="23"/>
      <c r="K2703" s="23"/>
      <c r="M2703" s="23"/>
      <c r="N2703" s="23"/>
      <c r="P2703" s="23"/>
    </row>
    <row r="2704" spans="2:16" x14ac:dyDescent="0.25">
      <c r="B2704" s="23"/>
      <c r="E2704" s="23"/>
      <c r="G2704" s="23"/>
      <c r="H2704" s="23"/>
      <c r="J2704" s="23"/>
      <c r="K2704" s="23"/>
      <c r="M2704" s="23"/>
      <c r="N2704" s="23"/>
      <c r="P2704" s="23"/>
    </row>
    <row r="2705" spans="2:16" x14ac:dyDescent="0.25">
      <c r="B2705" s="23"/>
      <c r="E2705" s="23"/>
      <c r="G2705" s="23"/>
      <c r="H2705" s="23"/>
      <c r="J2705" s="23"/>
      <c r="K2705" s="23"/>
      <c r="M2705" s="23"/>
      <c r="N2705" s="23"/>
      <c r="P2705" s="23"/>
    </row>
    <row r="2706" spans="2:16" x14ac:dyDescent="0.25">
      <c r="B2706" s="23"/>
      <c r="E2706" s="23"/>
      <c r="G2706" s="23"/>
      <c r="H2706" s="23"/>
      <c r="J2706" s="23"/>
      <c r="K2706" s="23"/>
      <c r="M2706" s="23"/>
      <c r="N2706" s="23"/>
      <c r="P2706" s="23"/>
    </row>
    <row r="2707" spans="2:16" x14ac:dyDescent="0.25">
      <c r="B2707" s="23"/>
      <c r="E2707" s="23"/>
      <c r="G2707" s="23"/>
      <c r="H2707" s="23"/>
      <c r="J2707" s="23"/>
      <c r="K2707" s="23"/>
      <c r="M2707" s="23"/>
      <c r="N2707" s="23"/>
      <c r="P2707" s="23"/>
    </row>
    <row r="2708" spans="2:16" x14ac:dyDescent="0.25">
      <c r="B2708" s="23"/>
      <c r="E2708" s="23"/>
      <c r="G2708" s="23"/>
      <c r="H2708" s="23"/>
      <c r="J2708" s="23"/>
      <c r="K2708" s="23"/>
      <c r="M2708" s="23"/>
      <c r="N2708" s="23"/>
      <c r="P2708" s="23"/>
    </row>
    <row r="2709" spans="2:16" x14ac:dyDescent="0.25">
      <c r="B2709" s="23"/>
      <c r="E2709" s="23"/>
      <c r="G2709" s="23"/>
      <c r="H2709" s="23"/>
      <c r="J2709" s="23"/>
      <c r="K2709" s="23"/>
      <c r="M2709" s="23"/>
      <c r="N2709" s="23"/>
      <c r="P2709" s="23"/>
    </row>
    <row r="2710" spans="2:16" x14ac:dyDescent="0.25">
      <c r="B2710" s="23"/>
      <c r="E2710" s="23"/>
      <c r="G2710" s="23"/>
      <c r="H2710" s="23"/>
      <c r="J2710" s="23"/>
      <c r="K2710" s="23"/>
      <c r="M2710" s="23"/>
      <c r="N2710" s="23"/>
      <c r="P2710" s="23"/>
    </row>
    <row r="2711" spans="2:16" x14ac:dyDescent="0.25">
      <c r="B2711" s="23"/>
      <c r="E2711" s="23"/>
      <c r="G2711" s="23"/>
      <c r="H2711" s="23"/>
      <c r="J2711" s="23"/>
      <c r="K2711" s="23"/>
      <c r="M2711" s="23"/>
      <c r="N2711" s="23"/>
      <c r="P2711" s="23"/>
    </row>
    <row r="2712" spans="2:16" x14ac:dyDescent="0.25">
      <c r="B2712" s="23"/>
      <c r="E2712" s="23"/>
      <c r="G2712" s="23"/>
      <c r="H2712" s="23"/>
      <c r="J2712" s="23"/>
      <c r="K2712" s="23"/>
      <c r="M2712" s="23"/>
      <c r="N2712" s="23"/>
      <c r="P2712" s="23"/>
    </row>
    <row r="2713" spans="2:16" x14ac:dyDescent="0.25">
      <c r="B2713" s="23"/>
      <c r="E2713" s="23"/>
      <c r="G2713" s="23"/>
      <c r="H2713" s="23"/>
      <c r="J2713" s="23"/>
      <c r="K2713" s="23"/>
      <c r="M2713" s="23"/>
      <c r="N2713" s="23"/>
      <c r="P2713" s="23"/>
    </row>
    <row r="2714" spans="2:16" x14ac:dyDescent="0.25">
      <c r="B2714" s="23"/>
      <c r="E2714" s="23"/>
      <c r="G2714" s="23"/>
      <c r="H2714" s="23"/>
      <c r="J2714" s="23"/>
      <c r="K2714" s="23"/>
      <c r="M2714" s="23"/>
      <c r="N2714" s="23"/>
      <c r="P2714" s="23"/>
    </row>
    <row r="2715" spans="2:16" x14ac:dyDescent="0.25">
      <c r="B2715" s="23"/>
      <c r="E2715" s="23"/>
      <c r="G2715" s="23"/>
      <c r="H2715" s="23"/>
      <c r="J2715" s="23"/>
      <c r="K2715" s="23"/>
      <c r="M2715" s="23"/>
      <c r="N2715" s="23"/>
      <c r="P2715" s="23"/>
    </row>
    <row r="2716" spans="2:16" x14ac:dyDescent="0.25">
      <c r="B2716" s="23"/>
      <c r="E2716" s="23"/>
      <c r="G2716" s="23"/>
      <c r="H2716" s="23"/>
      <c r="J2716" s="23"/>
      <c r="K2716" s="23"/>
      <c r="M2716" s="23"/>
      <c r="N2716" s="23"/>
      <c r="P2716" s="23"/>
    </row>
    <row r="2717" spans="2:16" x14ac:dyDescent="0.25">
      <c r="B2717" s="23"/>
      <c r="E2717" s="23"/>
      <c r="G2717" s="23"/>
      <c r="H2717" s="23"/>
      <c r="J2717" s="23"/>
      <c r="K2717" s="23"/>
      <c r="M2717" s="23"/>
      <c r="N2717" s="23"/>
      <c r="P2717" s="23"/>
    </row>
    <row r="2718" spans="2:16" x14ac:dyDescent="0.25">
      <c r="B2718" s="23"/>
      <c r="E2718" s="23"/>
      <c r="G2718" s="23"/>
      <c r="H2718" s="23"/>
      <c r="J2718" s="23"/>
      <c r="K2718" s="23"/>
      <c r="M2718" s="23"/>
      <c r="N2718" s="23"/>
      <c r="P2718" s="23"/>
    </row>
    <row r="2719" spans="2:16" x14ac:dyDescent="0.25">
      <c r="B2719" s="23"/>
      <c r="E2719" s="23"/>
      <c r="G2719" s="23"/>
      <c r="H2719" s="23"/>
      <c r="J2719" s="23"/>
      <c r="K2719" s="23"/>
      <c r="M2719" s="23"/>
      <c r="N2719" s="23"/>
      <c r="P2719" s="23"/>
    </row>
    <row r="2720" spans="2:16" x14ac:dyDescent="0.25">
      <c r="B2720" s="23"/>
      <c r="E2720" s="23"/>
      <c r="G2720" s="23"/>
      <c r="H2720" s="23"/>
      <c r="J2720" s="23"/>
      <c r="K2720" s="23"/>
      <c r="M2720" s="23"/>
      <c r="N2720" s="23"/>
      <c r="P2720" s="23"/>
    </row>
    <row r="2721" spans="2:16" x14ac:dyDescent="0.25">
      <c r="B2721" s="23"/>
      <c r="E2721" s="23"/>
      <c r="G2721" s="23"/>
      <c r="H2721" s="23"/>
      <c r="J2721" s="23"/>
      <c r="K2721" s="23"/>
      <c r="M2721" s="23"/>
      <c r="N2721" s="23"/>
      <c r="P2721" s="23"/>
    </row>
    <row r="2722" spans="2:16" x14ac:dyDescent="0.25">
      <c r="B2722" s="23"/>
      <c r="E2722" s="23"/>
      <c r="G2722" s="23"/>
      <c r="H2722" s="23"/>
      <c r="J2722" s="23"/>
      <c r="K2722" s="23"/>
      <c r="M2722" s="23"/>
      <c r="N2722" s="23"/>
      <c r="P2722" s="23"/>
    </row>
    <row r="2723" spans="2:16" x14ac:dyDescent="0.25">
      <c r="B2723" s="23"/>
      <c r="E2723" s="23"/>
      <c r="G2723" s="23"/>
      <c r="H2723" s="23"/>
      <c r="J2723" s="23"/>
      <c r="K2723" s="23"/>
      <c r="M2723" s="23"/>
      <c r="N2723" s="23"/>
      <c r="P2723" s="23"/>
    </row>
    <row r="2724" spans="2:16" x14ac:dyDescent="0.25">
      <c r="B2724" s="23"/>
      <c r="E2724" s="23"/>
      <c r="G2724" s="23"/>
      <c r="H2724" s="23"/>
      <c r="J2724" s="23"/>
      <c r="K2724" s="23"/>
      <c r="M2724" s="23"/>
      <c r="N2724" s="23"/>
      <c r="P2724" s="23"/>
    </row>
    <row r="2725" spans="2:16" x14ac:dyDescent="0.25">
      <c r="B2725" s="23"/>
      <c r="E2725" s="23"/>
      <c r="G2725" s="23"/>
      <c r="H2725" s="23"/>
      <c r="J2725" s="23"/>
      <c r="K2725" s="23"/>
      <c r="M2725" s="23"/>
      <c r="N2725" s="23"/>
      <c r="P2725" s="23"/>
    </row>
    <row r="2726" spans="2:16" x14ac:dyDescent="0.25">
      <c r="B2726" s="23"/>
      <c r="E2726" s="23"/>
      <c r="G2726" s="23"/>
      <c r="H2726" s="23"/>
      <c r="J2726" s="23"/>
      <c r="K2726" s="23"/>
      <c r="M2726" s="23"/>
      <c r="N2726" s="23"/>
      <c r="P2726" s="23"/>
    </row>
    <row r="2727" spans="2:16" x14ac:dyDescent="0.25">
      <c r="B2727" s="23"/>
      <c r="E2727" s="23"/>
      <c r="G2727" s="23"/>
      <c r="H2727" s="23"/>
      <c r="J2727" s="23"/>
      <c r="K2727" s="23"/>
      <c r="M2727" s="23"/>
      <c r="N2727" s="23"/>
      <c r="P2727" s="23"/>
    </row>
    <row r="2728" spans="2:16" x14ac:dyDescent="0.25">
      <c r="B2728" s="23"/>
      <c r="E2728" s="23"/>
      <c r="G2728" s="23"/>
      <c r="H2728" s="23"/>
      <c r="J2728" s="23"/>
      <c r="K2728" s="23"/>
      <c r="M2728" s="23"/>
      <c r="N2728" s="23"/>
      <c r="P2728" s="23"/>
    </row>
    <row r="2729" spans="2:16" x14ac:dyDescent="0.25">
      <c r="B2729" s="23"/>
      <c r="E2729" s="23"/>
      <c r="G2729" s="23"/>
      <c r="H2729" s="23"/>
      <c r="J2729" s="23"/>
      <c r="K2729" s="23"/>
      <c r="M2729" s="23"/>
      <c r="N2729" s="23"/>
      <c r="P2729" s="23"/>
    </row>
    <row r="2730" spans="2:16" x14ac:dyDescent="0.25">
      <c r="B2730" s="23"/>
      <c r="E2730" s="23"/>
      <c r="G2730" s="23"/>
      <c r="H2730" s="23"/>
      <c r="J2730" s="23"/>
      <c r="K2730" s="23"/>
      <c r="M2730" s="23"/>
      <c r="N2730" s="23"/>
      <c r="P2730" s="23"/>
    </row>
    <row r="2731" spans="2:16" x14ac:dyDescent="0.25">
      <c r="B2731" s="23"/>
      <c r="E2731" s="23"/>
      <c r="G2731" s="23"/>
      <c r="H2731" s="23"/>
      <c r="J2731" s="23"/>
      <c r="K2731" s="23"/>
      <c r="M2731" s="23"/>
      <c r="N2731" s="23"/>
      <c r="P2731" s="23"/>
    </row>
    <row r="2732" spans="2:16" x14ac:dyDescent="0.25">
      <c r="B2732" s="23"/>
      <c r="E2732" s="23"/>
      <c r="G2732" s="23"/>
      <c r="H2732" s="23"/>
      <c r="J2732" s="23"/>
      <c r="K2732" s="23"/>
      <c r="M2732" s="23"/>
      <c r="N2732" s="23"/>
      <c r="P2732" s="23"/>
    </row>
    <row r="2733" spans="2:16" x14ac:dyDescent="0.25">
      <c r="B2733" s="23"/>
      <c r="E2733" s="23"/>
      <c r="G2733" s="23"/>
      <c r="H2733" s="23"/>
      <c r="J2733" s="23"/>
      <c r="K2733" s="23"/>
      <c r="M2733" s="23"/>
      <c r="N2733" s="23"/>
      <c r="P2733" s="23"/>
    </row>
    <row r="2734" spans="2:16" x14ac:dyDescent="0.25">
      <c r="B2734" s="23"/>
      <c r="E2734" s="23"/>
      <c r="G2734" s="23"/>
      <c r="H2734" s="23"/>
      <c r="J2734" s="23"/>
      <c r="K2734" s="23"/>
      <c r="M2734" s="23"/>
      <c r="N2734" s="23"/>
      <c r="P2734" s="23"/>
    </row>
    <row r="2735" spans="2:16" x14ac:dyDescent="0.25">
      <c r="B2735" s="23"/>
      <c r="E2735" s="23"/>
      <c r="G2735" s="23"/>
      <c r="H2735" s="23"/>
      <c r="J2735" s="23"/>
      <c r="K2735" s="23"/>
      <c r="M2735" s="23"/>
      <c r="N2735" s="23"/>
      <c r="P2735" s="23"/>
    </row>
    <row r="2736" spans="2:16" x14ac:dyDescent="0.25">
      <c r="B2736" s="23"/>
      <c r="E2736" s="23"/>
      <c r="G2736" s="23"/>
      <c r="H2736" s="23"/>
      <c r="J2736" s="23"/>
      <c r="K2736" s="23"/>
      <c r="M2736" s="23"/>
      <c r="N2736" s="23"/>
      <c r="P2736" s="23"/>
    </row>
    <row r="2737" spans="2:16" x14ac:dyDescent="0.25">
      <c r="B2737" s="23"/>
      <c r="E2737" s="23"/>
      <c r="G2737" s="23"/>
      <c r="H2737" s="23"/>
      <c r="J2737" s="23"/>
      <c r="K2737" s="23"/>
      <c r="M2737" s="23"/>
      <c r="N2737" s="23"/>
      <c r="P2737" s="23"/>
    </row>
    <row r="2738" spans="2:16" x14ac:dyDescent="0.25">
      <c r="B2738" s="23"/>
      <c r="E2738" s="23"/>
      <c r="G2738" s="23"/>
      <c r="H2738" s="23"/>
      <c r="J2738" s="23"/>
      <c r="K2738" s="23"/>
      <c r="M2738" s="23"/>
      <c r="N2738" s="23"/>
      <c r="P2738" s="23"/>
    </row>
    <row r="2739" spans="2:16" x14ac:dyDescent="0.25">
      <c r="B2739" s="23"/>
      <c r="E2739" s="23"/>
      <c r="G2739" s="23"/>
      <c r="H2739" s="23"/>
      <c r="J2739" s="23"/>
      <c r="K2739" s="23"/>
      <c r="M2739" s="23"/>
      <c r="N2739" s="23"/>
      <c r="P2739" s="23"/>
    </row>
    <row r="2740" spans="2:16" x14ac:dyDescent="0.25">
      <c r="B2740" s="23"/>
      <c r="E2740" s="23"/>
      <c r="G2740" s="23"/>
      <c r="H2740" s="23"/>
      <c r="J2740" s="23"/>
      <c r="K2740" s="23"/>
      <c r="M2740" s="23"/>
      <c r="N2740" s="23"/>
      <c r="P2740" s="23"/>
    </row>
    <row r="2741" spans="2:16" x14ac:dyDescent="0.25">
      <c r="B2741" s="23"/>
      <c r="E2741" s="23"/>
      <c r="G2741" s="23"/>
      <c r="H2741" s="23"/>
      <c r="J2741" s="23"/>
      <c r="K2741" s="23"/>
      <c r="M2741" s="23"/>
      <c r="N2741" s="23"/>
      <c r="P2741" s="23"/>
    </row>
    <row r="2742" spans="2:16" x14ac:dyDescent="0.25">
      <c r="B2742" s="23"/>
      <c r="E2742" s="23"/>
      <c r="G2742" s="23"/>
      <c r="H2742" s="23"/>
      <c r="J2742" s="23"/>
      <c r="K2742" s="23"/>
      <c r="M2742" s="23"/>
      <c r="N2742" s="23"/>
      <c r="P2742" s="23"/>
    </row>
    <row r="2743" spans="2:16" x14ac:dyDescent="0.25">
      <c r="B2743" s="23"/>
      <c r="E2743" s="23"/>
      <c r="G2743" s="23"/>
      <c r="H2743" s="23"/>
      <c r="J2743" s="23"/>
      <c r="K2743" s="23"/>
      <c r="M2743" s="23"/>
      <c r="N2743" s="23"/>
      <c r="P2743" s="23"/>
    </row>
    <row r="2744" spans="2:16" x14ac:dyDescent="0.25">
      <c r="B2744" s="23"/>
      <c r="E2744" s="23"/>
      <c r="G2744" s="23"/>
      <c r="H2744" s="23"/>
      <c r="J2744" s="23"/>
      <c r="K2744" s="23"/>
      <c r="M2744" s="23"/>
      <c r="N2744" s="23"/>
      <c r="P2744" s="23"/>
    </row>
    <row r="2745" spans="2:16" x14ac:dyDescent="0.25">
      <c r="B2745" s="23"/>
      <c r="E2745" s="23"/>
      <c r="G2745" s="23"/>
      <c r="H2745" s="23"/>
      <c r="J2745" s="23"/>
      <c r="K2745" s="23"/>
      <c r="M2745" s="23"/>
      <c r="N2745" s="23"/>
      <c r="P2745" s="23"/>
    </row>
    <row r="2746" spans="2:16" x14ac:dyDescent="0.25">
      <c r="B2746" s="23"/>
      <c r="E2746" s="23"/>
      <c r="G2746" s="23"/>
      <c r="H2746" s="23"/>
      <c r="J2746" s="23"/>
      <c r="K2746" s="23"/>
      <c r="M2746" s="23"/>
      <c r="N2746" s="23"/>
      <c r="P2746" s="23"/>
    </row>
    <row r="2747" spans="2:16" x14ac:dyDescent="0.25">
      <c r="B2747" s="23"/>
      <c r="E2747" s="23"/>
      <c r="G2747" s="23"/>
      <c r="H2747" s="23"/>
      <c r="J2747" s="23"/>
      <c r="K2747" s="23"/>
      <c r="M2747" s="23"/>
      <c r="N2747" s="23"/>
      <c r="P2747" s="23"/>
    </row>
    <row r="2748" spans="2:16" x14ac:dyDescent="0.25">
      <c r="B2748" s="23"/>
      <c r="E2748" s="23"/>
      <c r="G2748" s="23"/>
      <c r="H2748" s="23"/>
      <c r="J2748" s="23"/>
      <c r="K2748" s="23"/>
      <c r="M2748" s="23"/>
      <c r="N2748" s="23"/>
      <c r="P2748" s="23"/>
    </row>
    <row r="2749" spans="2:16" x14ac:dyDescent="0.25">
      <c r="B2749" s="23"/>
      <c r="E2749" s="23"/>
      <c r="G2749" s="23"/>
      <c r="H2749" s="23"/>
      <c r="J2749" s="23"/>
      <c r="K2749" s="23"/>
      <c r="M2749" s="23"/>
      <c r="N2749" s="23"/>
      <c r="P2749" s="23"/>
    </row>
    <row r="2750" spans="2:16" x14ac:dyDescent="0.25">
      <c r="B2750" s="23"/>
      <c r="E2750" s="23"/>
      <c r="G2750" s="23"/>
      <c r="H2750" s="23"/>
      <c r="J2750" s="23"/>
      <c r="K2750" s="23"/>
      <c r="M2750" s="23"/>
      <c r="N2750" s="23"/>
      <c r="P2750" s="23"/>
    </row>
    <row r="2751" spans="2:16" x14ac:dyDescent="0.25">
      <c r="B2751" s="23"/>
      <c r="E2751" s="23"/>
      <c r="G2751" s="23"/>
      <c r="H2751" s="23"/>
      <c r="J2751" s="23"/>
      <c r="K2751" s="23"/>
      <c r="M2751" s="23"/>
      <c r="N2751" s="23"/>
      <c r="P2751" s="23"/>
    </row>
    <row r="2752" spans="2:16" x14ac:dyDescent="0.25">
      <c r="B2752" s="23"/>
      <c r="E2752" s="23"/>
      <c r="G2752" s="23"/>
      <c r="H2752" s="23"/>
      <c r="J2752" s="23"/>
      <c r="K2752" s="23"/>
      <c r="M2752" s="23"/>
      <c r="N2752" s="23"/>
      <c r="P2752" s="23"/>
    </row>
    <row r="2753" spans="2:16" x14ac:dyDescent="0.25">
      <c r="B2753" s="23"/>
      <c r="E2753" s="23"/>
      <c r="G2753" s="23"/>
      <c r="H2753" s="23"/>
      <c r="J2753" s="23"/>
      <c r="K2753" s="23"/>
      <c r="M2753" s="23"/>
      <c r="N2753" s="23"/>
      <c r="P2753" s="23"/>
    </row>
    <row r="2754" spans="2:16" x14ac:dyDescent="0.25">
      <c r="B2754" s="23"/>
      <c r="E2754" s="23"/>
      <c r="G2754" s="23"/>
      <c r="H2754" s="23"/>
      <c r="J2754" s="23"/>
      <c r="K2754" s="23"/>
      <c r="M2754" s="23"/>
      <c r="N2754" s="23"/>
      <c r="P2754" s="23"/>
    </row>
    <row r="2755" spans="2:16" x14ac:dyDescent="0.25">
      <c r="B2755" s="23"/>
      <c r="E2755" s="23"/>
      <c r="G2755" s="23"/>
      <c r="H2755" s="23"/>
      <c r="J2755" s="23"/>
      <c r="K2755" s="23"/>
      <c r="M2755" s="23"/>
      <c r="N2755" s="23"/>
      <c r="P2755" s="23"/>
    </row>
    <row r="2756" spans="2:16" x14ac:dyDescent="0.25">
      <c r="B2756" s="23"/>
      <c r="E2756" s="23"/>
      <c r="G2756" s="23"/>
      <c r="H2756" s="23"/>
      <c r="J2756" s="23"/>
      <c r="K2756" s="23"/>
      <c r="M2756" s="23"/>
      <c r="N2756" s="23"/>
      <c r="P2756" s="23"/>
    </row>
    <row r="2757" spans="2:16" x14ac:dyDescent="0.25">
      <c r="B2757" s="23"/>
      <c r="E2757" s="23"/>
      <c r="G2757" s="23"/>
      <c r="H2757" s="23"/>
      <c r="J2757" s="23"/>
      <c r="K2757" s="23"/>
      <c r="M2757" s="23"/>
      <c r="N2757" s="23"/>
      <c r="P2757" s="23"/>
    </row>
    <row r="2758" spans="2:16" x14ac:dyDescent="0.25">
      <c r="B2758" s="23"/>
      <c r="E2758" s="23"/>
      <c r="G2758" s="23"/>
      <c r="H2758" s="23"/>
      <c r="J2758" s="23"/>
      <c r="K2758" s="23"/>
      <c r="M2758" s="23"/>
      <c r="N2758" s="23"/>
      <c r="P2758" s="23"/>
    </row>
    <row r="2759" spans="2:16" x14ac:dyDescent="0.25">
      <c r="B2759" s="23"/>
      <c r="E2759" s="23"/>
      <c r="G2759" s="23"/>
      <c r="H2759" s="23"/>
      <c r="J2759" s="23"/>
      <c r="K2759" s="23"/>
      <c r="M2759" s="23"/>
      <c r="N2759" s="23"/>
      <c r="P2759" s="23"/>
    </row>
    <row r="2760" spans="2:16" x14ac:dyDescent="0.25">
      <c r="B2760" s="23"/>
      <c r="E2760" s="23"/>
      <c r="G2760" s="23"/>
      <c r="H2760" s="23"/>
      <c r="J2760" s="23"/>
      <c r="K2760" s="23"/>
      <c r="M2760" s="23"/>
      <c r="N2760" s="23"/>
      <c r="P2760" s="23"/>
    </row>
    <row r="2761" spans="2:16" x14ac:dyDescent="0.25">
      <c r="B2761" s="23"/>
      <c r="E2761" s="23"/>
      <c r="G2761" s="23"/>
      <c r="H2761" s="23"/>
      <c r="J2761" s="23"/>
      <c r="K2761" s="23"/>
      <c r="M2761" s="23"/>
      <c r="N2761" s="23"/>
      <c r="P2761" s="23"/>
    </row>
    <row r="2762" spans="2:16" x14ac:dyDescent="0.25">
      <c r="B2762" s="23"/>
      <c r="E2762" s="23"/>
      <c r="G2762" s="23"/>
      <c r="H2762" s="23"/>
      <c r="J2762" s="23"/>
      <c r="K2762" s="23"/>
      <c r="M2762" s="23"/>
      <c r="N2762" s="23"/>
      <c r="P2762" s="23"/>
    </row>
    <row r="2763" spans="2:16" x14ac:dyDescent="0.25">
      <c r="B2763" s="23"/>
      <c r="E2763" s="23"/>
      <c r="G2763" s="23"/>
      <c r="H2763" s="23"/>
      <c r="J2763" s="23"/>
      <c r="K2763" s="23"/>
      <c r="M2763" s="23"/>
      <c r="N2763" s="23"/>
      <c r="P2763" s="23"/>
    </row>
    <row r="2764" spans="2:16" x14ac:dyDescent="0.25">
      <c r="B2764" s="23"/>
      <c r="E2764" s="23"/>
      <c r="G2764" s="23"/>
      <c r="H2764" s="23"/>
      <c r="J2764" s="23"/>
      <c r="K2764" s="23"/>
      <c r="M2764" s="23"/>
      <c r="N2764" s="23"/>
      <c r="P2764" s="23"/>
    </row>
    <row r="2765" spans="2:16" x14ac:dyDescent="0.25">
      <c r="B2765" s="23"/>
      <c r="E2765" s="23"/>
      <c r="G2765" s="23"/>
      <c r="H2765" s="23"/>
      <c r="J2765" s="23"/>
      <c r="K2765" s="23"/>
      <c r="M2765" s="23"/>
      <c r="N2765" s="23"/>
      <c r="P2765" s="23"/>
    </row>
    <row r="2766" spans="2:16" x14ac:dyDescent="0.25">
      <c r="B2766" s="23"/>
      <c r="E2766" s="23"/>
      <c r="G2766" s="23"/>
      <c r="H2766" s="23"/>
      <c r="J2766" s="23"/>
      <c r="K2766" s="23"/>
      <c r="M2766" s="23"/>
      <c r="N2766" s="23"/>
      <c r="P2766" s="23"/>
    </row>
    <row r="2767" spans="2:16" x14ac:dyDescent="0.25">
      <c r="B2767" s="23"/>
      <c r="E2767" s="23"/>
      <c r="G2767" s="23"/>
      <c r="H2767" s="23"/>
      <c r="J2767" s="23"/>
      <c r="K2767" s="23"/>
      <c r="M2767" s="23"/>
      <c r="N2767" s="23"/>
      <c r="P2767" s="23"/>
    </row>
    <row r="2768" spans="2:16" x14ac:dyDescent="0.25">
      <c r="B2768" s="23"/>
      <c r="E2768" s="23"/>
      <c r="G2768" s="23"/>
      <c r="H2768" s="23"/>
      <c r="J2768" s="23"/>
      <c r="K2768" s="23"/>
      <c r="M2768" s="23"/>
      <c r="N2768" s="23"/>
      <c r="P2768" s="23"/>
    </row>
    <row r="2769" spans="2:16" x14ac:dyDescent="0.25">
      <c r="B2769" s="23"/>
      <c r="E2769" s="23"/>
      <c r="G2769" s="23"/>
      <c r="H2769" s="23"/>
      <c r="J2769" s="23"/>
      <c r="K2769" s="23"/>
      <c r="M2769" s="23"/>
      <c r="N2769" s="23"/>
      <c r="P2769" s="23"/>
    </row>
    <row r="2770" spans="2:16" x14ac:dyDescent="0.25">
      <c r="B2770" s="23"/>
      <c r="E2770" s="23"/>
      <c r="G2770" s="23"/>
      <c r="H2770" s="23"/>
      <c r="J2770" s="23"/>
      <c r="K2770" s="23"/>
      <c r="M2770" s="23"/>
      <c r="N2770" s="23"/>
      <c r="P2770" s="23"/>
    </row>
    <row r="2771" spans="2:16" x14ac:dyDescent="0.25">
      <c r="B2771" s="23"/>
      <c r="E2771" s="23"/>
      <c r="G2771" s="23"/>
      <c r="H2771" s="23"/>
      <c r="J2771" s="23"/>
      <c r="K2771" s="23"/>
      <c r="M2771" s="23"/>
      <c r="N2771" s="23"/>
      <c r="P2771" s="23"/>
    </row>
    <row r="2772" spans="2:16" x14ac:dyDescent="0.25">
      <c r="B2772" s="23"/>
      <c r="E2772" s="23"/>
      <c r="G2772" s="23"/>
      <c r="H2772" s="23"/>
      <c r="J2772" s="23"/>
      <c r="K2772" s="23"/>
      <c r="M2772" s="23"/>
      <c r="N2772" s="23"/>
      <c r="P2772" s="23"/>
    </row>
    <row r="2773" spans="2:16" x14ac:dyDescent="0.25">
      <c r="B2773" s="23"/>
      <c r="E2773" s="23"/>
      <c r="G2773" s="23"/>
      <c r="H2773" s="23"/>
      <c r="J2773" s="23"/>
      <c r="K2773" s="23"/>
      <c r="M2773" s="23"/>
      <c r="N2773" s="23"/>
      <c r="P2773" s="23"/>
    </row>
    <row r="2774" spans="2:16" x14ac:dyDescent="0.25">
      <c r="B2774" s="23"/>
      <c r="E2774" s="23"/>
      <c r="G2774" s="23"/>
      <c r="H2774" s="23"/>
      <c r="J2774" s="23"/>
      <c r="K2774" s="23"/>
      <c r="M2774" s="23"/>
      <c r="N2774" s="23"/>
      <c r="P2774" s="23"/>
    </row>
    <row r="2775" spans="2:16" x14ac:dyDescent="0.25">
      <c r="B2775" s="23"/>
      <c r="E2775" s="23"/>
      <c r="G2775" s="23"/>
      <c r="H2775" s="23"/>
      <c r="J2775" s="23"/>
      <c r="K2775" s="23"/>
      <c r="M2775" s="23"/>
      <c r="N2775" s="23"/>
      <c r="P2775" s="23"/>
    </row>
    <row r="2776" spans="2:16" x14ac:dyDescent="0.25">
      <c r="B2776" s="23"/>
      <c r="E2776" s="23"/>
      <c r="G2776" s="23"/>
      <c r="H2776" s="23"/>
      <c r="J2776" s="23"/>
      <c r="K2776" s="23"/>
      <c r="M2776" s="23"/>
      <c r="N2776" s="23"/>
      <c r="P2776" s="23"/>
    </row>
    <row r="2777" spans="2:16" x14ac:dyDescent="0.25">
      <c r="B2777" s="23"/>
      <c r="E2777" s="23"/>
      <c r="G2777" s="23"/>
      <c r="H2777" s="23"/>
      <c r="J2777" s="23"/>
      <c r="K2777" s="23"/>
      <c r="M2777" s="23"/>
      <c r="N2777" s="23"/>
      <c r="P2777" s="23"/>
    </row>
    <row r="2778" spans="2:16" x14ac:dyDescent="0.25">
      <c r="B2778" s="23"/>
      <c r="E2778" s="23"/>
      <c r="G2778" s="23"/>
      <c r="H2778" s="23"/>
      <c r="J2778" s="23"/>
      <c r="K2778" s="23"/>
      <c r="M2778" s="23"/>
      <c r="N2778" s="23"/>
      <c r="P2778" s="23"/>
    </row>
    <row r="2779" spans="2:16" x14ac:dyDescent="0.25">
      <c r="B2779" s="23"/>
      <c r="E2779" s="23"/>
      <c r="G2779" s="23"/>
      <c r="H2779" s="23"/>
      <c r="J2779" s="23"/>
      <c r="K2779" s="23"/>
      <c r="M2779" s="23"/>
      <c r="N2779" s="23"/>
      <c r="P2779" s="23"/>
    </row>
    <row r="2780" spans="2:16" x14ac:dyDescent="0.25">
      <c r="B2780" s="23"/>
      <c r="E2780" s="23"/>
      <c r="G2780" s="23"/>
      <c r="H2780" s="23"/>
      <c r="J2780" s="23"/>
      <c r="K2780" s="23"/>
      <c r="M2780" s="23"/>
      <c r="N2780" s="23"/>
      <c r="P2780" s="23"/>
    </row>
    <row r="2781" spans="2:16" x14ac:dyDescent="0.25">
      <c r="B2781" s="23"/>
      <c r="E2781" s="23"/>
      <c r="G2781" s="23"/>
      <c r="H2781" s="23"/>
      <c r="J2781" s="23"/>
      <c r="K2781" s="23"/>
      <c r="M2781" s="23"/>
      <c r="N2781" s="23"/>
      <c r="P2781" s="23"/>
    </row>
    <row r="2782" spans="2:16" x14ac:dyDescent="0.25">
      <c r="B2782" s="23"/>
      <c r="E2782" s="23"/>
      <c r="G2782" s="23"/>
      <c r="H2782" s="23"/>
      <c r="J2782" s="23"/>
      <c r="K2782" s="23"/>
      <c r="M2782" s="23"/>
      <c r="N2782" s="23"/>
      <c r="P2782" s="23"/>
    </row>
    <row r="2783" spans="2:16" x14ac:dyDescent="0.25">
      <c r="B2783" s="23"/>
      <c r="E2783" s="23"/>
      <c r="G2783" s="23"/>
      <c r="H2783" s="23"/>
      <c r="J2783" s="23"/>
      <c r="K2783" s="23"/>
      <c r="M2783" s="23"/>
      <c r="N2783" s="23"/>
      <c r="P2783" s="23"/>
    </row>
    <row r="2784" spans="2:16" x14ac:dyDescent="0.25">
      <c r="B2784" s="23"/>
      <c r="E2784" s="23"/>
      <c r="G2784" s="23"/>
      <c r="H2784" s="23"/>
      <c r="J2784" s="23"/>
      <c r="K2784" s="23"/>
      <c r="M2784" s="23"/>
      <c r="N2784" s="23"/>
      <c r="P2784" s="23"/>
    </row>
    <row r="2785" spans="2:16" x14ac:dyDescent="0.25">
      <c r="B2785" s="23"/>
      <c r="E2785" s="23"/>
      <c r="G2785" s="23"/>
      <c r="H2785" s="23"/>
      <c r="J2785" s="23"/>
      <c r="K2785" s="23"/>
      <c r="M2785" s="23"/>
      <c r="N2785" s="23"/>
      <c r="P2785" s="23"/>
    </row>
    <row r="2786" spans="2:16" x14ac:dyDescent="0.25">
      <c r="B2786" s="23"/>
      <c r="E2786" s="23"/>
      <c r="G2786" s="23"/>
      <c r="H2786" s="23"/>
      <c r="J2786" s="23"/>
      <c r="K2786" s="23"/>
      <c r="M2786" s="23"/>
      <c r="N2786" s="23"/>
      <c r="P2786" s="23"/>
    </row>
    <row r="2787" spans="2:16" x14ac:dyDescent="0.25">
      <c r="B2787" s="23"/>
      <c r="E2787" s="23"/>
      <c r="G2787" s="23"/>
      <c r="H2787" s="23"/>
      <c r="J2787" s="23"/>
      <c r="K2787" s="23"/>
      <c r="M2787" s="23"/>
      <c r="N2787" s="23"/>
      <c r="P2787" s="23"/>
    </row>
    <row r="2788" spans="2:16" x14ac:dyDescent="0.25">
      <c r="B2788" s="23"/>
      <c r="E2788" s="23"/>
      <c r="G2788" s="23"/>
      <c r="H2788" s="23"/>
      <c r="J2788" s="23"/>
      <c r="K2788" s="23"/>
      <c r="M2788" s="23"/>
      <c r="N2788" s="23"/>
      <c r="P2788" s="23"/>
    </row>
    <row r="2789" spans="2:16" x14ac:dyDescent="0.25">
      <c r="B2789" s="23"/>
      <c r="E2789" s="23"/>
      <c r="G2789" s="23"/>
      <c r="H2789" s="23"/>
      <c r="J2789" s="23"/>
      <c r="K2789" s="23"/>
      <c r="M2789" s="23"/>
      <c r="N2789" s="23"/>
      <c r="P2789" s="23"/>
    </row>
    <row r="2790" spans="2:16" x14ac:dyDescent="0.25">
      <c r="B2790" s="23"/>
      <c r="E2790" s="23"/>
      <c r="G2790" s="23"/>
      <c r="H2790" s="23"/>
      <c r="J2790" s="23"/>
      <c r="K2790" s="23"/>
      <c r="M2790" s="23"/>
      <c r="N2790" s="23"/>
      <c r="P2790" s="23"/>
    </row>
    <row r="2791" spans="2:16" x14ac:dyDescent="0.25">
      <c r="B2791" s="23"/>
      <c r="E2791" s="23"/>
      <c r="G2791" s="23"/>
      <c r="H2791" s="23"/>
      <c r="J2791" s="23"/>
      <c r="K2791" s="23"/>
      <c r="M2791" s="23"/>
      <c r="N2791" s="23"/>
      <c r="P2791" s="23"/>
    </row>
    <row r="2792" spans="2:16" x14ac:dyDescent="0.25">
      <c r="B2792" s="23"/>
      <c r="E2792" s="23"/>
      <c r="G2792" s="23"/>
      <c r="H2792" s="23"/>
      <c r="J2792" s="23"/>
      <c r="K2792" s="23"/>
      <c r="M2792" s="23"/>
      <c r="N2792" s="23"/>
      <c r="P2792" s="23"/>
    </row>
    <row r="2793" spans="2:16" x14ac:dyDescent="0.25">
      <c r="B2793" s="23"/>
      <c r="E2793" s="23"/>
      <c r="G2793" s="23"/>
      <c r="H2793" s="23"/>
      <c r="J2793" s="23"/>
      <c r="K2793" s="23"/>
      <c r="M2793" s="23"/>
      <c r="N2793" s="23"/>
      <c r="P2793" s="23"/>
    </row>
    <row r="2794" spans="2:16" x14ac:dyDescent="0.25">
      <c r="B2794" s="23"/>
      <c r="E2794" s="23"/>
      <c r="G2794" s="23"/>
      <c r="H2794" s="23"/>
      <c r="J2794" s="23"/>
      <c r="K2794" s="23"/>
      <c r="M2794" s="23"/>
      <c r="N2794" s="23"/>
      <c r="P2794" s="23"/>
    </row>
    <row r="2795" spans="2:16" x14ac:dyDescent="0.25">
      <c r="B2795" s="23"/>
      <c r="E2795" s="23"/>
      <c r="G2795" s="23"/>
      <c r="H2795" s="23"/>
      <c r="J2795" s="23"/>
      <c r="K2795" s="23"/>
      <c r="M2795" s="23"/>
      <c r="N2795" s="23"/>
      <c r="P2795" s="23"/>
    </row>
    <row r="2796" spans="2:16" x14ac:dyDescent="0.25">
      <c r="B2796" s="23"/>
      <c r="E2796" s="23"/>
      <c r="G2796" s="23"/>
      <c r="H2796" s="23"/>
      <c r="J2796" s="23"/>
      <c r="K2796" s="23"/>
      <c r="M2796" s="23"/>
      <c r="N2796" s="23"/>
      <c r="P2796" s="23"/>
    </row>
    <row r="2797" spans="2:16" x14ac:dyDescent="0.25">
      <c r="B2797" s="23"/>
      <c r="E2797" s="23"/>
      <c r="G2797" s="23"/>
      <c r="H2797" s="23"/>
      <c r="J2797" s="23"/>
      <c r="K2797" s="23"/>
      <c r="M2797" s="23"/>
      <c r="N2797" s="23"/>
      <c r="P2797" s="23"/>
    </row>
    <row r="2798" spans="2:16" x14ac:dyDescent="0.25">
      <c r="B2798" s="23"/>
      <c r="E2798" s="23"/>
      <c r="G2798" s="23"/>
      <c r="H2798" s="23"/>
      <c r="J2798" s="23"/>
      <c r="K2798" s="23"/>
      <c r="M2798" s="23"/>
      <c r="N2798" s="23"/>
      <c r="P2798" s="23"/>
    </row>
    <row r="2799" spans="2:16" x14ac:dyDescent="0.25">
      <c r="B2799" s="23"/>
      <c r="E2799" s="23"/>
      <c r="G2799" s="23"/>
      <c r="H2799" s="23"/>
      <c r="J2799" s="23"/>
      <c r="K2799" s="23"/>
      <c r="M2799" s="23"/>
      <c r="N2799" s="23"/>
      <c r="P2799" s="23"/>
    </row>
    <row r="2800" spans="2:16" x14ac:dyDescent="0.25">
      <c r="B2800" s="23"/>
      <c r="E2800" s="23"/>
      <c r="G2800" s="23"/>
      <c r="H2800" s="23"/>
      <c r="J2800" s="23"/>
      <c r="K2800" s="23"/>
      <c r="M2800" s="23"/>
      <c r="N2800" s="23"/>
      <c r="P2800" s="23"/>
    </row>
    <row r="2801" spans="2:16" x14ac:dyDescent="0.25">
      <c r="B2801" s="23"/>
      <c r="E2801" s="23"/>
      <c r="G2801" s="23"/>
      <c r="H2801" s="23"/>
      <c r="J2801" s="23"/>
      <c r="K2801" s="23"/>
      <c r="M2801" s="23"/>
      <c r="N2801" s="23"/>
      <c r="P2801" s="23"/>
    </row>
    <row r="2802" spans="2:16" x14ac:dyDescent="0.25">
      <c r="B2802" s="23"/>
      <c r="E2802" s="23"/>
      <c r="G2802" s="23"/>
      <c r="H2802" s="23"/>
      <c r="J2802" s="23"/>
      <c r="K2802" s="23"/>
      <c r="M2802" s="23"/>
      <c r="N2802" s="23"/>
      <c r="P2802" s="23"/>
    </row>
    <row r="2803" spans="2:16" x14ac:dyDescent="0.25">
      <c r="B2803" s="23"/>
      <c r="E2803" s="23"/>
      <c r="G2803" s="23"/>
      <c r="H2803" s="23"/>
      <c r="J2803" s="23"/>
      <c r="K2803" s="23"/>
      <c r="M2803" s="23"/>
      <c r="N2803" s="23"/>
      <c r="P2803" s="23"/>
    </row>
    <row r="2804" spans="2:16" x14ac:dyDescent="0.25">
      <c r="B2804" s="23"/>
      <c r="E2804" s="23"/>
      <c r="G2804" s="23"/>
      <c r="H2804" s="23"/>
      <c r="J2804" s="23"/>
      <c r="K2804" s="23"/>
      <c r="M2804" s="23"/>
      <c r="N2804" s="23"/>
      <c r="P2804" s="23"/>
    </row>
    <row r="2805" spans="2:16" x14ac:dyDescent="0.25">
      <c r="B2805" s="23"/>
      <c r="E2805" s="23"/>
      <c r="G2805" s="23"/>
      <c r="H2805" s="23"/>
      <c r="J2805" s="23"/>
      <c r="K2805" s="23"/>
      <c r="M2805" s="23"/>
      <c r="N2805" s="23"/>
      <c r="P2805" s="23"/>
    </row>
    <row r="2806" spans="2:16" x14ac:dyDescent="0.25">
      <c r="B2806" s="23"/>
      <c r="E2806" s="23"/>
      <c r="G2806" s="23"/>
      <c r="H2806" s="23"/>
      <c r="J2806" s="23"/>
      <c r="K2806" s="23"/>
      <c r="M2806" s="23"/>
      <c r="N2806" s="23"/>
      <c r="P2806" s="23"/>
    </row>
    <row r="2807" spans="2:16" x14ac:dyDescent="0.25">
      <c r="B2807" s="23"/>
      <c r="E2807" s="23"/>
      <c r="G2807" s="23"/>
      <c r="H2807" s="23"/>
      <c r="J2807" s="23"/>
      <c r="K2807" s="23"/>
      <c r="M2807" s="23"/>
      <c r="N2807" s="23"/>
      <c r="P2807" s="23"/>
    </row>
    <row r="2808" spans="2:16" x14ac:dyDescent="0.25">
      <c r="B2808" s="23"/>
      <c r="E2808" s="23"/>
      <c r="G2808" s="23"/>
      <c r="H2808" s="23"/>
      <c r="J2808" s="23"/>
      <c r="K2808" s="23"/>
      <c r="M2808" s="23"/>
      <c r="N2808" s="23"/>
      <c r="P2808" s="23"/>
    </row>
    <row r="2809" spans="2:16" x14ac:dyDescent="0.25">
      <c r="B2809" s="23"/>
      <c r="E2809" s="23"/>
      <c r="G2809" s="23"/>
      <c r="H2809" s="23"/>
      <c r="J2809" s="23"/>
      <c r="K2809" s="23"/>
      <c r="M2809" s="23"/>
      <c r="N2809" s="23"/>
      <c r="P2809" s="23"/>
    </row>
    <row r="2810" spans="2:16" x14ac:dyDescent="0.25">
      <c r="B2810" s="23"/>
      <c r="E2810" s="23"/>
      <c r="G2810" s="23"/>
      <c r="H2810" s="23"/>
      <c r="J2810" s="23"/>
      <c r="K2810" s="23"/>
      <c r="M2810" s="23"/>
      <c r="N2810" s="23"/>
      <c r="P2810" s="23"/>
    </row>
    <row r="2811" spans="2:16" x14ac:dyDescent="0.25">
      <c r="B2811" s="23"/>
      <c r="E2811" s="23"/>
      <c r="G2811" s="23"/>
      <c r="H2811" s="23"/>
      <c r="J2811" s="23"/>
      <c r="K2811" s="23"/>
      <c r="M2811" s="23"/>
      <c r="N2811" s="23"/>
      <c r="P2811" s="23"/>
    </row>
    <row r="2812" spans="2:16" x14ac:dyDescent="0.25">
      <c r="B2812" s="23"/>
      <c r="E2812" s="23"/>
      <c r="G2812" s="23"/>
      <c r="H2812" s="23"/>
      <c r="J2812" s="23"/>
      <c r="K2812" s="23"/>
      <c r="M2812" s="23"/>
      <c r="N2812" s="23"/>
      <c r="P2812" s="23"/>
    </row>
    <row r="2813" spans="2:16" x14ac:dyDescent="0.25">
      <c r="B2813" s="23"/>
      <c r="E2813" s="23"/>
      <c r="G2813" s="23"/>
      <c r="H2813" s="23"/>
      <c r="J2813" s="23"/>
      <c r="K2813" s="23"/>
      <c r="M2813" s="23"/>
      <c r="N2813" s="23"/>
      <c r="P2813" s="23"/>
    </row>
    <row r="2814" spans="2:16" x14ac:dyDescent="0.25">
      <c r="B2814" s="23"/>
      <c r="E2814" s="23"/>
      <c r="G2814" s="23"/>
      <c r="H2814" s="23"/>
      <c r="J2814" s="23"/>
      <c r="K2814" s="23"/>
      <c r="M2814" s="23"/>
      <c r="N2814" s="23"/>
      <c r="P2814" s="23"/>
    </row>
    <row r="2815" spans="2:16" x14ac:dyDescent="0.25">
      <c r="B2815" s="23"/>
      <c r="E2815" s="23"/>
      <c r="G2815" s="23"/>
      <c r="H2815" s="23"/>
      <c r="J2815" s="23"/>
      <c r="K2815" s="23"/>
      <c r="M2815" s="23"/>
      <c r="N2815" s="23"/>
      <c r="P2815" s="23"/>
    </row>
    <row r="2816" spans="2:16" x14ac:dyDescent="0.25">
      <c r="B2816" s="23"/>
      <c r="E2816" s="23"/>
      <c r="G2816" s="23"/>
      <c r="H2816" s="23"/>
      <c r="J2816" s="23"/>
      <c r="K2816" s="23"/>
      <c r="M2816" s="23"/>
      <c r="N2816" s="23"/>
      <c r="P2816" s="23"/>
    </row>
    <row r="2817" spans="2:16" x14ac:dyDescent="0.25">
      <c r="B2817" s="23"/>
      <c r="E2817" s="23"/>
      <c r="G2817" s="23"/>
      <c r="H2817" s="23"/>
      <c r="J2817" s="23"/>
      <c r="K2817" s="23"/>
      <c r="M2817" s="23"/>
      <c r="N2817" s="23"/>
      <c r="P2817" s="23"/>
    </row>
    <row r="2818" spans="2:16" x14ac:dyDescent="0.25">
      <c r="B2818" s="23"/>
      <c r="E2818" s="23"/>
      <c r="G2818" s="23"/>
      <c r="H2818" s="23"/>
      <c r="J2818" s="23"/>
      <c r="K2818" s="23"/>
      <c r="M2818" s="23"/>
      <c r="N2818" s="23"/>
      <c r="P2818" s="23"/>
    </row>
    <row r="2819" spans="2:16" x14ac:dyDescent="0.25">
      <c r="B2819" s="23"/>
      <c r="E2819" s="23"/>
      <c r="G2819" s="23"/>
      <c r="H2819" s="23"/>
      <c r="J2819" s="23"/>
      <c r="K2819" s="23"/>
      <c r="M2819" s="23"/>
      <c r="N2819" s="23"/>
      <c r="P2819" s="23"/>
    </row>
    <row r="2820" spans="2:16" x14ac:dyDescent="0.25">
      <c r="B2820" s="23"/>
      <c r="E2820" s="23"/>
      <c r="G2820" s="23"/>
      <c r="H2820" s="23"/>
      <c r="J2820" s="23"/>
      <c r="K2820" s="23"/>
      <c r="M2820" s="23"/>
      <c r="N2820" s="23"/>
      <c r="P2820" s="23"/>
    </row>
    <row r="2821" spans="2:16" x14ac:dyDescent="0.25">
      <c r="B2821" s="23"/>
      <c r="E2821" s="23"/>
      <c r="G2821" s="23"/>
      <c r="H2821" s="23"/>
      <c r="J2821" s="23"/>
      <c r="K2821" s="23"/>
      <c r="M2821" s="23"/>
      <c r="N2821" s="23"/>
      <c r="P2821" s="23"/>
    </row>
    <row r="2822" spans="2:16" x14ac:dyDescent="0.25">
      <c r="B2822" s="23"/>
      <c r="E2822" s="23"/>
      <c r="G2822" s="23"/>
      <c r="H2822" s="23"/>
      <c r="J2822" s="23"/>
      <c r="K2822" s="23"/>
      <c r="M2822" s="23"/>
      <c r="N2822" s="23"/>
      <c r="P2822" s="23"/>
    </row>
    <row r="2823" spans="2:16" x14ac:dyDescent="0.25">
      <c r="B2823" s="23"/>
      <c r="E2823" s="23"/>
      <c r="G2823" s="23"/>
      <c r="H2823" s="23"/>
      <c r="J2823" s="23"/>
      <c r="K2823" s="23"/>
      <c r="M2823" s="23"/>
      <c r="N2823" s="23"/>
      <c r="P2823" s="23"/>
    </row>
    <row r="2824" spans="2:16" x14ac:dyDescent="0.25">
      <c r="B2824" s="23"/>
      <c r="E2824" s="23"/>
      <c r="G2824" s="23"/>
      <c r="H2824" s="23"/>
      <c r="J2824" s="23"/>
      <c r="K2824" s="23"/>
      <c r="M2824" s="23"/>
      <c r="N2824" s="23"/>
      <c r="P2824" s="23"/>
    </row>
    <row r="2825" spans="2:16" x14ac:dyDescent="0.25">
      <c r="B2825" s="23"/>
      <c r="E2825" s="23"/>
      <c r="G2825" s="23"/>
      <c r="H2825" s="23"/>
      <c r="J2825" s="23"/>
      <c r="K2825" s="23"/>
      <c r="M2825" s="23"/>
      <c r="N2825" s="23"/>
      <c r="P2825" s="23"/>
    </row>
    <row r="2826" spans="2:16" x14ac:dyDescent="0.25">
      <c r="B2826" s="23"/>
      <c r="E2826" s="23"/>
      <c r="G2826" s="23"/>
      <c r="H2826" s="23"/>
      <c r="J2826" s="23"/>
      <c r="K2826" s="23"/>
      <c r="M2826" s="23"/>
      <c r="N2826" s="23"/>
      <c r="P2826" s="23"/>
    </row>
    <row r="2827" spans="2:16" x14ac:dyDescent="0.25">
      <c r="B2827" s="23"/>
      <c r="E2827" s="23"/>
      <c r="G2827" s="23"/>
      <c r="H2827" s="23"/>
      <c r="J2827" s="23"/>
      <c r="K2827" s="23"/>
      <c r="M2827" s="23"/>
      <c r="N2827" s="23"/>
      <c r="P2827" s="23"/>
    </row>
    <row r="2828" spans="2:16" x14ac:dyDescent="0.25">
      <c r="B2828" s="23"/>
      <c r="E2828" s="23"/>
      <c r="G2828" s="23"/>
      <c r="H2828" s="23"/>
      <c r="J2828" s="23"/>
      <c r="K2828" s="23"/>
      <c r="M2828" s="23"/>
      <c r="N2828" s="23"/>
      <c r="P2828" s="23"/>
    </row>
    <row r="2829" spans="2:16" x14ac:dyDescent="0.25">
      <c r="B2829" s="23"/>
      <c r="E2829" s="23"/>
      <c r="G2829" s="23"/>
      <c r="H2829" s="23"/>
      <c r="J2829" s="23"/>
      <c r="K2829" s="23"/>
      <c r="M2829" s="23"/>
      <c r="N2829" s="23"/>
      <c r="P2829" s="23"/>
    </row>
    <row r="2830" spans="2:16" x14ac:dyDescent="0.25">
      <c r="B2830" s="23"/>
      <c r="E2830" s="23"/>
      <c r="G2830" s="23"/>
      <c r="H2830" s="23"/>
      <c r="J2830" s="23"/>
      <c r="K2830" s="23"/>
      <c r="M2830" s="23"/>
      <c r="N2830" s="23"/>
      <c r="P2830" s="23"/>
    </row>
    <row r="2831" spans="2:16" x14ac:dyDescent="0.25">
      <c r="B2831" s="23"/>
      <c r="E2831" s="23"/>
      <c r="G2831" s="23"/>
      <c r="H2831" s="23"/>
      <c r="J2831" s="23"/>
      <c r="K2831" s="23"/>
      <c r="M2831" s="23"/>
      <c r="N2831" s="23"/>
      <c r="P2831" s="23"/>
    </row>
    <row r="2832" spans="2:16" x14ac:dyDescent="0.25">
      <c r="B2832" s="23"/>
      <c r="E2832" s="23"/>
      <c r="G2832" s="23"/>
      <c r="H2832" s="23"/>
      <c r="J2832" s="23"/>
      <c r="K2832" s="23"/>
      <c r="M2832" s="23"/>
      <c r="N2832" s="23"/>
      <c r="P2832" s="23"/>
    </row>
    <row r="2833" spans="2:16" x14ac:dyDescent="0.25">
      <c r="B2833" s="23"/>
      <c r="E2833" s="23"/>
      <c r="G2833" s="23"/>
      <c r="H2833" s="23"/>
      <c r="J2833" s="23"/>
      <c r="K2833" s="23"/>
      <c r="M2833" s="23"/>
      <c r="N2833" s="23"/>
      <c r="P2833" s="23"/>
    </row>
    <row r="2834" spans="2:16" x14ac:dyDescent="0.25">
      <c r="B2834" s="23"/>
      <c r="E2834" s="23"/>
      <c r="G2834" s="23"/>
      <c r="H2834" s="23"/>
      <c r="J2834" s="23"/>
      <c r="K2834" s="23"/>
      <c r="M2834" s="23"/>
      <c r="N2834" s="23"/>
      <c r="P2834" s="23"/>
    </row>
    <row r="2835" spans="2:16" x14ac:dyDescent="0.25">
      <c r="B2835" s="23"/>
      <c r="E2835" s="23"/>
      <c r="G2835" s="23"/>
      <c r="H2835" s="23"/>
      <c r="J2835" s="23"/>
      <c r="K2835" s="23"/>
      <c r="M2835" s="23"/>
      <c r="N2835" s="23"/>
      <c r="P2835" s="23"/>
    </row>
    <row r="2836" spans="2:16" x14ac:dyDescent="0.25">
      <c r="B2836" s="23"/>
      <c r="E2836" s="23"/>
      <c r="G2836" s="23"/>
      <c r="H2836" s="23"/>
      <c r="J2836" s="23"/>
      <c r="K2836" s="23"/>
      <c r="M2836" s="23"/>
      <c r="N2836" s="23"/>
      <c r="P2836" s="23"/>
    </row>
    <row r="2837" spans="2:16" x14ac:dyDescent="0.25">
      <c r="B2837" s="23"/>
      <c r="E2837" s="23"/>
      <c r="G2837" s="23"/>
      <c r="H2837" s="23"/>
      <c r="J2837" s="23"/>
      <c r="K2837" s="23"/>
      <c r="M2837" s="23"/>
      <c r="N2837" s="23"/>
      <c r="P2837" s="23"/>
    </row>
    <row r="2838" spans="2:16" x14ac:dyDescent="0.25">
      <c r="B2838" s="23"/>
      <c r="E2838" s="23"/>
      <c r="G2838" s="23"/>
      <c r="H2838" s="23"/>
      <c r="J2838" s="23"/>
      <c r="K2838" s="23"/>
      <c r="M2838" s="23"/>
      <c r="N2838" s="23"/>
      <c r="P2838" s="23"/>
    </row>
    <row r="2839" spans="2:16" x14ac:dyDescent="0.25">
      <c r="B2839" s="23"/>
      <c r="E2839" s="23"/>
      <c r="G2839" s="23"/>
      <c r="H2839" s="23"/>
      <c r="J2839" s="23"/>
      <c r="K2839" s="23"/>
      <c r="M2839" s="23"/>
      <c r="N2839" s="23"/>
      <c r="P2839" s="23"/>
    </row>
    <row r="2840" spans="2:16" x14ac:dyDescent="0.25">
      <c r="B2840" s="23"/>
      <c r="E2840" s="23"/>
      <c r="G2840" s="23"/>
      <c r="H2840" s="23"/>
      <c r="J2840" s="23"/>
      <c r="K2840" s="23"/>
      <c r="M2840" s="23"/>
      <c r="N2840" s="23"/>
      <c r="P2840" s="23"/>
    </row>
    <row r="2841" spans="2:16" x14ac:dyDescent="0.25">
      <c r="B2841" s="23"/>
      <c r="E2841" s="23"/>
      <c r="G2841" s="23"/>
      <c r="H2841" s="23"/>
      <c r="J2841" s="23"/>
      <c r="K2841" s="23"/>
      <c r="M2841" s="23"/>
      <c r="N2841" s="23"/>
      <c r="P2841" s="23"/>
    </row>
    <row r="2842" spans="2:16" x14ac:dyDescent="0.25">
      <c r="B2842" s="23"/>
      <c r="E2842" s="23"/>
      <c r="G2842" s="23"/>
      <c r="H2842" s="23"/>
      <c r="J2842" s="23"/>
      <c r="K2842" s="23"/>
      <c r="M2842" s="23"/>
      <c r="N2842" s="23"/>
      <c r="P2842" s="23"/>
    </row>
    <row r="2843" spans="2:16" x14ac:dyDescent="0.25">
      <c r="B2843" s="23"/>
      <c r="E2843" s="23"/>
      <c r="G2843" s="23"/>
      <c r="H2843" s="23"/>
      <c r="J2843" s="23"/>
      <c r="K2843" s="23"/>
      <c r="M2843" s="23"/>
      <c r="N2843" s="23"/>
      <c r="P2843" s="23"/>
    </row>
    <row r="2844" spans="2:16" x14ac:dyDescent="0.25">
      <c r="B2844" s="23"/>
      <c r="E2844" s="23"/>
      <c r="G2844" s="23"/>
      <c r="H2844" s="23"/>
      <c r="J2844" s="23"/>
      <c r="K2844" s="23"/>
      <c r="M2844" s="23"/>
      <c r="N2844" s="23"/>
      <c r="P2844" s="23"/>
    </row>
    <row r="2845" spans="2:16" x14ac:dyDescent="0.25">
      <c r="B2845" s="23"/>
      <c r="E2845" s="23"/>
      <c r="G2845" s="23"/>
      <c r="H2845" s="23"/>
      <c r="J2845" s="23"/>
      <c r="K2845" s="23"/>
      <c r="M2845" s="23"/>
      <c r="N2845" s="23"/>
      <c r="P2845" s="23"/>
    </row>
    <row r="2846" spans="2:16" x14ac:dyDescent="0.25">
      <c r="B2846" s="23"/>
      <c r="E2846" s="23"/>
      <c r="G2846" s="23"/>
      <c r="H2846" s="23"/>
      <c r="J2846" s="23"/>
      <c r="K2846" s="23"/>
      <c r="M2846" s="23"/>
      <c r="N2846" s="23"/>
      <c r="P2846" s="23"/>
    </row>
    <row r="2847" spans="2:16" x14ac:dyDescent="0.25">
      <c r="B2847" s="23"/>
      <c r="E2847" s="23"/>
      <c r="G2847" s="23"/>
      <c r="H2847" s="23"/>
      <c r="J2847" s="23"/>
      <c r="K2847" s="23"/>
      <c r="M2847" s="23"/>
      <c r="N2847" s="23"/>
      <c r="P2847" s="23"/>
    </row>
    <row r="2848" spans="2:16" x14ac:dyDescent="0.25">
      <c r="B2848" s="23"/>
      <c r="E2848" s="23"/>
      <c r="G2848" s="23"/>
      <c r="H2848" s="23"/>
      <c r="J2848" s="23"/>
      <c r="K2848" s="23"/>
      <c r="M2848" s="23"/>
      <c r="N2848" s="23"/>
      <c r="P2848" s="23"/>
    </row>
    <row r="2849" spans="2:16" x14ac:dyDescent="0.25">
      <c r="B2849" s="23"/>
      <c r="E2849" s="23"/>
      <c r="G2849" s="23"/>
      <c r="H2849" s="23"/>
      <c r="J2849" s="23"/>
      <c r="K2849" s="23"/>
      <c r="M2849" s="23"/>
      <c r="N2849" s="23"/>
      <c r="P2849" s="23"/>
    </row>
    <row r="2850" spans="2:16" x14ac:dyDescent="0.25">
      <c r="B2850" s="23"/>
      <c r="E2850" s="23"/>
      <c r="G2850" s="23"/>
      <c r="H2850" s="23"/>
      <c r="J2850" s="23"/>
      <c r="K2850" s="23"/>
      <c r="M2850" s="23"/>
      <c r="N2850" s="23"/>
      <c r="P2850" s="23"/>
    </row>
    <row r="2851" spans="2:16" x14ac:dyDescent="0.25">
      <c r="B2851" s="23"/>
      <c r="E2851" s="23"/>
      <c r="G2851" s="23"/>
      <c r="H2851" s="23"/>
      <c r="J2851" s="23"/>
      <c r="K2851" s="23"/>
      <c r="M2851" s="23"/>
      <c r="N2851" s="23"/>
      <c r="P2851" s="23"/>
    </row>
    <row r="2852" spans="2:16" x14ac:dyDescent="0.25">
      <c r="B2852" s="23"/>
      <c r="E2852" s="23"/>
      <c r="G2852" s="23"/>
      <c r="H2852" s="23"/>
      <c r="J2852" s="23"/>
      <c r="K2852" s="23"/>
      <c r="M2852" s="23"/>
      <c r="N2852" s="23"/>
      <c r="P2852" s="23"/>
    </row>
    <row r="2853" spans="2:16" x14ac:dyDescent="0.25">
      <c r="B2853" s="23"/>
      <c r="E2853" s="23"/>
      <c r="G2853" s="23"/>
      <c r="H2853" s="23"/>
      <c r="J2853" s="23"/>
      <c r="K2853" s="23"/>
      <c r="M2853" s="23"/>
      <c r="N2853" s="23"/>
      <c r="P2853" s="23"/>
    </row>
    <row r="2854" spans="2:16" x14ac:dyDescent="0.25">
      <c r="B2854" s="23"/>
      <c r="E2854" s="23"/>
      <c r="G2854" s="23"/>
      <c r="H2854" s="23"/>
      <c r="J2854" s="23"/>
      <c r="K2854" s="23"/>
      <c r="M2854" s="23"/>
      <c r="N2854" s="23"/>
      <c r="P2854" s="23"/>
    </row>
    <row r="2855" spans="2:16" x14ac:dyDescent="0.25">
      <c r="B2855" s="23"/>
      <c r="E2855" s="23"/>
      <c r="G2855" s="23"/>
      <c r="H2855" s="23"/>
      <c r="J2855" s="23"/>
      <c r="K2855" s="23"/>
      <c r="M2855" s="23"/>
      <c r="N2855" s="23"/>
      <c r="P2855" s="23"/>
    </row>
    <row r="2856" spans="2:16" x14ac:dyDescent="0.25">
      <c r="B2856" s="23"/>
      <c r="E2856" s="23"/>
      <c r="G2856" s="23"/>
      <c r="H2856" s="23"/>
      <c r="J2856" s="23"/>
      <c r="K2856" s="23"/>
      <c r="M2856" s="23"/>
      <c r="N2856" s="23"/>
      <c r="P2856" s="23"/>
    </row>
    <row r="2857" spans="2:16" x14ac:dyDescent="0.25">
      <c r="B2857" s="23"/>
      <c r="E2857" s="23"/>
      <c r="G2857" s="23"/>
      <c r="H2857" s="23"/>
      <c r="J2857" s="23"/>
      <c r="K2857" s="23"/>
      <c r="M2857" s="23"/>
      <c r="N2857" s="23"/>
      <c r="P2857" s="23"/>
    </row>
    <row r="2858" spans="2:16" x14ac:dyDescent="0.25">
      <c r="B2858" s="23"/>
      <c r="E2858" s="23"/>
      <c r="G2858" s="23"/>
      <c r="H2858" s="23"/>
      <c r="J2858" s="23"/>
      <c r="K2858" s="23"/>
      <c r="M2858" s="23"/>
      <c r="N2858" s="23"/>
      <c r="P2858" s="23"/>
    </row>
    <row r="2859" spans="2:16" x14ac:dyDescent="0.25">
      <c r="B2859" s="23"/>
      <c r="E2859" s="23"/>
      <c r="G2859" s="23"/>
      <c r="H2859" s="23"/>
      <c r="J2859" s="23"/>
      <c r="K2859" s="23"/>
      <c r="M2859" s="23"/>
      <c r="N2859" s="23"/>
      <c r="P2859" s="23"/>
    </row>
    <row r="2860" spans="2:16" x14ac:dyDescent="0.25">
      <c r="B2860" s="23"/>
      <c r="E2860" s="23"/>
      <c r="G2860" s="23"/>
      <c r="H2860" s="23"/>
      <c r="J2860" s="23"/>
      <c r="K2860" s="23"/>
      <c r="M2860" s="23"/>
      <c r="N2860" s="23"/>
      <c r="P2860" s="23"/>
    </row>
    <row r="2861" spans="2:16" x14ac:dyDescent="0.25">
      <c r="B2861" s="23"/>
      <c r="E2861" s="23"/>
      <c r="G2861" s="23"/>
      <c r="H2861" s="23"/>
      <c r="J2861" s="23"/>
      <c r="K2861" s="23"/>
      <c r="M2861" s="23"/>
      <c r="N2861" s="23"/>
      <c r="P2861" s="23"/>
    </row>
    <row r="2862" spans="2:16" x14ac:dyDescent="0.25">
      <c r="B2862" s="23"/>
      <c r="E2862" s="23"/>
      <c r="G2862" s="23"/>
      <c r="H2862" s="23"/>
      <c r="J2862" s="23"/>
      <c r="K2862" s="23"/>
      <c r="M2862" s="23"/>
      <c r="N2862" s="23"/>
      <c r="P2862" s="23"/>
    </row>
    <row r="2863" spans="2:16" x14ac:dyDescent="0.25">
      <c r="B2863" s="23"/>
      <c r="E2863" s="23"/>
      <c r="G2863" s="23"/>
      <c r="H2863" s="23"/>
      <c r="J2863" s="23"/>
      <c r="K2863" s="23"/>
      <c r="M2863" s="23"/>
      <c r="N2863" s="23"/>
      <c r="P2863" s="23"/>
    </row>
    <row r="2864" spans="2:16" x14ac:dyDescent="0.25">
      <c r="B2864" s="23"/>
      <c r="E2864" s="23"/>
      <c r="G2864" s="23"/>
      <c r="H2864" s="23"/>
      <c r="J2864" s="23"/>
      <c r="K2864" s="23"/>
      <c r="M2864" s="23"/>
      <c r="N2864" s="23"/>
      <c r="P2864" s="23"/>
    </row>
    <row r="2865" spans="2:16" x14ac:dyDescent="0.25">
      <c r="B2865" s="23"/>
      <c r="E2865" s="23"/>
      <c r="G2865" s="23"/>
      <c r="H2865" s="23"/>
      <c r="J2865" s="23"/>
      <c r="K2865" s="23"/>
      <c r="M2865" s="23"/>
      <c r="N2865" s="23"/>
      <c r="P2865" s="23"/>
    </row>
    <row r="2866" spans="2:16" x14ac:dyDescent="0.25">
      <c r="B2866" s="23"/>
      <c r="E2866" s="23"/>
      <c r="G2866" s="23"/>
      <c r="H2866" s="23"/>
      <c r="J2866" s="23"/>
      <c r="K2866" s="23"/>
      <c r="M2866" s="23"/>
      <c r="N2866" s="23"/>
      <c r="P2866" s="23"/>
    </row>
    <row r="2867" spans="2:16" x14ac:dyDescent="0.25">
      <c r="B2867" s="23"/>
      <c r="E2867" s="23"/>
      <c r="G2867" s="23"/>
      <c r="H2867" s="23"/>
      <c r="J2867" s="23"/>
      <c r="K2867" s="23"/>
      <c r="M2867" s="23"/>
      <c r="N2867" s="23"/>
      <c r="P2867" s="23"/>
    </row>
    <row r="2868" spans="2:16" x14ac:dyDescent="0.25">
      <c r="B2868" s="23"/>
      <c r="E2868" s="23"/>
      <c r="G2868" s="23"/>
      <c r="H2868" s="23"/>
      <c r="J2868" s="23"/>
      <c r="K2868" s="23"/>
      <c r="M2868" s="23"/>
      <c r="N2868" s="23"/>
      <c r="P2868" s="23"/>
    </row>
    <row r="2869" spans="2:16" x14ac:dyDescent="0.25">
      <c r="B2869" s="23"/>
      <c r="E2869" s="23"/>
      <c r="G2869" s="23"/>
      <c r="H2869" s="23"/>
      <c r="J2869" s="23"/>
      <c r="K2869" s="23"/>
      <c r="M2869" s="23"/>
      <c r="N2869" s="23"/>
      <c r="P2869" s="23"/>
    </row>
    <row r="2870" spans="2:16" x14ac:dyDescent="0.25">
      <c r="B2870" s="23"/>
      <c r="E2870" s="23"/>
      <c r="G2870" s="23"/>
      <c r="H2870" s="23"/>
      <c r="J2870" s="23"/>
      <c r="K2870" s="23"/>
      <c r="M2870" s="23"/>
      <c r="N2870" s="23"/>
      <c r="P2870" s="23"/>
    </row>
    <row r="2871" spans="2:16" x14ac:dyDescent="0.25">
      <c r="B2871" s="23"/>
      <c r="E2871" s="23"/>
      <c r="G2871" s="23"/>
      <c r="H2871" s="23"/>
      <c r="J2871" s="23"/>
      <c r="K2871" s="23"/>
      <c r="M2871" s="23"/>
      <c r="N2871" s="23"/>
      <c r="P2871" s="23"/>
    </row>
    <row r="2872" spans="2:16" x14ac:dyDescent="0.25">
      <c r="B2872" s="23"/>
      <c r="E2872" s="23"/>
      <c r="G2872" s="23"/>
      <c r="H2872" s="23"/>
      <c r="J2872" s="23"/>
      <c r="K2872" s="23"/>
      <c r="M2872" s="23"/>
      <c r="N2872" s="23"/>
      <c r="P2872" s="23"/>
    </row>
    <row r="2873" spans="2:16" x14ac:dyDescent="0.25">
      <c r="B2873" s="23"/>
      <c r="E2873" s="23"/>
      <c r="G2873" s="23"/>
      <c r="H2873" s="23"/>
      <c r="J2873" s="23"/>
      <c r="K2873" s="23"/>
      <c r="M2873" s="23"/>
      <c r="N2873" s="23"/>
      <c r="P2873" s="23"/>
    </row>
    <row r="2874" spans="2:16" x14ac:dyDescent="0.25">
      <c r="B2874" s="23"/>
      <c r="E2874" s="23"/>
      <c r="G2874" s="23"/>
      <c r="H2874" s="23"/>
      <c r="J2874" s="23"/>
      <c r="K2874" s="23"/>
      <c r="M2874" s="23"/>
      <c r="N2874" s="23"/>
      <c r="P2874" s="23"/>
    </row>
    <row r="2875" spans="2:16" x14ac:dyDescent="0.25">
      <c r="B2875" s="23"/>
      <c r="E2875" s="23"/>
      <c r="G2875" s="23"/>
      <c r="H2875" s="23"/>
      <c r="J2875" s="23"/>
      <c r="K2875" s="23"/>
      <c r="M2875" s="23"/>
      <c r="N2875" s="23"/>
      <c r="P2875" s="23"/>
    </row>
    <row r="2876" spans="2:16" x14ac:dyDescent="0.25">
      <c r="B2876" s="23"/>
      <c r="E2876" s="23"/>
      <c r="G2876" s="23"/>
      <c r="H2876" s="23"/>
      <c r="J2876" s="23"/>
      <c r="K2876" s="23"/>
      <c r="M2876" s="23"/>
      <c r="N2876" s="23"/>
      <c r="P2876" s="23"/>
    </row>
    <row r="2877" spans="2:16" x14ac:dyDescent="0.25">
      <c r="B2877" s="23"/>
      <c r="E2877" s="23"/>
      <c r="G2877" s="23"/>
      <c r="H2877" s="23"/>
      <c r="J2877" s="23"/>
      <c r="K2877" s="23"/>
      <c r="M2877" s="23"/>
      <c r="N2877" s="23"/>
      <c r="P2877" s="23"/>
    </row>
    <row r="2878" spans="2:16" x14ac:dyDescent="0.25">
      <c r="B2878" s="23"/>
      <c r="E2878" s="23"/>
      <c r="G2878" s="23"/>
      <c r="H2878" s="23"/>
      <c r="J2878" s="23"/>
      <c r="K2878" s="23"/>
      <c r="M2878" s="23"/>
      <c r="N2878" s="23"/>
      <c r="P2878" s="23"/>
    </row>
    <row r="2879" spans="2:16" x14ac:dyDescent="0.25">
      <c r="B2879" s="23"/>
      <c r="E2879" s="23"/>
      <c r="G2879" s="23"/>
      <c r="H2879" s="23"/>
      <c r="J2879" s="23"/>
      <c r="K2879" s="23"/>
      <c r="M2879" s="23"/>
      <c r="N2879" s="23"/>
      <c r="P2879" s="23"/>
    </row>
    <row r="2880" spans="2:16" x14ac:dyDescent="0.25">
      <c r="B2880" s="23"/>
      <c r="E2880" s="23"/>
      <c r="G2880" s="23"/>
      <c r="H2880" s="23"/>
      <c r="J2880" s="23"/>
      <c r="K2880" s="23"/>
      <c r="M2880" s="23"/>
      <c r="N2880" s="23"/>
      <c r="P2880" s="23"/>
    </row>
    <row r="2881" spans="2:16" x14ac:dyDescent="0.25">
      <c r="B2881" s="23"/>
      <c r="E2881" s="23"/>
      <c r="G2881" s="23"/>
      <c r="H2881" s="23"/>
      <c r="J2881" s="23"/>
      <c r="K2881" s="23"/>
      <c r="M2881" s="23"/>
      <c r="N2881" s="23"/>
      <c r="P2881" s="23"/>
    </row>
    <row r="2882" spans="2:16" x14ac:dyDescent="0.25">
      <c r="B2882" s="23"/>
      <c r="E2882" s="23"/>
      <c r="G2882" s="23"/>
      <c r="H2882" s="23"/>
      <c r="J2882" s="23"/>
      <c r="K2882" s="23"/>
      <c r="M2882" s="23"/>
      <c r="N2882" s="23"/>
      <c r="P2882" s="23"/>
    </row>
    <row r="2883" spans="2:16" x14ac:dyDescent="0.25">
      <c r="B2883" s="23"/>
      <c r="E2883" s="23"/>
      <c r="G2883" s="23"/>
      <c r="H2883" s="23"/>
      <c r="J2883" s="23"/>
      <c r="K2883" s="23"/>
      <c r="M2883" s="23"/>
      <c r="N2883" s="23"/>
      <c r="P2883" s="23"/>
    </row>
    <row r="2884" spans="2:16" x14ac:dyDescent="0.25">
      <c r="B2884" s="23"/>
      <c r="E2884" s="23"/>
      <c r="G2884" s="23"/>
      <c r="H2884" s="23"/>
      <c r="J2884" s="23"/>
      <c r="K2884" s="23"/>
      <c r="M2884" s="23"/>
      <c r="N2884" s="23"/>
      <c r="P2884" s="23"/>
    </row>
    <row r="2885" spans="2:16" x14ac:dyDescent="0.25">
      <c r="B2885" s="23"/>
      <c r="E2885" s="23"/>
      <c r="G2885" s="23"/>
      <c r="H2885" s="23"/>
      <c r="J2885" s="23"/>
      <c r="K2885" s="23"/>
      <c r="M2885" s="23"/>
      <c r="N2885" s="23"/>
      <c r="P2885" s="23"/>
    </row>
    <row r="2886" spans="2:16" x14ac:dyDescent="0.25">
      <c r="B2886" s="23"/>
      <c r="E2886" s="23"/>
      <c r="G2886" s="23"/>
      <c r="H2886" s="23"/>
      <c r="J2886" s="23"/>
      <c r="K2886" s="23"/>
      <c r="M2886" s="23"/>
      <c r="N2886" s="23"/>
      <c r="P2886" s="23"/>
    </row>
    <row r="2887" spans="2:16" x14ac:dyDescent="0.25">
      <c r="B2887" s="23"/>
      <c r="E2887" s="23"/>
      <c r="G2887" s="23"/>
      <c r="H2887" s="23"/>
      <c r="J2887" s="23"/>
      <c r="K2887" s="23"/>
      <c r="M2887" s="23"/>
      <c r="N2887" s="23"/>
      <c r="P2887" s="23"/>
    </row>
    <row r="2888" spans="2:16" x14ac:dyDescent="0.25">
      <c r="B2888" s="23"/>
      <c r="E2888" s="23"/>
      <c r="G2888" s="23"/>
      <c r="H2888" s="23"/>
      <c r="J2888" s="23"/>
      <c r="K2888" s="23"/>
      <c r="M2888" s="23"/>
      <c r="N2888" s="23"/>
      <c r="P2888" s="23"/>
    </row>
    <row r="2889" spans="2:16" x14ac:dyDescent="0.25">
      <c r="B2889" s="23"/>
      <c r="E2889" s="23"/>
      <c r="G2889" s="23"/>
      <c r="H2889" s="23"/>
      <c r="J2889" s="23"/>
      <c r="K2889" s="23"/>
      <c r="M2889" s="23"/>
      <c r="N2889" s="23"/>
      <c r="P2889" s="23"/>
    </row>
    <row r="2890" spans="2:16" x14ac:dyDescent="0.25">
      <c r="B2890" s="23"/>
      <c r="E2890" s="23"/>
      <c r="G2890" s="23"/>
      <c r="H2890" s="23"/>
      <c r="J2890" s="23"/>
      <c r="K2890" s="23"/>
      <c r="M2890" s="23"/>
      <c r="N2890" s="23"/>
      <c r="P2890" s="23"/>
    </row>
    <row r="2891" spans="2:16" x14ac:dyDescent="0.25">
      <c r="B2891" s="23"/>
      <c r="E2891" s="23"/>
      <c r="G2891" s="23"/>
      <c r="H2891" s="23"/>
      <c r="J2891" s="23"/>
      <c r="K2891" s="23"/>
      <c r="M2891" s="23"/>
      <c r="N2891" s="23"/>
      <c r="P2891" s="23"/>
    </row>
    <row r="2892" spans="2:16" x14ac:dyDescent="0.25">
      <c r="B2892" s="23"/>
      <c r="E2892" s="23"/>
      <c r="G2892" s="23"/>
      <c r="H2892" s="23"/>
      <c r="J2892" s="23"/>
      <c r="K2892" s="23"/>
      <c r="M2892" s="23"/>
      <c r="N2892" s="23"/>
      <c r="P2892" s="23"/>
    </row>
    <row r="2893" spans="2:16" x14ac:dyDescent="0.25">
      <c r="B2893" s="23"/>
      <c r="E2893" s="23"/>
      <c r="G2893" s="23"/>
      <c r="H2893" s="23"/>
      <c r="J2893" s="23"/>
      <c r="K2893" s="23"/>
      <c r="M2893" s="23"/>
      <c r="N2893" s="23"/>
      <c r="P2893" s="23"/>
    </row>
    <row r="2894" spans="2:16" x14ac:dyDescent="0.25">
      <c r="B2894" s="23"/>
      <c r="E2894" s="23"/>
      <c r="G2894" s="23"/>
      <c r="H2894" s="23"/>
      <c r="J2894" s="23"/>
      <c r="K2894" s="23"/>
      <c r="M2894" s="23"/>
      <c r="N2894" s="23"/>
      <c r="P2894" s="23"/>
    </row>
    <row r="2895" spans="2:16" x14ac:dyDescent="0.25">
      <c r="B2895" s="23"/>
      <c r="E2895" s="23"/>
      <c r="G2895" s="23"/>
      <c r="H2895" s="23"/>
      <c r="J2895" s="23"/>
      <c r="K2895" s="23"/>
      <c r="M2895" s="23"/>
      <c r="N2895" s="23"/>
      <c r="P2895" s="23"/>
    </row>
    <row r="2896" spans="2:16" x14ac:dyDescent="0.25">
      <c r="B2896" s="23"/>
      <c r="E2896" s="23"/>
      <c r="G2896" s="23"/>
      <c r="H2896" s="23"/>
      <c r="J2896" s="23"/>
      <c r="K2896" s="23"/>
      <c r="M2896" s="23"/>
      <c r="N2896" s="23"/>
      <c r="P2896" s="23"/>
    </row>
    <row r="2897" spans="2:16" x14ac:dyDescent="0.25">
      <c r="B2897" s="23"/>
      <c r="E2897" s="23"/>
      <c r="G2897" s="23"/>
      <c r="H2897" s="23"/>
      <c r="J2897" s="23"/>
      <c r="K2897" s="23"/>
      <c r="M2897" s="23"/>
      <c r="N2897" s="23"/>
      <c r="P2897" s="23"/>
    </row>
    <row r="2898" spans="2:16" x14ac:dyDescent="0.25">
      <c r="B2898" s="23"/>
      <c r="E2898" s="23"/>
      <c r="G2898" s="23"/>
      <c r="H2898" s="23"/>
      <c r="J2898" s="23"/>
      <c r="K2898" s="23"/>
      <c r="M2898" s="23"/>
      <c r="N2898" s="23"/>
      <c r="P2898" s="23"/>
    </row>
    <row r="2899" spans="2:16" x14ac:dyDescent="0.25">
      <c r="B2899" s="23"/>
      <c r="E2899" s="23"/>
      <c r="G2899" s="23"/>
      <c r="H2899" s="23"/>
      <c r="J2899" s="23"/>
      <c r="K2899" s="23"/>
      <c r="M2899" s="23"/>
      <c r="N2899" s="23"/>
      <c r="P2899" s="23"/>
    </row>
    <row r="2900" spans="2:16" x14ac:dyDescent="0.25">
      <c r="B2900" s="23"/>
      <c r="E2900" s="23"/>
      <c r="G2900" s="23"/>
      <c r="H2900" s="23"/>
      <c r="J2900" s="23"/>
      <c r="K2900" s="23"/>
      <c r="M2900" s="23"/>
      <c r="N2900" s="23"/>
      <c r="P2900" s="23"/>
    </row>
    <row r="2901" spans="2:16" x14ac:dyDescent="0.25">
      <c r="B2901" s="23"/>
      <c r="E2901" s="23"/>
      <c r="G2901" s="23"/>
      <c r="H2901" s="23"/>
      <c r="J2901" s="23"/>
      <c r="K2901" s="23"/>
      <c r="M2901" s="23"/>
      <c r="N2901" s="23"/>
      <c r="P2901" s="23"/>
    </row>
    <row r="2902" spans="2:16" x14ac:dyDescent="0.25">
      <c r="B2902" s="23"/>
      <c r="E2902" s="23"/>
      <c r="G2902" s="23"/>
      <c r="H2902" s="23"/>
      <c r="J2902" s="23"/>
      <c r="K2902" s="23"/>
      <c r="M2902" s="23"/>
      <c r="N2902" s="23"/>
      <c r="P2902" s="23"/>
    </row>
    <row r="2903" spans="2:16" x14ac:dyDescent="0.25">
      <c r="B2903" s="23"/>
      <c r="E2903" s="23"/>
      <c r="G2903" s="23"/>
      <c r="H2903" s="23"/>
      <c r="J2903" s="23"/>
      <c r="K2903" s="23"/>
      <c r="M2903" s="23"/>
      <c r="N2903" s="23"/>
      <c r="P2903" s="23"/>
    </row>
    <row r="2904" spans="2:16" x14ac:dyDescent="0.25">
      <c r="B2904" s="23"/>
      <c r="E2904" s="23"/>
      <c r="G2904" s="23"/>
      <c r="H2904" s="23"/>
      <c r="J2904" s="23"/>
      <c r="K2904" s="23"/>
      <c r="M2904" s="23"/>
      <c r="N2904" s="23"/>
      <c r="P2904" s="23"/>
    </row>
    <row r="2905" spans="2:16" x14ac:dyDescent="0.25">
      <c r="B2905" s="23"/>
      <c r="E2905" s="23"/>
      <c r="G2905" s="23"/>
      <c r="H2905" s="23"/>
      <c r="J2905" s="23"/>
      <c r="K2905" s="23"/>
      <c r="M2905" s="23"/>
      <c r="N2905" s="23"/>
      <c r="P2905" s="23"/>
    </row>
    <row r="2906" spans="2:16" x14ac:dyDescent="0.25">
      <c r="B2906" s="23"/>
      <c r="E2906" s="23"/>
      <c r="G2906" s="23"/>
      <c r="H2906" s="23"/>
      <c r="J2906" s="23"/>
      <c r="K2906" s="23"/>
      <c r="M2906" s="23"/>
      <c r="N2906" s="23"/>
      <c r="P2906" s="23"/>
    </row>
    <row r="2907" spans="2:16" x14ac:dyDescent="0.25">
      <c r="B2907" s="23"/>
      <c r="E2907" s="23"/>
      <c r="G2907" s="23"/>
      <c r="H2907" s="23"/>
      <c r="J2907" s="23"/>
      <c r="K2907" s="23"/>
      <c r="M2907" s="23"/>
      <c r="N2907" s="23"/>
      <c r="P2907" s="23"/>
    </row>
    <row r="2908" spans="2:16" x14ac:dyDescent="0.25">
      <c r="B2908" s="23"/>
      <c r="E2908" s="23"/>
      <c r="G2908" s="23"/>
      <c r="H2908" s="23"/>
      <c r="J2908" s="23"/>
      <c r="K2908" s="23"/>
      <c r="M2908" s="23"/>
      <c r="N2908" s="23"/>
      <c r="P2908" s="23"/>
    </row>
    <row r="2909" spans="2:16" x14ac:dyDescent="0.25">
      <c r="B2909" s="23"/>
      <c r="E2909" s="23"/>
      <c r="G2909" s="23"/>
      <c r="H2909" s="23"/>
      <c r="J2909" s="23"/>
      <c r="K2909" s="23"/>
      <c r="M2909" s="23"/>
      <c r="N2909" s="23"/>
      <c r="P2909" s="23"/>
    </row>
    <row r="2910" spans="2:16" x14ac:dyDescent="0.25">
      <c r="B2910" s="23"/>
      <c r="E2910" s="23"/>
      <c r="G2910" s="23"/>
      <c r="H2910" s="23"/>
      <c r="J2910" s="23"/>
      <c r="K2910" s="23"/>
      <c r="M2910" s="23"/>
      <c r="N2910" s="23"/>
      <c r="P2910" s="23"/>
    </row>
    <row r="2911" spans="2:16" x14ac:dyDescent="0.25">
      <c r="B2911" s="23"/>
      <c r="E2911" s="23"/>
      <c r="G2911" s="23"/>
      <c r="H2911" s="23"/>
      <c r="J2911" s="23"/>
      <c r="K2911" s="23"/>
      <c r="M2911" s="23"/>
      <c r="N2911" s="23"/>
      <c r="P2911" s="23"/>
    </row>
    <row r="2912" spans="2:16" x14ac:dyDescent="0.25">
      <c r="B2912" s="23"/>
      <c r="E2912" s="23"/>
      <c r="G2912" s="23"/>
      <c r="H2912" s="23"/>
      <c r="J2912" s="23"/>
      <c r="K2912" s="23"/>
      <c r="M2912" s="23"/>
      <c r="N2912" s="23"/>
      <c r="P2912" s="23"/>
    </row>
    <row r="2913" spans="2:16" x14ac:dyDescent="0.25">
      <c r="B2913" s="23"/>
      <c r="E2913" s="23"/>
      <c r="G2913" s="23"/>
      <c r="H2913" s="23"/>
      <c r="J2913" s="23"/>
      <c r="K2913" s="23"/>
      <c r="M2913" s="23"/>
      <c r="N2913" s="23"/>
      <c r="P2913" s="23"/>
    </row>
    <row r="2914" spans="2:16" x14ac:dyDescent="0.25">
      <c r="B2914" s="23"/>
      <c r="E2914" s="23"/>
      <c r="G2914" s="23"/>
      <c r="H2914" s="23"/>
      <c r="J2914" s="23"/>
      <c r="K2914" s="23"/>
      <c r="M2914" s="23"/>
      <c r="N2914" s="23"/>
      <c r="P2914" s="23"/>
    </row>
    <row r="2915" spans="2:16" x14ac:dyDescent="0.25">
      <c r="B2915" s="23"/>
      <c r="E2915" s="23"/>
      <c r="G2915" s="23"/>
      <c r="H2915" s="23"/>
      <c r="J2915" s="23"/>
      <c r="K2915" s="23"/>
      <c r="M2915" s="23"/>
      <c r="N2915" s="23"/>
      <c r="P2915" s="23"/>
    </row>
    <row r="2916" spans="2:16" x14ac:dyDescent="0.25">
      <c r="B2916" s="23"/>
      <c r="E2916" s="23"/>
      <c r="G2916" s="23"/>
      <c r="H2916" s="23"/>
      <c r="J2916" s="23"/>
      <c r="K2916" s="23"/>
      <c r="M2916" s="23"/>
      <c r="N2916" s="23"/>
      <c r="P2916" s="23"/>
    </row>
    <row r="2917" spans="2:16" x14ac:dyDescent="0.25">
      <c r="B2917" s="23"/>
      <c r="E2917" s="23"/>
      <c r="G2917" s="23"/>
      <c r="H2917" s="23"/>
      <c r="J2917" s="23"/>
      <c r="K2917" s="23"/>
      <c r="M2917" s="23"/>
      <c r="N2917" s="23"/>
      <c r="P2917" s="23"/>
    </row>
    <row r="2918" spans="2:16" x14ac:dyDescent="0.25">
      <c r="B2918" s="23"/>
      <c r="E2918" s="23"/>
      <c r="G2918" s="23"/>
      <c r="H2918" s="23"/>
      <c r="J2918" s="23"/>
      <c r="K2918" s="23"/>
      <c r="M2918" s="23"/>
      <c r="N2918" s="23"/>
      <c r="P2918" s="23"/>
    </row>
    <row r="2919" spans="2:16" x14ac:dyDescent="0.25">
      <c r="B2919" s="23"/>
      <c r="E2919" s="23"/>
      <c r="G2919" s="23"/>
      <c r="H2919" s="23"/>
      <c r="J2919" s="23"/>
      <c r="K2919" s="23"/>
      <c r="M2919" s="23"/>
      <c r="N2919" s="23"/>
      <c r="P2919" s="23"/>
    </row>
    <row r="2920" spans="2:16" x14ac:dyDescent="0.25">
      <c r="B2920" s="23"/>
      <c r="E2920" s="23"/>
      <c r="G2920" s="23"/>
      <c r="H2920" s="23"/>
      <c r="J2920" s="23"/>
      <c r="K2920" s="23"/>
      <c r="M2920" s="23"/>
      <c r="N2920" s="23"/>
      <c r="P2920" s="23"/>
    </row>
    <row r="2921" spans="2:16" x14ac:dyDescent="0.25">
      <c r="B2921" s="23"/>
      <c r="E2921" s="23"/>
      <c r="G2921" s="23"/>
      <c r="H2921" s="23"/>
      <c r="J2921" s="23"/>
      <c r="K2921" s="23"/>
      <c r="M2921" s="23"/>
      <c r="N2921" s="23"/>
      <c r="P2921" s="23"/>
    </row>
    <row r="2922" spans="2:16" x14ac:dyDescent="0.25">
      <c r="B2922" s="23"/>
      <c r="E2922" s="23"/>
      <c r="G2922" s="23"/>
      <c r="H2922" s="23"/>
      <c r="J2922" s="23"/>
      <c r="K2922" s="23"/>
      <c r="M2922" s="23"/>
      <c r="N2922" s="23"/>
      <c r="P2922" s="23"/>
    </row>
    <row r="2923" spans="2:16" x14ac:dyDescent="0.25">
      <c r="B2923" s="23"/>
      <c r="E2923" s="23"/>
      <c r="G2923" s="23"/>
      <c r="H2923" s="23"/>
      <c r="J2923" s="23"/>
      <c r="K2923" s="23"/>
      <c r="M2923" s="23"/>
      <c r="N2923" s="23"/>
      <c r="P2923" s="23"/>
    </row>
    <row r="2924" spans="2:16" x14ac:dyDescent="0.25">
      <c r="B2924" s="23"/>
      <c r="E2924" s="23"/>
      <c r="G2924" s="23"/>
      <c r="H2924" s="23"/>
      <c r="J2924" s="23"/>
      <c r="K2924" s="23"/>
      <c r="M2924" s="23"/>
      <c r="N2924" s="23"/>
      <c r="P2924" s="23"/>
    </row>
    <row r="2925" spans="2:16" x14ac:dyDescent="0.25">
      <c r="B2925" s="23"/>
      <c r="E2925" s="23"/>
      <c r="G2925" s="23"/>
      <c r="H2925" s="23"/>
      <c r="J2925" s="23"/>
      <c r="K2925" s="23"/>
      <c r="M2925" s="23"/>
      <c r="N2925" s="23"/>
      <c r="P2925" s="23"/>
    </row>
    <row r="2926" spans="2:16" x14ac:dyDescent="0.25">
      <c r="B2926" s="23"/>
      <c r="E2926" s="23"/>
      <c r="G2926" s="23"/>
      <c r="H2926" s="23"/>
      <c r="J2926" s="23"/>
      <c r="K2926" s="23"/>
      <c r="M2926" s="23"/>
      <c r="N2926" s="23"/>
      <c r="P2926" s="23"/>
    </row>
    <row r="2927" spans="2:16" x14ac:dyDescent="0.25">
      <c r="B2927" s="23"/>
      <c r="E2927" s="23"/>
      <c r="G2927" s="23"/>
      <c r="H2927" s="23"/>
      <c r="J2927" s="23"/>
      <c r="K2927" s="23"/>
      <c r="M2927" s="23"/>
      <c r="N2927" s="23"/>
      <c r="P2927" s="23"/>
    </row>
    <row r="2928" spans="2:16" x14ac:dyDescent="0.25">
      <c r="B2928" s="23"/>
      <c r="E2928" s="23"/>
      <c r="G2928" s="23"/>
      <c r="H2928" s="23"/>
      <c r="J2928" s="23"/>
      <c r="K2928" s="23"/>
      <c r="M2928" s="23"/>
      <c r="N2928" s="23"/>
      <c r="P2928" s="23"/>
    </row>
    <row r="2929" spans="2:16" x14ac:dyDescent="0.25">
      <c r="B2929" s="23"/>
      <c r="E2929" s="23"/>
      <c r="G2929" s="23"/>
      <c r="H2929" s="23"/>
      <c r="J2929" s="23"/>
      <c r="K2929" s="23"/>
      <c r="M2929" s="23"/>
      <c r="N2929" s="23"/>
      <c r="P2929" s="23"/>
    </row>
    <row r="2930" spans="2:16" x14ac:dyDescent="0.25">
      <c r="B2930" s="23"/>
      <c r="E2930" s="23"/>
      <c r="G2930" s="23"/>
      <c r="H2930" s="23"/>
      <c r="J2930" s="23"/>
      <c r="K2930" s="23"/>
      <c r="M2930" s="23"/>
      <c r="N2930" s="23"/>
      <c r="P2930" s="23"/>
    </row>
    <row r="2931" spans="2:16" x14ac:dyDescent="0.25">
      <c r="B2931" s="23"/>
      <c r="E2931" s="23"/>
      <c r="G2931" s="23"/>
      <c r="H2931" s="23"/>
      <c r="J2931" s="23"/>
      <c r="K2931" s="23"/>
      <c r="M2931" s="23"/>
      <c r="N2931" s="23"/>
      <c r="P2931" s="23"/>
    </row>
    <row r="2932" spans="2:16" x14ac:dyDescent="0.25">
      <c r="B2932" s="23"/>
      <c r="E2932" s="23"/>
      <c r="G2932" s="23"/>
      <c r="H2932" s="23"/>
      <c r="J2932" s="23"/>
      <c r="K2932" s="23"/>
      <c r="M2932" s="23"/>
      <c r="N2932" s="23"/>
      <c r="P2932" s="23"/>
    </row>
    <row r="2933" spans="2:16" x14ac:dyDescent="0.25">
      <c r="B2933" s="23"/>
      <c r="E2933" s="23"/>
      <c r="G2933" s="23"/>
      <c r="H2933" s="23"/>
      <c r="J2933" s="23"/>
      <c r="K2933" s="23"/>
      <c r="M2933" s="23"/>
      <c r="N2933" s="23"/>
      <c r="P2933" s="23"/>
    </row>
    <row r="2934" spans="2:16" x14ac:dyDescent="0.25">
      <c r="B2934" s="23"/>
      <c r="E2934" s="23"/>
      <c r="G2934" s="23"/>
      <c r="H2934" s="23"/>
      <c r="J2934" s="23"/>
      <c r="K2934" s="23"/>
      <c r="M2934" s="23"/>
      <c r="N2934" s="23"/>
      <c r="P2934" s="23"/>
    </row>
    <row r="2935" spans="2:16" x14ac:dyDescent="0.25">
      <c r="B2935" s="23"/>
      <c r="E2935" s="23"/>
      <c r="G2935" s="23"/>
      <c r="H2935" s="23"/>
      <c r="J2935" s="23"/>
      <c r="K2935" s="23"/>
      <c r="M2935" s="23"/>
      <c r="N2935" s="23"/>
      <c r="P2935" s="23"/>
    </row>
    <row r="2936" spans="2:16" x14ac:dyDescent="0.25">
      <c r="B2936" s="23"/>
      <c r="E2936" s="23"/>
      <c r="G2936" s="23"/>
      <c r="H2936" s="23"/>
      <c r="J2936" s="23"/>
      <c r="K2936" s="23"/>
      <c r="M2936" s="23"/>
      <c r="N2936" s="23"/>
      <c r="P2936" s="23"/>
    </row>
    <row r="2937" spans="2:16" x14ac:dyDescent="0.25">
      <c r="B2937" s="23"/>
      <c r="E2937" s="23"/>
      <c r="G2937" s="23"/>
      <c r="H2937" s="23"/>
      <c r="J2937" s="23"/>
      <c r="K2937" s="23"/>
      <c r="M2937" s="23"/>
      <c r="N2937" s="23"/>
      <c r="P2937" s="23"/>
    </row>
    <row r="2938" spans="2:16" x14ac:dyDescent="0.25">
      <c r="B2938" s="23"/>
      <c r="E2938" s="23"/>
      <c r="G2938" s="23"/>
      <c r="H2938" s="23"/>
      <c r="J2938" s="23"/>
      <c r="K2938" s="23"/>
      <c r="M2938" s="23"/>
      <c r="N2938" s="23"/>
      <c r="P2938" s="23"/>
    </row>
    <row r="2939" spans="2:16" x14ac:dyDescent="0.25">
      <c r="B2939" s="23"/>
      <c r="E2939" s="23"/>
      <c r="G2939" s="23"/>
      <c r="H2939" s="23"/>
      <c r="J2939" s="23"/>
      <c r="K2939" s="23"/>
      <c r="M2939" s="23"/>
      <c r="N2939" s="23"/>
      <c r="P2939" s="23"/>
    </row>
    <row r="2940" spans="2:16" x14ac:dyDescent="0.25">
      <c r="B2940" s="23"/>
      <c r="E2940" s="23"/>
      <c r="G2940" s="23"/>
      <c r="H2940" s="23"/>
      <c r="J2940" s="23"/>
      <c r="K2940" s="23"/>
      <c r="M2940" s="23"/>
      <c r="N2940" s="23"/>
      <c r="P2940" s="23"/>
    </row>
    <row r="2941" spans="2:16" x14ac:dyDescent="0.25">
      <c r="B2941" s="23"/>
      <c r="E2941" s="23"/>
      <c r="G2941" s="23"/>
      <c r="H2941" s="23"/>
      <c r="J2941" s="23"/>
      <c r="K2941" s="23"/>
      <c r="M2941" s="23"/>
      <c r="N2941" s="23"/>
      <c r="P2941" s="23"/>
    </row>
    <row r="2942" spans="2:16" x14ac:dyDescent="0.25">
      <c r="B2942" s="23"/>
      <c r="E2942" s="23"/>
      <c r="G2942" s="23"/>
      <c r="H2942" s="23"/>
      <c r="J2942" s="23"/>
      <c r="K2942" s="23"/>
      <c r="M2942" s="23"/>
      <c r="N2942" s="23"/>
      <c r="P2942" s="23"/>
    </row>
    <row r="2943" spans="2:16" x14ac:dyDescent="0.25">
      <c r="B2943" s="23"/>
      <c r="E2943" s="23"/>
      <c r="G2943" s="23"/>
      <c r="H2943" s="23"/>
      <c r="J2943" s="23"/>
      <c r="K2943" s="23"/>
      <c r="M2943" s="23"/>
      <c r="N2943" s="23"/>
      <c r="P2943" s="23"/>
    </row>
    <row r="2944" spans="2:16" x14ac:dyDescent="0.25">
      <c r="B2944" s="23"/>
      <c r="E2944" s="23"/>
      <c r="G2944" s="23"/>
      <c r="H2944" s="23"/>
      <c r="J2944" s="23"/>
      <c r="K2944" s="23"/>
      <c r="M2944" s="23"/>
      <c r="N2944" s="23"/>
      <c r="P2944" s="23"/>
    </row>
    <row r="2945" spans="2:16" x14ac:dyDescent="0.25">
      <c r="B2945" s="23"/>
      <c r="E2945" s="23"/>
      <c r="G2945" s="23"/>
      <c r="H2945" s="23"/>
      <c r="J2945" s="23"/>
      <c r="K2945" s="23"/>
      <c r="M2945" s="23"/>
      <c r="N2945" s="23"/>
      <c r="P2945" s="23"/>
    </row>
    <row r="2946" spans="2:16" x14ac:dyDescent="0.25">
      <c r="B2946" s="23"/>
      <c r="E2946" s="23"/>
      <c r="G2946" s="23"/>
      <c r="H2946" s="23"/>
      <c r="J2946" s="23"/>
      <c r="K2946" s="23"/>
      <c r="M2946" s="23"/>
      <c r="N2946" s="23"/>
      <c r="P2946" s="23"/>
    </row>
    <row r="2947" spans="2:16" x14ac:dyDescent="0.25">
      <c r="B2947" s="23"/>
      <c r="E2947" s="23"/>
      <c r="G2947" s="23"/>
      <c r="H2947" s="23"/>
      <c r="J2947" s="23"/>
      <c r="K2947" s="23"/>
      <c r="M2947" s="23"/>
      <c r="N2947" s="23"/>
      <c r="P2947" s="23"/>
    </row>
    <row r="2948" spans="2:16" x14ac:dyDescent="0.25">
      <c r="B2948" s="23"/>
      <c r="E2948" s="23"/>
      <c r="G2948" s="23"/>
      <c r="H2948" s="23"/>
      <c r="J2948" s="23"/>
      <c r="K2948" s="23"/>
      <c r="M2948" s="23"/>
      <c r="N2948" s="23"/>
      <c r="P2948" s="23"/>
    </row>
    <row r="2949" spans="2:16" x14ac:dyDescent="0.25">
      <c r="B2949" s="23"/>
      <c r="E2949" s="23"/>
      <c r="G2949" s="23"/>
      <c r="H2949" s="23"/>
      <c r="J2949" s="23"/>
      <c r="K2949" s="23"/>
      <c r="M2949" s="23"/>
      <c r="N2949" s="23"/>
      <c r="P2949" s="23"/>
    </row>
    <row r="2950" spans="2:16" x14ac:dyDescent="0.25">
      <c r="B2950" s="23"/>
      <c r="E2950" s="23"/>
      <c r="G2950" s="23"/>
      <c r="H2950" s="23"/>
      <c r="J2950" s="23"/>
      <c r="K2950" s="23"/>
      <c r="M2950" s="23"/>
      <c r="N2950" s="23"/>
      <c r="P2950" s="23"/>
    </row>
    <row r="2951" spans="2:16" x14ac:dyDescent="0.25">
      <c r="B2951" s="23"/>
      <c r="E2951" s="23"/>
      <c r="G2951" s="23"/>
      <c r="H2951" s="23"/>
      <c r="J2951" s="23"/>
      <c r="K2951" s="23"/>
      <c r="M2951" s="23"/>
      <c r="N2951" s="23"/>
      <c r="P2951" s="23"/>
    </row>
    <row r="2952" spans="2:16" x14ac:dyDescent="0.25">
      <c r="B2952" s="23"/>
      <c r="E2952" s="23"/>
      <c r="G2952" s="23"/>
      <c r="H2952" s="23"/>
      <c r="J2952" s="23"/>
      <c r="K2952" s="23"/>
      <c r="M2952" s="23"/>
      <c r="N2952" s="23"/>
      <c r="P2952" s="23"/>
    </row>
    <row r="2953" spans="2:16" x14ac:dyDescent="0.25">
      <c r="B2953" s="23"/>
      <c r="E2953" s="23"/>
      <c r="G2953" s="23"/>
      <c r="H2953" s="23"/>
      <c r="J2953" s="23"/>
      <c r="K2953" s="23"/>
      <c r="M2953" s="23"/>
      <c r="N2953" s="23"/>
      <c r="P2953" s="23"/>
    </row>
    <row r="2954" spans="2:16" x14ac:dyDescent="0.25">
      <c r="B2954" s="23"/>
      <c r="E2954" s="23"/>
      <c r="G2954" s="23"/>
      <c r="H2954" s="23"/>
      <c r="J2954" s="23"/>
      <c r="K2954" s="23"/>
      <c r="M2954" s="23"/>
      <c r="N2954" s="23"/>
      <c r="P2954" s="23"/>
    </row>
    <row r="2955" spans="2:16" x14ac:dyDescent="0.25">
      <c r="B2955" s="23"/>
      <c r="E2955" s="23"/>
      <c r="G2955" s="23"/>
      <c r="H2955" s="23"/>
      <c r="J2955" s="23"/>
      <c r="K2955" s="23"/>
      <c r="M2955" s="23"/>
      <c r="N2955" s="23"/>
      <c r="P2955" s="23"/>
    </row>
    <row r="2956" spans="2:16" x14ac:dyDescent="0.25">
      <c r="B2956" s="23"/>
      <c r="E2956" s="23"/>
      <c r="G2956" s="23"/>
      <c r="H2956" s="23"/>
      <c r="J2956" s="23"/>
      <c r="K2956" s="23"/>
      <c r="M2956" s="23"/>
      <c r="N2956" s="23"/>
      <c r="P2956" s="23"/>
    </row>
    <row r="2957" spans="2:16" x14ac:dyDescent="0.25">
      <c r="B2957" s="23"/>
      <c r="E2957" s="23"/>
      <c r="G2957" s="23"/>
      <c r="H2957" s="23"/>
      <c r="J2957" s="23"/>
      <c r="K2957" s="23"/>
      <c r="M2957" s="23"/>
      <c r="N2957" s="23"/>
      <c r="P2957" s="23"/>
    </row>
    <row r="2958" spans="2:16" x14ac:dyDescent="0.25">
      <c r="B2958" s="23"/>
      <c r="E2958" s="23"/>
      <c r="G2958" s="23"/>
      <c r="H2958" s="23"/>
      <c r="J2958" s="23"/>
      <c r="K2958" s="23"/>
      <c r="M2958" s="23"/>
      <c r="N2958" s="23"/>
      <c r="P2958" s="23"/>
    </row>
    <row r="2959" spans="2:16" x14ac:dyDescent="0.25">
      <c r="B2959" s="23"/>
      <c r="E2959" s="23"/>
      <c r="G2959" s="23"/>
      <c r="H2959" s="23"/>
      <c r="J2959" s="23"/>
      <c r="K2959" s="23"/>
      <c r="M2959" s="23"/>
      <c r="N2959" s="23"/>
      <c r="P2959" s="23"/>
    </row>
    <row r="2960" spans="2:16" x14ac:dyDescent="0.25">
      <c r="B2960" s="23"/>
      <c r="E2960" s="23"/>
      <c r="G2960" s="23"/>
      <c r="H2960" s="23"/>
      <c r="J2960" s="23"/>
      <c r="K2960" s="23"/>
      <c r="M2960" s="23"/>
      <c r="N2960" s="23"/>
      <c r="P2960" s="23"/>
    </row>
    <row r="2961" spans="2:16" x14ac:dyDescent="0.25">
      <c r="B2961" s="23"/>
      <c r="E2961" s="23"/>
      <c r="G2961" s="23"/>
      <c r="H2961" s="23"/>
      <c r="J2961" s="23"/>
      <c r="K2961" s="23"/>
      <c r="M2961" s="23"/>
      <c r="N2961" s="23"/>
      <c r="P2961" s="23"/>
    </row>
    <row r="2962" spans="2:16" x14ac:dyDescent="0.25">
      <c r="B2962" s="23"/>
      <c r="E2962" s="23"/>
      <c r="G2962" s="23"/>
      <c r="H2962" s="23"/>
      <c r="J2962" s="23"/>
      <c r="K2962" s="23"/>
      <c r="M2962" s="23"/>
      <c r="N2962" s="23"/>
      <c r="P2962" s="23"/>
    </row>
    <row r="2963" spans="2:16" x14ac:dyDescent="0.25">
      <c r="B2963" s="23"/>
      <c r="E2963" s="23"/>
      <c r="G2963" s="23"/>
      <c r="H2963" s="23"/>
      <c r="J2963" s="23"/>
      <c r="K2963" s="23"/>
      <c r="M2963" s="23"/>
      <c r="N2963" s="23"/>
      <c r="P2963" s="23"/>
    </row>
    <row r="2964" spans="2:16" x14ac:dyDescent="0.25">
      <c r="B2964" s="23"/>
      <c r="E2964" s="23"/>
      <c r="G2964" s="23"/>
      <c r="H2964" s="23"/>
      <c r="J2964" s="23"/>
      <c r="K2964" s="23"/>
      <c r="M2964" s="23"/>
      <c r="N2964" s="23"/>
      <c r="P2964" s="23"/>
    </row>
    <row r="2965" spans="2:16" x14ac:dyDescent="0.25">
      <c r="B2965" s="23"/>
      <c r="E2965" s="23"/>
      <c r="G2965" s="23"/>
      <c r="H2965" s="23"/>
      <c r="J2965" s="23"/>
      <c r="K2965" s="23"/>
      <c r="M2965" s="23"/>
      <c r="N2965" s="23"/>
      <c r="P2965" s="23"/>
    </row>
    <row r="2966" spans="2:16" x14ac:dyDescent="0.25">
      <c r="B2966" s="23"/>
      <c r="E2966" s="23"/>
      <c r="G2966" s="23"/>
      <c r="H2966" s="23"/>
      <c r="J2966" s="23"/>
      <c r="K2966" s="23"/>
      <c r="M2966" s="23"/>
      <c r="N2966" s="23"/>
      <c r="P2966" s="23"/>
    </row>
    <row r="2967" spans="2:16" x14ac:dyDescent="0.25">
      <c r="B2967" s="23"/>
      <c r="E2967" s="23"/>
      <c r="G2967" s="23"/>
      <c r="H2967" s="23"/>
      <c r="J2967" s="23"/>
      <c r="K2967" s="23"/>
      <c r="M2967" s="23"/>
      <c r="N2967" s="23"/>
      <c r="P2967" s="23"/>
    </row>
    <row r="2968" spans="2:16" x14ac:dyDescent="0.25">
      <c r="B2968" s="23"/>
      <c r="E2968" s="23"/>
      <c r="G2968" s="23"/>
      <c r="H2968" s="23"/>
      <c r="J2968" s="23"/>
      <c r="K2968" s="23"/>
      <c r="M2968" s="23"/>
      <c r="N2968" s="23"/>
      <c r="P2968" s="23"/>
    </row>
    <row r="2969" spans="2:16" x14ac:dyDescent="0.25">
      <c r="B2969" s="23"/>
      <c r="E2969" s="23"/>
      <c r="G2969" s="23"/>
      <c r="H2969" s="23"/>
      <c r="J2969" s="23"/>
      <c r="K2969" s="23"/>
      <c r="M2969" s="23"/>
      <c r="N2969" s="23"/>
      <c r="P2969" s="23"/>
    </row>
    <row r="2970" spans="2:16" x14ac:dyDescent="0.25">
      <c r="B2970" s="23"/>
      <c r="E2970" s="23"/>
      <c r="G2970" s="23"/>
      <c r="H2970" s="23"/>
      <c r="J2970" s="23"/>
      <c r="K2970" s="23"/>
      <c r="M2970" s="23"/>
      <c r="N2970" s="23"/>
      <c r="P2970" s="23"/>
    </row>
    <row r="2971" spans="2:16" x14ac:dyDescent="0.25">
      <c r="B2971" s="23"/>
      <c r="E2971" s="23"/>
      <c r="G2971" s="23"/>
      <c r="H2971" s="23"/>
      <c r="J2971" s="23"/>
      <c r="K2971" s="23"/>
      <c r="M2971" s="23"/>
      <c r="N2971" s="23"/>
      <c r="P2971" s="23"/>
    </row>
    <row r="2972" spans="2:16" x14ac:dyDescent="0.25">
      <c r="B2972" s="23"/>
      <c r="E2972" s="23"/>
      <c r="G2972" s="23"/>
      <c r="H2972" s="23"/>
      <c r="J2972" s="23"/>
      <c r="K2972" s="23"/>
      <c r="M2972" s="23"/>
      <c r="N2972" s="23"/>
      <c r="P2972" s="23"/>
    </row>
    <row r="2973" spans="2:16" x14ac:dyDescent="0.25">
      <c r="B2973" s="23"/>
      <c r="E2973" s="23"/>
      <c r="G2973" s="23"/>
      <c r="H2973" s="23"/>
      <c r="J2973" s="23"/>
      <c r="K2973" s="23"/>
      <c r="M2973" s="23"/>
      <c r="N2973" s="23"/>
      <c r="P2973" s="23"/>
    </row>
    <row r="2974" spans="2:16" x14ac:dyDescent="0.25">
      <c r="B2974" s="23"/>
      <c r="E2974" s="23"/>
      <c r="G2974" s="23"/>
      <c r="H2974" s="23"/>
      <c r="J2974" s="23"/>
      <c r="K2974" s="23"/>
      <c r="M2974" s="23"/>
      <c r="N2974" s="23"/>
      <c r="P2974" s="23"/>
    </row>
    <row r="2975" spans="2:16" x14ac:dyDescent="0.25">
      <c r="B2975" s="23"/>
      <c r="E2975" s="23"/>
      <c r="G2975" s="23"/>
      <c r="H2975" s="23"/>
      <c r="J2975" s="23"/>
      <c r="K2975" s="23"/>
      <c r="M2975" s="23"/>
      <c r="N2975" s="23"/>
      <c r="P2975" s="23"/>
    </row>
    <row r="2976" spans="2:16" x14ac:dyDescent="0.25">
      <c r="B2976" s="23"/>
      <c r="E2976" s="23"/>
      <c r="G2976" s="23"/>
      <c r="H2976" s="23"/>
      <c r="J2976" s="23"/>
      <c r="K2976" s="23"/>
      <c r="M2976" s="23"/>
      <c r="N2976" s="23"/>
      <c r="P2976" s="23"/>
    </row>
    <row r="2977" spans="2:16" x14ac:dyDescent="0.25">
      <c r="B2977" s="23"/>
      <c r="E2977" s="23"/>
      <c r="G2977" s="23"/>
      <c r="H2977" s="23"/>
      <c r="J2977" s="23"/>
      <c r="K2977" s="23"/>
      <c r="M2977" s="23"/>
      <c r="N2977" s="23"/>
      <c r="P2977" s="23"/>
    </row>
    <row r="2978" spans="2:16" x14ac:dyDescent="0.25">
      <c r="B2978" s="23"/>
      <c r="E2978" s="23"/>
      <c r="G2978" s="23"/>
      <c r="H2978" s="23"/>
      <c r="J2978" s="23"/>
      <c r="K2978" s="23"/>
      <c r="M2978" s="23"/>
      <c r="N2978" s="23"/>
      <c r="P2978" s="23"/>
    </row>
    <row r="2979" spans="2:16" x14ac:dyDescent="0.25">
      <c r="B2979" s="23"/>
      <c r="E2979" s="23"/>
      <c r="G2979" s="23"/>
      <c r="H2979" s="23"/>
      <c r="J2979" s="23"/>
      <c r="K2979" s="23"/>
      <c r="M2979" s="23"/>
      <c r="N2979" s="23"/>
      <c r="P2979" s="23"/>
    </row>
    <row r="2980" spans="2:16" x14ac:dyDescent="0.25">
      <c r="B2980" s="23"/>
      <c r="E2980" s="23"/>
      <c r="G2980" s="23"/>
      <c r="H2980" s="23"/>
      <c r="J2980" s="23"/>
      <c r="K2980" s="23"/>
      <c r="M2980" s="23"/>
      <c r="N2980" s="23"/>
      <c r="P2980" s="23"/>
    </row>
    <row r="2981" spans="2:16" x14ac:dyDescent="0.25">
      <c r="B2981" s="23"/>
      <c r="E2981" s="23"/>
      <c r="G2981" s="23"/>
      <c r="H2981" s="23"/>
      <c r="J2981" s="23"/>
      <c r="K2981" s="23"/>
      <c r="M2981" s="23"/>
      <c r="N2981" s="23"/>
      <c r="P2981" s="23"/>
    </row>
    <row r="2982" spans="2:16" x14ac:dyDescent="0.25">
      <c r="B2982" s="23"/>
      <c r="E2982" s="23"/>
      <c r="G2982" s="23"/>
      <c r="H2982" s="23"/>
      <c r="J2982" s="23"/>
      <c r="K2982" s="23"/>
      <c r="M2982" s="23"/>
      <c r="N2982" s="23"/>
      <c r="P2982" s="23"/>
    </row>
    <row r="2983" spans="2:16" x14ac:dyDescent="0.25">
      <c r="B2983" s="23"/>
      <c r="E2983" s="23"/>
      <c r="G2983" s="23"/>
      <c r="H2983" s="23"/>
      <c r="J2983" s="23"/>
      <c r="K2983" s="23"/>
      <c r="M2983" s="23"/>
      <c r="N2983" s="23"/>
      <c r="P2983" s="23"/>
    </row>
    <row r="2984" spans="2:16" x14ac:dyDescent="0.25">
      <c r="B2984" s="23"/>
      <c r="E2984" s="23"/>
      <c r="G2984" s="23"/>
      <c r="H2984" s="23"/>
      <c r="J2984" s="23"/>
      <c r="K2984" s="23"/>
      <c r="M2984" s="23"/>
      <c r="N2984" s="23"/>
      <c r="P2984" s="23"/>
    </row>
    <row r="2985" spans="2:16" x14ac:dyDescent="0.25">
      <c r="B2985" s="23"/>
      <c r="E2985" s="23"/>
      <c r="G2985" s="23"/>
      <c r="H2985" s="23"/>
      <c r="J2985" s="23"/>
      <c r="K2985" s="23"/>
      <c r="M2985" s="23"/>
      <c r="N2985" s="23"/>
      <c r="P2985" s="23"/>
    </row>
    <row r="2986" spans="2:16" x14ac:dyDescent="0.25">
      <c r="B2986" s="23"/>
      <c r="E2986" s="23"/>
      <c r="G2986" s="23"/>
      <c r="H2986" s="23"/>
      <c r="J2986" s="23"/>
      <c r="K2986" s="23"/>
      <c r="M2986" s="23"/>
      <c r="N2986" s="23"/>
      <c r="P2986" s="23"/>
    </row>
    <row r="2987" spans="2:16" x14ac:dyDescent="0.25">
      <c r="B2987" s="23"/>
      <c r="E2987" s="23"/>
      <c r="G2987" s="23"/>
      <c r="H2987" s="23"/>
      <c r="J2987" s="23"/>
      <c r="K2987" s="23"/>
      <c r="M2987" s="23"/>
      <c r="N2987" s="23"/>
      <c r="P2987" s="23"/>
    </row>
    <row r="2988" spans="2:16" x14ac:dyDescent="0.25">
      <c r="B2988" s="23"/>
      <c r="E2988" s="23"/>
      <c r="G2988" s="23"/>
      <c r="H2988" s="23"/>
      <c r="J2988" s="23"/>
      <c r="K2988" s="23"/>
      <c r="M2988" s="23"/>
      <c r="N2988" s="23"/>
      <c r="P2988" s="23"/>
    </row>
    <row r="2989" spans="2:16" x14ac:dyDescent="0.25">
      <c r="B2989" s="23"/>
      <c r="E2989" s="23"/>
      <c r="G2989" s="23"/>
      <c r="H2989" s="23"/>
      <c r="J2989" s="23"/>
      <c r="K2989" s="23"/>
      <c r="M2989" s="23"/>
      <c r="N2989" s="23"/>
      <c r="P2989" s="23"/>
    </row>
    <row r="2990" spans="2:16" x14ac:dyDescent="0.25">
      <c r="B2990" s="23"/>
      <c r="E2990" s="23"/>
      <c r="G2990" s="23"/>
      <c r="H2990" s="23"/>
      <c r="J2990" s="23"/>
      <c r="K2990" s="23"/>
      <c r="M2990" s="23"/>
      <c r="N2990" s="23"/>
      <c r="P2990" s="23"/>
    </row>
    <row r="2991" spans="2:16" x14ac:dyDescent="0.25">
      <c r="B2991" s="23"/>
      <c r="E2991" s="23"/>
      <c r="G2991" s="23"/>
      <c r="H2991" s="23"/>
      <c r="J2991" s="23"/>
      <c r="K2991" s="23"/>
      <c r="M2991" s="23"/>
      <c r="N2991" s="23"/>
      <c r="P2991" s="23"/>
    </row>
    <row r="2992" spans="2:16" x14ac:dyDescent="0.25">
      <c r="B2992" s="23"/>
      <c r="E2992" s="23"/>
      <c r="G2992" s="23"/>
      <c r="H2992" s="23"/>
      <c r="J2992" s="23"/>
      <c r="K2992" s="23"/>
      <c r="M2992" s="23"/>
      <c r="N2992" s="23"/>
      <c r="P2992" s="23"/>
    </row>
    <row r="2993" spans="2:16" x14ac:dyDescent="0.25">
      <c r="B2993" s="23"/>
      <c r="E2993" s="23"/>
      <c r="G2993" s="23"/>
      <c r="H2993" s="23"/>
      <c r="J2993" s="23"/>
      <c r="K2993" s="23"/>
      <c r="M2993" s="23"/>
      <c r="N2993" s="23"/>
      <c r="P2993" s="23"/>
    </row>
    <row r="2994" spans="2:16" x14ac:dyDescent="0.25">
      <c r="B2994" s="23"/>
      <c r="E2994" s="23"/>
      <c r="G2994" s="23"/>
      <c r="H2994" s="23"/>
      <c r="J2994" s="23"/>
      <c r="K2994" s="23"/>
      <c r="M2994" s="23"/>
      <c r="N2994" s="23"/>
      <c r="P2994" s="23"/>
    </row>
    <row r="2995" spans="2:16" x14ac:dyDescent="0.25">
      <c r="B2995" s="23"/>
      <c r="E2995" s="23"/>
      <c r="G2995" s="23"/>
      <c r="H2995" s="23"/>
      <c r="J2995" s="23"/>
      <c r="K2995" s="23"/>
      <c r="M2995" s="23"/>
      <c r="N2995" s="23"/>
      <c r="P2995" s="23"/>
    </row>
    <row r="2996" spans="2:16" x14ac:dyDescent="0.25">
      <c r="B2996" s="23"/>
      <c r="E2996" s="23"/>
      <c r="G2996" s="23"/>
      <c r="H2996" s="23"/>
      <c r="J2996" s="23"/>
      <c r="K2996" s="23"/>
      <c r="M2996" s="23"/>
      <c r="N2996" s="23"/>
      <c r="P2996" s="23"/>
    </row>
    <row r="2997" spans="2:16" x14ac:dyDescent="0.25">
      <c r="B2997" s="23"/>
      <c r="E2997" s="23"/>
      <c r="G2997" s="23"/>
      <c r="H2997" s="23"/>
      <c r="J2997" s="23"/>
      <c r="K2997" s="23"/>
      <c r="M2997" s="23"/>
      <c r="N2997" s="23"/>
      <c r="P2997" s="23"/>
    </row>
    <row r="2998" spans="2:16" x14ac:dyDescent="0.25">
      <c r="B2998" s="23"/>
      <c r="E2998" s="23"/>
      <c r="G2998" s="23"/>
      <c r="H2998" s="23"/>
      <c r="J2998" s="23"/>
      <c r="K2998" s="23"/>
      <c r="M2998" s="23"/>
      <c r="N2998" s="23"/>
      <c r="P2998" s="23"/>
    </row>
    <row r="2999" spans="2:16" x14ac:dyDescent="0.25">
      <c r="B2999" s="23"/>
      <c r="E2999" s="23"/>
      <c r="G2999" s="23"/>
      <c r="H2999" s="23"/>
      <c r="J2999" s="23"/>
      <c r="K2999" s="23"/>
      <c r="M2999" s="23"/>
      <c r="N2999" s="23"/>
      <c r="P2999" s="23"/>
    </row>
    <row r="3000" spans="2:16" x14ac:dyDescent="0.25">
      <c r="B3000" s="23"/>
      <c r="E3000" s="23"/>
      <c r="G3000" s="23"/>
      <c r="H3000" s="23"/>
      <c r="J3000" s="23"/>
      <c r="K3000" s="23"/>
      <c r="M3000" s="23"/>
      <c r="N3000" s="23"/>
      <c r="P3000" s="23"/>
    </row>
    <row r="3001" spans="2:16" x14ac:dyDescent="0.25">
      <c r="B3001" s="23"/>
      <c r="E3001" s="23"/>
      <c r="G3001" s="23"/>
      <c r="H3001" s="23"/>
      <c r="J3001" s="23"/>
      <c r="K3001" s="23"/>
      <c r="M3001" s="23"/>
      <c r="N3001" s="23"/>
      <c r="P3001" s="23"/>
    </row>
    <row r="3002" spans="2:16" x14ac:dyDescent="0.25">
      <c r="B3002" s="23"/>
      <c r="E3002" s="23"/>
      <c r="G3002" s="23"/>
      <c r="H3002" s="23"/>
      <c r="J3002" s="23"/>
      <c r="K3002" s="23"/>
      <c r="M3002" s="23"/>
      <c r="N3002" s="23"/>
      <c r="P3002" s="23"/>
    </row>
    <row r="3003" spans="2:16" x14ac:dyDescent="0.25">
      <c r="B3003" s="23"/>
      <c r="E3003" s="23"/>
      <c r="G3003" s="23"/>
      <c r="H3003" s="23"/>
      <c r="J3003" s="23"/>
      <c r="K3003" s="23"/>
      <c r="M3003" s="23"/>
      <c r="N3003" s="23"/>
      <c r="P3003" s="23"/>
    </row>
    <row r="3004" spans="2:16" x14ac:dyDescent="0.25">
      <c r="B3004" s="23"/>
      <c r="E3004" s="23"/>
      <c r="G3004" s="23"/>
      <c r="H3004" s="23"/>
      <c r="J3004" s="23"/>
      <c r="K3004" s="23"/>
      <c r="M3004" s="23"/>
      <c r="N3004" s="23"/>
      <c r="P3004" s="23"/>
    </row>
    <row r="3005" spans="2:16" x14ac:dyDescent="0.25">
      <c r="B3005" s="23"/>
      <c r="E3005" s="23"/>
      <c r="G3005" s="23"/>
      <c r="H3005" s="23"/>
      <c r="J3005" s="23"/>
      <c r="K3005" s="23"/>
      <c r="M3005" s="23"/>
      <c r="N3005" s="23"/>
      <c r="P3005" s="23"/>
    </row>
    <row r="3006" spans="2:16" x14ac:dyDescent="0.25">
      <c r="B3006" s="23"/>
      <c r="E3006" s="23"/>
      <c r="G3006" s="23"/>
      <c r="H3006" s="23"/>
      <c r="J3006" s="23"/>
      <c r="K3006" s="23"/>
      <c r="M3006" s="23"/>
      <c r="N3006" s="23"/>
      <c r="P3006" s="23"/>
    </row>
    <row r="3007" spans="2:16" x14ac:dyDescent="0.25">
      <c r="B3007" s="23"/>
      <c r="E3007" s="23"/>
      <c r="G3007" s="23"/>
      <c r="H3007" s="23"/>
      <c r="J3007" s="23"/>
      <c r="K3007" s="23"/>
      <c r="M3007" s="23"/>
      <c r="N3007" s="23"/>
      <c r="P3007" s="23"/>
    </row>
    <row r="3008" spans="2:16" x14ac:dyDescent="0.25">
      <c r="B3008" s="23"/>
      <c r="E3008" s="23"/>
      <c r="G3008" s="23"/>
      <c r="H3008" s="23"/>
      <c r="J3008" s="23"/>
      <c r="K3008" s="23"/>
      <c r="M3008" s="23"/>
      <c r="N3008" s="23"/>
      <c r="P3008" s="23"/>
    </row>
    <row r="3009" spans="2:16" x14ac:dyDescent="0.25">
      <c r="B3009" s="23"/>
      <c r="E3009" s="23"/>
      <c r="G3009" s="23"/>
      <c r="H3009" s="23"/>
      <c r="J3009" s="23"/>
      <c r="K3009" s="23"/>
      <c r="M3009" s="23"/>
      <c r="N3009" s="23"/>
      <c r="P3009" s="23"/>
    </row>
    <row r="3010" spans="2:16" x14ac:dyDescent="0.25">
      <c r="B3010" s="23"/>
      <c r="E3010" s="23"/>
      <c r="G3010" s="23"/>
      <c r="H3010" s="23"/>
      <c r="J3010" s="23"/>
      <c r="K3010" s="23"/>
      <c r="M3010" s="23"/>
      <c r="N3010" s="23"/>
      <c r="P3010" s="23"/>
    </row>
    <row r="3011" spans="2:16" x14ac:dyDescent="0.25">
      <c r="B3011" s="23"/>
      <c r="E3011" s="23"/>
      <c r="G3011" s="23"/>
      <c r="H3011" s="23"/>
      <c r="J3011" s="23"/>
      <c r="K3011" s="23"/>
      <c r="M3011" s="23"/>
      <c r="N3011" s="23"/>
      <c r="P3011" s="23"/>
    </row>
    <row r="3012" spans="2:16" x14ac:dyDescent="0.25">
      <c r="B3012" s="23"/>
      <c r="E3012" s="23"/>
      <c r="G3012" s="23"/>
      <c r="H3012" s="23"/>
      <c r="J3012" s="23"/>
      <c r="K3012" s="23"/>
      <c r="M3012" s="23"/>
      <c r="N3012" s="23"/>
      <c r="P3012" s="23"/>
    </row>
    <row r="3013" spans="2:16" x14ac:dyDescent="0.25">
      <c r="B3013" s="23"/>
      <c r="E3013" s="23"/>
      <c r="G3013" s="23"/>
      <c r="H3013" s="23"/>
      <c r="J3013" s="23"/>
      <c r="K3013" s="23"/>
      <c r="M3013" s="23"/>
      <c r="N3013" s="23"/>
      <c r="P3013" s="23"/>
    </row>
    <row r="3014" spans="2:16" x14ac:dyDescent="0.25">
      <c r="B3014" s="23"/>
      <c r="E3014" s="23"/>
      <c r="G3014" s="23"/>
      <c r="H3014" s="23"/>
      <c r="J3014" s="23"/>
      <c r="K3014" s="23"/>
      <c r="M3014" s="23"/>
      <c r="N3014" s="23"/>
      <c r="P3014" s="23"/>
    </row>
    <row r="3015" spans="2:16" x14ac:dyDescent="0.25">
      <c r="B3015" s="23"/>
      <c r="E3015" s="23"/>
      <c r="G3015" s="23"/>
      <c r="H3015" s="23"/>
      <c r="J3015" s="23"/>
      <c r="K3015" s="23"/>
      <c r="M3015" s="23"/>
      <c r="N3015" s="23"/>
      <c r="P3015" s="23"/>
    </row>
    <row r="3016" spans="2:16" x14ac:dyDescent="0.25">
      <c r="B3016" s="23"/>
      <c r="E3016" s="23"/>
      <c r="G3016" s="23"/>
      <c r="H3016" s="23"/>
      <c r="J3016" s="23"/>
      <c r="K3016" s="23"/>
      <c r="M3016" s="23"/>
      <c r="N3016" s="23"/>
      <c r="P3016" s="23"/>
    </row>
    <row r="3017" spans="2:16" x14ac:dyDescent="0.25">
      <c r="B3017" s="23"/>
      <c r="E3017" s="23"/>
      <c r="G3017" s="23"/>
      <c r="H3017" s="23"/>
      <c r="J3017" s="23"/>
      <c r="K3017" s="23"/>
      <c r="M3017" s="23"/>
      <c r="N3017" s="23"/>
      <c r="P3017" s="23"/>
    </row>
    <row r="3018" spans="2:16" x14ac:dyDescent="0.25">
      <c r="B3018" s="23"/>
      <c r="E3018" s="23"/>
      <c r="G3018" s="23"/>
      <c r="H3018" s="23"/>
      <c r="J3018" s="23"/>
      <c r="K3018" s="23"/>
      <c r="M3018" s="23"/>
      <c r="N3018" s="23"/>
      <c r="P3018" s="23"/>
    </row>
    <row r="3019" spans="2:16" x14ac:dyDescent="0.25">
      <c r="B3019" s="23"/>
      <c r="E3019" s="23"/>
      <c r="G3019" s="23"/>
      <c r="H3019" s="23"/>
      <c r="J3019" s="23"/>
      <c r="K3019" s="23"/>
      <c r="M3019" s="23"/>
      <c r="N3019" s="23"/>
      <c r="P3019" s="23"/>
    </row>
    <row r="3020" spans="2:16" x14ac:dyDescent="0.25">
      <c r="B3020" s="23"/>
      <c r="E3020" s="23"/>
      <c r="G3020" s="23"/>
      <c r="H3020" s="23"/>
      <c r="J3020" s="23"/>
      <c r="K3020" s="23"/>
      <c r="M3020" s="23"/>
      <c r="N3020" s="23"/>
      <c r="P3020" s="23"/>
    </row>
    <row r="3021" spans="2:16" x14ac:dyDescent="0.25">
      <c r="B3021" s="23"/>
      <c r="E3021" s="23"/>
      <c r="G3021" s="23"/>
      <c r="H3021" s="23"/>
      <c r="J3021" s="23"/>
      <c r="K3021" s="23"/>
      <c r="M3021" s="23"/>
      <c r="N3021" s="23"/>
      <c r="P3021" s="23"/>
    </row>
    <row r="3022" spans="2:16" x14ac:dyDescent="0.25">
      <c r="B3022" s="23"/>
      <c r="E3022" s="23"/>
      <c r="G3022" s="23"/>
      <c r="H3022" s="23"/>
      <c r="J3022" s="23"/>
      <c r="K3022" s="23"/>
      <c r="M3022" s="23"/>
      <c r="N3022" s="23"/>
      <c r="P3022" s="23"/>
    </row>
    <row r="3023" spans="2:16" x14ac:dyDescent="0.25">
      <c r="B3023" s="23"/>
      <c r="E3023" s="23"/>
      <c r="G3023" s="23"/>
      <c r="H3023" s="23"/>
      <c r="J3023" s="23"/>
      <c r="K3023" s="23"/>
      <c r="M3023" s="23"/>
      <c r="N3023" s="23"/>
      <c r="P3023" s="23"/>
    </row>
    <row r="3024" spans="2:16" x14ac:dyDescent="0.25">
      <c r="B3024" s="23"/>
      <c r="E3024" s="23"/>
      <c r="G3024" s="23"/>
      <c r="H3024" s="23"/>
      <c r="J3024" s="23"/>
      <c r="K3024" s="23"/>
      <c r="M3024" s="23"/>
      <c r="N3024" s="23"/>
      <c r="P3024" s="23"/>
    </row>
    <row r="3025" spans="2:16" x14ac:dyDescent="0.25">
      <c r="B3025" s="23"/>
      <c r="E3025" s="23"/>
      <c r="G3025" s="23"/>
      <c r="H3025" s="23"/>
      <c r="J3025" s="23"/>
      <c r="K3025" s="23"/>
      <c r="M3025" s="23"/>
      <c r="N3025" s="23"/>
      <c r="P3025" s="23"/>
    </row>
    <row r="3026" spans="2:16" x14ac:dyDescent="0.25">
      <c r="B3026" s="23"/>
      <c r="E3026" s="23"/>
      <c r="G3026" s="23"/>
      <c r="H3026" s="23"/>
      <c r="J3026" s="23"/>
      <c r="K3026" s="23"/>
      <c r="M3026" s="23"/>
      <c r="N3026" s="23"/>
      <c r="P3026" s="23"/>
    </row>
    <row r="3027" spans="2:16" x14ac:dyDescent="0.25">
      <c r="B3027" s="23"/>
      <c r="E3027" s="23"/>
      <c r="G3027" s="23"/>
      <c r="H3027" s="23"/>
      <c r="J3027" s="23"/>
      <c r="K3027" s="23"/>
      <c r="M3027" s="23"/>
      <c r="N3027" s="23"/>
      <c r="P3027" s="23"/>
    </row>
    <row r="3028" spans="2:16" x14ac:dyDescent="0.25">
      <c r="B3028" s="23"/>
      <c r="E3028" s="23"/>
      <c r="G3028" s="23"/>
      <c r="H3028" s="23"/>
      <c r="J3028" s="23"/>
      <c r="K3028" s="23"/>
      <c r="M3028" s="23"/>
      <c r="N3028" s="23"/>
      <c r="P3028" s="23"/>
    </row>
    <row r="3029" spans="2:16" x14ac:dyDescent="0.25">
      <c r="B3029" s="23"/>
      <c r="E3029" s="23"/>
      <c r="G3029" s="23"/>
      <c r="H3029" s="23"/>
      <c r="J3029" s="23"/>
      <c r="K3029" s="23"/>
      <c r="M3029" s="23"/>
      <c r="N3029" s="23"/>
      <c r="P3029" s="23"/>
    </row>
    <row r="3030" spans="2:16" x14ac:dyDescent="0.25">
      <c r="B3030" s="23"/>
      <c r="E3030" s="23"/>
      <c r="G3030" s="23"/>
      <c r="H3030" s="23"/>
      <c r="J3030" s="23"/>
      <c r="K3030" s="23"/>
      <c r="M3030" s="23"/>
      <c r="N3030" s="23"/>
      <c r="P3030" s="23"/>
    </row>
    <row r="3031" spans="2:16" x14ac:dyDescent="0.25">
      <c r="B3031" s="23"/>
      <c r="E3031" s="23"/>
      <c r="G3031" s="23"/>
      <c r="H3031" s="23"/>
      <c r="J3031" s="23"/>
      <c r="K3031" s="23"/>
      <c r="M3031" s="23"/>
      <c r="N3031" s="23"/>
      <c r="P3031" s="23"/>
    </row>
    <row r="3032" spans="2:16" x14ac:dyDescent="0.25">
      <c r="B3032" s="23"/>
      <c r="E3032" s="23"/>
      <c r="G3032" s="23"/>
      <c r="H3032" s="23"/>
      <c r="J3032" s="23"/>
      <c r="K3032" s="23"/>
      <c r="M3032" s="23"/>
      <c r="N3032" s="23"/>
      <c r="P3032" s="23"/>
    </row>
    <row r="3033" spans="2:16" x14ac:dyDescent="0.25">
      <c r="B3033" s="23"/>
      <c r="E3033" s="23"/>
      <c r="G3033" s="23"/>
      <c r="H3033" s="23"/>
      <c r="J3033" s="23"/>
      <c r="K3033" s="23"/>
      <c r="M3033" s="23"/>
      <c r="N3033" s="23"/>
      <c r="P3033" s="23"/>
    </row>
    <row r="3034" spans="2:16" x14ac:dyDescent="0.25">
      <c r="B3034" s="23"/>
      <c r="E3034" s="23"/>
      <c r="G3034" s="23"/>
      <c r="H3034" s="23"/>
      <c r="J3034" s="23"/>
      <c r="K3034" s="23"/>
      <c r="M3034" s="23"/>
      <c r="N3034" s="23"/>
      <c r="P3034" s="23"/>
    </row>
    <row r="3035" spans="2:16" x14ac:dyDescent="0.25">
      <c r="B3035" s="23"/>
      <c r="E3035" s="23"/>
      <c r="G3035" s="23"/>
      <c r="H3035" s="23"/>
      <c r="J3035" s="23"/>
      <c r="K3035" s="23"/>
      <c r="M3035" s="23"/>
      <c r="N3035" s="23"/>
      <c r="P3035" s="23"/>
    </row>
    <row r="3036" spans="2:16" x14ac:dyDescent="0.25">
      <c r="B3036" s="23"/>
      <c r="E3036" s="23"/>
      <c r="G3036" s="23"/>
      <c r="H3036" s="23"/>
      <c r="J3036" s="23"/>
      <c r="K3036" s="23"/>
      <c r="M3036" s="23"/>
      <c r="N3036" s="23"/>
      <c r="P3036" s="23"/>
    </row>
    <row r="3037" spans="2:16" x14ac:dyDescent="0.25">
      <c r="B3037" s="23"/>
      <c r="E3037" s="23"/>
      <c r="G3037" s="23"/>
      <c r="H3037" s="23"/>
      <c r="J3037" s="23"/>
      <c r="K3037" s="23"/>
      <c r="M3037" s="23"/>
      <c r="N3037" s="23"/>
      <c r="P3037" s="23"/>
    </row>
    <row r="3038" spans="2:16" x14ac:dyDescent="0.25">
      <c r="B3038" s="23"/>
      <c r="E3038" s="23"/>
      <c r="G3038" s="23"/>
      <c r="H3038" s="23"/>
      <c r="J3038" s="23"/>
      <c r="K3038" s="23"/>
      <c r="M3038" s="23"/>
      <c r="N3038" s="23"/>
      <c r="P3038" s="23"/>
    </row>
    <row r="3039" spans="2:16" x14ac:dyDescent="0.25">
      <c r="B3039" s="23"/>
      <c r="E3039" s="23"/>
      <c r="G3039" s="23"/>
      <c r="H3039" s="23"/>
      <c r="J3039" s="23"/>
      <c r="K3039" s="23"/>
      <c r="M3039" s="23"/>
      <c r="N3039" s="23"/>
      <c r="P3039" s="23"/>
    </row>
    <row r="3040" spans="2:16" x14ac:dyDescent="0.25">
      <c r="B3040" s="23"/>
      <c r="E3040" s="23"/>
      <c r="G3040" s="23"/>
      <c r="H3040" s="23"/>
      <c r="J3040" s="23"/>
      <c r="K3040" s="23"/>
      <c r="M3040" s="23"/>
      <c r="N3040" s="23"/>
      <c r="P3040" s="23"/>
    </row>
    <row r="3041" spans="2:16" x14ac:dyDescent="0.25">
      <c r="B3041" s="23"/>
      <c r="E3041" s="23"/>
      <c r="G3041" s="23"/>
      <c r="H3041" s="23"/>
      <c r="J3041" s="23"/>
      <c r="K3041" s="23"/>
      <c r="M3041" s="23"/>
      <c r="N3041" s="23"/>
      <c r="P3041" s="23"/>
    </row>
    <row r="3042" spans="2:16" x14ac:dyDescent="0.25">
      <c r="B3042" s="23"/>
      <c r="E3042" s="23"/>
      <c r="G3042" s="23"/>
      <c r="H3042" s="23"/>
      <c r="J3042" s="23"/>
      <c r="K3042" s="23"/>
      <c r="M3042" s="23"/>
      <c r="N3042" s="23"/>
      <c r="P3042" s="23"/>
    </row>
    <row r="3043" spans="2:16" x14ac:dyDescent="0.25">
      <c r="B3043" s="23"/>
      <c r="E3043" s="23"/>
      <c r="G3043" s="23"/>
      <c r="H3043" s="23"/>
      <c r="J3043" s="23"/>
      <c r="K3043" s="23"/>
      <c r="M3043" s="23"/>
      <c r="N3043" s="23"/>
      <c r="P3043" s="23"/>
    </row>
    <row r="3044" spans="2:16" x14ac:dyDescent="0.25">
      <c r="B3044" s="23"/>
      <c r="E3044" s="23"/>
      <c r="G3044" s="23"/>
      <c r="H3044" s="23"/>
      <c r="J3044" s="23"/>
      <c r="K3044" s="23"/>
      <c r="M3044" s="23"/>
      <c r="N3044" s="23"/>
      <c r="P3044" s="23"/>
    </row>
    <row r="3045" spans="2:16" x14ac:dyDescent="0.25">
      <c r="B3045" s="23"/>
      <c r="E3045" s="23"/>
      <c r="G3045" s="23"/>
      <c r="H3045" s="23"/>
      <c r="J3045" s="23"/>
      <c r="K3045" s="23"/>
      <c r="M3045" s="23"/>
      <c r="N3045" s="23"/>
      <c r="P3045" s="23"/>
    </row>
    <row r="3046" spans="2:16" x14ac:dyDescent="0.25">
      <c r="B3046" s="23"/>
      <c r="E3046" s="23"/>
      <c r="G3046" s="23"/>
      <c r="H3046" s="23"/>
      <c r="J3046" s="23"/>
      <c r="K3046" s="23"/>
      <c r="M3046" s="23"/>
      <c r="N3046" s="23"/>
      <c r="P3046" s="23"/>
    </row>
    <row r="3047" spans="2:16" x14ac:dyDescent="0.25">
      <c r="B3047" s="23"/>
      <c r="E3047" s="23"/>
      <c r="G3047" s="23"/>
      <c r="H3047" s="23"/>
      <c r="J3047" s="23"/>
      <c r="K3047" s="23"/>
      <c r="M3047" s="23"/>
      <c r="N3047" s="23"/>
      <c r="P3047" s="23"/>
    </row>
    <row r="3048" spans="2:16" x14ac:dyDescent="0.25">
      <c r="B3048" s="23"/>
      <c r="E3048" s="23"/>
      <c r="G3048" s="23"/>
      <c r="H3048" s="23"/>
      <c r="J3048" s="23"/>
      <c r="K3048" s="23"/>
      <c r="M3048" s="23"/>
      <c r="N3048" s="23"/>
      <c r="P3048" s="23"/>
    </row>
    <row r="3049" spans="2:16" x14ac:dyDescent="0.25">
      <c r="B3049" s="23"/>
      <c r="E3049" s="23"/>
      <c r="G3049" s="23"/>
      <c r="H3049" s="23"/>
      <c r="J3049" s="23"/>
      <c r="K3049" s="23"/>
      <c r="M3049" s="23"/>
      <c r="N3049" s="23"/>
      <c r="P3049" s="23"/>
    </row>
    <row r="3050" spans="2:16" x14ac:dyDescent="0.25">
      <c r="B3050" s="23"/>
      <c r="E3050" s="23"/>
      <c r="G3050" s="23"/>
      <c r="H3050" s="23"/>
      <c r="J3050" s="23"/>
      <c r="K3050" s="23"/>
      <c r="M3050" s="23"/>
      <c r="N3050" s="23"/>
      <c r="P3050" s="23"/>
    </row>
    <row r="3051" spans="2:16" x14ac:dyDescent="0.25">
      <c r="B3051" s="23"/>
      <c r="E3051" s="23"/>
      <c r="G3051" s="23"/>
      <c r="H3051" s="23"/>
      <c r="J3051" s="23"/>
      <c r="K3051" s="23"/>
      <c r="M3051" s="23"/>
      <c r="N3051" s="23"/>
      <c r="P3051" s="23"/>
    </row>
    <row r="3052" spans="2:16" x14ac:dyDescent="0.25">
      <c r="B3052" s="23"/>
      <c r="E3052" s="23"/>
      <c r="G3052" s="23"/>
      <c r="H3052" s="23"/>
      <c r="J3052" s="23"/>
      <c r="K3052" s="23"/>
      <c r="M3052" s="23"/>
      <c r="N3052" s="23"/>
      <c r="P3052" s="23"/>
    </row>
    <row r="3053" spans="2:16" x14ac:dyDescent="0.25">
      <c r="B3053" s="23"/>
      <c r="E3053" s="23"/>
      <c r="G3053" s="23"/>
      <c r="H3053" s="23"/>
      <c r="J3053" s="23"/>
      <c r="K3053" s="23"/>
      <c r="M3053" s="23"/>
      <c r="N3053" s="23"/>
      <c r="P3053" s="23"/>
    </row>
    <row r="3054" spans="2:16" x14ac:dyDescent="0.25">
      <c r="B3054" s="23"/>
      <c r="E3054" s="23"/>
      <c r="G3054" s="23"/>
      <c r="H3054" s="23"/>
      <c r="J3054" s="23"/>
      <c r="K3054" s="23"/>
      <c r="M3054" s="23"/>
      <c r="N3054" s="23"/>
      <c r="P3054" s="23"/>
    </row>
    <row r="3055" spans="2:16" x14ac:dyDescent="0.25">
      <c r="B3055" s="23"/>
      <c r="E3055" s="23"/>
      <c r="G3055" s="23"/>
      <c r="H3055" s="23"/>
      <c r="J3055" s="23"/>
      <c r="K3055" s="23"/>
      <c r="M3055" s="23"/>
      <c r="N3055" s="23"/>
      <c r="P3055" s="23"/>
    </row>
    <row r="3056" spans="2:16" x14ac:dyDescent="0.25">
      <c r="B3056" s="23"/>
      <c r="E3056" s="23"/>
      <c r="G3056" s="23"/>
      <c r="H3056" s="23"/>
      <c r="J3056" s="23"/>
      <c r="K3056" s="23"/>
      <c r="M3056" s="23"/>
      <c r="N3056" s="23"/>
      <c r="P3056" s="23"/>
    </row>
    <row r="3057" spans="2:16" x14ac:dyDescent="0.25">
      <c r="B3057" s="23"/>
      <c r="E3057" s="23"/>
      <c r="G3057" s="23"/>
      <c r="H3057" s="23"/>
      <c r="J3057" s="23"/>
      <c r="K3057" s="23"/>
      <c r="M3057" s="23"/>
      <c r="N3057" s="23"/>
      <c r="P3057" s="23"/>
    </row>
    <row r="3058" spans="2:16" x14ac:dyDescent="0.25">
      <c r="B3058" s="23"/>
      <c r="E3058" s="23"/>
      <c r="G3058" s="23"/>
      <c r="H3058" s="23"/>
      <c r="J3058" s="23"/>
      <c r="K3058" s="23"/>
      <c r="M3058" s="23"/>
      <c r="N3058" s="23"/>
      <c r="P3058" s="23"/>
    </row>
    <row r="3059" spans="2:16" x14ac:dyDescent="0.25">
      <c r="B3059" s="23"/>
      <c r="E3059" s="23"/>
      <c r="G3059" s="23"/>
      <c r="H3059" s="23"/>
      <c r="J3059" s="23"/>
      <c r="K3059" s="23"/>
      <c r="M3059" s="23"/>
      <c r="N3059" s="23"/>
      <c r="P3059" s="23"/>
    </row>
    <row r="3060" spans="2:16" x14ac:dyDescent="0.25">
      <c r="B3060" s="23"/>
      <c r="E3060" s="23"/>
      <c r="G3060" s="23"/>
      <c r="H3060" s="23"/>
      <c r="J3060" s="23"/>
      <c r="K3060" s="23"/>
      <c r="M3060" s="23"/>
      <c r="N3060" s="23"/>
      <c r="P3060" s="23"/>
    </row>
    <row r="3061" spans="2:16" x14ac:dyDescent="0.25">
      <c r="B3061" s="23"/>
      <c r="E3061" s="23"/>
      <c r="G3061" s="23"/>
      <c r="H3061" s="23"/>
      <c r="J3061" s="23"/>
      <c r="K3061" s="23"/>
      <c r="M3061" s="23"/>
      <c r="N3061" s="23"/>
      <c r="P3061" s="23"/>
    </row>
    <row r="3062" spans="2:16" x14ac:dyDescent="0.25">
      <c r="B3062" s="23"/>
      <c r="E3062" s="23"/>
      <c r="G3062" s="23"/>
      <c r="H3062" s="23"/>
      <c r="J3062" s="23"/>
      <c r="K3062" s="23"/>
      <c r="M3062" s="23"/>
      <c r="N3062" s="23"/>
      <c r="P3062" s="23"/>
    </row>
    <row r="3063" spans="2:16" x14ac:dyDescent="0.25">
      <c r="B3063" s="23"/>
      <c r="E3063" s="23"/>
      <c r="G3063" s="23"/>
      <c r="H3063" s="23"/>
      <c r="J3063" s="23"/>
      <c r="K3063" s="23"/>
      <c r="M3063" s="23"/>
      <c r="N3063" s="23"/>
      <c r="P3063" s="23"/>
    </row>
    <row r="3064" spans="2:16" x14ac:dyDescent="0.25">
      <c r="B3064" s="23"/>
      <c r="E3064" s="23"/>
      <c r="G3064" s="23"/>
      <c r="H3064" s="23"/>
      <c r="J3064" s="23"/>
      <c r="K3064" s="23"/>
      <c r="M3064" s="23"/>
      <c r="N3064" s="23"/>
      <c r="P3064" s="23"/>
    </row>
    <row r="3065" spans="2:16" x14ac:dyDescent="0.25">
      <c r="B3065" s="23"/>
      <c r="E3065" s="23"/>
      <c r="G3065" s="23"/>
      <c r="H3065" s="23"/>
      <c r="J3065" s="23"/>
      <c r="K3065" s="23"/>
      <c r="M3065" s="23"/>
      <c r="N3065" s="23"/>
      <c r="P3065" s="23"/>
    </row>
    <row r="3066" spans="2:16" x14ac:dyDescent="0.25">
      <c r="B3066" s="23"/>
      <c r="E3066" s="23"/>
      <c r="G3066" s="23"/>
      <c r="H3066" s="23"/>
      <c r="J3066" s="23"/>
      <c r="K3066" s="23"/>
      <c r="M3066" s="23"/>
      <c r="N3066" s="23"/>
      <c r="P3066" s="23"/>
    </row>
    <row r="3067" spans="2:16" x14ac:dyDescent="0.25">
      <c r="B3067" s="23"/>
      <c r="E3067" s="23"/>
      <c r="G3067" s="23"/>
      <c r="H3067" s="23"/>
      <c r="J3067" s="23"/>
      <c r="K3067" s="23"/>
      <c r="M3067" s="23"/>
      <c r="N3067" s="23"/>
      <c r="P3067" s="23"/>
    </row>
    <row r="3068" spans="2:16" x14ac:dyDescent="0.25">
      <c r="B3068" s="23"/>
      <c r="E3068" s="23"/>
      <c r="G3068" s="23"/>
      <c r="H3068" s="23"/>
      <c r="J3068" s="23"/>
      <c r="K3068" s="23"/>
      <c r="M3068" s="23"/>
      <c r="N3068" s="23"/>
      <c r="P3068" s="23"/>
    </row>
    <row r="3069" spans="2:16" x14ac:dyDescent="0.25">
      <c r="B3069" s="23"/>
      <c r="E3069" s="23"/>
      <c r="G3069" s="23"/>
      <c r="H3069" s="23"/>
      <c r="J3069" s="23"/>
      <c r="K3069" s="23"/>
      <c r="M3069" s="23"/>
      <c r="N3069" s="23"/>
      <c r="P3069" s="23"/>
    </row>
    <row r="3070" spans="2:16" x14ac:dyDescent="0.25">
      <c r="B3070" s="23"/>
      <c r="E3070" s="23"/>
      <c r="G3070" s="23"/>
      <c r="H3070" s="23"/>
      <c r="J3070" s="23"/>
      <c r="K3070" s="23"/>
      <c r="M3070" s="23"/>
      <c r="N3070" s="23"/>
      <c r="P3070" s="23"/>
    </row>
    <row r="3071" spans="2:16" x14ac:dyDescent="0.25">
      <c r="B3071" s="23"/>
      <c r="E3071" s="23"/>
      <c r="G3071" s="23"/>
      <c r="H3071" s="23"/>
      <c r="J3071" s="23"/>
      <c r="K3071" s="23"/>
      <c r="M3071" s="23"/>
      <c r="N3071" s="23"/>
      <c r="P3071" s="23"/>
    </row>
    <row r="3072" spans="2:16" x14ac:dyDescent="0.25">
      <c r="B3072" s="23"/>
      <c r="E3072" s="23"/>
      <c r="G3072" s="23"/>
      <c r="H3072" s="23"/>
      <c r="J3072" s="23"/>
      <c r="K3072" s="23"/>
      <c r="M3072" s="23"/>
      <c r="N3072" s="23"/>
      <c r="P3072" s="23"/>
    </row>
    <row r="3073" spans="2:16" x14ac:dyDescent="0.25">
      <c r="B3073" s="23"/>
      <c r="E3073" s="23"/>
      <c r="G3073" s="23"/>
      <c r="H3073" s="23"/>
      <c r="J3073" s="23"/>
      <c r="K3073" s="23"/>
      <c r="M3073" s="23"/>
      <c r="N3073" s="23"/>
      <c r="P3073" s="23"/>
    </row>
    <row r="3074" spans="2:16" x14ac:dyDescent="0.25">
      <c r="B3074" s="23"/>
      <c r="E3074" s="23"/>
      <c r="G3074" s="23"/>
      <c r="H3074" s="23"/>
      <c r="J3074" s="23"/>
      <c r="K3074" s="23"/>
      <c r="M3074" s="23"/>
      <c r="N3074" s="23"/>
      <c r="P3074" s="23"/>
    </row>
    <row r="3075" spans="2:16" x14ac:dyDescent="0.25">
      <c r="B3075" s="23"/>
      <c r="E3075" s="23"/>
      <c r="G3075" s="23"/>
      <c r="H3075" s="23"/>
      <c r="J3075" s="23"/>
      <c r="K3075" s="23"/>
      <c r="M3075" s="23"/>
      <c r="N3075" s="23"/>
      <c r="P3075" s="23"/>
    </row>
    <row r="3076" spans="2:16" x14ac:dyDescent="0.25">
      <c r="B3076" s="23"/>
      <c r="E3076" s="23"/>
      <c r="G3076" s="23"/>
      <c r="H3076" s="23"/>
      <c r="J3076" s="23"/>
      <c r="K3076" s="23"/>
      <c r="M3076" s="23"/>
      <c r="N3076" s="23"/>
      <c r="P3076" s="23"/>
    </row>
    <row r="3077" spans="2:16" x14ac:dyDescent="0.25">
      <c r="B3077" s="23"/>
      <c r="E3077" s="23"/>
      <c r="G3077" s="23"/>
      <c r="H3077" s="23"/>
      <c r="J3077" s="23"/>
      <c r="K3077" s="23"/>
      <c r="M3077" s="23"/>
      <c r="N3077" s="23"/>
      <c r="P3077" s="23"/>
    </row>
    <row r="3078" spans="2:16" x14ac:dyDescent="0.25">
      <c r="B3078" s="23"/>
      <c r="E3078" s="23"/>
      <c r="G3078" s="23"/>
      <c r="H3078" s="23"/>
      <c r="J3078" s="23"/>
      <c r="K3078" s="23"/>
      <c r="M3078" s="23"/>
      <c r="N3078" s="23"/>
      <c r="P3078" s="23"/>
    </row>
    <row r="3079" spans="2:16" x14ac:dyDescent="0.25">
      <c r="B3079" s="23"/>
      <c r="E3079" s="23"/>
      <c r="G3079" s="23"/>
      <c r="H3079" s="23"/>
      <c r="J3079" s="23"/>
      <c r="K3079" s="23"/>
      <c r="M3079" s="23"/>
      <c r="N3079" s="23"/>
      <c r="P3079" s="23"/>
    </row>
    <row r="3080" spans="2:16" x14ac:dyDescent="0.25">
      <c r="B3080" s="23"/>
      <c r="E3080" s="23"/>
      <c r="G3080" s="23"/>
      <c r="H3080" s="23"/>
      <c r="J3080" s="23"/>
      <c r="K3080" s="23"/>
      <c r="M3080" s="23"/>
      <c r="N3080" s="23"/>
      <c r="P3080" s="23"/>
    </row>
    <row r="3081" spans="2:16" x14ac:dyDescent="0.25">
      <c r="B3081" s="23"/>
      <c r="E3081" s="23"/>
      <c r="G3081" s="23"/>
      <c r="H3081" s="23"/>
      <c r="J3081" s="23"/>
      <c r="K3081" s="23"/>
      <c r="M3081" s="23"/>
      <c r="N3081" s="23"/>
      <c r="P3081" s="23"/>
    </row>
    <row r="3082" spans="2:16" x14ac:dyDescent="0.25">
      <c r="B3082" s="23"/>
      <c r="E3082" s="23"/>
      <c r="G3082" s="23"/>
      <c r="H3082" s="23"/>
      <c r="J3082" s="23"/>
      <c r="K3082" s="23"/>
      <c r="M3082" s="23"/>
      <c r="N3082" s="23"/>
      <c r="P3082" s="23"/>
    </row>
    <row r="3083" spans="2:16" x14ac:dyDescent="0.25">
      <c r="B3083" s="23"/>
      <c r="E3083" s="23"/>
      <c r="G3083" s="23"/>
      <c r="H3083" s="23"/>
      <c r="J3083" s="23"/>
      <c r="K3083" s="23"/>
      <c r="M3083" s="23"/>
      <c r="N3083" s="23"/>
      <c r="P3083" s="23"/>
    </row>
    <row r="3084" spans="2:16" x14ac:dyDescent="0.25">
      <c r="B3084" s="23"/>
      <c r="E3084" s="23"/>
      <c r="G3084" s="23"/>
      <c r="H3084" s="23"/>
      <c r="J3084" s="23"/>
      <c r="K3084" s="23"/>
      <c r="M3084" s="23"/>
      <c r="N3084" s="23"/>
      <c r="P3084" s="23"/>
    </row>
    <row r="3085" spans="2:16" x14ac:dyDescent="0.25">
      <c r="B3085" s="23"/>
      <c r="E3085" s="23"/>
      <c r="G3085" s="23"/>
      <c r="H3085" s="23"/>
      <c r="J3085" s="23"/>
      <c r="K3085" s="23"/>
      <c r="M3085" s="23"/>
      <c r="N3085" s="23"/>
      <c r="P3085" s="23"/>
    </row>
    <row r="3086" spans="2:16" x14ac:dyDescent="0.25">
      <c r="B3086" s="23"/>
      <c r="E3086" s="23"/>
      <c r="G3086" s="23"/>
      <c r="H3086" s="23"/>
      <c r="J3086" s="23"/>
      <c r="K3086" s="23"/>
      <c r="M3086" s="23"/>
      <c r="N3086" s="23"/>
      <c r="P3086" s="23"/>
    </row>
    <row r="3087" spans="2:16" x14ac:dyDescent="0.25">
      <c r="B3087" s="23"/>
      <c r="E3087" s="23"/>
      <c r="G3087" s="23"/>
      <c r="H3087" s="23"/>
      <c r="J3087" s="23"/>
      <c r="K3087" s="23"/>
      <c r="M3087" s="23"/>
      <c r="N3087" s="23"/>
      <c r="P3087" s="23"/>
    </row>
    <row r="3088" spans="2:16" x14ac:dyDescent="0.25">
      <c r="B3088" s="23"/>
      <c r="E3088" s="23"/>
      <c r="G3088" s="23"/>
      <c r="H3088" s="23"/>
      <c r="J3088" s="23"/>
      <c r="K3088" s="23"/>
      <c r="M3088" s="23"/>
      <c r="N3088" s="23"/>
      <c r="P3088" s="23"/>
    </row>
    <row r="3089" spans="2:16" x14ac:dyDescent="0.25">
      <c r="B3089" s="23"/>
      <c r="E3089" s="23"/>
      <c r="G3089" s="23"/>
      <c r="H3089" s="23"/>
      <c r="J3089" s="23"/>
      <c r="K3089" s="23"/>
      <c r="M3089" s="23"/>
      <c r="N3089" s="23"/>
      <c r="P3089" s="23"/>
    </row>
    <row r="3090" spans="2:16" x14ac:dyDescent="0.25">
      <c r="B3090" s="23"/>
      <c r="E3090" s="23"/>
      <c r="G3090" s="23"/>
      <c r="H3090" s="23"/>
      <c r="J3090" s="23"/>
      <c r="K3090" s="23"/>
      <c r="M3090" s="23"/>
      <c r="N3090" s="23"/>
      <c r="P3090" s="23"/>
    </row>
    <row r="3091" spans="2:16" x14ac:dyDescent="0.25">
      <c r="B3091" s="23"/>
      <c r="E3091" s="23"/>
      <c r="G3091" s="23"/>
      <c r="H3091" s="23"/>
      <c r="J3091" s="23"/>
      <c r="K3091" s="23"/>
      <c r="M3091" s="23"/>
      <c r="N3091" s="23"/>
      <c r="P3091" s="23"/>
    </row>
    <row r="3092" spans="2:16" x14ac:dyDescent="0.25">
      <c r="B3092" s="23"/>
      <c r="E3092" s="23"/>
      <c r="G3092" s="23"/>
      <c r="H3092" s="23"/>
      <c r="J3092" s="23"/>
      <c r="K3092" s="23"/>
      <c r="M3092" s="23"/>
      <c r="N3092" s="23"/>
      <c r="P3092" s="23"/>
    </row>
    <row r="3093" spans="2:16" x14ac:dyDescent="0.25">
      <c r="B3093" s="23"/>
      <c r="E3093" s="23"/>
      <c r="G3093" s="23"/>
      <c r="H3093" s="23"/>
      <c r="J3093" s="23"/>
      <c r="K3093" s="23"/>
      <c r="M3093" s="23"/>
      <c r="N3093" s="23"/>
      <c r="P3093" s="23"/>
    </row>
    <row r="3094" spans="2:16" x14ac:dyDescent="0.25">
      <c r="B3094" s="23"/>
      <c r="E3094" s="23"/>
      <c r="G3094" s="23"/>
      <c r="H3094" s="23"/>
      <c r="J3094" s="23"/>
      <c r="K3094" s="23"/>
      <c r="M3094" s="23"/>
      <c r="N3094" s="23"/>
      <c r="P3094" s="23"/>
    </row>
    <row r="3095" spans="2:16" x14ac:dyDescent="0.25">
      <c r="B3095" s="23"/>
      <c r="E3095" s="23"/>
      <c r="G3095" s="23"/>
      <c r="H3095" s="23"/>
      <c r="J3095" s="23"/>
      <c r="K3095" s="23"/>
      <c r="M3095" s="23"/>
      <c r="N3095" s="23"/>
      <c r="P3095" s="23"/>
    </row>
    <row r="3096" spans="2:16" x14ac:dyDescent="0.25">
      <c r="B3096" s="23"/>
      <c r="E3096" s="23"/>
      <c r="G3096" s="23"/>
      <c r="H3096" s="23"/>
      <c r="J3096" s="23"/>
      <c r="K3096" s="23"/>
      <c r="M3096" s="23"/>
      <c r="N3096" s="23"/>
      <c r="P3096" s="23"/>
    </row>
    <row r="3097" spans="2:16" x14ac:dyDescent="0.25">
      <c r="B3097" s="23"/>
      <c r="E3097" s="23"/>
      <c r="G3097" s="23"/>
      <c r="H3097" s="23"/>
      <c r="J3097" s="23"/>
      <c r="K3097" s="23"/>
      <c r="M3097" s="23"/>
      <c r="N3097" s="23"/>
      <c r="P3097" s="23"/>
    </row>
    <row r="3098" spans="2:16" x14ac:dyDescent="0.25">
      <c r="B3098" s="23"/>
      <c r="E3098" s="23"/>
      <c r="G3098" s="23"/>
      <c r="H3098" s="23"/>
      <c r="J3098" s="23"/>
      <c r="K3098" s="23"/>
      <c r="M3098" s="23"/>
      <c r="N3098" s="23"/>
      <c r="P3098" s="23"/>
    </row>
    <row r="3099" spans="2:16" x14ac:dyDescent="0.25">
      <c r="B3099" s="23"/>
      <c r="E3099" s="23"/>
      <c r="G3099" s="23"/>
      <c r="H3099" s="23"/>
      <c r="J3099" s="23"/>
      <c r="K3099" s="23"/>
      <c r="M3099" s="23"/>
      <c r="N3099" s="23"/>
      <c r="P3099" s="23"/>
    </row>
    <row r="3100" spans="2:16" x14ac:dyDescent="0.25">
      <c r="B3100" s="23"/>
      <c r="E3100" s="23"/>
      <c r="G3100" s="23"/>
      <c r="H3100" s="23"/>
      <c r="J3100" s="23"/>
      <c r="K3100" s="23"/>
      <c r="M3100" s="23"/>
      <c r="N3100" s="23"/>
      <c r="P3100" s="23"/>
    </row>
    <row r="3101" spans="2:16" x14ac:dyDescent="0.25">
      <c r="B3101" s="23"/>
      <c r="E3101" s="23"/>
      <c r="G3101" s="23"/>
      <c r="H3101" s="23"/>
      <c r="J3101" s="23"/>
      <c r="K3101" s="23"/>
      <c r="M3101" s="23"/>
      <c r="N3101" s="23"/>
      <c r="P3101" s="23"/>
    </row>
    <row r="3102" spans="2:16" x14ac:dyDescent="0.25">
      <c r="B3102" s="23"/>
      <c r="E3102" s="23"/>
      <c r="G3102" s="23"/>
      <c r="H3102" s="23"/>
      <c r="J3102" s="23"/>
      <c r="K3102" s="23"/>
      <c r="M3102" s="23"/>
      <c r="N3102" s="23"/>
      <c r="P3102" s="23"/>
    </row>
    <row r="3103" spans="2:16" x14ac:dyDescent="0.25">
      <c r="B3103" s="23"/>
      <c r="E3103" s="23"/>
      <c r="G3103" s="23"/>
      <c r="H3103" s="23"/>
      <c r="J3103" s="23"/>
      <c r="K3103" s="23"/>
      <c r="M3103" s="23"/>
      <c r="N3103" s="23"/>
      <c r="P3103" s="23"/>
    </row>
    <row r="3104" spans="2:16" x14ac:dyDescent="0.25">
      <c r="B3104" s="23"/>
      <c r="E3104" s="23"/>
      <c r="G3104" s="23"/>
      <c r="H3104" s="23"/>
      <c r="J3104" s="23"/>
      <c r="K3104" s="23"/>
      <c r="M3104" s="23"/>
      <c r="N3104" s="23"/>
      <c r="P3104" s="23"/>
    </row>
    <row r="3105" spans="2:16" x14ac:dyDescent="0.25">
      <c r="B3105" s="23"/>
      <c r="E3105" s="23"/>
      <c r="G3105" s="23"/>
      <c r="H3105" s="23"/>
      <c r="J3105" s="23"/>
      <c r="K3105" s="23"/>
      <c r="M3105" s="23"/>
      <c r="N3105" s="23"/>
      <c r="P3105" s="23"/>
    </row>
    <row r="3106" spans="2:16" x14ac:dyDescent="0.25">
      <c r="B3106" s="23"/>
      <c r="E3106" s="23"/>
      <c r="G3106" s="23"/>
      <c r="H3106" s="23"/>
      <c r="J3106" s="23"/>
      <c r="K3106" s="23"/>
      <c r="M3106" s="23"/>
      <c r="N3106" s="23"/>
      <c r="P3106" s="23"/>
    </row>
    <row r="3107" spans="2:16" x14ac:dyDescent="0.25">
      <c r="B3107" s="23"/>
      <c r="E3107" s="23"/>
      <c r="G3107" s="23"/>
      <c r="H3107" s="23"/>
      <c r="J3107" s="23"/>
      <c r="K3107" s="23"/>
      <c r="M3107" s="23"/>
      <c r="N3107" s="23"/>
      <c r="P3107" s="23"/>
    </row>
    <row r="3108" spans="2:16" x14ac:dyDescent="0.25">
      <c r="B3108" s="23"/>
      <c r="E3108" s="23"/>
      <c r="G3108" s="23"/>
      <c r="H3108" s="23"/>
      <c r="J3108" s="23"/>
      <c r="K3108" s="23"/>
      <c r="M3108" s="23"/>
      <c r="N3108" s="23"/>
      <c r="P3108" s="23"/>
    </row>
    <row r="3109" spans="2:16" x14ac:dyDescent="0.25">
      <c r="B3109" s="23"/>
      <c r="E3109" s="23"/>
      <c r="G3109" s="23"/>
      <c r="H3109" s="23"/>
      <c r="J3109" s="23"/>
      <c r="K3109" s="23"/>
      <c r="M3109" s="23"/>
      <c r="N3109" s="23"/>
      <c r="P3109" s="23"/>
    </row>
    <row r="3110" spans="2:16" x14ac:dyDescent="0.25">
      <c r="B3110" s="23"/>
      <c r="E3110" s="23"/>
      <c r="G3110" s="23"/>
      <c r="H3110" s="23"/>
      <c r="J3110" s="23"/>
      <c r="K3110" s="23"/>
      <c r="M3110" s="23"/>
      <c r="N3110" s="23"/>
      <c r="P3110" s="23"/>
    </row>
    <row r="3111" spans="2:16" x14ac:dyDescent="0.25">
      <c r="B3111" s="23"/>
      <c r="E3111" s="23"/>
      <c r="G3111" s="23"/>
      <c r="H3111" s="23"/>
      <c r="J3111" s="23"/>
      <c r="K3111" s="23"/>
      <c r="M3111" s="23"/>
      <c r="N3111" s="23"/>
      <c r="P3111" s="23"/>
    </row>
    <row r="3112" spans="2:16" x14ac:dyDescent="0.25">
      <c r="B3112" s="23"/>
      <c r="E3112" s="23"/>
      <c r="G3112" s="23"/>
      <c r="H3112" s="23"/>
      <c r="J3112" s="23"/>
      <c r="K3112" s="23"/>
      <c r="M3112" s="23"/>
      <c r="N3112" s="23"/>
      <c r="P3112" s="23"/>
    </row>
    <row r="3113" spans="2:16" x14ac:dyDescent="0.25">
      <c r="B3113" s="23"/>
      <c r="E3113" s="23"/>
      <c r="G3113" s="23"/>
      <c r="H3113" s="23"/>
      <c r="J3113" s="23"/>
      <c r="K3113" s="23"/>
      <c r="M3113" s="23"/>
      <c r="N3113" s="23"/>
      <c r="P3113" s="23"/>
    </row>
    <row r="3114" spans="2:16" x14ac:dyDescent="0.25">
      <c r="B3114" s="23"/>
      <c r="E3114" s="23"/>
      <c r="G3114" s="23"/>
      <c r="H3114" s="23"/>
      <c r="J3114" s="23"/>
      <c r="K3114" s="23"/>
      <c r="M3114" s="23"/>
      <c r="N3114" s="23"/>
      <c r="P3114" s="23"/>
    </row>
    <row r="3115" spans="2:16" x14ac:dyDescent="0.25">
      <c r="B3115" s="23"/>
      <c r="E3115" s="23"/>
      <c r="G3115" s="23"/>
      <c r="H3115" s="23"/>
      <c r="J3115" s="23"/>
      <c r="K3115" s="23"/>
      <c r="M3115" s="23"/>
      <c r="N3115" s="23"/>
      <c r="P3115" s="23"/>
    </row>
    <row r="3116" spans="2:16" x14ac:dyDescent="0.25">
      <c r="B3116" s="23"/>
      <c r="E3116" s="23"/>
      <c r="G3116" s="23"/>
      <c r="H3116" s="23"/>
      <c r="J3116" s="23"/>
      <c r="K3116" s="23"/>
      <c r="M3116" s="23"/>
      <c r="N3116" s="23"/>
      <c r="P3116" s="23"/>
    </row>
    <row r="3117" spans="2:16" x14ac:dyDescent="0.25">
      <c r="B3117" s="23"/>
      <c r="E3117" s="23"/>
      <c r="G3117" s="23"/>
      <c r="H3117" s="23"/>
      <c r="J3117" s="23"/>
      <c r="K3117" s="23"/>
      <c r="M3117" s="23"/>
      <c r="N3117" s="23"/>
      <c r="P3117" s="23"/>
    </row>
    <row r="3118" spans="2:16" x14ac:dyDescent="0.25">
      <c r="B3118" s="23"/>
      <c r="E3118" s="23"/>
      <c r="G3118" s="23"/>
      <c r="H3118" s="23"/>
      <c r="J3118" s="23"/>
      <c r="K3118" s="23"/>
      <c r="M3118" s="23"/>
      <c r="N3118" s="23"/>
      <c r="P3118" s="23"/>
    </row>
    <row r="3119" spans="2:16" x14ac:dyDescent="0.25">
      <c r="B3119" s="23"/>
      <c r="E3119" s="23"/>
      <c r="G3119" s="23"/>
      <c r="H3119" s="23"/>
      <c r="J3119" s="23"/>
      <c r="K3119" s="23"/>
      <c r="M3119" s="23"/>
      <c r="N3119" s="23"/>
      <c r="P3119" s="23"/>
    </row>
    <row r="3120" spans="2:16" x14ac:dyDescent="0.25">
      <c r="B3120" s="23"/>
      <c r="E3120" s="23"/>
      <c r="G3120" s="23"/>
      <c r="H3120" s="23"/>
      <c r="J3120" s="23"/>
      <c r="K3120" s="23"/>
      <c r="M3120" s="23"/>
      <c r="N3120" s="23"/>
      <c r="P3120" s="23"/>
    </row>
    <row r="3121" spans="2:16" x14ac:dyDescent="0.25">
      <c r="B3121" s="23"/>
      <c r="E3121" s="23"/>
      <c r="G3121" s="23"/>
      <c r="H3121" s="23"/>
      <c r="J3121" s="23"/>
      <c r="K3121" s="23"/>
      <c r="M3121" s="23"/>
      <c r="N3121" s="23"/>
      <c r="P3121" s="23"/>
    </row>
    <row r="3122" spans="2:16" x14ac:dyDescent="0.25">
      <c r="B3122" s="23"/>
      <c r="E3122" s="23"/>
      <c r="G3122" s="23"/>
      <c r="H3122" s="23"/>
      <c r="J3122" s="23"/>
      <c r="K3122" s="23"/>
      <c r="M3122" s="23"/>
      <c r="N3122" s="23"/>
      <c r="P3122" s="23"/>
    </row>
    <row r="3123" spans="2:16" x14ac:dyDescent="0.25">
      <c r="B3123" s="23"/>
      <c r="E3123" s="23"/>
      <c r="G3123" s="23"/>
      <c r="H3123" s="23"/>
      <c r="J3123" s="23"/>
      <c r="K3123" s="23"/>
      <c r="M3123" s="23"/>
      <c r="N3123" s="23"/>
      <c r="P3123" s="23"/>
    </row>
    <row r="3124" spans="2:16" x14ac:dyDescent="0.25">
      <c r="B3124" s="23"/>
      <c r="E3124" s="23"/>
      <c r="G3124" s="23"/>
      <c r="H3124" s="23"/>
      <c r="J3124" s="23"/>
      <c r="K3124" s="23"/>
      <c r="M3124" s="23"/>
      <c r="N3124" s="23"/>
      <c r="P3124" s="23"/>
    </row>
    <row r="3125" spans="2:16" x14ac:dyDescent="0.25">
      <c r="B3125" s="23"/>
      <c r="E3125" s="23"/>
      <c r="G3125" s="23"/>
      <c r="H3125" s="23"/>
      <c r="J3125" s="23"/>
      <c r="K3125" s="23"/>
      <c r="M3125" s="23"/>
      <c r="N3125" s="23"/>
      <c r="P3125" s="23"/>
    </row>
    <row r="3126" spans="2:16" x14ac:dyDescent="0.25">
      <c r="B3126" s="23"/>
      <c r="E3126" s="23"/>
      <c r="G3126" s="23"/>
      <c r="H3126" s="23"/>
      <c r="J3126" s="23"/>
      <c r="K3126" s="23"/>
      <c r="M3126" s="23"/>
      <c r="N3126" s="23"/>
      <c r="P3126" s="23"/>
    </row>
    <row r="3127" spans="2:16" x14ac:dyDescent="0.25">
      <c r="B3127" s="23"/>
      <c r="E3127" s="23"/>
      <c r="G3127" s="23"/>
      <c r="H3127" s="23"/>
      <c r="J3127" s="23"/>
      <c r="K3127" s="23"/>
      <c r="M3127" s="23"/>
      <c r="N3127" s="23"/>
      <c r="P3127" s="23"/>
    </row>
    <row r="3128" spans="2:16" x14ac:dyDescent="0.25">
      <c r="B3128" s="23"/>
      <c r="E3128" s="23"/>
      <c r="G3128" s="23"/>
      <c r="H3128" s="23"/>
      <c r="J3128" s="23"/>
      <c r="K3128" s="23"/>
      <c r="M3128" s="23"/>
      <c r="N3128" s="23"/>
      <c r="P3128" s="23"/>
    </row>
    <row r="3129" spans="2:16" x14ac:dyDescent="0.25">
      <c r="B3129" s="23"/>
      <c r="E3129" s="23"/>
      <c r="G3129" s="23"/>
      <c r="H3129" s="23"/>
      <c r="J3129" s="23"/>
      <c r="K3129" s="23"/>
      <c r="M3129" s="23"/>
      <c r="N3129" s="23"/>
      <c r="P3129" s="23"/>
    </row>
    <row r="3130" spans="2:16" x14ac:dyDescent="0.25">
      <c r="B3130" s="23"/>
      <c r="E3130" s="23"/>
      <c r="G3130" s="23"/>
      <c r="H3130" s="23"/>
      <c r="J3130" s="23"/>
      <c r="K3130" s="23"/>
      <c r="M3130" s="23"/>
      <c r="N3130" s="23"/>
      <c r="P3130" s="23"/>
    </row>
    <row r="3131" spans="2:16" x14ac:dyDescent="0.25">
      <c r="B3131" s="23"/>
      <c r="E3131" s="23"/>
      <c r="G3131" s="23"/>
      <c r="H3131" s="23"/>
      <c r="J3131" s="23"/>
      <c r="K3131" s="23"/>
      <c r="M3131" s="23"/>
      <c r="N3131" s="23"/>
      <c r="P3131" s="23"/>
    </row>
    <row r="3132" spans="2:16" x14ac:dyDescent="0.25">
      <c r="B3132" s="23"/>
      <c r="E3132" s="23"/>
      <c r="G3132" s="23"/>
      <c r="H3132" s="23"/>
      <c r="J3132" s="23"/>
      <c r="K3132" s="23"/>
      <c r="M3132" s="23"/>
      <c r="N3132" s="23"/>
      <c r="P3132" s="23"/>
    </row>
    <row r="3133" spans="2:16" x14ac:dyDescent="0.25">
      <c r="B3133" s="23"/>
      <c r="E3133" s="23"/>
      <c r="G3133" s="23"/>
      <c r="H3133" s="23"/>
      <c r="J3133" s="23"/>
      <c r="K3133" s="23"/>
      <c r="M3133" s="23"/>
      <c r="N3133" s="23"/>
      <c r="P3133" s="23"/>
    </row>
    <row r="3134" spans="2:16" x14ac:dyDescent="0.25">
      <c r="B3134" s="23"/>
      <c r="E3134" s="23"/>
      <c r="G3134" s="23"/>
      <c r="H3134" s="23"/>
      <c r="J3134" s="23"/>
      <c r="K3134" s="23"/>
      <c r="M3134" s="23"/>
      <c r="N3134" s="23"/>
      <c r="P3134" s="23"/>
    </row>
    <row r="3135" spans="2:16" x14ac:dyDescent="0.25">
      <c r="B3135" s="23"/>
      <c r="E3135" s="23"/>
      <c r="G3135" s="23"/>
      <c r="H3135" s="23"/>
      <c r="J3135" s="23"/>
      <c r="K3135" s="23"/>
      <c r="M3135" s="23"/>
      <c r="N3135" s="23"/>
      <c r="P3135" s="23"/>
    </row>
    <row r="3136" spans="2:16" x14ac:dyDescent="0.25">
      <c r="B3136" s="23"/>
      <c r="E3136" s="23"/>
      <c r="G3136" s="23"/>
      <c r="H3136" s="23"/>
      <c r="J3136" s="23"/>
      <c r="K3136" s="23"/>
      <c r="M3136" s="23"/>
      <c r="N3136" s="23"/>
      <c r="P3136" s="23"/>
    </row>
    <row r="3137" spans="2:16" x14ac:dyDescent="0.25">
      <c r="B3137" s="23"/>
      <c r="E3137" s="23"/>
      <c r="G3137" s="23"/>
      <c r="H3137" s="23"/>
      <c r="J3137" s="23"/>
      <c r="K3137" s="23"/>
      <c r="M3137" s="23"/>
      <c r="N3137" s="23"/>
      <c r="P3137" s="23"/>
    </row>
    <row r="3138" spans="2:16" x14ac:dyDescent="0.25">
      <c r="B3138" s="23"/>
      <c r="E3138" s="23"/>
      <c r="G3138" s="23"/>
      <c r="H3138" s="23"/>
      <c r="J3138" s="23"/>
      <c r="K3138" s="23"/>
      <c r="M3138" s="23"/>
      <c r="N3138" s="23"/>
      <c r="P3138" s="23"/>
    </row>
    <row r="3139" spans="2:16" x14ac:dyDescent="0.25">
      <c r="B3139" s="23"/>
      <c r="E3139" s="23"/>
      <c r="G3139" s="23"/>
      <c r="H3139" s="23"/>
      <c r="J3139" s="23"/>
      <c r="K3139" s="23"/>
      <c r="M3139" s="23"/>
      <c r="N3139" s="23"/>
      <c r="P3139" s="23"/>
    </row>
    <row r="3140" spans="2:16" x14ac:dyDescent="0.25">
      <c r="B3140" s="23"/>
      <c r="E3140" s="23"/>
      <c r="G3140" s="23"/>
      <c r="H3140" s="23"/>
      <c r="J3140" s="23"/>
      <c r="K3140" s="23"/>
      <c r="M3140" s="23"/>
      <c r="N3140" s="23"/>
      <c r="P3140" s="23"/>
    </row>
    <row r="3141" spans="2:16" x14ac:dyDescent="0.25">
      <c r="B3141" s="23"/>
      <c r="E3141" s="23"/>
      <c r="G3141" s="23"/>
      <c r="H3141" s="23"/>
      <c r="J3141" s="23"/>
      <c r="K3141" s="23"/>
      <c r="M3141" s="23"/>
      <c r="N3141" s="23"/>
      <c r="P3141" s="23"/>
    </row>
    <row r="3142" spans="2:16" x14ac:dyDescent="0.25">
      <c r="B3142" s="23"/>
      <c r="E3142" s="23"/>
      <c r="G3142" s="23"/>
      <c r="H3142" s="23"/>
      <c r="J3142" s="23"/>
      <c r="K3142" s="23"/>
      <c r="M3142" s="23"/>
      <c r="N3142" s="23"/>
      <c r="P3142" s="23"/>
    </row>
    <row r="3143" spans="2:16" x14ac:dyDescent="0.25">
      <c r="B3143" s="23"/>
      <c r="E3143" s="23"/>
      <c r="G3143" s="23"/>
      <c r="H3143" s="23"/>
      <c r="J3143" s="23"/>
      <c r="K3143" s="23"/>
      <c r="M3143" s="23"/>
      <c r="N3143" s="23"/>
      <c r="P3143" s="23"/>
    </row>
    <row r="3144" spans="2:16" x14ac:dyDescent="0.25">
      <c r="B3144" s="23"/>
      <c r="E3144" s="23"/>
      <c r="G3144" s="23"/>
      <c r="H3144" s="23"/>
      <c r="J3144" s="23"/>
      <c r="K3144" s="23"/>
      <c r="M3144" s="23"/>
      <c r="N3144" s="23"/>
      <c r="P3144" s="23"/>
    </row>
    <row r="3145" spans="2:16" x14ac:dyDescent="0.25">
      <c r="B3145" s="23"/>
      <c r="E3145" s="23"/>
      <c r="G3145" s="23"/>
      <c r="H3145" s="23"/>
      <c r="J3145" s="23"/>
      <c r="K3145" s="23"/>
      <c r="M3145" s="23"/>
      <c r="N3145" s="23"/>
      <c r="P3145" s="23"/>
    </row>
    <row r="3146" spans="2:16" x14ac:dyDescent="0.25">
      <c r="B3146" s="23"/>
      <c r="E3146" s="23"/>
      <c r="G3146" s="23"/>
      <c r="H3146" s="23"/>
      <c r="J3146" s="23"/>
      <c r="K3146" s="23"/>
      <c r="M3146" s="23"/>
      <c r="N3146" s="23"/>
      <c r="P3146" s="23"/>
    </row>
    <row r="3147" spans="2:16" x14ac:dyDescent="0.25">
      <c r="B3147" s="23"/>
      <c r="E3147" s="23"/>
      <c r="G3147" s="23"/>
      <c r="H3147" s="23"/>
      <c r="J3147" s="23"/>
      <c r="K3147" s="23"/>
      <c r="M3147" s="23"/>
      <c r="N3147" s="23"/>
      <c r="P3147" s="23"/>
    </row>
    <row r="3148" spans="2:16" x14ac:dyDescent="0.25">
      <c r="B3148" s="23"/>
      <c r="E3148" s="23"/>
      <c r="G3148" s="23"/>
      <c r="H3148" s="23"/>
      <c r="J3148" s="23"/>
      <c r="K3148" s="23"/>
      <c r="M3148" s="23"/>
      <c r="N3148" s="23"/>
      <c r="P3148" s="23"/>
    </row>
    <row r="3149" spans="2:16" x14ac:dyDescent="0.25">
      <c r="B3149" s="23"/>
      <c r="E3149" s="23"/>
      <c r="G3149" s="23"/>
      <c r="H3149" s="23"/>
      <c r="J3149" s="23"/>
      <c r="K3149" s="23"/>
      <c r="M3149" s="23"/>
      <c r="N3149" s="23"/>
      <c r="P3149" s="23"/>
    </row>
    <row r="3150" spans="2:16" x14ac:dyDescent="0.25">
      <c r="B3150" s="23"/>
      <c r="E3150" s="23"/>
      <c r="G3150" s="23"/>
      <c r="H3150" s="23"/>
      <c r="J3150" s="23"/>
      <c r="K3150" s="23"/>
      <c r="M3150" s="23"/>
      <c r="N3150" s="23"/>
      <c r="P3150" s="23"/>
    </row>
    <row r="3151" spans="2:16" x14ac:dyDescent="0.25">
      <c r="B3151" s="23"/>
      <c r="E3151" s="23"/>
      <c r="G3151" s="23"/>
      <c r="H3151" s="23"/>
      <c r="J3151" s="23"/>
      <c r="K3151" s="23"/>
      <c r="M3151" s="23"/>
      <c r="N3151" s="23"/>
      <c r="P3151" s="23"/>
    </row>
    <row r="3152" spans="2:16" x14ac:dyDescent="0.25">
      <c r="B3152" s="23"/>
      <c r="E3152" s="23"/>
      <c r="G3152" s="23"/>
      <c r="H3152" s="23"/>
      <c r="J3152" s="23"/>
      <c r="K3152" s="23"/>
      <c r="M3152" s="23"/>
      <c r="N3152" s="23"/>
      <c r="P3152" s="23"/>
    </row>
    <row r="3153" spans="2:16" x14ac:dyDescent="0.25">
      <c r="B3153" s="23"/>
      <c r="E3153" s="23"/>
      <c r="G3153" s="23"/>
      <c r="H3153" s="23"/>
      <c r="J3153" s="23"/>
      <c r="K3153" s="23"/>
      <c r="M3153" s="23"/>
      <c r="N3153" s="23"/>
      <c r="P3153" s="23"/>
    </row>
    <row r="3154" spans="2:16" x14ac:dyDescent="0.25">
      <c r="B3154" s="23"/>
      <c r="E3154" s="23"/>
      <c r="G3154" s="23"/>
      <c r="H3154" s="23"/>
      <c r="J3154" s="23"/>
      <c r="K3154" s="23"/>
      <c r="M3154" s="23"/>
      <c r="N3154" s="23"/>
      <c r="P3154" s="23"/>
    </row>
    <row r="3155" spans="2:16" x14ac:dyDescent="0.25">
      <c r="B3155" s="23"/>
      <c r="E3155" s="23"/>
      <c r="G3155" s="23"/>
      <c r="H3155" s="23"/>
      <c r="J3155" s="23"/>
      <c r="K3155" s="23"/>
      <c r="M3155" s="23"/>
      <c r="N3155" s="23"/>
      <c r="P3155" s="23"/>
    </row>
    <row r="3156" spans="2:16" x14ac:dyDescent="0.25">
      <c r="B3156" s="23"/>
      <c r="E3156" s="23"/>
      <c r="G3156" s="23"/>
      <c r="H3156" s="23"/>
      <c r="J3156" s="23"/>
      <c r="K3156" s="23"/>
      <c r="M3156" s="23"/>
      <c r="N3156" s="23"/>
      <c r="P3156" s="23"/>
    </row>
    <row r="3157" spans="2:16" x14ac:dyDescent="0.25">
      <c r="B3157" s="23"/>
      <c r="E3157" s="23"/>
      <c r="G3157" s="23"/>
      <c r="H3157" s="23"/>
      <c r="J3157" s="23"/>
      <c r="K3157" s="23"/>
      <c r="M3157" s="23"/>
      <c r="N3157" s="23"/>
      <c r="P3157" s="23"/>
    </row>
    <row r="3158" spans="2:16" x14ac:dyDescent="0.25">
      <c r="B3158" s="23"/>
      <c r="E3158" s="23"/>
      <c r="G3158" s="23"/>
      <c r="H3158" s="23"/>
      <c r="J3158" s="23"/>
      <c r="K3158" s="23"/>
      <c r="M3158" s="23"/>
      <c r="N3158" s="23"/>
      <c r="P3158" s="23"/>
    </row>
    <row r="3159" spans="2:16" x14ac:dyDescent="0.25">
      <c r="B3159" s="23"/>
      <c r="E3159" s="23"/>
      <c r="G3159" s="23"/>
      <c r="H3159" s="23"/>
      <c r="J3159" s="23"/>
      <c r="K3159" s="23"/>
      <c r="M3159" s="23"/>
      <c r="N3159" s="23"/>
      <c r="P3159" s="23"/>
    </row>
    <row r="3160" spans="2:16" x14ac:dyDescent="0.25">
      <c r="B3160" s="23"/>
      <c r="E3160" s="23"/>
      <c r="G3160" s="23"/>
      <c r="H3160" s="23"/>
      <c r="J3160" s="23"/>
      <c r="K3160" s="23"/>
      <c r="M3160" s="23"/>
      <c r="N3160" s="23"/>
      <c r="P3160" s="23"/>
    </row>
    <row r="3161" spans="2:16" x14ac:dyDescent="0.25">
      <c r="B3161" s="23"/>
      <c r="E3161" s="23"/>
      <c r="G3161" s="23"/>
      <c r="H3161" s="23"/>
      <c r="J3161" s="23"/>
      <c r="K3161" s="23"/>
      <c r="M3161" s="23"/>
      <c r="N3161" s="23"/>
      <c r="P3161" s="23"/>
    </row>
    <row r="3162" spans="2:16" x14ac:dyDescent="0.25">
      <c r="B3162" s="23"/>
      <c r="E3162" s="23"/>
      <c r="G3162" s="23"/>
      <c r="H3162" s="23"/>
      <c r="J3162" s="23"/>
      <c r="K3162" s="23"/>
      <c r="M3162" s="23"/>
      <c r="N3162" s="23"/>
      <c r="P3162" s="23"/>
    </row>
    <row r="3163" spans="2:16" x14ac:dyDescent="0.25">
      <c r="B3163" s="23"/>
      <c r="E3163" s="23"/>
      <c r="G3163" s="23"/>
      <c r="H3163" s="23"/>
      <c r="J3163" s="23"/>
      <c r="K3163" s="23"/>
      <c r="M3163" s="23"/>
      <c r="N3163" s="23"/>
      <c r="P3163" s="23"/>
    </row>
    <row r="3164" spans="2:16" x14ac:dyDescent="0.25">
      <c r="B3164" s="23"/>
      <c r="E3164" s="23"/>
      <c r="G3164" s="23"/>
      <c r="H3164" s="23"/>
      <c r="J3164" s="23"/>
      <c r="K3164" s="23"/>
      <c r="M3164" s="23"/>
      <c r="N3164" s="23"/>
      <c r="P3164" s="23"/>
    </row>
    <row r="3165" spans="2:16" x14ac:dyDescent="0.25">
      <c r="B3165" s="23"/>
      <c r="E3165" s="23"/>
      <c r="G3165" s="23"/>
      <c r="H3165" s="23"/>
      <c r="J3165" s="23"/>
      <c r="K3165" s="23"/>
      <c r="M3165" s="23"/>
      <c r="N3165" s="23"/>
      <c r="P3165" s="23"/>
    </row>
    <row r="3166" spans="2:16" x14ac:dyDescent="0.25">
      <c r="B3166" s="23"/>
      <c r="E3166" s="23"/>
      <c r="G3166" s="23"/>
      <c r="H3166" s="23"/>
      <c r="J3166" s="23"/>
      <c r="K3166" s="23"/>
      <c r="M3166" s="23"/>
      <c r="N3166" s="23"/>
      <c r="P3166" s="23"/>
    </row>
    <row r="3167" spans="2:16" x14ac:dyDescent="0.25">
      <c r="B3167" s="23"/>
      <c r="E3167" s="23"/>
      <c r="G3167" s="23"/>
      <c r="H3167" s="23"/>
      <c r="J3167" s="23"/>
      <c r="K3167" s="23"/>
      <c r="M3167" s="23"/>
      <c r="N3167" s="23"/>
      <c r="P3167" s="23"/>
    </row>
    <row r="3168" spans="2:16" x14ac:dyDescent="0.25">
      <c r="B3168" s="23"/>
      <c r="E3168" s="23"/>
      <c r="G3168" s="23"/>
      <c r="H3168" s="23"/>
      <c r="J3168" s="23"/>
      <c r="K3168" s="23"/>
      <c r="M3168" s="23"/>
      <c r="N3168" s="23"/>
      <c r="P3168" s="23"/>
    </row>
    <row r="3169" spans="2:16" x14ac:dyDescent="0.25">
      <c r="B3169" s="23"/>
      <c r="E3169" s="23"/>
      <c r="G3169" s="23"/>
      <c r="H3169" s="23"/>
      <c r="J3169" s="23"/>
      <c r="K3169" s="23"/>
      <c r="M3169" s="23"/>
      <c r="N3169" s="23"/>
      <c r="P3169" s="23"/>
    </row>
    <row r="3170" spans="2:16" x14ac:dyDescent="0.25">
      <c r="B3170" s="23"/>
      <c r="E3170" s="23"/>
      <c r="G3170" s="23"/>
      <c r="H3170" s="23"/>
      <c r="J3170" s="23"/>
      <c r="K3170" s="23"/>
      <c r="M3170" s="23"/>
      <c r="N3170" s="23"/>
      <c r="P3170" s="23"/>
    </row>
    <row r="3171" spans="2:16" x14ac:dyDescent="0.25">
      <c r="B3171" s="23"/>
      <c r="E3171" s="23"/>
      <c r="G3171" s="23"/>
      <c r="H3171" s="23"/>
      <c r="J3171" s="23"/>
      <c r="K3171" s="23"/>
      <c r="M3171" s="23"/>
      <c r="N3171" s="23"/>
      <c r="P3171" s="23"/>
    </row>
    <row r="3172" spans="2:16" x14ac:dyDescent="0.25">
      <c r="B3172" s="23"/>
      <c r="E3172" s="23"/>
      <c r="G3172" s="23"/>
      <c r="H3172" s="23"/>
      <c r="J3172" s="23"/>
      <c r="K3172" s="23"/>
      <c r="M3172" s="23"/>
      <c r="N3172" s="23"/>
      <c r="P3172" s="23"/>
    </row>
    <row r="3173" spans="2:16" x14ac:dyDescent="0.25">
      <c r="B3173" s="23"/>
      <c r="E3173" s="23"/>
      <c r="G3173" s="23"/>
      <c r="H3173" s="23"/>
      <c r="J3173" s="23"/>
      <c r="K3173" s="23"/>
      <c r="M3173" s="23"/>
      <c r="N3173" s="23"/>
      <c r="P3173" s="23"/>
    </row>
    <row r="3174" spans="2:16" x14ac:dyDescent="0.25">
      <c r="B3174" s="23"/>
      <c r="E3174" s="23"/>
      <c r="G3174" s="23"/>
      <c r="H3174" s="23"/>
      <c r="J3174" s="23"/>
      <c r="K3174" s="23"/>
      <c r="M3174" s="23"/>
      <c r="N3174" s="23"/>
      <c r="P3174" s="23"/>
    </row>
    <row r="3175" spans="2:16" x14ac:dyDescent="0.25">
      <c r="B3175" s="23"/>
      <c r="E3175" s="23"/>
      <c r="G3175" s="23"/>
      <c r="H3175" s="23"/>
      <c r="J3175" s="23"/>
      <c r="K3175" s="23"/>
      <c r="M3175" s="23"/>
      <c r="N3175" s="23"/>
      <c r="P3175" s="23"/>
    </row>
    <row r="3176" spans="2:16" x14ac:dyDescent="0.25">
      <c r="B3176" s="23"/>
      <c r="E3176" s="23"/>
      <c r="G3176" s="23"/>
      <c r="H3176" s="23"/>
      <c r="J3176" s="23"/>
      <c r="K3176" s="23"/>
      <c r="M3176" s="23"/>
      <c r="N3176" s="23"/>
      <c r="P3176" s="23"/>
    </row>
    <row r="3177" spans="2:16" x14ac:dyDescent="0.25">
      <c r="B3177" s="23"/>
      <c r="E3177" s="23"/>
      <c r="G3177" s="23"/>
      <c r="H3177" s="23"/>
      <c r="J3177" s="23"/>
      <c r="K3177" s="23"/>
      <c r="M3177" s="23"/>
      <c r="N3177" s="23"/>
      <c r="P3177" s="23"/>
    </row>
    <row r="3178" spans="2:16" x14ac:dyDescent="0.25">
      <c r="B3178" s="23"/>
      <c r="E3178" s="23"/>
      <c r="G3178" s="23"/>
      <c r="H3178" s="23"/>
      <c r="J3178" s="23"/>
      <c r="K3178" s="23"/>
      <c r="M3178" s="23"/>
      <c r="N3178" s="23"/>
      <c r="P3178" s="23"/>
    </row>
    <row r="3179" spans="2:16" x14ac:dyDescent="0.25">
      <c r="B3179" s="23"/>
      <c r="E3179" s="23"/>
      <c r="G3179" s="23"/>
      <c r="H3179" s="23"/>
      <c r="J3179" s="23"/>
      <c r="K3179" s="23"/>
      <c r="M3179" s="23"/>
      <c r="N3179" s="23"/>
      <c r="P3179" s="23"/>
    </row>
    <row r="3180" spans="2:16" x14ac:dyDescent="0.25">
      <c r="B3180" s="23"/>
      <c r="E3180" s="23"/>
      <c r="G3180" s="23"/>
      <c r="H3180" s="23"/>
      <c r="J3180" s="23"/>
      <c r="K3180" s="23"/>
      <c r="M3180" s="23"/>
      <c r="N3180" s="23"/>
      <c r="P3180" s="23"/>
    </row>
    <row r="3181" spans="2:16" x14ac:dyDescent="0.25">
      <c r="B3181" s="23"/>
      <c r="E3181" s="23"/>
      <c r="G3181" s="23"/>
      <c r="H3181" s="23"/>
      <c r="J3181" s="23"/>
      <c r="K3181" s="23"/>
      <c r="M3181" s="23"/>
      <c r="N3181" s="23"/>
      <c r="P3181" s="23"/>
    </row>
    <row r="3182" spans="2:16" x14ac:dyDescent="0.25">
      <c r="B3182" s="23"/>
      <c r="E3182" s="23"/>
      <c r="G3182" s="23"/>
      <c r="H3182" s="23"/>
      <c r="J3182" s="23"/>
      <c r="K3182" s="23"/>
      <c r="M3182" s="23"/>
      <c r="N3182" s="23"/>
      <c r="P3182" s="23"/>
    </row>
    <row r="3183" spans="2:16" x14ac:dyDescent="0.25">
      <c r="B3183" s="23"/>
      <c r="E3183" s="23"/>
      <c r="G3183" s="23"/>
      <c r="H3183" s="23"/>
      <c r="J3183" s="23"/>
      <c r="K3183" s="23"/>
      <c r="M3183" s="23"/>
      <c r="N3183" s="23"/>
      <c r="P3183" s="23"/>
    </row>
    <row r="3184" spans="2:16" x14ac:dyDescent="0.25">
      <c r="B3184" s="23"/>
      <c r="E3184" s="23"/>
      <c r="G3184" s="23"/>
      <c r="H3184" s="23"/>
      <c r="J3184" s="23"/>
      <c r="K3184" s="23"/>
      <c r="M3184" s="23"/>
      <c r="N3184" s="23"/>
      <c r="P3184" s="23"/>
    </row>
    <row r="3185" spans="2:16" x14ac:dyDescent="0.25">
      <c r="B3185" s="23"/>
      <c r="E3185" s="23"/>
      <c r="G3185" s="23"/>
      <c r="H3185" s="23"/>
      <c r="J3185" s="23"/>
      <c r="K3185" s="23"/>
      <c r="M3185" s="23"/>
      <c r="N3185" s="23"/>
      <c r="P3185" s="23"/>
    </row>
    <row r="3186" spans="2:16" x14ac:dyDescent="0.25">
      <c r="B3186" s="23"/>
      <c r="E3186" s="23"/>
      <c r="G3186" s="23"/>
      <c r="H3186" s="23"/>
      <c r="J3186" s="23"/>
      <c r="K3186" s="23"/>
      <c r="M3186" s="23"/>
      <c r="N3186" s="23"/>
      <c r="P3186" s="23"/>
    </row>
    <row r="3187" spans="2:16" x14ac:dyDescent="0.25">
      <c r="B3187" s="23"/>
      <c r="E3187" s="23"/>
      <c r="G3187" s="23"/>
      <c r="H3187" s="23"/>
      <c r="J3187" s="23"/>
      <c r="K3187" s="23"/>
      <c r="M3187" s="23"/>
      <c r="N3187" s="23"/>
      <c r="P3187" s="23"/>
    </row>
    <row r="3188" spans="2:16" x14ac:dyDescent="0.25">
      <c r="B3188" s="23"/>
      <c r="E3188" s="23"/>
      <c r="G3188" s="23"/>
      <c r="H3188" s="23"/>
      <c r="J3188" s="23"/>
      <c r="K3188" s="23"/>
      <c r="M3188" s="23"/>
      <c r="N3188" s="23"/>
      <c r="P3188" s="23"/>
    </row>
    <row r="3189" spans="2:16" x14ac:dyDescent="0.25">
      <c r="B3189" s="23"/>
      <c r="E3189" s="23"/>
      <c r="G3189" s="23"/>
      <c r="H3189" s="23"/>
      <c r="J3189" s="23"/>
      <c r="K3189" s="23"/>
      <c r="M3189" s="23"/>
      <c r="N3189" s="23"/>
      <c r="P3189" s="23"/>
    </row>
    <row r="3190" spans="2:16" x14ac:dyDescent="0.25">
      <c r="B3190" s="23"/>
      <c r="E3190" s="23"/>
      <c r="G3190" s="23"/>
      <c r="H3190" s="23"/>
      <c r="J3190" s="23"/>
      <c r="K3190" s="23"/>
      <c r="M3190" s="23"/>
      <c r="N3190" s="23"/>
      <c r="P3190" s="23"/>
    </row>
    <row r="3191" spans="2:16" x14ac:dyDescent="0.25">
      <c r="B3191" s="23"/>
      <c r="E3191" s="23"/>
      <c r="G3191" s="23"/>
      <c r="H3191" s="23"/>
      <c r="J3191" s="23"/>
      <c r="K3191" s="23"/>
      <c r="M3191" s="23"/>
      <c r="N3191" s="23"/>
      <c r="P3191" s="23"/>
    </row>
    <row r="3192" spans="2:16" x14ac:dyDescent="0.25">
      <c r="B3192" s="23"/>
      <c r="E3192" s="23"/>
      <c r="G3192" s="23"/>
      <c r="H3192" s="23"/>
      <c r="J3192" s="23"/>
      <c r="K3192" s="23"/>
      <c r="M3192" s="23"/>
      <c r="N3192" s="23"/>
      <c r="P3192" s="23"/>
    </row>
    <row r="3193" spans="2:16" x14ac:dyDescent="0.25">
      <c r="B3193" s="23"/>
      <c r="E3193" s="23"/>
      <c r="G3193" s="23"/>
      <c r="H3193" s="23"/>
      <c r="J3193" s="23"/>
      <c r="K3193" s="23"/>
      <c r="M3193" s="23"/>
      <c r="N3193" s="23"/>
      <c r="P3193" s="23"/>
    </row>
    <row r="3194" spans="2:16" x14ac:dyDescent="0.25">
      <c r="B3194" s="23"/>
      <c r="E3194" s="23"/>
      <c r="G3194" s="23"/>
      <c r="H3194" s="23"/>
      <c r="J3194" s="23"/>
      <c r="K3194" s="23"/>
      <c r="M3194" s="23"/>
      <c r="N3194" s="23"/>
      <c r="P3194" s="23"/>
    </row>
    <row r="3195" spans="2:16" x14ac:dyDescent="0.25">
      <c r="B3195" s="23"/>
      <c r="E3195" s="23"/>
      <c r="G3195" s="23"/>
      <c r="H3195" s="23"/>
      <c r="J3195" s="23"/>
      <c r="K3195" s="23"/>
      <c r="M3195" s="23"/>
      <c r="N3195" s="23"/>
      <c r="P3195" s="23"/>
    </row>
    <row r="3196" spans="2:16" x14ac:dyDescent="0.25">
      <c r="B3196" s="23"/>
      <c r="E3196" s="23"/>
      <c r="G3196" s="23"/>
      <c r="H3196" s="23"/>
      <c r="J3196" s="23"/>
      <c r="K3196" s="23"/>
      <c r="M3196" s="23"/>
      <c r="N3196" s="23"/>
      <c r="P3196" s="23"/>
    </row>
    <row r="3197" spans="2:16" x14ac:dyDescent="0.25">
      <c r="B3197" s="23"/>
      <c r="E3197" s="23"/>
      <c r="G3197" s="23"/>
      <c r="H3197" s="23"/>
      <c r="J3197" s="23"/>
      <c r="K3197" s="23"/>
      <c r="M3197" s="23"/>
      <c r="N3197" s="23"/>
      <c r="P3197" s="23"/>
    </row>
    <row r="3198" spans="2:16" x14ac:dyDescent="0.25">
      <c r="B3198" s="23"/>
      <c r="E3198" s="23"/>
      <c r="G3198" s="23"/>
      <c r="H3198" s="23"/>
      <c r="J3198" s="23"/>
      <c r="K3198" s="23"/>
      <c r="M3198" s="23"/>
      <c r="N3198" s="23"/>
      <c r="P3198" s="23"/>
    </row>
    <row r="3199" spans="2:16" x14ac:dyDescent="0.25">
      <c r="B3199" s="23"/>
      <c r="E3199" s="23"/>
      <c r="G3199" s="23"/>
      <c r="H3199" s="23"/>
      <c r="J3199" s="23"/>
      <c r="K3199" s="23"/>
      <c r="M3199" s="23"/>
      <c r="N3199" s="23"/>
      <c r="P3199" s="23"/>
    </row>
    <row r="3200" spans="2:16" x14ac:dyDescent="0.25">
      <c r="B3200" s="23"/>
      <c r="E3200" s="23"/>
      <c r="G3200" s="23"/>
      <c r="H3200" s="23"/>
      <c r="J3200" s="23"/>
      <c r="K3200" s="23"/>
      <c r="M3200" s="23"/>
      <c r="N3200" s="23"/>
      <c r="P3200" s="23"/>
    </row>
    <row r="3201" spans="2:16" x14ac:dyDescent="0.25">
      <c r="B3201" s="23"/>
      <c r="E3201" s="23"/>
      <c r="G3201" s="23"/>
      <c r="H3201" s="23"/>
      <c r="J3201" s="23"/>
      <c r="K3201" s="23"/>
      <c r="M3201" s="23"/>
      <c r="N3201" s="23"/>
      <c r="P3201" s="23"/>
    </row>
    <row r="3202" spans="2:16" x14ac:dyDescent="0.25">
      <c r="B3202" s="23"/>
      <c r="E3202" s="23"/>
      <c r="G3202" s="23"/>
      <c r="H3202" s="23"/>
      <c r="J3202" s="23"/>
      <c r="K3202" s="23"/>
      <c r="M3202" s="23"/>
      <c r="N3202" s="23"/>
      <c r="P3202" s="23"/>
    </row>
    <row r="3203" spans="2:16" x14ac:dyDescent="0.25">
      <c r="B3203" s="23"/>
      <c r="E3203" s="23"/>
      <c r="G3203" s="23"/>
      <c r="H3203" s="23"/>
      <c r="J3203" s="23"/>
      <c r="K3203" s="23"/>
      <c r="M3203" s="23"/>
      <c r="N3203" s="23"/>
      <c r="P3203" s="23"/>
    </row>
    <row r="3204" spans="2:16" x14ac:dyDescent="0.25">
      <c r="B3204" s="23"/>
      <c r="E3204" s="23"/>
      <c r="G3204" s="23"/>
      <c r="H3204" s="23"/>
      <c r="J3204" s="23"/>
      <c r="K3204" s="23"/>
      <c r="M3204" s="23"/>
      <c r="N3204" s="23"/>
      <c r="P3204" s="23"/>
    </row>
    <row r="3205" spans="2:16" x14ac:dyDescent="0.25">
      <c r="B3205" s="23"/>
      <c r="E3205" s="23"/>
      <c r="G3205" s="23"/>
      <c r="H3205" s="23"/>
      <c r="J3205" s="23"/>
      <c r="K3205" s="23"/>
      <c r="M3205" s="23"/>
      <c r="N3205" s="23"/>
      <c r="P3205" s="23"/>
    </row>
    <row r="3206" spans="2:16" x14ac:dyDescent="0.25">
      <c r="B3206" s="23"/>
      <c r="E3206" s="23"/>
      <c r="G3206" s="23"/>
      <c r="H3206" s="23"/>
      <c r="J3206" s="23"/>
      <c r="K3206" s="23"/>
      <c r="M3206" s="23"/>
      <c r="N3206" s="23"/>
      <c r="P3206" s="23"/>
    </row>
    <row r="3207" spans="2:16" x14ac:dyDescent="0.25">
      <c r="B3207" s="23"/>
      <c r="E3207" s="23"/>
      <c r="G3207" s="23"/>
      <c r="H3207" s="23"/>
      <c r="J3207" s="23"/>
      <c r="K3207" s="23"/>
      <c r="M3207" s="23"/>
      <c r="N3207" s="23"/>
      <c r="P3207" s="23"/>
    </row>
    <row r="3208" spans="2:16" x14ac:dyDescent="0.25">
      <c r="B3208" s="23"/>
      <c r="E3208" s="23"/>
      <c r="G3208" s="23"/>
      <c r="H3208" s="23"/>
      <c r="J3208" s="23"/>
      <c r="K3208" s="23"/>
      <c r="M3208" s="23"/>
      <c r="N3208" s="23"/>
      <c r="P3208" s="23"/>
    </row>
    <row r="3209" spans="2:16" x14ac:dyDescent="0.25">
      <c r="B3209" s="23"/>
      <c r="E3209" s="23"/>
      <c r="G3209" s="23"/>
      <c r="H3209" s="23"/>
      <c r="J3209" s="23"/>
      <c r="K3209" s="23"/>
      <c r="M3209" s="23"/>
      <c r="N3209" s="23"/>
      <c r="P3209" s="23"/>
    </row>
    <row r="3210" spans="2:16" x14ac:dyDescent="0.25">
      <c r="B3210" s="23"/>
      <c r="E3210" s="23"/>
      <c r="G3210" s="23"/>
      <c r="H3210" s="23"/>
      <c r="J3210" s="23"/>
      <c r="K3210" s="23"/>
      <c r="M3210" s="23"/>
      <c r="N3210" s="23"/>
      <c r="P3210" s="23"/>
    </row>
    <row r="3211" spans="2:16" x14ac:dyDescent="0.25">
      <c r="B3211" s="23"/>
      <c r="E3211" s="23"/>
      <c r="G3211" s="23"/>
      <c r="H3211" s="23"/>
      <c r="J3211" s="23"/>
      <c r="K3211" s="23"/>
      <c r="M3211" s="23"/>
      <c r="N3211" s="23"/>
      <c r="P3211" s="23"/>
    </row>
    <row r="3212" spans="2:16" x14ac:dyDescent="0.25">
      <c r="B3212" s="23"/>
      <c r="E3212" s="23"/>
      <c r="G3212" s="23"/>
      <c r="H3212" s="23"/>
      <c r="J3212" s="23"/>
      <c r="K3212" s="23"/>
      <c r="M3212" s="23"/>
      <c r="N3212" s="23"/>
      <c r="P3212" s="23"/>
    </row>
    <row r="3213" spans="2:16" x14ac:dyDescent="0.25">
      <c r="B3213" s="23"/>
      <c r="E3213" s="23"/>
      <c r="G3213" s="23"/>
      <c r="H3213" s="23"/>
      <c r="J3213" s="23"/>
      <c r="K3213" s="23"/>
      <c r="M3213" s="23"/>
      <c r="N3213" s="23"/>
      <c r="P3213" s="23"/>
    </row>
    <row r="3214" spans="2:16" x14ac:dyDescent="0.25">
      <c r="B3214" s="23"/>
      <c r="E3214" s="23"/>
      <c r="G3214" s="23"/>
      <c r="H3214" s="23"/>
      <c r="J3214" s="23"/>
      <c r="K3214" s="23"/>
      <c r="M3214" s="23"/>
      <c r="N3214" s="23"/>
      <c r="P3214" s="23"/>
    </row>
    <row r="3215" spans="2:16" x14ac:dyDescent="0.25">
      <c r="B3215" s="23"/>
      <c r="E3215" s="23"/>
      <c r="G3215" s="23"/>
      <c r="H3215" s="23"/>
      <c r="J3215" s="23"/>
      <c r="K3215" s="23"/>
      <c r="M3215" s="23"/>
      <c r="N3215" s="23"/>
      <c r="P3215" s="23"/>
    </row>
    <row r="3216" spans="2:16" x14ac:dyDescent="0.25">
      <c r="B3216" s="23"/>
      <c r="E3216" s="23"/>
      <c r="G3216" s="23"/>
      <c r="H3216" s="23"/>
      <c r="J3216" s="23"/>
      <c r="K3216" s="23"/>
      <c r="M3216" s="23"/>
      <c r="N3216" s="23"/>
      <c r="P3216" s="23"/>
    </row>
    <row r="3217" spans="2:16" x14ac:dyDescent="0.25">
      <c r="B3217" s="23"/>
      <c r="E3217" s="23"/>
      <c r="G3217" s="23"/>
      <c r="H3217" s="23"/>
      <c r="J3217" s="23"/>
      <c r="K3217" s="23"/>
      <c r="M3217" s="23"/>
      <c r="N3217" s="23"/>
      <c r="P3217" s="23"/>
    </row>
    <row r="3218" spans="2:16" x14ac:dyDescent="0.25">
      <c r="B3218" s="23"/>
      <c r="E3218" s="23"/>
      <c r="G3218" s="23"/>
      <c r="H3218" s="23"/>
      <c r="J3218" s="23"/>
      <c r="K3218" s="23"/>
      <c r="M3218" s="23"/>
      <c r="N3218" s="23"/>
      <c r="P3218" s="23"/>
    </row>
    <row r="3219" spans="2:16" x14ac:dyDescent="0.25">
      <c r="B3219" s="23"/>
      <c r="E3219" s="23"/>
      <c r="G3219" s="23"/>
      <c r="H3219" s="23"/>
      <c r="J3219" s="23"/>
      <c r="K3219" s="23"/>
      <c r="M3219" s="23"/>
      <c r="N3219" s="23"/>
      <c r="P3219" s="23"/>
    </row>
    <row r="3220" spans="2:16" x14ac:dyDescent="0.25">
      <c r="B3220" s="23"/>
      <c r="E3220" s="23"/>
      <c r="G3220" s="23"/>
      <c r="H3220" s="23"/>
      <c r="J3220" s="23"/>
      <c r="K3220" s="23"/>
      <c r="M3220" s="23"/>
      <c r="N3220" s="23"/>
      <c r="P3220" s="23"/>
    </row>
    <row r="3221" spans="2:16" x14ac:dyDescent="0.25">
      <c r="B3221" s="23"/>
      <c r="E3221" s="23"/>
      <c r="G3221" s="23"/>
      <c r="H3221" s="23"/>
      <c r="J3221" s="23"/>
      <c r="K3221" s="23"/>
      <c r="M3221" s="23"/>
      <c r="N3221" s="23"/>
      <c r="P3221" s="23"/>
    </row>
    <row r="3222" spans="2:16" x14ac:dyDescent="0.25">
      <c r="B3222" s="23"/>
      <c r="E3222" s="23"/>
      <c r="G3222" s="23"/>
      <c r="H3222" s="23"/>
      <c r="J3222" s="23"/>
      <c r="K3222" s="23"/>
      <c r="M3222" s="23"/>
      <c r="N3222" s="23"/>
      <c r="P3222" s="23"/>
    </row>
    <row r="3223" spans="2:16" x14ac:dyDescent="0.25">
      <c r="B3223" s="23"/>
      <c r="E3223" s="23"/>
      <c r="G3223" s="23"/>
      <c r="H3223" s="23"/>
      <c r="J3223" s="23"/>
      <c r="K3223" s="23"/>
      <c r="M3223" s="23"/>
      <c r="N3223" s="23"/>
      <c r="P3223" s="23"/>
    </row>
    <row r="3224" spans="2:16" x14ac:dyDescent="0.25">
      <c r="B3224" s="23"/>
      <c r="E3224" s="23"/>
      <c r="G3224" s="23"/>
      <c r="H3224" s="23"/>
      <c r="J3224" s="23"/>
      <c r="K3224" s="23"/>
      <c r="M3224" s="23"/>
      <c r="N3224" s="23"/>
      <c r="P3224" s="23"/>
    </row>
    <row r="3225" spans="2:16" x14ac:dyDescent="0.25">
      <c r="B3225" s="23"/>
      <c r="E3225" s="23"/>
      <c r="G3225" s="23"/>
      <c r="H3225" s="23"/>
      <c r="J3225" s="23"/>
      <c r="K3225" s="23"/>
      <c r="M3225" s="23"/>
      <c r="N3225" s="23"/>
      <c r="P3225" s="23"/>
    </row>
    <row r="3226" spans="2:16" x14ac:dyDescent="0.25">
      <c r="B3226" s="23"/>
      <c r="E3226" s="23"/>
      <c r="G3226" s="23"/>
      <c r="H3226" s="23"/>
      <c r="J3226" s="23"/>
      <c r="K3226" s="23"/>
      <c r="M3226" s="23"/>
      <c r="N3226" s="23"/>
      <c r="P3226" s="23"/>
    </row>
    <row r="3227" spans="2:16" x14ac:dyDescent="0.25">
      <c r="B3227" s="23"/>
      <c r="E3227" s="23"/>
      <c r="G3227" s="23"/>
      <c r="H3227" s="23"/>
      <c r="J3227" s="23"/>
      <c r="K3227" s="23"/>
      <c r="M3227" s="23"/>
      <c r="N3227" s="23"/>
      <c r="P3227" s="23"/>
    </row>
    <row r="3228" spans="2:16" x14ac:dyDescent="0.25">
      <c r="B3228" s="23"/>
      <c r="E3228" s="23"/>
      <c r="G3228" s="23"/>
      <c r="H3228" s="23"/>
      <c r="J3228" s="23"/>
      <c r="K3228" s="23"/>
      <c r="M3228" s="23"/>
      <c r="N3228" s="23"/>
      <c r="P3228" s="23"/>
    </row>
    <row r="3229" spans="2:16" x14ac:dyDescent="0.25">
      <c r="B3229" s="23"/>
      <c r="E3229" s="23"/>
      <c r="G3229" s="23"/>
      <c r="H3229" s="23"/>
      <c r="J3229" s="23"/>
      <c r="K3229" s="23"/>
      <c r="M3229" s="23"/>
      <c r="N3229" s="23"/>
      <c r="P3229" s="23"/>
    </row>
    <row r="3230" spans="2:16" x14ac:dyDescent="0.25">
      <c r="B3230" s="23"/>
      <c r="E3230" s="23"/>
      <c r="G3230" s="23"/>
      <c r="H3230" s="23"/>
      <c r="J3230" s="23"/>
      <c r="K3230" s="23"/>
      <c r="M3230" s="23"/>
      <c r="N3230" s="23"/>
      <c r="P3230" s="23"/>
    </row>
    <row r="3231" spans="2:16" x14ac:dyDescent="0.25">
      <c r="B3231" s="23"/>
      <c r="E3231" s="23"/>
      <c r="G3231" s="23"/>
      <c r="H3231" s="23"/>
      <c r="J3231" s="23"/>
      <c r="K3231" s="23"/>
      <c r="M3231" s="23"/>
      <c r="N3231" s="23"/>
      <c r="P3231" s="23"/>
    </row>
    <row r="3232" spans="2:16" x14ac:dyDescent="0.25">
      <c r="B3232" s="23"/>
      <c r="E3232" s="23"/>
      <c r="G3232" s="23"/>
      <c r="H3232" s="23"/>
      <c r="J3232" s="23"/>
      <c r="K3232" s="23"/>
      <c r="M3232" s="23"/>
      <c r="N3232" s="23"/>
      <c r="P3232" s="23"/>
    </row>
    <row r="3233" spans="2:16" x14ac:dyDescent="0.25">
      <c r="B3233" s="23"/>
      <c r="E3233" s="23"/>
      <c r="G3233" s="23"/>
      <c r="H3233" s="23"/>
      <c r="J3233" s="23"/>
      <c r="K3233" s="23"/>
      <c r="M3233" s="23"/>
      <c r="N3233" s="23"/>
      <c r="P3233" s="23"/>
    </row>
    <row r="3234" spans="2:16" x14ac:dyDescent="0.25">
      <c r="B3234" s="23"/>
      <c r="E3234" s="23"/>
      <c r="G3234" s="23"/>
      <c r="H3234" s="23"/>
      <c r="J3234" s="23"/>
      <c r="K3234" s="23"/>
      <c r="M3234" s="23"/>
      <c r="N3234" s="23"/>
      <c r="P3234" s="23"/>
    </row>
    <row r="3235" spans="2:16" x14ac:dyDescent="0.25">
      <c r="B3235" s="23"/>
      <c r="E3235" s="23"/>
      <c r="G3235" s="23"/>
      <c r="H3235" s="23"/>
      <c r="J3235" s="23"/>
      <c r="K3235" s="23"/>
      <c r="M3235" s="23"/>
      <c r="N3235" s="23"/>
      <c r="P3235" s="23"/>
    </row>
    <row r="3236" spans="2:16" x14ac:dyDescent="0.25">
      <c r="B3236" s="23"/>
      <c r="E3236" s="23"/>
      <c r="G3236" s="23"/>
      <c r="H3236" s="23"/>
      <c r="J3236" s="23"/>
      <c r="K3236" s="23"/>
      <c r="M3236" s="23"/>
      <c r="N3236" s="23"/>
      <c r="P3236" s="23"/>
    </row>
    <row r="3237" spans="2:16" x14ac:dyDescent="0.25">
      <c r="B3237" s="23"/>
      <c r="E3237" s="23"/>
      <c r="G3237" s="23"/>
      <c r="H3237" s="23"/>
      <c r="J3237" s="23"/>
      <c r="K3237" s="23"/>
      <c r="M3237" s="23"/>
      <c r="N3237" s="23"/>
      <c r="P3237" s="23"/>
    </row>
    <row r="3238" spans="2:16" x14ac:dyDescent="0.25">
      <c r="B3238" s="23"/>
      <c r="E3238" s="23"/>
      <c r="G3238" s="23"/>
      <c r="H3238" s="23"/>
      <c r="J3238" s="23"/>
      <c r="K3238" s="23"/>
      <c r="M3238" s="23"/>
      <c r="N3238" s="23"/>
      <c r="P3238" s="23"/>
    </row>
    <row r="3239" spans="2:16" x14ac:dyDescent="0.25">
      <c r="B3239" s="23"/>
      <c r="E3239" s="23"/>
      <c r="G3239" s="23"/>
      <c r="H3239" s="23"/>
      <c r="J3239" s="23"/>
      <c r="K3239" s="23"/>
      <c r="M3239" s="23"/>
      <c r="N3239" s="23"/>
      <c r="P3239" s="23"/>
    </row>
    <row r="3240" spans="2:16" x14ac:dyDescent="0.25">
      <c r="B3240" s="23"/>
      <c r="E3240" s="23"/>
      <c r="G3240" s="23"/>
      <c r="H3240" s="23"/>
      <c r="J3240" s="23"/>
      <c r="K3240" s="23"/>
      <c r="M3240" s="23"/>
      <c r="N3240" s="23"/>
      <c r="P3240" s="23"/>
    </row>
    <row r="3241" spans="2:16" x14ac:dyDescent="0.25">
      <c r="B3241" s="23"/>
      <c r="E3241" s="23"/>
      <c r="G3241" s="23"/>
      <c r="H3241" s="23"/>
      <c r="J3241" s="23"/>
      <c r="K3241" s="23"/>
      <c r="M3241" s="23"/>
      <c r="N3241" s="23"/>
      <c r="P3241" s="23"/>
    </row>
    <row r="3242" spans="2:16" x14ac:dyDescent="0.25">
      <c r="B3242" s="23"/>
      <c r="E3242" s="23"/>
      <c r="G3242" s="23"/>
      <c r="H3242" s="23"/>
      <c r="J3242" s="23"/>
      <c r="K3242" s="23"/>
      <c r="M3242" s="23"/>
      <c r="N3242" s="23"/>
      <c r="P3242" s="23"/>
    </row>
    <row r="3243" spans="2:16" x14ac:dyDescent="0.25">
      <c r="B3243" s="23"/>
      <c r="E3243" s="23"/>
      <c r="G3243" s="23"/>
      <c r="H3243" s="23"/>
      <c r="J3243" s="23"/>
      <c r="K3243" s="23"/>
      <c r="M3243" s="23"/>
      <c r="N3243" s="23"/>
      <c r="P3243" s="23"/>
    </row>
    <row r="3244" spans="2:16" x14ac:dyDescent="0.25">
      <c r="B3244" s="23"/>
      <c r="E3244" s="23"/>
      <c r="G3244" s="23"/>
      <c r="H3244" s="23"/>
      <c r="J3244" s="23"/>
      <c r="K3244" s="23"/>
      <c r="M3244" s="23"/>
      <c r="N3244" s="23"/>
      <c r="P3244" s="23"/>
    </row>
    <row r="3245" spans="2:16" x14ac:dyDescent="0.25">
      <c r="B3245" s="23"/>
      <c r="E3245" s="23"/>
      <c r="G3245" s="23"/>
      <c r="H3245" s="23"/>
      <c r="J3245" s="23"/>
      <c r="K3245" s="23"/>
      <c r="M3245" s="23"/>
      <c r="N3245" s="23"/>
      <c r="P3245" s="23"/>
    </row>
    <row r="3246" spans="2:16" x14ac:dyDescent="0.25">
      <c r="B3246" s="23"/>
      <c r="E3246" s="23"/>
      <c r="G3246" s="23"/>
      <c r="H3246" s="23"/>
      <c r="J3246" s="23"/>
      <c r="K3246" s="23"/>
      <c r="M3246" s="23"/>
      <c r="N3246" s="23"/>
      <c r="P3246" s="23"/>
    </row>
    <row r="3247" spans="2:16" x14ac:dyDescent="0.25">
      <c r="B3247" s="23"/>
      <c r="E3247" s="23"/>
      <c r="G3247" s="23"/>
      <c r="H3247" s="23"/>
      <c r="J3247" s="23"/>
      <c r="K3247" s="23"/>
      <c r="M3247" s="23"/>
      <c r="N3247" s="23"/>
      <c r="P3247" s="23"/>
    </row>
    <row r="3248" spans="2:16" x14ac:dyDescent="0.25">
      <c r="B3248" s="23"/>
      <c r="E3248" s="23"/>
      <c r="G3248" s="23"/>
      <c r="H3248" s="23"/>
      <c r="J3248" s="23"/>
      <c r="K3248" s="23"/>
      <c r="M3248" s="23"/>
      <c r="N3248" s="23"/>
      <c r="P3248" s="23"/>
    </row>
    <row r="3249" spans="2:16" x14ac:dyDescent="0.25">
      <c r="B3249" s="23"/>
      <c r="E3249" s="23"/>
      <c r="G3249" s="23"/>
      <c r="H3249" s="23"/>
      <c r="J3249" s="23"/>
      <c r="K3249" s="23"/>
      <c r="M3249" s="23"/>
      <c r="N3249" s="23"/>
      <c r="P3249" s="23"/>
    </row>
    <row r="3250" spans="2:16" x14ac:dyDescent="0.25">
      <c r="B3250" s="23"/>
      <c r="E3250" s="23"/>
      <c r="G3250" s="23"/>
      <c r="H3250" s="23"/>
      <c r="J3250" s="23"/>
      <c r="K3250" s="23"/>
      <c r="M3250" s="23"/>
      <c r="N3250" s="23"/>
      <c r="P3250" s="23"/>
    </row>
    <row r="3251" spans="2:16" x14ac:dyDescent="0.25">
      <c r="B3251" s="23"/>
      <c r="E3251" s="23"/>
      <c r="G3251" s="23"/>
      <c r="H3251" s="23"/>
      <c r="J3251" s="23"/>
      <c r="K3251" s="23"/>
      <c r="M3251" s="23"/>
      <c r="N3251" s="23"/>
      <c r="P3251" s="23"/>
    </row>
    <row r="3252" spans="2:16" x14ac:dyDescent="0.25">
      <c r="B3252" s="23"/>
      <c r="E3252" s="23"/>
      <c r="G3252" s="23"/>
      <c r="H3252" s="23"/>
      <c r="J3252" s="23"/>
      <c r="K3252" s="23"/>
      <c r="M3252" s="23"/>
      <c r="N3252" s="23"/>
      <c r="P3252" s="23"/>
    </row>
    <row r="3253" spans="2:16" x14ac:dyDescent="0.25">
      <c r="B3253" s="23"/>
      <c r="E3253" s="23"/>
      <c r="G3253" s="23"/>
      <c r="H3253" s="23"/>
      <c r="J3253" s="23"/>
      <c r="K3253" s="23"/>
      <c r="M3253" s="23"/>
      <c r="N3253" s="23"/>
      <c r="P3253" s="23"/>
    </row>
    <row r="3254" spans="2:16" x14ac:dyDescent="0.25">
      <c r="B3254" s="23"/>
      <c r="E3254" s="23"/>
      <c r="G3254" s="23"/>
      <c r="H3254" s="23"/>
      <c r="J3254" s="23"/>
      <c r="K3254" s="23"/>
      <c r="M3254" s="23"/>
      <c r="N3254" s="23"/>
      <c r="P3254" s="23"/>
    </row>
    <row r="3255" spans="2:16" x14ac:dyDescent="0.25">
      <c r="B3255" s="23"/>
      <c r="E3255" s="23"/>
      <c r="G3255" s="23"/>
      <c r="H3255" s="23"/>
      <c r="J3255" s="23"/>
      <c r="K3255" s="23"/>
      <c r="M3255" s="23"/>
      <c r="N3255" s="23"/>
      <c r="P3255" s="23"/>
    </row>
    <row r="3256" spans="2:16" x14ac:dyDescent="0.25">
      <c r="B3256" s="23"/>
      <c r="E3256" s="23"/>
      <c r="G3256" s="23"/>
      <c r="H3256" s="23"/>
      <c r="J3256" s="23"/>
      <c r="K3256" s="23"/>
      <c r="M3256" s="23"/>
      <c r="N3256" s="23"/>
      <c r="P3256" s="23"/>
    </row>
    <row r="3257" spans="2:16" x14ac:dyDescent="0.25">
      <c r="B3257" s="23"/>
      <c r="E3257" s="23"/>
      <c r="G3257" s="23"/>
      <c r="H3257" s="23"/>
      <c r="J3257" s="23"/>
      <c r="K3257" s="23"/>
      <c r="M3257" s="23"/>
      <c r="N3257" s="23"/>
      <c r="P3257" s="23"/>
    </row>
    <row r="3258" spans="2:16" x14ac:dyDescent="0.25">
      <c r="B3258" s="23"/>
      <c r="E3258" s="23"/>
      <c r="G3258" s="23"/>
      <c r="H3258" s="23"/>
      <c r="J3258" s="23"/>
      <c r="K3258" s="23"/>
      <c r="M3258" s="23"/>
      <c r="N3258" s="23"/>
      <c r="P3258" s="23"/>
    </row>
    <row r="3259" spans="2:16" x14ac:dyDescent="0.25">
      <c r="B3259" s="23"/>
      <c r="E3259" s="23"/>
      <c r="G3259" s="23"/>
      <c r="H3259" s="23"/>
      <c r="J3259" s="23"/>
      <c r="K3259" s="23"/>
      <c r="M3259" s="23"/>
      <c r="N3259" s="23"/>
      <c r="P3259" s="23"/>
    </row>
    <row r="3260" spans="2:16" x14ac:dyDescent="0.25">
      <c r="B3260" s="23"/>
      <c r="E3260" s="23"/>
      <c r="G3260" s="23"/>
      <c r="H3260" s="23"/>
      <c r="J3260" s="23"/>
      <c r="K3260" s="23"/>
      <c r="M3260" s="23"/>
      <c r="N3260" s="23"/>
      <c r="P3260" s="23"/>
    </row>
    <row r="3261" spans="2:16" x14ac:dyDescent="0.25">
      <c r="B3261" s="23"/>
      <c r="E3261" s="23"/>
      <c r="G3261" s="23"/>
      <c r="H3261" s="23"/>
      <c r="J3261" s="23"/>
      <c r="K3261" s="23"/>
      <c r="M3261" s="23"/>
      <c r="N3261" s="23"/>
      <c r="P3261" s="23"/>
    </row>
    <row r="3262" spans="2:16" x14ac:dyDescent="0.25">
      <c r="B3262" s="23"/>
      <c r="E3262" s="23"/>
      <c r="G3262" s="23"/>
      <c r="H3262" s="23"/>
      <c r="J3262" s="23"/>
      <c r="K3262" s="23"/>
      <c r="M3262" s="23"/>
      <c r="N3262" s="23"/>
      <c r="P3262" s="23"/>
    </row>
    <row r="3263" spans="2:16" x14ac:dyDescent="0.25">
      <c r="B3263" s="23"/>
      <c r="E3263" s="23"/>
      <c r="G3263" s="23"/>
      <c r="H3263" s="23"/>
      <c r="J3263" s="23"/>
      <c r="K3263" s="23"/>
      <c r="M3263" s="23"/>
      <c r="N3263" s="23"/>
      <c r="P3263" s="23"/>
    </row>
    <row r="3264" spans="2:16" x14ac:dyDescent="0.25">
      <c r="B3264" s="23"/>
      <c r="E3264" s="23"/>
      <c r="G3264" s="23"/>
      <c r="H3264" s="23"/>
      <c r="J3264" s="23"/>
      <c r="K3264" s="23"/>
      <c r="M3264" s="23"/>
      <c r="N3264" s="23"/>
      <c r="P3264" s="23"/>
    </row>
    <row r="3265" spans="2:16" x14ac:dyDescent="0.25">
      <c r="B3265" s="23"/>
      <c r="E3265" s="23"/>
      <c r="G3265" s="23"/>
      <c r="H3265" s="23"/>
      <c r="J3265" s="23"/>
      <c r="K3265" s="23"/>
      <c r="M3265" s="23"/>
      <c r="N3265" s="23"/>
      <c r="P3265" s="23"/>
    </row>
    <row r="3266" spans="2:16" x14ac:dyDescent="0.25">
      <c r="B3266" s="23"/>
      <c r="E3266" s="23"/>
      <c r="G3266" s="23"/>
      <c r="H3266" s="23"/>
      <c r="J3266" s="23"/>
      <c r="K3266" s="23"/>
      <c r="M3266" s="23"/>
      <c r="N3266" s="23"/>
      <c r="P3266" s="23"/>
    </row>
    <row r="3267" spans="2:16" x14ac:dyDescent="0.25">
      <c r="B3267" s="23"/>
      <c r="E3267" s="23"/>
      <c r="G3267" s="23"/>
      <c r="H3267" s="23"/>
      <c r="J3267" s="23"/>
      <c r="K3267" s="23"/>
      <c r="M3267" s="23"/>
      <c r="N3267" s="23"/>
      <c r="P3267" s="23"/>
    </row>
    <row r="3268" spans="2:16" x14ac:dyDescent="0.25">
      <c r="B3268" s="23"/>
      <c r="E3268" s="23"/>
      <c r="G3268" s="23"/>
      <c r="H3268" s="23"/>
      <c r="J3268" s="23"/>
      <c r="K3268" s="23"/>
      <c r="M3268" s="23"/>
      <c r="N3268" s="23"/>
      <c r="P3268" s="23"/>
    </row>
    <row r="3269" spans="2:16" x14ac:dyDescent="0.25">
      <c r="B3269" s="23"/>
      <c r="E3269" s="23"/>
      <c r="G3269" s="23"/>
      <c r="H3269" s="23"/>
      <c r="J3269" s="23"/>
      <c r="K3269" s="23"/>
      <c r="M3269" s="23"/>
      <c r="N3269" s="23"/>
      <c r="P3269" s="23"/>
    </row>
    <row r="3270" spans="2:16" x14ac:dyDescent="0.25">
      <c r="B3270" s="23"/>
      <c r="E3270" s="23"/>
      <c r="G3270" s="23"/>
      <c r="H3270" s="23"/>
      <c r="J3270" s="23"/>
      <c r="K3270" s="23"/>
      <c r="M3270" s="23"/>
      <c r="N3270" s="23"/>
      <c r="P3270" s="23"/>
    </row>
    <row r="3271" spans="2:16" x14ac:dyDescent="0.25">
      <c r="B3271" s="23"/>
      <c r="E3271" s="23"/>
      <c r="G3271" s="23"/>
      <c r="H3271" s="23"/>
      <c r="J3271" s="23"/>
      <c r="K3271" s="23"/>
      <c r="M3271" s="23"/>
      <c r="N3271" s="23"/>
      <c r="P3271" s="23"/>
    </row>
    <row r="3272" spans="2:16" x14ac:dyDescent="0.25">
      <c r="B3272" s="23"/>
      <c r="E3272" s="23"/>
      <c r="G3272" s="23"/>
      <c r="H3272" s="23"/>
      <c r="J3272" s="23"/>
      <c r="K3272" s="23"/>
      <c r="M3272" s="23"/>
      <c r="N3272" s="23"/>
      <c r="P3272" s="23"/>
    </row>
    <row r="3273" spans="2:16" x14ac:dyDescent="0.25">
      <c r="B3273" s="23"/>
      <c r="E3273" s="23"/>
      <c r="G3273" s="23"/>
      <c r="H3273" s="23"/>
      <c r="J3273" s="23"/>
      <c r="K3273" s="23"/>
      <c r="M3273" s="23"/>
      <c r="N3273" s="23"/>
      <c r="P3273" s="23"/>
    </row>
    <row r="3274" spans="2:16" x14ac:dyDescent="0.25">
      <c r="B3274" s="23"/>
      <c r="E3274" s="23"/>
      <c r="G3274" s="23"/>
      <c r="H3274" s="23"/>
      <c r="J3274" s="23"/>
      <c r="K3274" s="23"/>
      <c r="M3274" s="23"/>
      <c r="N3274" s="23"/>
      <c r="P3274" s="23"/>
    </row>
    <row r="3275" spans="2:16" x14ac:dyDescent="0.25">
      <c r="B3275" s="23"/>
      <c r="E3275" s="23"/>
      <c r="G3275" s="23"/>
      <c r="H3275" s="23"/>
      <c r="J3275" s="23"/>
      <c r="K3275" s="23"/>
      <c r="M3275" s="23"/>
      <c r="N3275" s="23"/>
      <c r="P3275" s="23"/>
    </row>
    <row r="3276" spans="2:16" x14ac:dyDescent="0.25">
      <c r="B3276" s="23"/>
      <c r="E3276" s="23"/>
      <c r="G3276" s="23"/>
      <c r="H3276" s="23"/>
      <c r="J3276" s="23"/>
      <c r="K3276" s="23"/>
      <c r="M3276" s="23"/>
      <c r="N3276" s="23"/>
      <c r="P3276" s="23"/>
    </row>
    <row r="3277" spans="2:16" x14ac:dyDescent="0.25">
      <c r="B3277" s="23"/>
      <c r="E3277" s="23"/>
      <c r="G3277" s="23"/>
      <c r="H3277" s="23"/>
      <c r="J3277" s="23"/>
      <c r="K3277" s="23"/>
      <c r="M3277" s="23"/>
      <c r="N3277" s="23"/>
      <c r="P3277" s="23"/>
    </row>
    <row r="3278" spans="2:16" x14ac:dyDescent="0.25">
      <c r="B3278" s="23"/>
      <c r="E3278" s="23"/>
      <c r="G3278" s="23"/>
      <c r="H3278" s="23"/>
      <c r="J3278" s="23"/>
      <c r="K3278" s="23"/>
      <c r="M3278" s="23"/>
      <c r="N3278" s="23"/>
      <c r="P3278" s="23"/>
    </row>
    <row r="3279" spans="2:16" x14ac:dyDescent="0.25">
      <c r="B3279" s="23"/>
      <c r="E3279" s="23"/>
      <c r="G3279" s="23"/>
      <c r="H3279" s="23"/>
      <c r="J3279" s="23"/>
      <c r="K3279" s="23"/>
      <c r="M3279" s="23"/>
      <c r="N3279" s="23"/>
      <c r="P3279" s="23"/>
    </row>
    <row r="3280" spans="2:16" x14ac:dyDescent="0.25">
      <c r="B3280" s="23"/>
      <c r="E3280" s="23"/>
      <c r="G3280" s="23"/>
      <c r="H3280" s="23"/>
      <c r="J3280" s="23"/>
      <c r="K3280" s="23"/>
      <c r="M3280" s="23"/>
      <c r="N3280" s="23"/>
      <c r="P3280" s="23"/>
    </row>
    <row r="3281" spans="2:16" x14ac:dyDescent="0.25">
      <c r="B3281" s="23"/>
      <c r="E3281" s="23"/>
      <c r="G3281" s="23"/>
      <c r="H3281" s="23"/>
      <c r="J3281" s="23"/>
      <c r="K3281" s="23"/>
      <c r="M3281" s="23"/>
      <c r="N3281" s="23"/>
      <c r="P3281" s="23"/>
    </row>
    <row r="3282" spans="2:16" x14ac:dyDescent="0.25">
      <c r="B3282" s="23"/>
      <c r="E3282" s="23"/>
      <c r="G3282" s="23"/>
      <c r="H3282" s="23"/>
      <c r="J3282" s="23"/>
      <c r="K3282" s="23"/>
      <c r="M3282" s="23"/>
      <c r="N3282" s="23"/>
      <c r="P3282" s="23"/>
    </row>
    <row r="3283" spans="2:16" x14ac:dyDescent="0.25">
      <c r="B3283" s="23"/>
      <c r="E3283" s="23"/>
      <c r="G3283" s="23"/>
      <c r="H3283" s="23"/>
      <c r="J3283" s="23"/>
      <c r="K3283" s="23"/>
      <c r="M3283" s="23"/>
      <c r="N3283" s="23"/>
      <c r="P3283" s="23"/>
    </row>
    <row r="3284" spans="2:16" x14ac:dyDescent="0.25">
      <c r="B3284" s="23"/>
      <c r="E3284" s="23"/>
      <c r="G3284" s="23"/>
      <c r="H3284" s="23"/>
      <c r="J3284" s="23"/>
      <c r="K3284" s="23"/>
      <c r="M3284" s="23"/>
      <c r="N3284" s="23"/>
      <c r="P3284" s="23"/>
    </row>
    <row r="3285" spans="2:16" x14ac:dyDescent="0.25">
      <c r="B3285" s="23"/>
      <c r="E3285" s="23"/>
      <c r="G3285" s="23"/>
      <c r="H3285" s="23"/>
      <c r="J3285" s="23"/>
      <c r="K3285" s="23"/>
      <c r="M3285" s="23"/>
      <c r="N3285" s="23"/>
      <c r="P3285" s="23"/>
    </row>
    <row r="3286" spans="2:16" x14ac:dyDescent="0.25">
      <c r="B3286" s="23"/>
      <c r="E3286" s="23"/>
      <c r="G3286" s="23"/>
      <c r="H3286" s="23"/>
      <c r="J3286" s="23"/>
      <c r="K3286" s="23"/>
      <c r="M3286" s="23"/>
      <c r="N3286" s="23"/>
      <c r="P3286" s="23"/>
    </row>
    <row r="3287" spans="2:16" x14ac:dyDescent="0.25">
      <c r="B3287" s="23"/>
      <c r="E3287" s="23"/>
      <c r="G3287" s="23"/>
      <c r="H3287" s="23"/>
      <c r="J3287" s="23"/>
      <c r="K3287" s="23"/>
      <c r="M3287" s="23"/>
      <c r="N3287" s="23"/>
      <c r="P3287" s="23"/>
    </row>
    <row r="3288" spans="2:16" x14ac:dyDescent="0.25">
      <c r="B3288" s="23"/>
      <c r="E3288" s="23"/>
      <c r="G3288" s="23"/>
      <c r="H3288" s="23"/>
      <c r="J3288" s="23"/>
      <c r="K3288" s="23"/>
      <c r="M3288" s="23"/>
      <c r="N3288" s="23"/>
      <c r="P3288" s="23"/>
    </row>
    <row r="3289" spans="2:16" x14ac:dyDescent="0.25">
      <c r="B3289" s="23"/>
      <c r="E3289" s="23"/>
      <c r="G3289" s="23"/>
      <c r="H3289" s="23"/>
      <c r="J3289" s="23"/>
      <c r="K3289" s="23"/>
      <c r="M3289" s="23"/>
      <c r="N3289" s="23"/>
      <c r="P3289" s="23"/>
    </row>
    <row r="3290" spans="2:16" x14ac:dyDescent="0.25">
      <c r="B3290" s="23"/>
      <c r="E3290" s="23"/>
      <c r="G3290" s="23"/>
      <c r="H3290" s="23"/>
      <c r="J3290" s="23"/>
      <c r="K3290" s="23"/>
      <c r="M3290" s="23"/>
      <c r="N3290" s="23"/>
      <c r="P3290" s="23"/>
    </row>
    <row r="3291" spans="2:16" x14ac:dyDescent="0.25">
      <c r="B3291" s="23"/>
      <c r="E3291" s="23"/>
      <c r="G3291" s="23"/>
      <c r="H3291" s="23"/>
      <c r="J3291" s="23"/>
      <c r="K3291" s="23"/>
      <c r="M3291" s="23"/>
      <c r="N3291" s="23"/>
      <c r="P3291" s="23"/>
    </row>
    <row r="3292" spans="2:16" x14ac:dyDescent="0.25">
      <c r="B3292" s="23"/>
      <c r="E3292" s="23"/>
      <c r="G3292" s="23"/>
      <c r="H3292" s="23"/>
      <c r="J3292" s="23"/>
      <c r="K3292" s="23"/>
      <c r="M3292" s="23"/>
      <c r="N3292" s="23"/>
      <c r="P3292" s="23"/>
    </row>
    <row r="3293" spans="2:16" x14ac:dyDescent="0.25">
      <c r="B3293" s="23"/>
      <c r="E3293" s="23"/>
      <c r="G3293" s="23"/>
      <c r="H3293" s="23"/>
      <c r="J3293" s="23"/>
      <c r="K3293" s="23"/>
      <c r="M3293" s="23"/>
      <c r="N3293" s="23"/>
      <c r="P3293" s="23"/>
    </row>
    <row r="3294" spans="2:16" x14ac:dyDescent="0.25">
      <c r="B3294" s="23"/>
      <c r="E3294" s="23"/>
      <c r="G3294" s="23"/>
      <c r="H3294" s="23"/>
      <c r="J3294" s="23"/>
      <c r="K3294" s="23"/>
      <c r="M3294" s="23"/>
      <c r="N3294" s="23"/>
      <c r="P3294" s="23"/>
    </row>
    <row r="3295" spans="2:16" x14ac:dyDescent="0.25">
      <c r="B3295" s="23"/>
      <c r="E3295" s="23"/>
      <c r="G3295" s="23"/>
      <c r="H3295" s="23"/>
      <c r="J3295" s="23"/>
      <c r="K3295" s="23"/>
      <c r="M3295" s="23"/>
      <c r="N3295" s="23"/>
      <c r="P3295" s="23"/>
    </row>
    <row r="3296" spans="2:16" x14ac:dyDescent="0.25">
      <c r="B3296" s="23"/>
      <c r="E3296" s="23"/>
      <c r="G3296" s="23"/>
      <c r="H3296" s="23"/>
      <c r="J3296" s="23"/>
      <c r="K3296" s="23"/>
      <c r="M3296" s="23"/>
      <c r="N3296" s="23"/>
      <c r="P3296" s="23"/>
    </row>
    <row r="3297" spans="2:16" x14ac:dyDescent="0.25">
      <c r="B3297" s="23"/>
      <c r="E3297" s="23"/>
      <c r="G3297" s="23"/>
      <c r="H3297" s="23"/>
      <c r="J3297" s="23"/>
      <c r="K3297" s="23"/>
      <c r="M3297" s="23"/>
      <c r="N3297" s="23"/>
      <c r="P3297" s="23"/>
    </row>
    <row r="3298" spans="2:16" x14ac:dyDescent="0.25">
      <c r="B3298" s="23"/>
      <c r="E3298" s="23"/>
      <c r="G3298" s="23"/>
      <c r="H3298" s="23"/>
      <c r="J3298" s="23"/>
      <c r="K3298" s="23"/>
      <c r="M3298" s="23"/>
      <c r="N3298" s="23"/>
      <c r="P3298" s="23"/>
    </row>
    <row r="3299" spans="2:16" x14ac:dyDescent="0.25">
      <c r="B3299" s="23"/>
      <c r="E3299" s="23"/>
      <c r="G3299" s="23"/>
      <c r="H3299" s="23"/>
      <c r="J3299" s="23"/>
      <c r="K3299" s="23"/>
      <c r="M3299" s="23"/>
      <c r="N3299" s="23"/>
      <c r="P3299" s="23"/>
    </row>
    <row r="3300" spans="2:16" x14ac:dyDescent="0.25">
      <c r="B3300" s="23"/>
      <c r="E3300" s="23"/>
      <c r="G3300" s="23"/>
      <c r="H3300" s="23"/>
      <c r="J3300" s="23"/>
      <c r="K3300" s="23"/>
      <c r="M3300" s="23"/>
      <c r="N3300" s="23"/>
      <c r="P3300" s="23"/>
    </row>
    <row r="3301" spans="2:16" x14ac:dyDescent="0.25">
      <c r="B3301" s="23"/>
      <c r="E3301" s="23"/>
      <c r="G3301" s="23"/>
      <c r="H3301" s="23"/>
      <c r="J3301" s="23"/>
      <c r="K3301" s="23"/>
      <c r="M3301" s="23"/>
      <c r="N3301" s="23"/>
      <c r="P3301" s="23"/>
    </row>
    <row r="3302" spans="2:16" x14ac:dyDescent="0.25">
      <c r="B3302" s="23"/>
      <c r="E3302" s="23"/>
      <c r="G3302" s="23"/>
      <c r="H3302" s="23"/>
      <c r="J3302" s="23"/>
      <c r="K3302" s="23"/>
      <c r="M3302" s="23"/>
      <c r="N3302" s="23"/>
      <c r="P3302" s="23"/>
    </row>
    <row r="3303" spans="2:16" x14ac:dyDescent="0.25">
      <c r="B3303" s="23"/>
      <c r="E3303" s="23"/>
      <c r="G3303" s="23"/>
      <c r="H3303" s="23"/>
      <c r="J3303" s="23"/>
      <c r="K3303" s="23"/>
      <c r="M3303" s="23"/>
      <c r="N3303" s="23"/>
      <c r="P3303" s="23"/>
    </row>
    <row r="3304" spans="2:16" x14ac:dyDescent="0.25">
      <c r="B3304" s="23"/>
      <c r="E3304" s="23"/>
      <c r="G3304" s="23"/>
      <c r="H3304" s="23"/>
      <c r="J3304" s="23"/>
      <c r="K3304" s="23"/>
      <c r="M3304" s="23"/>
      <c r="N3304" s="23"/>
      <c r="P3304" s="23"/>
    </row>
    <row r="3305" spans="2:16" x14ac:dyDescent="0.25">
      <c r="B3305" s="23"/>
      <c r="E3305" s="23"/>
      <c r="G3305" s="23"/>
      <c r="H3305" s="23"/>
      <c r="J3305" s="23"/>
      <c r="K3305" s="23"/>
      <c r="M3305" s="23"/>
      <c r="N3305" s="23"/>
      <c r="P3305" s="23"/>
    </row>
    <row r="3306" spans="2:16" x14ac:dyDescent="0.25">
      <c r="B3306" s="23"/>
      <c r="E3306" s="23"/>
      <c r="G3306" s="23"/>
      <c r="H3306" s="23"/>
      <c r="J3306" s="23"/>
      <c r="K3306" s="23"/>
      <c r="M3306" s="23"/>
      <c r="N3306" s="23"/>
      <c r="P3306" s="23"/>
    </row>
    <row r="3307" spans="2:16" x14ac:dyDescent="0.25">
      <c r="B3307" s="23"/>
      <c r="E3307" s="23"/>
      <c r="G3307" s="23"/>
      <c r="H3307" s="23"/>
      <c r="J3307" s="23"/>
      <c r="K3307" s="23"/>
      <c r="M3307" s="23"/>
      <c r="N3307" s="23"/>
      <c r="P3307" s="23"/>
    </row>
    <row r="3308" spans="2:16" x14ac:dyDescent="0.25">
      <c r="B3308" s="23"/>
      <c r="E3308" s="23"/>
      <c r="G3308" s="23"/>
      <c r="H3308" s="23"/>
      <c r="J3308" s="23"/>
      <c r="K3308" s="23"/>
      <c r="M3308" s="23"/>
      <c r="N3308" s="23"/>
      <c r="P3308" s="23"/>
    </row>
    <row r="3309" spans="2:16" x14ac:dyDescent="0.25">
      <c r="B3309" s="23"/>
      <c r="E3309" s="23"/>
      <c r="G3309" s="23"/>
      <c r="H3309" s="23"/>
      <c r="J3309" s="23"/>
      <c r="K3309" s="23"/>
      <c r="M3309" s="23"/>
      <c r="N3309" s="23"/>
      <c r="P3309" s="23"/>
    </row>
    <row r="3310" spans="2:16" x14ac:dyDescent="0.25">
      <c r="B3310" s="23"/>
      <c r="E3310" s="23"/>
      <c r="G3310" s="23"/>
      <c r="H3310" s="23"/>
      <c r="J3310" s="23"/>
      <c r="K3310" s="23"/>
      <c r="M3310" s="23"/>
      <c r="N3310" s="23"/>
      <c r="P3310" s="23"/>
    </row>
    <row r="3311" spans="2:16" x14ac:dyDescent="0.25">
      <c r="B3311" s="23"/>
      <c r="E3311" s="23"/>
      <c r="G3311" s="23"/>
      <c r="H3311" s="23"/>
      <c r="J3311" s="23"/>
      <c r="K3311" s="23"/>
      <c r="M3311" s="23"/>
      <c r="N3311" s="23"/>
      <c r="P3311" s="23"/>
    </row>
    <row r="3312" spans="2:16" x14ac:dyDescent="0.25">
      <c r="B3312" s="23"/>
      <c r="E3312" s="23"/>
      <c r="G3312" s="23"/>
      <c r="H3312" s="23"/>
      <c r="J3312" s="23"/>
      <c r="K3312" s="23"/>
      <c r="M3312" s="23"/>
      <c r="N3312" s="23"/>
      <c r="P3312" s="23"/>
    </row>
    <row r="3313" spans="2:16" x14ac:dyDescent="0.25">
      <c r="B3313" s="23"/>
      <c r="E3313" s="23"/>
      <c r="G3313" s="23"/>
      <c r="H3313" s="23"/>
      <c r="J3313" s="23"/>
      <c r="K3313" s="23"/>
      <c r="M3313" s="23"/>
      <c r="N3313" s="23"/>
      <c r="P3313" s="23"/>
    </row>
    <row r="3314" spans="2:16" x14ac:dyDescent="0.25">
      <c r="B3314" s="23"/>
      <c r="E3314" s="23"/>
      <c r="G3314" s="23"/>
      <c r="H3314" s="23"/>
      <c r="J3314" s="23"/>
      <c r="K3314" s="23"/>
      <c r="M3314" s="23"/>
      <c r="N3314" s="23"/>
      <c r="P3314" s="23"/>
    </row>
    <row r="3315" spans="2:16" x14ac:dyDescent="0.25">
      <c r="B3315" s="23"/>
      <c r="E3315" s="23"/>
      <c r="G3315" s="23"/>
      <c r="H3315" s="23"/>
      <c r="J3315" s="23"/>
      <c r="K3315" s="23"/>
      <c r="M3315" s="23"/>
      <c r="N3315" s="23"/>
      <c r="P3315" s="23"/>
    </row>
    <row r="3316" spans="2:16" x14ac:dyDescent="0.25">
      <c r="B3316" s="23"/>
      <c r="E3316" s="23"/>
      <c r="G3316" s="23"/>
      <c r="H3316" s="23"/>
      <c r="J3316" s="23"/>
      <c r="K3316" s="23"/>
      <c r="M3316" s="23"/>
      <c r="N3316" s="23"/>
      <c r="P3316" s="23"/>
    </row>
    <row r="3317" spans="2:16" x14ac:dyDescent="0.25">
      <c r="B3317" s="23"/>
      <c r="E3317" s="23"/>
      <c r="G3317" s="23"/>
      <c r="H3317" s="23"/>
      <c r="J3317" s="23"/>
      <c r="K3317" s="23"/>
      <c r="M3317" s="23"/>
      <c r="N3317" s="23"/>
      <c r="P3317" s="23"/>
    </row>
    <row r="3318" spans="2:16" x14ac:dyDescent="0.25">
      <c r="B3318" s="23"/>
      <c r="E3318" s="23"/>
      <c r="G3318" s="23"/>
      <c r="H3318" s="23"/>
      <c r="J3318" s="23"/>
      <c r="K3318" s="23"/>
      <c r="M3318" s="23"/>
      <c r="N3318" s="23"/>
      <c r="P3318" s="23"/>
    </row>
    <row r="3319" spans="2:16" x14ac:dyDescent="0.25">
      <c r="B3319" s="23"/>
      <c r="E3319" s="23"/>
      <c r="G3319" s="23"/>
      <c r="H3319" s="23"/>
      <c r="J3319" s="23"/>
      <c r="K3319" s="23"/>
      <c r="M3319" s="23"/>
      <c r="N3319" s="23"/>
      <c r="P3319" s="23"/>
    </row>
    <row r="3320" spans="2:16" x14ac:dyDescent="0.25">
      <c r="B3320" s="23"/>
      <c r="E3320" s="23"/>
      <c r="G3320" s="23"/>
      <c r="H3320" s="23"/>
      <c r="J3320" s="23"/>
      <c r="K3320" s="23"/>
      <c r="M3320" s="23"/>
      <c r="N3320" s="23"/>
      <c r="P3320" s="23"/>
    </row>
    <row r="3321" spans="2:16" x14ac:dyDescent="0.25">
      <c r="B3321" s="23"/>
      <c r="E3321" s="23"/>
      <c r="G3321" s="23"/>
      <c r="H3321" s="23"/>
      <c r="J3321" s="23"/>
      <c r="K3321" s="23"/>
      <c r="M3321" s="23"/>
      <c r="N3321" s="23"/>
      <c r="P3321" s="23"/>
    </row>
    <row r="3322" spans="2:16" x14ac:dyDescent="0.25">
      <c r="B3322" s="23"/>
      <c r="E3322" s="23"/>
      <c r="G3322" s="23"/>
      <c r="H3322" s="23"/>
      <c r="J3322" s="23"/>
      <c r="K3322" s="23"/>
      <c r="M3322" s="23"/>
      <c r="N3322" s="23"/>
      <c r="P3322" s="23"/>
    </row>
    <row r="3323" spans="2:16" x14ac:dyDescent="0.25">
      <c r="B3323" s="23"/>
      <c r="E3323" s="23"/>
      <c r="G3323" s="23"/>
      <c r="H3323" s="23"/>
      <c r="J3323" s="23"/>
      <c r="K3323" s="23"/>
      <c r="M3323" s="23"/>
      <c r="N3323" s="23"/>
      <c r="P3323" s="23"/>
    </row>
    <row r="3324" spans="2:16" x14ac:dyDescent="0.25">
      <c r="B3324" s="23"/>
      <c r="E3324" s="23"/>
      <c r="G3324" s="23"/>
      <c r="H3324" s="23"/>
      <c r="J3324" s="23"/>
      <c r="K3324" s="23"/>
      <c r="M3324" s="23"/>
      <c r="N3324" s="23"/>
      <c r="P3324" s="23"/>
    </row>
    <row r="3325" spans="2:16" x14ac:dyDescent="0.25">
      <c r="B3325" s="23"/>
      <c r="E3325" s="23"/>
      <c r="G3325" s="23"/>
      <c r="H3325" s="23"/>
      <c r="J3325" s="23"/>
      <c r="K3325" s="23"/>
      <c r="M3325" s="23"/>
      <c r="N3325" s="23"/>
      <c r="P3325" s="23"/>
    </row>
    <row r="3326" spans="2:16" x14ac:dyDescent="0.25">
      <c r="B3326" s="23"/>
      <c r="E3326" s="23"/>
      <c r="G3326" s="23"/>
      <c r="H3326" s="23"/>
      <c r="J3326" s="23"/>
      <c r="K3326" s="23"/>
      <c r="M3326" s="23"/>
      <c r="N3326" s="23"/>
      <c r="P3326" s="23"/>
    </row>
    <row r="3327" spans="2:16" x14ac:dyDescent="0.25">
      <c r="B3327" s="23"/>
      <c r="E3327" s="23"/>
      <c r="G3327" s="23"/>
      <c r="H3327" s="23"/>
      <c r="J3327" s="23"/>
      <c r="K3327" s="23"/>
      <c r="M3327" s="23"/>
      <c r="N3327" s="23"/>
      <c r="P3327" s="23"/>
    </row>
    <row r="3328" spans="2:16" x14ac:dyDescent="0.25">
      <c r="B3328" s="23"/>
      <c r="E3328" s="23"/>
      <c r="G3328" s="23"/>
      <c r="H3328" s="23"/>
      <c r="J3328" s="23"/>
      <c r="K3328" s="23"/>
      <c r="M3328" s="23"/>
      <c r="N3328" s="23"/>
      <c r="P3328" s="23"/>
    </row>
    <row r="3329" spans="2:16" x14ac:dyDescent="0.25">
      <c r="B3329" s="23"/>
      <c r="E3329" s="23"/>
      <c r="G3329" s="23"/>
      <c r="H3329" s="23"/>
      <c r="J3329" s="23"/>
      <c r="K3329" s="23"/>
      <c r="M3329" s="23"/>
      <c r="N3329" s="23"/>
      <c r="P3329" s="23"/>
    </row>
    <row r="3330" spans="2:16" x14ac:dyDescent="0.25">
      <c r="B3330" s="23"/>
      <c r="E3330" s="23"/>
      <c r="G3330" s="23"/>
      <c r="H3330" s="23"/>
      <c r="J3330" s="23"/>
      <c r="K3330" s="23"/>
      <c r="M3330" s="23"/>
      <c r="N3330" s="23"/>
      <c r="P3330" s="23"/>
    </row>
    <row r="3331" spans="2:16" x14ac:dyDescent="0.25">
      <c r="B3331" s="23"/>
      <c r="E3331" s="23"/>
      <c r="G3331" s="23"/>
      <c r="H3331" s="23"/>
      <c r="J3331" s="23"/>
      <c r="K3331" s="23"/>
      <c r="M3331" s="23"/>
      <c r="N3331" s="23"/>
      <c r="P3331" s="23"/>
    </row>
    <row r="3332" spans="2:16" x14ac:dyDescent="0.25">
      <c r="B3332" s="23"/>
      <c r="E3332" s="23"/>
      <c r="G3332" s="23"/>
      <c r="H3332" s="23"/>
      <c r="J3332" s="23"/>
      <c r="K3332" s="23"/>
      <c r="M3332" s="23"/>
      <c r="N3332" s="23"/>
      <c r="P3332" s="23"/>
    </row>
    <row r="3333" spans="2:16" x14ac:dyDescent="0.25">
      <c r="B3333" s="23"/>
      <c r="E3333" s="23"/>
      <c r="G3333" s="23"/>
      <c r="H3333" s="23"/>
      <c r="J3333" s="23"/>
      <c r="K3333" s="23"/>
      <c r="M3333" s="23"/>
      <c r="N3333" s="23"/>
      <c r="P3333" s="23"/>
    </row>
    <row r="3334" spans="2:16" x14ac:dyDescent="0.25">
      <c r="B3334" s="23"/>
      <c r="E3334" s="23"/>
      <c r="G3334" s="23"/>
      <c r="H3334" s="23"/>
      <c r="J3334" s="23"/>
      <c r="K3334" s="23"/>
      <c r="M3334" s="23"/>
      <c r="N3334" s="23"/>
      <c r="P3334" s="23"/>
    </row>
    <row r="3335" spans="2:16" x14ac:dyDescent="0.25">
      <c r="B3335" s="23"/>
      <c r="E3335" s="23"/>
      <c r="G3335" s="23"/>
      <c r="H3335" s="23"/>
      <c r="J3335" s="23"/>
      <c r="K3335" s="23"/>
      <c r="M3335" s="23"/>
      <c r="N3335" s="23"/>
      <c r="P3335" s="23"/>
    </row>
    <row r="3336" spans="2:16" x14ac:dyDescent="0.25">
      <c r="B3336" s="23"/>
      <c r="E3336" s="23"/>
      <c r="G3336" s="23"/>
      <c r="H3336" s="23"/>
      <c r="J3336" s="23"/>
      <c r="K3336" s="23"/>
      <c r="M3336" s="23"/>
      <c r="N3336" s="23"/>
      <c r="P3336" s="23"/>
    </row>
    <row r="3337" spans="2:16" x14ac:dyDescent="0.25">
      <c r="B3337" s="23"/>
      <c r="E3337" s="23"/>
      <c r="G3337" s="23"/>
      <c r="H3337" s="23"/>
      <c r="J3337" s="23"/>
      <c r="K3337" s="23"/>
      <c r="M3337" s="23"/>
      <c r="N3337" s="23"/>
      <c r="P3337" s="23"/>
    </row>
    <row r="3338" spans="2:16" x14ac:dyDescent="0.25">
      <c r="B3338" s="23"/>
      <c r="E3338" s="23"/>
      <c r="G3338" s="23"/>
      <c r="H3338" s="23"/>
      <c r="J3338" s="23"/>
      <c r="K3338" s="23"/>
      <c r="M3338" s="23"/>
      <c r="N3338" s="23"/>
      <c r="P3338" s="23"/>
    </row>
    <row r="3339" spans="2:16" x14ac:dyDescent="0.25">
      <c r="B3339" s="23"/>
      <c r="E3339" s="23"/>
      <c r="G3339" s="23"/>
      <c r="H3339" s="23"/>
      <c r="J3339" s="23"/>
      <c r="K3339" s="23"/>
      <c r="M3339" s="23"/>
      <c r="N3339" s="23"/>
      <c r="P3339" s="23"/>
    </row>
    <row r="3340" spans="2:16" x14ac:dyDescent="0.25">
      <c r="B3340" s="23"/>
      <c r="E3340" s="23"/>
      <c r="G3340" s="23"/>
      <c r="H3340" s="23"/>
      <c r="J3340" s="23"/>
      <c r="K3340" s="23"/>
      <c r="M3340" s="23"/>
      <c r="N3340" s="23"/>
      <c r="P3340" s="23"/>
    </row>
    <row r="3341" spans="2:16" x14ac:dyDescent="0.25">
      <c r="B3341" s="23"/>
      <c r="E3341" s="23"/>
      <c r="G3341" s="23"/>
      <c r="H3341" s="23"/>
      <c r="J3341" s="23"/>
      <c r="K3341" s="23"/>
      <c r="M3341" s="23"/>
      <c r="N3341" s="23"/>
      <c r="P3341" s="23"/>
    </row>
    <row r="3342" spans="2:16" x14ac:dyDescent="0.25">
      <c r="B3342" s="23"/>
      <c r="E3342" s="23"/>
      <c r="G3342" s="23"/>
      <c r="H3342" s="23"/>
      <c r="J3342" s="23"/>
      <c r="K3342" s="23"/>
      <c r="M3342" s="23"/>
      <c r="N3342" s="23"/>
      <c r="P3342" s="23"/>
    </row>
    <row r="3343" spans="2:16" x14ac:dyDescent="0.25">
      <c r="B3343" s="23"/>
      <c r="E3343" s="23"/>
      <c r="G3343" s="23"/>
      <c r="H3343" s="23"/>
      <c r="J3343" s="23"/>
      <c r="K3343" s="23"/>
      <c r="M3343" s="23"/>
      <c r="N3343" s="23"/>
      <c r="P3343" s="23"/>
    </row>
    <row r="3344" spans="2:16" x14ac:dyDescent="0.25">
      <c r="B3344" s="23"/>
      <c r="E3344" s="23"/>
      <c r="G3344" s="23"/>
      <c r="H3344" s="23"/>
      <c r="J3344" s="23"/>
      <c r="K3344" s="23"/>
      <c r="M3344" s="23"/>
      <c r="N3344" s="23"/>
      <c r="P3344" s="23"/>
    </row>
    <row r="3345" spans="2:16" x14ac:dyDescent="0.25">
      <c r="B3345" s="23"/>
      <c r="E3345" s="23"/>
      <c r="G3345" s="23"/>
      <c r="H3345" s="23"/>
      <c r="J3345" s="23"/>
      <c r="K3345" s="23"/>
      <c r="M3345" s="23"/>
      <c r="N3345" s="23"/>
      <c r="P3345" s="23"/>
    </row>
    <row r="3346" spans="2:16" x14ac:dyDescent="0.25">
      <c r="B3346" s="23"/>
      <c r="E3346" s="23"/>
      <c r="G3346" s="23"/>
      <c r="H3346" s="23"/>
      <c r="J3346" s="23"/>
      <c r="K3346" s="23"/>
      <c r="M3346" s="23"/>
      <c r="N3346" s="23"/>
      <c r="P3346" s="23"/>
    </row>
    <row r="3347" spans="2:16" x14ac:dyDescent="0.25">
      <c r="B3347" s="23"/>
      <c r="E3347" s="23"/>
      <c r="G3347" s="23"/>
      <c r="H3347" s="23"/>
      <c r="J3347" s="23"/>
      <c r="K3347" s="23"/>
      <c r="M3347" s="23"/>
      <c r="N3347" s="23"/>
      <c r="P3347" s="23"/>
    </row>
    <row r="3348" spans="2:16" x14ac:dyDescent="0.25">
      <c r="B3348" s="23"/>
      <c r="E3348" s="23"/>
      <c r="G3348" s="23"/>
      <c r="H3348" s="23"/>
      <c r="J3348" s="23"/>
      <c r="K3348" s="23"/>
      <c r="M3348" s="23"/>
      <c r="N3348" s="23"/>
      <c r="P3348" s="23"/>
    </row>
    <row r="3349" spans="2:16" x14ac:dyDescent="0.25">
      <c r="B3349" s="23"/>
      <c r="E3349" s="23"/>
      <c r="G3349" s="23"/>
      <c r="H3349" s="23"/>
      <c r="J3349" s="23"/>
      <c r="K3349" s="23"/>
      <c r="M3349" s="23"/>
      <c r="N3349" s="23"/>
      <c r="P3349" s="23"/>
    </row>
    <row r="3350" spans="2:16" x14ac:dyDescent="0.25">
      <c r="B3350" s="23"/>
      <c r="E3350" s="23"/>
      <c r="G3350" s="23"/>
      <c r="H3350" s="23"/>
      <c r="J3350" s="23"/>
      <c r="K3350" s="23"/>
      <c r="M3350" s="23"/>
      <c r="N3350" s="23"/>
      <c r="P3350" s="23"/>
    </row>
    <row r="3351" spans="2:16" x14ac:dyDescent="0.25">
      <c r="B3351" s="23"/>
      <c r="E3351" s="23"/>
      <c r="G3351" s="23"/>
      <c r="H3351" s="23"/>
      <c r="J3351" s="23"/>
      <c r="K3351" s="23"/>
      <c r="M3351" s="23"/>
      <c r="N3351" s="23"/>
      <c r="P3351" s="23"/>
    </row>
    <row r="3352" spans="2:16" x14ac:dyDescent="0.25">
      <c r="B3352" s="23"/>
      <c r="E3352" s="23"/>
      <c r="G3352" s="23"/>
      <c r="H3352" s="23"/>
      <c r="J3352" s="23"/>
      <c r="K3352" s="23"/>
      <c r="M3352" s="23"/>
      <c r="N3352" s="23"/>
      <c r="P3352" s="23"/>
    </row>
    <row r="3353" spans="2:16" x14ac:dyDescent="0.25">
      <c r="B3353" s="23"/>
      <c r="E3353" s="23"/>
      <c r="G3353" s="23"/>
      <c r="H3353" s="23"/>
      <c r="J3353" s="23"/>
      <c r="K3353" s="23"/>
      <c r="M3353" s="23"/>
      <c r="N3353" s="23"/>
      <c r="P3353" s="23"/>
    </row>
    <row r="3354" spans="2:16" x14ac:dyDescent="0.25">
      <c r="B3354" s="23"/>
      <c r="E3354" s="23"/>
      <c r="G3354" s="23"/>
      <c r="H3354" s="23"/>
      <c r="J3354" s="23"/>
      <c r="K3354" s="23"/>
      <c r="M3354" s="23"/>
      <c r="N3354" s="23"/>
      <c r="P3354" s="23"/>
    </row>
    <row r="3355" spans="2:16" x14ac:dyDescent="0.25">
      <c r="B3355" s="23"/>
      <c r="E3355" s="23"/>
      <c r="G3355" s="23"/>
      <c r="H3355" s="23"/>
      <c r="J3355" s="23"/>
      <c r="K3355" s="23"/>
      <c r="M3355" s="23"/>
      <c r="N3355" s="23"/>
      <c r="P3355" s="23"/>
    </row>
    <row r="3356" spans="2:16" x14ac:dyDescent="0.25">
      <c r="B3356" s="23"/>
      <c r="E3356" s="23"/>
      <c r="G3356" s="23"/>
      <c r="H3356" s="23"/>
      <c r="J3356" s="23"/>
      <c r="K3356" s="23"/>
      <c r="M3356" s="23"/>
      <c r="N3356" s="23"/>
      <c r="P3356" s="23"/>
    </row>
    <row r="3357" spans="2:16" x14ac:dyDescent="0.25">
      <c r="B3357" s="23"/>
      <c r="E3357" s="23"/>
      <c r="G3357" s="23"/>
      <c r="H3357" s="23"/>
      <c r="J3357" s="23"/>
      <c r="K3357" s="23"/>
      <c r="M3357" s="23"/>
      <c r="N3357" s="23"/>
      <c r="P3357" s="23"/>
    </row>
    <row r="3358" spans="2:16" x14ac:dyDescent="0.25">
      <c r="B3358" s="23"/>
      <c r="E3358" s="23"/>
      <c r="G3358" s="23"/>
      <c r="H3358" s="23"/>
      <c r="J3358" s="23"/>
      <c r="K3358" s="23"/>
      <c r="M3358" s="23"/>
      <c r="N3358" s="23"/>
      <c r="P3358" s="23"/>
    </row>
    <row r="3359" spans="2:16" x14ac:dyDescent="0.25">
      <c r="B3359" s="23"/>
      <c r="E3359" s="23"/>
      <c r="G3359" s="23"/>
      <c r="H3359" s="23"/>
      <c r="J3359" s="23"/>
      <c r="K3359" s="23"/>
      <c r="M3359" s="23"/>
      <c r="N3359" s="23"/>
      <c r="P3359" s="23"/>
    </row>
    <row r="3360" spans="2:16" x14ac:dyDescent="0.25">
      <c r="B3360" s="23"/>
      <c r="E3360" s="23"/>
      <c r="G3360" s="23"/>
      <c r="H3360" s="23"/>
      <c r="J3360" s="23"/>
      <c r="K3360" s="23"/>
      <c r="M3360" s="23"/>
      <c r="N3360" s="23"/>
      <c r="P3360" s="23"/>
    </row>
    <row r="3361" spans="2:16" x14ac:dyDescent="0.25">
      <c r="B3361" s="23"/>
      <c r="E3361" s="23"/>
      <c r="G3361" s="23"/>
      <c r="H3361" s="23"/>
      <c r="J3361" s="23"/>
      <c r="K3361" s="23"/>
      <c r="M3361" s="23"/>
      <c r="N3361" s="23"/>
      <c r="P3361" s="23"/>
    </row>
    <row r="3362" spans="2:16" x14ac:dyDescent="0.25">
      <c r="B3362" s="23"/>
      <c r="E3362" s="23"/>
      <c r="G3362" s="23"/>
      <c r="H3362" s="23"/>
      <c r="J3362" s="23"/>
      <c r="K3362" s="23"/>
      <c r="M3362" s="23"/>
      <c r="N3362" s="23"/>
      <c r="P3362" s="23"/>
    </row>
    <row r="3363" spans="2:16" x14ac:dyDescent="0.25">
      <c r="B3363" s="23"/>
      <c r="E3363" s="23"/>
      <c r="G3363" s="23"/>
      <c r="H3363" s="23"/>
      <c r="J3363" s="23"/>
      <c r="K3363" s="23"/>
      <c r="M3363" s="23"/>
      <c r="N3363" s="23"/>
      <c r="P3363" s="23"/>
    </row>
    <row r="3364" spans="2:16" x14ac:dyDescent="0.25">
      <c r="B3364" s="23"/>
      <c r="E3364" s="23"/>
      <c r="G3364" s="23"/>
      <c r="H3364" s="23"/>
      <c r="J3364" s="23"/>
      <c r="K3364" s="23"/>
      <c r="M3364" s="23"/>
      <c r="N3364" s="23"/>
      <c r="P3364" s="23"/>
    </row>
    <row r="3365" spans="2:16" x14ac:dyDescent="0.25">
      <c r="B3365" s="23"/>
      <c r="E3365" s="23"/>
      <c r="G3365" s="23"/>
      <c r="H3365" s="23"/>
      <c r="J3365" s="23"/>
      <c r="K3365" s="23"/>
      <c r="M3365" s="23"/>
      <c r="N3365" s="23"/>
      <c r="P3365" s="23"/>
    </row>
    <row r="3366" spans="2:16" x14ac:dyDescent="0.25">
      <c r="B3366" s="23"/>
      <c r="E3366" s="23"/>
      <c r="G3366" s="23"/>
      <c r="H3366" s="23"/>
      <c r="J3366" s="23"/>
      <c r="K3366" s="23"/>
      <c r="M3366" s="23"/>
      <c r="N3366" s="23"/>
      <c r="P3366" s="23"/>
    </row>
    <row r="3367" spans="2:16" x14ac:dyDescent="0.25">
      <c r="B3367" s="23"/>
      <c r="E3367" s="23"/>
      <c r="G3367" s="23"/>
      <c r="H3367" s="23"/>
      <c r="J3367" s="23"/>
      <c r="K3367" s="23"/>
      <c r="M3367" s="23"/>
      <c r="N3367" s="23"/>
      <c r="P3367" s="23"/>
    </row>
    <row r="3368" spans="2:16" x14ac:dyDescent="0.25">
      <c r="B3368" s="23"/>
      <c r="E3368" s="23"/>
      <c r="G3368" s="23"/>
      <c r="H3368" s="23"/>
      <c r="J3368" s="23"/>
      <c r="K3368" s="23"/>
      <c r="M3368" s="23"/>
      <c r="N3368" s="23"/>
      <c r="P3368" s="23"/>
    </row>
    <row r="3369" spans="2:16" x14ac:dyDescent="0.25">
      <c r="B3369" s="23"/>
      <c r="E3369" s="23"/>
      <c r="G3369" s="23"/>
      <c r="H3369" s="23"/>
      <c r="J3369" s="23"/>
      <c r="K3369" s="23"/>
      <c r="M3369" s="23"/>
      <c r="N3369" s="23"/>
      <c r="P3369" s="23"/>
    </row>
    <row r="3370" spans="2:16" x14ac:dyDescent="0.25">
      <c r="B3370" s="23"/>
      <c r="E3370" s="23"/>
      <c r="G3370" s="23"/>
      <c r="H3370" s="23"/>
      <c r="J3370" s="23"/>
      <c r="K3370" s="23"/>
      <c r="M3370" s="23"/>
      <c r="N3370" s="23"/>
      <c r="P3370" s="23"/>
    </row>
    <row r="3371" spans="2:16" x14ac:dyDescent="0.25">
      <c r="B3371" s="23"/>
      <c r="E3371" s="23"/>
      <c r="G3371" s="23"/>
      <c r="H3371" s="23"/>
      <c r="J3371" s="23"/>
      <c r="K3371" s="23"/>
      <c r="M3371" s="23"/>
      <c r="N3371" s="23"/>
      <c r="P3371" s="23"/>
    </row>
    <row r="3372" spans="2:16" x14ac:dyDescent="0.25">
      <c r="B3372" s="23"/>
      <c r="E3372" s="23"/>
      <c r="G3372" s="23"/>
      <c r="H3372" s="23"/>
      <c r="J3372" s="23"/>
      <c r="K3372" s="23"/>
      <c r="M3372" s="23"/>
      <c r="N3372" s="23"/>
      <c r="P3372" s="23"/>
    </row>
    <row r="3373" spans="2:16" x14ac:dyDescent="0.25">
      <c r="B3373" s="23"/>
      <c r="E3373" s="23"/>
      <c r="G3373" s="23"/>
      <c r="H3373" s="23"/>
      <c r="J3373" s="23"/>
      <c r="K3373" s="23"/>
      <c r="M3373" s="23"/>
      <c r="N3373" s="23"/>
      <c r="P3373" s="23"/>
    </row>
    <row r="3374" spans="2:16" x14ac:dyDescent="0.25">
      <c r="B3374" s="23"/>
      <c r="E3374" s="23"/>
      <c r="G3374" s="23"/>
      <c r="H3374" s="23"/>
      <c r="J3374" s="23"/>
      <c r="K3374" s="23"/>
      <c r="M3374" s="23"/>
      <c r="N3374" s="23"/>
      <c r="P3374" s="23"/>
    </row>
    <row r="3375" spans="2:16" x14ac:dyDescent="0.25">
      <c r="B3375" s="23"/>
      <c r="E3375" s="23"/>
      <c r="G3375" s="23"/>
      <c r="H3375" s="23"/>
      <c r="J3375" s="23"/>
      <c r="K3375" s="23"/>
      <c r="M3375" s="23"/>
      <c r="N3375" s="23"/>
      <c r="P3375" s="23"/>
    </row>
    <row r="3376" spans="2:16" x14ac:dyDescent="0.25">
      <c r="B3376" s="23"/>
      <c r="E3376" s="23"/>
      <c r="G3376" s="23"/>
      <c r="H3376" s="23"/>
      <c r="J3376" s="23"/>
      <c r="K3376" s="23"/>
      <c r="M3376" s="23"/>
      <c r="N3376" s="23"/>
      <c r="P3376" s="23"/>
    </row>
    <row r="3377" spans="2:16" x14ac:dyDescent="0.25">
      <c r="B3377" s="23"/>
      <c r="E3377" s="23"/>
      <c r="G3377" s="23"/>
      <c r="H3377" s="23"/>
      <c r="J3377" s="23"/>
      <c r="K3377" s="23"/>
      <c r="M3377" s="23"/>
      <c r="N3377" s="23"/>
      <c r="P3377" s="23"/>
    </row>
    <row r="3378" spans="2:16" x14ac:dyDescent="0.25">
      <c r="B3378" s="23"/>
      <c r="E3378" s="23"/>
      <c r="G3378" s="23"/>
      <c r="H3378" s="23"/>
      <c r="J3378" s="23"/>
      <c r="K3378" s="23"/>
      <c r="M3378" s="23"/>
      <c r="N3378" s="23"/>
      <c r="P3378" s="23"/>
    </row>
    <row r="3379" spans="2:16" x14ac:dyDescent="0.25">
      <c r="B3379" s="23"/>
      <c r="E3379" s="23"/>
      <c r="G3379" s="23"/>
      <c r="H3379" s="23"/>
      <c r="J3379" s="23"/>
      <c r="K3379" s="23"/>
      <c r="M3379" s="23"/>
      <c r="N3379" s="23"/>
      <c r="P3379" s="23"/>
    </row>
    <row r="3380" spans="2:16" x14ac:dyDescent="0.25">
      <c r="B3380" s="23"/>
      <c r="E3380" s="23"/>
      <c r="G3380" s="23"/>
      <c r="H3380" s="23"/>
      <c r="J3380" s="23"/>
      <c r="K3380" s="23"/>
      <c r="M3380" s="23"/>
      <c r="N3380" s="23"/>
      <c r="P3380" s="23"/>
    </row>
    <row r="3381" spans="2:16" x14ac:dyDescent="0.25">
      <c r="B3381" s="23"/>
      <c r="E3381" s="23"/>
      <c r="G3381" s="23"/>
      <c r="H3381" s="23"/>
      <c r="J3381" s="23"/>
      <c r="K3381" s="23"/>
      <c r="M3381" s="23"/>
      <c r="N3381" s="23"/>
      <c r="P3381" s="23"/>
    </row>
    <row r="3382" spans="2:16" x14ac:dyDescent="0.25">
      <c r="B3382" s="23"/>
      <c r="E3382" s="23"/>
      <c r="G3382" s="23"/>
      <c r="H3382" s="23"/>
      <c r="J3382" s="23"/>
      <c r="K3382" s="23"/>
      <c r="M3382" s="23"/>
      <c r="N3382" s="23"/>
      <c r="P3382" s="23"/>
    </row>
    <row r="3383" spans="2:16" x14ac:dyDescent="0.25">
      <c r="B3383" s="23"/>
      <c r="E3383" s="23"/>
      <c r="G3383" s="23"/>
      <c r="H3383" s="23"/>
      <c r="J3383" s="23"/>
      <c r="K3383" s="23"/>
      <c r="M3383" s="23"/>
      <c r="N3383" s="23"/>
      <c r="P3383" s="23"/>
    </row>
    <row r="3384" spans="2:16" x14ac:dyDescent="0.25">
      <c r="B3384" s="23"/>
      <c r="E3384" s="23"/>
      <c r="G3384" s="23"/>
      <c r="H3384" s="23"/>
      <c r="J3384" s="23"/>
      <c r="K3384" s="23"/>
      <c r="M3384" s="23"/>
      <c r="N3384" s="23"/>
      <c r="P3384" s="23"/>
    </row>
    <row r="3385" spans="2:16" x14ac:dyDescent="0.25">
      <c r="B3385" s="23"/>
      <c r="E3385" s="23"/>
      <c r="G3385" s="23"/>
      <c r="H3385" s="23"/>
      <c r="J3385" s="23"/>
      <c r="K3385" s="23"/>
      <c r="M3385" s="23"/>
      <c r="N3385" s="23"/>
      <c r="P3385" s="23"/>
    </row>
    <row r="3386" spans="2:16" x14ac:dyDescent="0.25">
      <c r="B3386" s="23"/>
      <c r="E3386" s="23"/>
      <c r="G3386" s="23"/>
      <c r="H3386" s="23"/>
      <c r="J3386" s="23"/>
      <c r="K3386" s="23"/>
      <c r="M3386" s="23"/>
      <c r="N3386" s="23"/>
      <c r="P3386" s="23"/>
    </row>
    <row r="3387" spans="2:16" x14ac:dyDescent="0.25">
      <c r="B3387" s="23"/>
      <c r="E3387" s="23"/>
      <c r="G3387" s="23"/>
      <c r="H3387" s="23"/>
      <c r="J3387" s="23"/>
      <c r="K3387" s="23"/>
      <c r="M3387" s="23"/>
      <c r="N3387" s="23"/>
      <c r="P3387" s="23"/>
    </row>
    <row r="3388" spans="2:16" x14ac:dyDescent="0.25">
      <c r="B3388" s="23"/>
      <c r="E3388" s="23"/>
      <c r="G3388" s="23"/>
      <c r="H3388" s="23"/>
      <c r="J3388" s="23"/>
      <c r="K3388" s="23"/>
      <c r="M3388" s="23"/>
      <c r="N3388" s="23"/>
      <c r="P3388" s="23"/>
    </row>
    <row r="3389" spans="2:16" x14ac:dyDescent="0.25">
      <c r="B3389" s="23"/>
      <c r="E3389" s="23"/>
      <c r="G3389" s="23"/>
      <c r="H3389" s="23"/>
      <c r="J3389" s="23"/>
      <c r="K3389" s="23"/>
      <c r="M3389" s="23"/>
      <c r="N3389" s="23"/>
      <c r="P3389" s="23"/>
    </row>
    <row r="3390" spans="2:16" x14ac:dyDescent="0.25">
      <c r="B3390" s="23"/>
      <c r="E3390" s="23"/>
      <c r="G3390" s="23"/>
      <c r="H3390" s="23"/>
      <c r="J3390" s="23"/>
      <c r="K3390" s="23"/>
      <c r="M3390" s="23"/>
      <c r="N3390" s="23"/>
      <c r="P3390" s="23"/>
    </row>
    <row r="3391" spans="2:16" x14ac:dyDescent="0.25">
      <c r="B3391" s="23"/>
      <c r="E3391" s="23"/>
      <c r="G3391" s="23"/>
      <c r="H3391" s="23"/>
      <c r="J3391" s="23"/>
      <c r="K3391" s="23"/>
      <c r="M3391" s="23"/>
      <c r="N3391" s="23"/>
      <c r="P3391" s="23"/>
    </row>
    <row r="3392" spans="2:16" x14ac:dyDescent="0.25">
      <c r="B3392" s="23"/>
      <c r="E3392" s="23"/>
      <c r="G3392" s="23"/>
      <c r="H3392" s="23"/>
      <c r="J3392" s="23"/>
      <c r="K3392" s="23"/>
      <c r="M3392" s="23"/>
      <c r="N3392" s="23"/>
      <c r="P3392" s="23"/>
    </row>
    <row r="3393" spans="2:16" x14ac:dyDescent="0.25">
      <c r="B3393" s="23"/>
      <c r="E3393" s="23"/>
      <c r="G3393" s="23"/>
      <c r="H3393" s="23"/>
      <c r="J3393" s="23"/>
      <c r="K3393" s="23"/>
      <c r="M3393" s="23"/>
      <c r="N3393" s="23"/>
      <c r="P3393" s="23"/>
    </row>
    <row r="3394" spans="2:16" x14ac:dyDescent="0.25">
      <c r="B3394" s="23"/>
      <c r="E3394" s="23"/>
      <c r="G3394" s="23"/>
      <c r="H3394" s="23"/>
      <c r="J3394" s="23"/>
      <c r="K3394" s="23"/>
      <c r="M3394" s="23"/>
      <c r="N3394" s="23"/>
      <c r="P3394" s="23"/>
    </row>
    <row r="3395" spans="2:16" x14ac:dyDescent="0.25">
      <c r="B3395" s="23"/>
      <c r="E3395" s="23"/>
      <c r="G3395" s="23"/>
      <c r="H3395" s="23"/>
      <c r="J3395" s="23"/>
      <c r="K3395" s="23"/>
      <c r="M3395" s="23"/>
      <c r="N3395" s="23"/>
      <c r="P3395" s="23"/>
    </row>
    <row r="3396" spans="2:16" x14ac:dyDescent="0.25">
      <c r="B3396" s="23"/>
      <c r="E3396" s="23"/>
      <c r="G3396" s="23"/>
      <c r="H3396" s="23"/>
      <c r="J3396" s="23"/>
      <c r="K3396" s="23"/>
      <c r="M3396" s="23"/>
      <c r="N3396" s="23"/>
      <c r="P3396" s="23"/>
    </row>
    <row r="3397" spans="2:16" x14ac:dyDescent="0.25">
      <c r="B3397" s="23"/>
      <c r="E3397" s="23"/>
      <c r="G3397" s="23"/>
      <c r="H3397" s="23"/>
      <c r="J3397" s="23"/>
      <c r="K3397" s="23"/>
      <c r="M3397" s="23"/>
      <c r="N3397" s="23"/>
      <c r="P3397" s="23"/>
    </row>
    <row r="3398" spans="2:16" x14ac:dyDescent="0.25">
      <c r="B3398" s="23"/>
      <c r="E3398" s="23"/>
      <c r="G3398" s="23"/>
      <c r="H3398" s="23"/>
      <c r="J3398" s="23"/>
      <c r="K3398" s="23"/>
      <c r="M3398" s="23"/>
      <c r="N3398" s="23"/>
      <c r="P3398" s="23"/>
    </row>
    <row r="3399" spans="2:16" x14ac:dyDescent="0.25">
      <c r="B3399" s="23"/>
      <c r="E3399" s="23"/>
      <c r="G3399" s="23"/>
      <c r="H3399" s="23"/>
      <c r="J3399" s="23"/>
      <c r="K3399" s="23"/>
      <c r="M3399" s="23"/>
      <c r="N3399" s="23"/>
      <c r="P3399" s="23"/>
    </row>
    <row r="3400" spans="2:16" x14ac:dyDescent="0.25">
      <c r="B3400" s="23"/>
      <c r="E3400" s="23"/>
      <c r="G3400" s="23"/>
      <c r="H3400" s="23"/>
      <c r="J3400" s="23"/>
      <c r="K3400" s="23"/>
      <c r="M3400" s="23"/>
      <c r="N3400" s="23"/>
      <c r="P3400" s="23"/>
    </row>
    <row r="3401" spans="2:16" x14ac:dyDescent="0.25">
      <c r="B3401" s="23"/>
      <c r="E3401" s="23"/>
      <c r="G3401" s="23"/>
      <c r="H3401" s="23"/>
      <c r="J3401" s="23"/>
      <c r="K3401" s="23"/>
      <c r="M3401" s="23"/>
      <c r="N3401" s="23"/>
      <c r="P3401" s="23"/>
    </row>
    <row r="3402" spans="2:16" x14ac:dyDescent="0.25">
      <c r="B3402" s="23"/>
      <c r="E3402" s="23"/>
      <c r="G3402" s="23"/>
      <c r="H3402" s="23"/>
      <c r="J3402" s="23"/>
      <c r="K3402" s="23"/>
      <c r="M3402" s="23"/>
      <c r="N3402" s="23"/>
      <c r="P3402" s="23"/>
    </row>
    <row r="3403" spans="2:16" x14ac:dyDescent="0.25">
      <c r="B3403" s="23"/>
      <c r="E3403" s="23"/>
      <c r="G3403" s="23"/>
      <c r="H3403" s="23"/>
      <c r="J3403" s="23"/>
      <c r="K3403" s="23"/>
      <c r="M3403" s="23"/>
      <c r="N3403" s="23"/>
      <c r="P3403" s="23"/>
    </row>
    <row r="3404" spans="2:16" x14ac:dyDescent="0.25">
      <c r="B3404" s="23"/>
      <c r="E3404" s="23"/>
      <c r="G3404" s="23"/>
      <c r="H3404" s="23"/>
      <c r="J3404" s="23"/>
      <c r="K3404" s="23"/>
      <c r="M3404" s="23"/>
      <c r="N3404" s="23"/>
      <c r="P3404" s="23"/>
    </row>
    <row r="3405" spans="2:16" x14ac:dyDescent="0.25">
      <c r="B3405" s="23"/>
      <c r="E3405" s="23"/>
      <c r="G3405" s="23"/>
      <c r="H3405" s="23"/>
      <c r="J3405" s="23"/>
      <c r="K3405" s="23"/>
      <c r="M3405" s="23"/>
      <c r="N3405" s="23"/>
      <c r="P3405" s="23"/>
    </row>
    <row r="3406" spans="2:16" x14ac:dyDescent="0.25">
      <c r="B3406" s="23"/>
      <c r="E3406" s="23"/>
      <c r="G3406" s="23"/>
      <c r="H3406" s="23"/>
      <c r="J3406" s="23"/>
      <c r="K3406" s="23"/>
      <c r="M3406" s="23"/>
      <c r="N3406" s="23"/>
      <c r="P3406" s="23"/>
    </row>
    <row r="3407" spans="2:16" x14ac:dyDescent="0.25">
      <c r="B3407" s="23"/>
      <c r="E3407" s="23"/>
      <c r="G3407" s="23"/>
      <c r="H3407" s="23"/>
      <c r="J3407" s="23"/>
      <c r="K3407" s="23"/>
      <c r="M3407" s="23"/>
      <c r="N3407" s="23"/>
      <c r="P3407" s="23"/>
    </row>
    <row r="3408" spans="2:16" x14ac:dyDescent="0.25">
      <c r="B3408" s="23"/>
      <c r="E3408" s="23"/>
      <c r="G3408" s="23"/>
      <c r="H3408" s="23"/>
      <c r="J3408" s="23"/>
      <c r="K3408" s="23"/>
      <c r="M3408" s="23"/>
      <c r="N3408" s="23"/>
      <c r="P3408" s="23"/>
    </row>
    <row r="3409" spans="2:16" x14ac:dyDescent="0.25">
      <c r="B3409" s="23"/>
      <c r="E3409" s="23"/>
      <c r="G3409" s="23"/>
      <c r="H3409" s="23"/>
      <c r="J3409" s="23"/>
      <c r="K3409" s="23"/>
      <c r="M3409" s="23"/>
      <c r="N3409" s="23"/>
      <c r="P3409" s="23"/>
    </row>
    <row r="3410" spans="2:16" x14ac:dyDescent="0.25">
      <c r="B3410" s="23"/>
      <c r="E3410" s="23"/>
      <c r="G3410" s="23"/>
      <c r="H3410" s="23"/>
      <c r="J3410" s="23"/>
      <c r="K3410" s="23"/>
      <c r="M3410" s="23"/>
      <c r="N3410" s="23"/>
      <c r="P3410" s="23"/>
    </row>
    <row r="3411" spans="2:16" x14ac:dyDescent="0.25">
      <c r="B3411" s="23"/>
      <c r="E3411" s="23"/>
      <c r="G3411" s="23"/>
      <c r="H3411" s="23"/>
      <c r="J3411" s="23"/>
      <c r="K3411" s="23"/>
      <c r="M3411" s="23"/>
      <c r="N3411" s="23"/>
      <c r="P3411" s="23"/>
    </row>
    <row r="3412" spans="2:16" x14ac:dyDescent="0.25">
      <c r="B3412" s="23"/>
      <c r="E3412" s="23"/>
      <c r="G3412" s="23"/>
      <c r="H3412" s="23"/>
      <c r="J3412" s="23"/>
      <c r="K3412" s="23"/>
      <c r="M3412" s="23"/>
      <c r="N3412" s="23"/>
      <c r="P3412" s="23"/>
    </row>
    <row r="3413" spans="2:16" x14ac:dyDescent="0.25">
      <c r="B3413" s="23"/>
      <c r="E3413" s="23"/>
      <c r="G3413" s="23"/>
      <c r="H3413" s="23"/>
      <c r="J3413" s="23"/>
      <c r="K3413" s="23"/>
      <c r="M3413" s="23"/>
      <c r="N3413" s="23"/>
      <c r="P3413" s="23"/>
    </row>
    <row r="3414" spans="2:16" x14ac:dyDescent="0.25">
      <c r="B3414" s="23"/>
      <c r="E3414" s="23"/>
      <c r="G3414" s="23"/>
      <c r="H3414" s="23"/>
      <c r="J3414" s="23"/>
      <c r="K3414" s="23"/>
      <c r="M3414" s="23"/>
      <c r="N3414" s="23"/>
      <c r="P3414" s="23"/>
    </row>
    <row r="3415" spans="2:16" x14ac:dyDescent="0.25">
      <c r="B3415" s="23"/>
      <c r="E3415" s="23"/>
      <c r="G3415" s="23"/>
      <c r="H3415" s="23"/>
      <c r="J3415" s="23"/>
      <c r="K3415" s="23"/>
      <c r="M3415" s="23"/>
      <c r="N3415" s="23"/>
      <c r="P3415" s="23"/>
    </row>
    <row r="3416" spans="2:16" x14ac:dyDescent="0.25">
      <c r="B3416" s="23"/>
      <c r="E3416" s="23"/>
      <c r="G3416" s="23"/>
      <c r="H3416" s="23"/>
      <c r="J3416" s="23"/>
      <c r="K3416" s="23"/>
      <c r="M3416" s="23"/>
      <c r="N3416" s="23"/>
      <c r="P3416" s="23"/>
    </row>
    <row r="3417" spans="2:16" x14ac:dyDescent="0.25">
      <c r="B3417" s="23"/>
      <c r="E3417" s="23"/>
      <c r="G3417" s="23"/>
      <c r="H3417" s="23"/>
      <c r="J3417" s="23"/>
      <c r="K3417" s="23"/>
      <c r="M3417" s="23"/>
      <c r="N3417" s="23"/>
      <c r="P3417" s="23"/>
    </row>
    <row r="3418" spans="2:16" x14ac:dyDescent="0.25">
      <c r="B3418" s="23"/>
      <c r="E3418" s="23"/>
      <c r="G3418" s="23"/>
      <c r="H3418" s="23"/>
      <c r="J3418" s="23"/>
      <c r="K3418" s="23"/>
      <c r="M3418" s="23"/>
      <c r="N3418" s="23"/>
      <c r="P3418" s="23"/>
    </row>
    <row r="3419" spans="2:16" x14ac:dyDescent="0.25">
      <c r="B3419" s="23"/>
      <c r="E3419" s="23"/>
      <c r="G3419" s="23"/>
      <c r="H3419" s="23"/>
      <c r="J3419" s="23"/>
      <c r="K3419" s="23"/>
      <c r="M3419" s="23"/>
      <c r="N3419" s="23"/>
      <c r="P3419" s="23"/>
    </row>
    <row r="3420" spans="2:16" x14ac:dyDescent="0.25">
      <c r="B3420" s="23"/>
      <c r="E3420" s="23"/>
      <c r="G3420" s="23"/>
      <c r="H3420" s="23"/>
      <c r="J3420" s="23"/>
      <c r="K3420" s="23"/>
      <c r="M3420" s="23"/>
      <c r="N3420" s="23"/>
      <c r="P3420" s="23"/>
    </row>
    <row r="3421" spans="2:16" x14ac:dyDescent="0.25">
      <c r="B3421" s="23"/>
      <c r="E3421" s="23"/>
      <c r="G3421" s="23"/>
      <c r="H3421" s="23"/>
      <c r="J3421" s="23"/>
      <c r="K3421" s="23"/>
      <c r="M3421" s="23"/>
      <c r="N3421" s="23"/>
      <c r="P3421" s="23"/>
    </row>
    <row r="3422" spans="2:16" x14ac:dyDescent="0.25">
      <c r="B3422" s="23"/>
      <c r="E3422" s="23"/>
      <c r="G3422" s="23"/>
      <c r="H3422" s="23"/>
      <c r="J3422" s="23"/>
      <c r="K3422" s="23"/>
      <c r="M3422" s="23"/>
      <c r="N3422" s="23"/>
      <c r="P3422" s="23"/>
    </row>
    <row r="3423" spans="2:16" x14ac:dyDescent="0.25">
      <c r="B3423" s="23"/>
      <c r="E3423" s="23"/>
      <c r="G3423" s="23"/>
      <c r="H3423" s="23"/>
      <c r="J3423" s="23"/>
      <c r="K3423" s="23"/>
      <c r="M3423" s="23"/>
      <c r="N3423" s="23"/>
      <c r="P3423" s="23"/>
    </row>
    <row r="3424" spans="2:16" x14ac:dyDescent="0.25">
      <c r="B3424" s="23"/>
      <c r="E3424" s="23"/>
      <c r="G3424" s="23"/>
      <c r="H3424" s="23"/>
      <c r="J3424" s="23"/>
      <c r="K3424" s="23"/>
      <c r="M3424" s="23"/>
      <c r="N3424" s="23"/>
      <c r="P3424" s="23"/>
    </row>
    <row r="3425" spans="2:16" x14ac:dyDescent="0.25">
      <c r="B3425" s="23"/>
      <c r="E3425" s="23"/>
      <c r="G3425" s="23"/>
      <c r="H3425" s="23"/>
      <c r="J3425" s="23"/>
      <c r="K3425" s="23"/>
      <c r="M3425" s="23"/>
      <c r="N3425" s="23"/>
      <c r="P3425" s="23"/>
    </row>
    <row r="3426" spans="2:16" x14ac:dyDescent="0.25">
      <c r="B3426" s="23"/>
      <c r="E3426" s="23"/>
      <c r="G3426" s="23"/>
      <c r="H3426" s="23"/>
      <c r="J3426" s="23"/>
      <c r="K3426" s="23"/>
      <c r="M3426" s="23"/>
      <c r="N3426" s="23"/>
      <c r="P3426" s="23"/>
    </row>
    <row r="3427" spans="2:16" x14ac:dyDescent="0.25">
      <c r="B3427" s="23"/>
      <c r="E3427" s="23"/>
      <c r="G3427" s="23"/>
      <c r="H3427" s="23"/>
      <c r="J3427" s="23"/>
      <c r="K3427" s="23"/>
      <c r="M3427" s="23"/>
      <c r="N3427" s="23"/>
      <c r="P3427" s="23"/>
    </row>
    <row r="3428" spans="2:16" x14ac:dyDescent="0.25">
      <c r="B3428" s="23"/>
      <c r="E3428" s="23"/>
      <c r="G3428" s="23"/>
      <c r="H3428" s="23"/>
      <c r="J3428" s="23"/>
      <c r="K3428" s="23"/>
      <c r="M3428" s="23"/>
      <c r="N3428" s="23"/>
      <c r="P3428" s="23"/>
    </row>
    <row r="3429" spans="2:16" x14ac:dyDescent="0.25">
      <c r="B3429" s="23"/>
      <c r="E3429" s="23"/>
      <c r="G3429" s="23"/>
      <c r="H3429" s="23"/>
      <c r="J3429" s="23"/>
      <c r="K3429" s="23"/>
      <c r="M3429" s="23"/>
      <c r="N3429" s="23"/>
      <c r="P3429" s="23"/>
    </row>
    <row r="3430" spans="2:16" x14ac:dyDescent="0.25">
      <c r="B3430" s="23"/>
      <c r="E3430" s="23"/>
      <c r="G3430" s="23"/>
      <c r="H3430" s="23"/>
      <c r="J3430" s="23"/>
      <c r="K3430" s="23"/>
      <c r="M3430" s="23"/>
      <c r="N3430" s="23"/>
      <c r="P3430" s="23"/>
    </row>
    <row r="3431" spans="2:16" x14ac:dyDescent="0.25">
      <c r="B3431" s="23"/>
      <c r="E3431" s="23"/>
      <c r="G3431" s="23"/>
      <c r="H3431" s="23"/>
      <c r="J3431" s="23"/>
      <c r="K3431" s="23"/>
      <c r="M3431" s="23"/>
      <c r="N3431" s="23"/>
      <c r="P3431" s="23"/>
    </row>
    <row r="3432" spans="2:16" x14ac:dyDescent="0.25">
      <c r="B3432" s="23"/>
      <c r="E3432" s="23"/>
      <c r="G3432" s="23"/>
      <c r="H3432" s="23"/>
      <c r="J3432" s="23"/>
      <c r="K3432" s="23"/>
      <c r="M3432" s="23"/>
      <c r="N3432" s="23"/>
      <c r="P3432" s="23"/>
    </row>
    <row r="3433" spans="2:16" x14ac:dyDescent="0.25">
      <c r="B3433" s="23"/>
      <c r="E3433" s="23"/>
      <c r="G3433" s="23"/>
      <c r="H3433" s="23"/>
      <c r="J3433" s="23"/>
      <c r="K3433" s="23"/>
      <c r="M3433" s="23"/>
      <c r="N3433" s="23"/>
      <c r="P3433" s="23"/>
    </row>
    <row r="3434" spans="2:16" x14ac:dyDescent="0.25">
      <c r="B3434" s="23"/>
      <c r="E3434" s="23"/>
      <c r="G3434" s="23"/>
      <c r="H3434" s="23"/>
      <c r="J3434" s="23"/>
      <c r="K3434" s="23"/>
      <c r="M3434" s="23"/>
      <c r="N3434" s="23"/>
      <c r="P3434" s="23"/>
    </row>
    <row r="3435" spans="2:16" x14ac:dyDescent="0.25">
      <c r="B3435" s="23"/>
      <c r="E3435" s="23"/>
      <c r="G3435" s="23"/>
      <c r="H3435" s="23"/>
      <c r="J3435" s="23"/>
      <c r="K3435" s="23"/>
      <c r="M3435" s="23"/>
      <c r="N3435" s="23"/>
      <c r="P3435" s="23"/>
    </row>
    <row r="3436" spans="2:16" x14ac:dyDescent="0.25">
      <c r="B3436" s="23"/>
      <c r="E3436" s="23"/>
      <c r="G3436" s="23"/>
      <c r="H3436" s="23"/>
      <c r="J3436" s="23"/>
      <c r="K3436" s="23"/>
      <c r="M3436" s="23"/>
      <c r="N3436" s="23"/>
      <c r="P3436" s="23"/>
    </row>
    <row r="3437" spans="2:16" x14ac:dyDescent="0.25">
      <c r="B3437" s="23"/>
      <c r="E3437" s="23"/>
      <c r="G3437" s="23"/>
      <c r="H3437" s="23"/>
      <c r="J3437" s="23"/>
      <c r="K3437" s="23"/>
      <c r="M3437" s="23"/>
      <c r="N3437" s="23"/>
      <c r="P3437" s="23"/>
    </row>
    <row r="3438" spans="2:16" x14ac:dyDescent="0.25">
      <c r="B3438" s="23"/>
      <c r="E3438" s="23"/>
      <c r="G3438" s="23"/>
      <c r="H3438" s="23"/>
      <c r="J3438" s="23"/>
      <c r="K3438" s="23"/>
      <c r="M3438" s="23"/>
      <c r="N3438" s="23"/>
      <c r="P3438" s="23"/>
    </row>
    <row r="3439" spans="2:16" x14ac:dyDescent="0.25">
      <c r="B3439" s="23"/>
      <c r="E3439" s="23"/>
      <c r="G3439" s="23"/>
      <c r="H3439" s="23"/>
      <c r="J3439" s="23"/>
      <c r="K3439" s="23"/>
      <c r="M3439" s="23"/>
      <c r="N3439" s="23"/>
      <c r="P3439" s="23"/>
    </row>
    <row r="3440" spans="2:16" x14ac:dyDescent="0.25">
      <c r="B3440" s="23"/>
      <c r="E3440" s="23"/>
      <c r="G3440" s="23"/>
      <c r="H3440" s="23"/>
      <c r="J3440" s="23"/>
      <c r="K3440" s="23"/>
      <c r="M3440" s="23"/>
      <c r="N3440" s="23"/>
      <c r="P3440" s="23"/>
    </row>
    <row r="3441" spans="2:16" x14ac:dyDescent="0.25">
      <c r="B3441" s="23"/>
      <c r="E3441" s="23"/>
      <c r="G3441" s="23"/>
      <c r="H3441" s="23"/>
      <c r="J3441" s="23"/>
      <c r="K3441" s="23"/>
      <c r="M3441" s="23"/>
      <c r="N3441" s="23"/>
      <c r="P3441" s="23"/>
    </row>
    <row r="3442" spans="2:16" x14ac:dyDescent="0.25">
      <c r="B3442" s="23"/>
      <c r="E3442" s="23"/>
      <c r="G3442" s="23"/>
      <c r="H3442" s="23"/>
      <c r="J3442" s="23"/>
      <c r="K3442" s="23"/>
      <c r="M3442" s="23"/>
      <c r="N3442" s="23"/>
      <c r="P3442" s="23"/>
    </row>
    <row r="3443" spans="2:16" x14ac:dyDescent="0.25">
      <c r="B3443" s="23"/>
      <c r="E3443" s="23"/>
      <c r="G3443" s="23"/>
      <c r="H3443" s="23"/>
      <c r="J3443" s="23"/>
      <c r="K3443" s="23"/>
      <c r="M3443" s="23"/>
      <c r="N3443" s="23"/>
      <c r="P3443" s="23"/>
    </row>
    <row r="3444" spans="2:16" x14ac:dyDescent="0.25">
      <c r="B3444" s="23"/>
      <c r="E3444" s="23"/>
      <c r="G3444" s="23"/>
      <c r="H3444" s="23"/>
      <c r="J3444" s="23"/>
      <c r="K3444" s="23"/>
      <c r="M3444" s="23"/>
      <c r="N3444" s="23"/>
      <c r="P3444" s="23"/>
    </row>
    <row r="3445" spans="2:16" x14ac:dyDescent="0.25">
      <c r="B3445" s="23"/>
      <c r="E3445" s="23"/>
      <c r="G3445" s="23"/>
      <c r="H3445" s="23"/>
      <c r="J3445" s="23"/>
      <c r="K3445" s="23"/>
      <c r="M3445" s="23"/>
      <c r="N3445" s="23"/>
      <c r="P3445" s="23"/>
    </row>
    <row r="3446" spans="2:16" x14ac:dyDescent="0.25">
      <c r="B3446" s="23"/>
      <c r="E3446" s="23"/>
      <c r="G3446" s="23"/>
      <c r="H3446" s="23"/>
      <c r="J3446" s="23"/>
      <c r="K3446" s="23"/>
      <c r="M3446" s="23"/>
      <c r="N3446" s="23"/>
      <c r="P3446" s="23"/>
    </row>
    <row r="3447" spans="2:16" x14ac:dyDescent="0.25">
      <c r="B3447" s="23"/>
      <c r="E3447" s="23"/>
      <c r="G3447" s="23"/>
      <c r="H3447" s="23"/>
      <c r="J3447" s="23"/>
      <c r="K3447" s="23"/>
      <c r="M3447" s="23"/>
      <c r="N3447" s="23"/>
      <c r="P3447" s="23"/>
    </row>
    <row r="3448" spans="2:16" x14ac:dyDescent="0.25">
      <c r="B3448" s="23"/>
      <c r="E3448" s="23"/>
      <c r="G3448" s="23"/>
      <c r="H3448" s="23"/>
      <c r="J3448" s="23"/>
      <c r="K3448" s="23"/>
      <c r="M3448" s="23"/>
      <c r="N3448" s="23"/>
      <c r="P3448" s="23"/>
    </row>
    <row r="3449" spans="2:16" x14ac:dyDescent="0.25">
      <c r="B3449" s="23"/>
      <c r="E3449" s="23"/>
      <c r="G3449" s="23"/>
      <c r="H3449" s="23"/>
      <c r="J3449" s="23"/>
      <c r="K3449" s="23"/>
      <c r="M3449" s="23"/>
      <c r="N3449" s="23"/>
      <c r="P3449" s="23"/>
    </row>
    <row r="3450" spans="2:16" x14ac:dyDescent="0.25">
      <c r="B3450" s="23"/>
      <c r="E3450" s="23"/>
      <c r="G3450" s="23"/>
      <c r="H3450" s="23"/>
      <c r="J3450" s="23"/>
      <c r="K3450" s="23"/>
      <c r="M3450" s="23"/>
      <c r="N3450" s="23"/>
      <c r="P3450" s="23"/>
    </row>
    <row r="3451" spans="2:16" x14ac:dyDescent="0.25">
      <c r="B3451" s="23"/>
      <c r="E3451" s="23"/>
      <c r="G3451" s="23"/>
      <c r="H3451" s="23"/>
      <c r="J3451" s="23"/>
      <c r="K3451" s="23"/>
      <c r="M3451" s="23"/>
      <c r="N3451" s="23"/>
      <c r="P3451" s="23"/>
    </row>
    <row r="3452" spans="2:16" x14ac:dyDescent="0.25">
      <c r="B3452" s="23"/>
      <c r="E3452" s="23"/>
      <c r="G3452" s="23"/>
      <c r="H3452" s="23"/>
      <c r="J3452" s="23"/>
      <c r="K3452" s="23"/>
      <c r="M3452" s="23"/>
      <c r="N3452" s="23"/>
      <c r="P3452" s="23"/>
    </row>
    <row r="3453" spans="2:16" x14ac:dyDescent="0.25">
      <c r="B3453" s="23"/>
      <c r="E3453" s="23"/>
      <c r="G3453" s="23"/>
      <c r="H3453" s="23"/>
      <c r="J3453" s="23"/>
      <c r="K3453" s="23"/>
      <c r="M3453" s="23"/>
      <c r="N3453" s="23"/>
      <c r="P3453" s="23"/>
    </row>
    <row r="3454" spans="2:16" x14ac:dyDescent="0.25">
      <c r="B3454" s="23"/>
      <c r="E3454" s="23"/>
      <c r="G3454" s="23"/>
      <c r="H3454" s="23"/>
      <c r="J3454" s="23"/>
      <c r="K3454" s="23"/>
      <c r="M3454" s="23"/>
      <c r="N3454" s="23"/>
      <c r="P3454" s="23"/>
    </row>
    <row r="3455" spans="2:16" x14ac:dyDescent="0.25">
      <c r="B3455" s="23"/>
      <c r="E3455" s="23"/>
      <c r="G3455" s="23"/>
      <c r="H3455" s="23"/>
      <c r="J3455" s="23"/>
      <c r="K3455" s="23"/>
      <c r="M3455" s="23"/>
      <c r="N3455" s="23"/>
      <c r="P3455" s="23"/>
    </row>
    <row r="3456" spans="2:16" x14ac:dyDescent="0.25">
      <c r="B3456" s="23"/>
      <c r="E3456" s="23"/>
      <c r="G3456" s="23"/>
      <c r="H3456" s="23"/>
      <c r="J3456" s="23"/>
      <c r="K3456" s="23"/>
      <c r="M3456" s="23"/>
      <c r="N3456" s="23"/>
      <c r="P3456" s="23"/>
    </row>
    <row r="3457" spans="2:16" x14ac:dyDescent="0.25">
      <c r="B3457" s="23"/>
      <c r="E3457" s="23"/>
      <c r="G3457" s="23"/>
      <c r="H3457" s="23"/>
      <c r="J3457" s="23"/>
      <c r="K3457" s="23"/>
      <c r="M3457" s="23"/>
      <c r="N3457" s="23"/>
      <c r="P3457" s="23"/>
    </row>
    <row r="3458" spans="2:16" x14ac:dyDescent="0.25">
      <c r="B3458" s="23"/>
      <c r="E3458" s="23"/>
      <c r="G3458" s="23"/>
      <c r="H3458" s="23"/>
      <c r="J3458" s="23"/>
      <c r="K3458" s="23"/>
      <c r="M3458" s="23"/>
      <c r="N3458" s="23"/>
      <c r="P3458" s="23"/>
    </row>
    <row r="3459" spans="2:16" x14ac:dyDescent="0.25">
      <c r="B3459" s="23"/>
      <c r="E3459" s="23"/>
      <c r="G3459" s="23"/>
      <c r="H3459" s="23"/>
      <c r="J3459" s="23"/>
      <c r="K3459" s="23"/>
      <c r="M3459" s="23"/>
      <c r="N3459" s="23"/>
      <c r="P3459" s="23"/>
    </row>
    <row r="3460" spans="2:16" x14ac:dyDescent="0.25">
      <c r="B3460" s="23"/>
      <c r="E3460" s="23"/>
      <c r="G3460" s="23"/>
      <c r="H3460" s="23"/>
      <c r="J3460" s="23"/>
      <c r="K3460" s="23"/>
      <c r="M3460" s="23"/>
      <c r="N3460" s="23"/>
      <c r="P3460" s="23"/>
    </row>
    <row r="3461" spans="2:16" x14ac:dyDescent="0.25">
      <c r="B3461" s="23"/>
      <c r="E3461" s="23"/>
      <c r="G3461" s="23"/>
      <c r="H3461" s="23"/>
      <c r="J3461" s="23"/>
      <c r="K3461" s="23"/>
      <c r="M3461" s="23"/>
      <c r="N3461" s="23"/>
      <c r="P3461" s="23"/>
    </row>
    <row r="3462" spans="2:16" x14ac:dyDescent="0.25">
      <c r="B3462" s="23"/>
      <c r="E3462" s="23"/>
      <c r="G3462" s="23"/>
      <c r="H3462" s="23"/>
      <c r="J3462" s="23"/>
      <c r="K3462" s="23"/>
      <c r="M3462" s="23"/>
      <c r="N3462" s="23"/>
      <c r="P3462" s="23"/>
    </row>
    <row r="3463" spans="2:16" x14ac:dyDescent="0.25">
      <c r="B3463" s="23"/>
      <c r="E3463" s="23"/>
      <c r="G3463" s="23"/>
      <c r="H3463" s="23"/>
      <c r="J3463" s="23"/>
      <c r="K3463" s="23"/>
      <c r="M3463" s="23"/>
      <c r="N3463" s="23"/>
      <c r="P3463" s="23"/>
    </row>
    <row r="3464" spans="2:16" x14ac:dyDescent="0.25">
      <c r="B3464" s="23"/>
      <c r="E3464" s="23"/>
      <c r="G3464" s="23"/>
      <c r="H3464" s="23"/>
      <c r="J3464" s="23"/>
      <c r="K3464" s="23"/>
      <c r="M3464" s="23"/>
      <c r="N3464" s="23"/>
      <c r="P3464" s="23"/>
    </row>
    <row r="3465" spans="2:16" x14ac:dyDescent="0.25">
      <c r="B3465" s="23"/>
      <c r="E3465" s="23"/>
      <c r="G3465" s="23"/>
      <c r="H3465" s="23"/>
      <c r="J3465" s="23"/>
      <c r="K3465" s="23"/>
      <c r="M3465" s="23"/>
      <c r="N3465" s="23"/>
      <c r="P3465" s="23"/>
    </row>
    <row r="3466" spans="2:16" x14ac:dyDescent="0.25">
      <c r="B3466" s="23"/>
      <c r="E3466" s="23"/>
      <c r="G3466" s="23"/>
      <c r="H3466" s="23"/>
      <c r="J3466" s="23"/>
      <c r="K3466" s="23"/>
      <c r="M3466" s="23"/>
      <c r="N3466" s="23"/>
      <c r="P3466" s="23"/>
    </row>
    <row r="3467" spans="2:16" x14ac:dyDescent="0.25">
      <c r="B3467" s="23"/>
      <c r="E3467" s="23"/>
      <c r="G3467" s="23"/>
      <c r="H3467" s="23"/>
      <c r="J3467" s="23"/>
      <c r="K3467" s="23"/>
      <c r="M3467" s="23"/>
      <c r="N3467" s="23"/>
      <c r="P3467" s="23"/>
    </row>
    <row r="3468" spans="2:16" x14ac:dyDescent="0.25">
      <c r="B3468" s="23"/>
      <c r="E3468" s="23"/>
      <c r="G3468" s="23"/>
      <c r="H3468" s="23"/>
      <c r="J3468" s="23"/>
      <c r="K3468" s="23"/>
      <c r="M3468" s="23"/>
      <c r="N3468" s="23"/>
      <c r="P3468" s="23"/>
    </row>
    <row r="3469" spans="2:16" x14ac:dyDescent="0.25">
      <c r="B3469" s="23"/>
      <c r="E3469" s="23"/>
      <c r="G3469" s="23"/>
      <c r="H3469" s="23"/>
      <c r="J3469" s="23"/>
      <c r="K3469" s="23"/>
      <c r="M3469" s="23"/>
      <c r="N3469" s="23"/>
      <c r="P3469" s="23"/>
    </row>
    <row r="3470" spans="2:16" x14ac:dyDescent="0.25">
      <c r="B3470" s="23"/>
      <c r="E3470" s="23"/>
      <c r="G3470" s="23"/>
      <c r="H3470" s="23"/>
      <c r="J3470" s="23"/>
      <c r="K3470" s="23"/>
      <c r="M3470" s="23"/>
      <c r="N3470" s="23"/>
      <c r="P3470" s="23"/>
    </row>
    <row r="3471" spans="2:16" x14ac:dyDescent="0.25">
      <c r="B3471" s="23"/>
      <c r="E3471" s="23"/>
      <c r="G3471" s="23"/>
      <c r="H3471" s="23"/>
      <c r="J3471" s="23"/>
      <c r="K3471" s="23"/>
      <c r="M3471" s="23"/>
      <c r="N3471" s="23"/>
      <c r="P3471" s="23"/>
    </row>
    <row r="3472" spans="2:16" x14ac:dyDescent="0.25">
      <c r="B3472" s="23"/>
      <c r="E3472" s="23"/>
      <c r="G3472" s="23"/>
      <c r="H3472" s="23"/>
      <c r="J3472" s="23"/>
      <c r="K3472" s="23"/>
      <c r="M3472" s="23"/>
      <c r="N3472" s="23"/>
      <c r="P3472" s="23"/>
    </row>
    <row r="3473" spans="2:16" x14ac:dyDescent="0.25">
      <c r="B3473" s="23"/>
      <c r="E3473" s="23"/>
      <c r="G3473" s="23"/>
      <c r="H3473" s="23"/>
      <c r="J3473" s="23"/>
      <c r="K3473" s="23"/>
      <c r="M3473" s="23"/>
      <c r="N3473" s="23"/>
      <c r="P3473" s="23"/>
    </row>
    <row r="3474" spans="2:16" x14ac:dyDescent="0.25">
      <c r="B3474" s="23"/>
      <c r="E3474" s="23"/>
      <c r="G3474" s="23"/>
      <c r="H3474" s="23"/>
      <c r="J3474" s="23"/>
      <c r="K3474" s="23"/>
      <c r="M3474" s="23"/>
      <c r="N3474" s="23"/>
      <c r="P3474" s="23"/>
    </row>
    <row r="3475" spans="2:16" x14ac:dyDescent="0.25">
      <c r="B3475" s="23"/>
      <c r="E3475" s="23"/>
      <c r="G3475" s="23"/>
      <c r="H3475" s="23"/>
      <c r="J3475" s="23"/>
      <c r="K3475" s="23"/>
      <c r="M3475" s="23"/>
      <c r="N3475" s="23"/>
      <c r="P3475" s="23"/>
    </row>
    <row r="3476" spans="2:16" x14ac:dyDescent="0.25">
      <c r="B3476" s="23"/>
      <c r="E3476" s="23"/>
      <c r="G3476" s="23"/>
      <c r="H3476" s="23"/>
      <c r="J3476" s="23"/>
      <c r="K3476" s="23"/>
      <c r="M3476" s="23"/>
      <c r="N3476" s="23"/>
      <c r="P3476" s="23"/>
    </row>
    <row r="3477" spans="2:16" x14ac:dyDescent="0.25">
      <c r="B3477" s="23"/>
      <c r="E3477" s="23"/>
      <c r="G3477" s="23"/>
      <c r="H3477" s="23"/>
      <c r="J3477" s="23"/>
      <c r="K3477" s="23"/>
      <c r="M3477" s="23"/>
      <c r="N3477" s="23"/>
      <c r="P3477" s="23"/>
    </row>
    <row r="3478" spans="2:16" x14ac:dyDescent="0.25">
      <c r="B3478" s="23"/>
      <c r="E3478" s="23"/>
      <c r="G3478" s="23"/>
      <c r="H3478" s="23"/>
      <c r="J3478" s="23"/>
      <c r="K3478" s="23"/>
      <c r="M3478" s="23"/>
      <c r="N3478" s="23"/>
      <c r="P3478" s="23"/>
    </row>
    <row r="3479" spans="2:16" x14ac:dyDescent="0.25">
      <c r="B3479" s="23"/>
      <c r="E3479" s="23"/>
      <c r="G3479" s="23"/>
      <c r="H3479" s="23"/>
      <c r="J3479" s="23"/>
      <c r="K3479" s="23"/>
      <c r="M3479" s="23"/>
      <c r="N3479" s="23"/>
      <c r="P3479" s="23"/>
    </row>
    <row r="3480" spans="2:16" x14ac:dyDescent="0.25">
      <c r="B3480" s="23"/>
      <c r="E3480" s="23"/>
      <c r="G3480" s="23"/>
      <c r="H3480" s="23"/>
      <c r="J3480" s="23"/>
      <c r="K3480" s="23"/>
      <c r="M3480" s="23"/>
      <c r="N3480" s="23"/>
      <c r="P3480" s="23"/>
    </row>
    <row r="3481" spans="2:16" x14ac:dyDescent="0.25">
      <c r="B3481" s="23"/>
      <c r="E3481" s="23"/>
      <c r="G3481" s="23"/>
      <c r="H3481" s="23"/>
      <c r="J3481" s="23"/>
      <c r="K3481" s="23"/>
      <c r="M3481" s="23"/>
      <c r="N3481" s="23"/>
      <c r="P3481" s="23"/>
    </row>
    <row r="3482" spans="2:16" x14ac:dyDescent="0.25">
      <c r="B3482" s="23"/>
      <c r="E3482" s="23"/>
      <c r="G3482" s="23"/>
      <c r="H3482" s="23"/>
      <c r="J3482" s="23"/>
      <c r="K3482" s="23"/>
      <c r="M3482" s="23"/>
      <c r="N3482" s="23"/>
      <c r="P3482" s="23"/>
    </row>
    <row r="3483" spans="2:16" x14ac:dyDescent="0.25">
      <c r="B3483" s="23"/>
      <c r="E3483" s="23"/>
      <c r="G3483" s="23"/>
      <c r="H3483" s="23"/>
      <c r="J3483" s="23"/>
      <c r="K3483" s="23"/>
      <c r="M3483" s="23"/>
      <c r="N3483" s="23"/>
      <c r="P3483" s="23"/>
    </row>
    <row r="3484" spans="2:16" x14ac:dyDescent="0.25">
      <c r="B3484" s="23"/>
      <c r="E3484" s="23"/>
      <c r="G3484" s="23"/>
      <c r="H3484" s="23"/>
      <c r="J3484" s="23"/>
      <c r="K3484" s="23"/>
      <c r="M3484" s="23"/>
      <c r="N3484" s="23"/>
      <c r="P3484" s="23"/>
    </row>
    <row r="3485" spans="2:16" x14ac:dyDescent="0.25">
      <c r="B3485" s="23"/>
      <c r="E3485" s="23"/>
      <c r="G3485" s="23"/>
      <c r="H3485" s="23"/>
      <c r="J3485" s="23"/>
      <c r="K3485" s="23"/>
      <c r="M3485" s="23"/>
      <c r="N3485" s="23"/>
      <c r="P3485" s="23"/>
    </row>
    <row r="3486" spans="2:16" x14ac:dyDescent="0.25">
      <c r="B3486" s="23"/>
      <c r="E3486" s="23"/>
      <c r="G3486" s="23"/>
      <c r="H3486" s="23"/>
      <c r="J3486" s="23"/>
      <c r="K3486" s="23"/>
      <c r="M3486" s="23"/>
      <c r="N3486" s="23"/>
      <c r="P3486" s="23"/>
    </row>
    <row r="3487" spans="2:16" x14ac:dyDescent="0.25">
      <c r="B3487" s="23"/>
      <c r="E3487" s="23"/>
      <c r="G3487" s="23"/>
      <c r="H3487" s="23"/>
      <c r="J3487" s="23"/>
      <c r="K3487" s="23"/>
      <c r="M3487" s="23"/>
      <c r="N3487" s="23"/>
      <c r="P3487" s="23"/>
    </row>
    <row r="3488" spans="2:16" x14ac:dyDescent="0.25">
      <c r="B3488" s="23"/>
      <c r="E3488" s="23"/>
      <c r="G3488" s="23"/>
      <c r="H3488" s="23"/>
      <c r="J3488" s="23"/>
      <c r="K3488" s="23"/>
      <c r="M3488" s="23"/>
      <c r="N3488" s="23"/>
      <c r="P3488" s="23"/>
    </row>
    <row r="3489" spans="2:16" x14ac:dyDescent="0.25">
      <c r="B3489" s="23"/>
      <c r="E3489" s="23"/>
      <c r="G3489" s="23"/>
      <c r="H3489" s="23"/>
      <c r="J3489" s="23"/>
      <c r="K3489" s="23"/>
      <c r="M3489" s="23"/>
      <c r="N3489" s="23"/>
      <c r="P3489" s="23"/>
    </row>
    <row r="3490" spans="2:16" x14ac:dyDescent="0.25">
      <c r="B3490" s="23"/>
      <c r="E3490" s="23"/>
      <c r="G3490" s="23"/>
      <c r="H3490" s="23"/>
      <c r="J3490" s="23"/>
      <c r="K3490" s="23"/>
      <c r="M3490" s="23"/>
      <c r="N3490" s="23"/>
      <c r="P3490" s="23"/>
    </row>
    <row r="3491" spans="2:16" x14ac:dyDescent="0.25">
      <c r="B3491" s="23"/>
      <c r="E3491" s="23"/>
      <c r="G3491" s="23"/>
      <c r="H3491" s="23"/>
      <c r="J3491" s="23"/>
      <c r="K3491" s="23"/>
      <c r="M3491" s="23"/>
      <c r="N3491" s="23"/>
      <c r="P3491" s="23"/>
    </row>
    <row r="3492" spans="2:16" x14ac:dyDescent="0.25">
      <c r="B3492" s="23"/>
      <c r="E3492" s="23"/>
      <c r="G3492" s="23"/>
      <c r="H3492" s="23"/>
      <c r="J3492" s="23"/>
      <c r="K3492" s="23"/>
      <c r="M3492" s="23"/>
      <c r="N3492" s="23"/>
      <c r="P3492" s="23"/>
    </row>
    <row r="3493" spans="2:16" x14ac:dyDescent="0.25">
      <c r="B3493" s="23"/>
      <c r="E3493" s="23"/>
      <c r="G3493" s="23"/>
      <c r="H3493" s="23"/>
      <c r="J3493" s="23"/>
      <c r="K3493" s="23"/>
      <c r="M3493" s="23"/>
      <c r="N3493" s="23"/>
      <c r="P3493" s="23"/>
    </row>
    <row r="3494" spans="2:16" x14ac:dyDescent="0.25">
      <c r="B3494" s="23"/>
      <c r="E3494" s="23"/>
      <c r="G3494" s="23"/>
      <c r="H3494" s="23"/>
      <c r="J3494" s="23"/>
      <c r="K3494" s="23"/>
      <c r="M3494" s="23"/>
      <c r="N3494" s="23"/>
      <c r="P3494" s="23"/>
    </row>
    <row r="3495" spans="2:16" x14ac:dyDescent="0.25">
      <c r="B3495" s="23"/>
      <c r="E3495" s="23"/>
      <c r="G3495" s="23"/>
      <c r="H3495" s="23"/>
      <c r="J3495" s="23"/>
      <c r="K3495" s="23"/>
      <c r="M3495" s="23"/>
      <c r="N3495" s="23"/>
      <c r="P3495" s="23"/>
    </row>
    <row r="3496" spans="2:16" x14ac:dyDescent="0.25">
      <c r="B3496" s="23"/>
      <c r="E3496" s="23"/>
      <c r="G3496" s="23"/>
      <c r="H3496" s="23"/>
      <c r="J3496" s="23"/>
      <c r="K3496" s="23"/>
      <c r="M3496" s="23"/>
      <c r="N3496" s="23"/>
      <c r="P3496" s="23"/>
    </row>
    <row r="3497" spans="2:16" x14ac:dyDescent="0.25">
      <c r="B3497" s="23"/>
      <c r="E3497" s="23"/>
      <c r="G3497" s="23"/>
      <c r="H3497" s="23"/>
      <c r="J3497" s="23"/>
      <c r="K3497" s="23"/>
      <c r="M3497" s="23"/>
      <c r="N3497" s="23"/>
      <c r="P3497" s="23"/>
    </row>
    <row r="3498" spans="2:16" x14ac:dyDescent="0.25">
      <c r="B3498" s="23"/>
      <c r="E3498" s="23"/>
      <c r="G3498" s="23"/>
      <c r="H3498" s="23"/>
      <c r="J3498" s="23"/>
      <c r="K3498" s="23"/>
      <c r="M3498" s="23"/>
      <c r="N3498" s="23"/>
      <c r="P3498" s="23"/>
    </row>
    <row r="3499" spans="2:16" x14ac:dyDescent="0.25">
      <c r="B3499" s="23"/>
      <c r="E3499" s="23"/>
      <c r="G3499" s="23"/>
      <c r="H3499" s="23"/>
      <c r="J3499" s="23"/>
      <c r="K3499" s="23"/>
      <c r="M3499" s="23"/>
      <c r="N3499" s="23"/>
      <c r="P3499" s="23"/>
    </row>
    <row r="3500" spans="2:16" x14ac:dyDescent="0.25">
      <c r="B3500" s="23"/>
      <c r="E3500" s="23"/>
      <c r="G3500" s="23"/>
      <c r="H3500" s="23"/>
      <c r="J3500" s="23"/>
      <c r="K3500" s="23"/>
      <c r="M3500" s="23"/>
      <c r="N3500" s="23"/>
      <c r="P3500" s="23"/>
    </row>
    <row r="3501" spans="2:16" x14ac:dyDescent="0.25">
      <c r="B3501" s="23"/>
      <c r="E3501" s="23"/>
      <c r="G3501" s="23"/>
      <c r="H3501" s="23"/>
      <c r="J3501" s="23"/>
      <c r="K3501" s="23"/>
      <c r="M3501" s="23"/>
      <c r="N3501" s="23"/>
      <c r="P3501" s="23"/>
    </row>
    <row r="3502" spans="2:16" x14ac:dyDescent="0.25">
      <c r="B3502" s="23"/>
      <c r="E3502" s="23"/>
      <c r="G3502" s="23"/>
      <c r="H3502" s="23"/>
      <c r="J3502" s="23"/>
      <c r="K3502" s="23"/>
      <c r="M3502" s="23"/>
      <c r="N3502" s="23"/>
      <c r="P3502" s="23"/>
    </row>
    <row r="3503" spans="2:16" x14ac:dyDescent="0.25">
      <c r="B3503" s="23"/>
      <c r="E3503" s="23"/>
      <c r="G3503" s="23"/>
      <c r="H3503" s="23"/>
      <c r="J3503" s="23"/>
      <c r="K3503" s="23"/>
      <c r="M3503" s="23"/>
      <c r="N3503" s="23"/>
      <c r="P3503" s="23"/>
    </row>
    <row r="3504" spans="2:16" x14ac:dyDescent="0.25">
      <c r="B3504" s="23"/>
      <c r="E3504" s="23"/>
      <c r="G3504" s="23"/>
      <c r="H3504" s="23"/>
      <c r="J3504" s="23"/>
      <c r="K3504" s="23"/>
      <c r="M3504" s="23"/>
      <c r="N3504" s="23"/>
      <c r="P3504" s="23"/>
    </row>
    <row r="3505" spans="2:16" x14ac:dyDescent="0.25">
      <c r="B3505" s="23"/>
      <c r="E3505" s="23"/>
      <c r="G3505" s="23"/>
      <c r="H3505" s="23"/>
      <c r="J3505" s="23"/>
      <c r="K3505" s="23"/>
      <c r="M3505" s="23"/>
      <c r="N3505" s="23"/>
      <c r="P3505" s="23"/>
    </row>
    <row r="3506" spans="2:16" x14ac:dyDescent="0.25">
      <c r="B3506" s="23"/>
      <c r="E3506" s="23"/>
      <c r="G3506" s="23"/>
      <c r="H3506" s="23"/>
      <c r="J3506" s="23"/>
      <c r="K3506" s="23"/>
      <c r="M3506" s="23"/>
      <c r="N3506" s="23"/>
      <c r="P3506" s="23"/>
    </row>
    <row r="3507" spans="2:16" x14ac:dyDescent="0.25">
      <c r="B3507" s="23"/>
      <c r="E3507" s="23"/>
      <c r="G3507" s="23"/>
      <c r="H3507" s="23"/>
      <c r="J3507" s="23"/>
      <c r="K3507" s="23"/>
      <c r="M3507" s="23"/>
      <c r="N3507" s="23"/>
      <c r="P3507" s="23"/>
    </row>
    <row r="3508" spans="2:16" x14ac:dyDescent="0.25">
      <c r="B3508" s="23"/>
      <c r="E3508" s="23"/>
      <c r="G3508" s="23"/>
      <c r="H3508" s="23"/>
      <c r="J3508" s="23"/>
      <c r="K3508" s="23"/>
      <c r="M3508" s="23"/>
      <c r="N3508" s="23"/>
      <c r="P3508" s="23"/>
    </row>
    <row r="3509" spans="2:16" x14ac:dyDescent="0.25">
      <c r="B3509" s="23"/>
      <c r="E3509" s="23"/>
      <c r="G3509" s="23"/>
      <c r="H3509" s="23"/>
      <c r="J3509" s="23"/>
      <c r="K3509" s="23"/>
      <c r="M3509" s="23"/>
      <c r="N3509" s="23"/>
      <c r="P3509" s="23"/>
    </row>
    <row r="3510" spans="2:16" x14ac:dyDescent="0.25">
      <c r="B3510" s="23"/>
      <c r="E3510" s="23"/>
      <c r="G3510" s="23"/>
      <c r="H3510" s="23"/>
      <c r="J3510" s="23"/>
      <c r="K3510" s="23"/>
      <c r="M3510" s="23"/>
      <c r="N3510" s="23"/>
      <c r="P3510" s="23"/>
    </row>
    <row r="3511" spans="2:16" x14ac:dyDescent="0.25">
      <c r="B3511" s="23"/>
      <c r="E3511" s="23"/>
      <c r="G3511" s="23"/>
      <c r="H3511" s="23"/>
      <c r="J3511" s="23"/>
      <c r="K3511" s="23"/>
      <c r="M3511" s="23"/>
      <c r="N3511" s="23"/>
      <c r="P3511" s="23"/>
    </row>
    <row r="3512" spans="2:16" x14ac:dyDescent="0.25">
      <c r="B3512" s="23"/>
      <c r="E3512" s="23"/>
      <c r="G3512" s="23"/>
      <c r="H3512" s="23"/>
      <c r="J3512" s="23"/>
      <c r="K3512" s="23"/>
      <c r="M3512" s="23"/>
      <c r="N3512" s="23"/>
      <c r="P3512" s="23"/>
    </row>
    <row r="3513" spans="2:16" x14ac:dyDescent="0.25">
      <c r="B3513" s="23"/>
      <c r="E3513" s="23"/>
      <c r="G3513" s="23"/>
      <c r="H3513" s="23"/>
      <c r="J3513" s="23"/>
      <c r="K3513" s="23"/>
      <c r="M3513" s="23"/>
      <c r="N3513" s="23"/>
      <c r="P3513" s="23"/>
    </row>
    <row r="3514" spans="2:16" x14ac:dyDescent="0.25">
      <c r="B3514" s="23"/>
      <c r="E3514" s="23"/>
      <c r="G3514" s="23"/>
      <c r="H3514" s="23"/>
      <c r="J3514" s="23"/>
      <c r="K3514" s="23"/>
      <c r="M3514" s="23"/>
      <c r="N3514" s="23"/>
      <c r="P3514" s="23"/>
    </row>
    <row r="3515" spans="2:16" x14ac:dyDescent="0.25">
      <c r="B3515" s="23"/>
      <c r="E3515" s="23"/>
      <c r="G3515" s="23"/>
      <c r="H3515" s="23"/>
      <c r="J3515" s="23"/>
      <c r="K3515" s="23"/>
      <c r="M3515" s="23"/>
      <c r="N3515" s="23"/>
      <c r="P3515" s="23"/>
    </row>
    <row r="3516" spans="2:16" x14ac:dyDescent="0.25">
      <c r="B3516" s="23"/>
      <c r="E3516" s="23"/>
      <c r="G3516" s="23"/>
      <c r="H3516" s="23"/>
      <c r="J3516" s="23"/>
      <c r="K3516" s="23"/>
      <c r="M3516" s="23"/>
      <c r="N3516" s="23"/>
      <c r="P3516" s="23"/>
    </row>
    <row r="3517" spans="2:16" x14ac:dyDescent="0.25">
      <c r="B3517" s="23"/>
      <c r="E3517" s="23"/>
      <c r="G3517" s="23"/>
      <c r="H3517" s="23"/>
      <c r="J3517" s="23"/>
      <c r="K3517" s="23"/>
      <c r="M3517" s="23"/>
      <c r="N3517" s="23"/>
      <c r="P3517" s="23"/>
    </row>
    <row r="3518" spans="2:16" x14ac:dyDescent="0.25">
      <c r="B3518" s="23"/>
      <c r="E3518" s="23"/>
      <c r="G3518" s="23"/>
      <c r="H3518" s="23"/>
      <c r="J3518" s="23"/>
      <c r="K3518" s="23"/>
      <c r="M3518" s="23"/>
      <c r="N3518" s="23"/>
      <c r="P3518" s="23"/>
    </row>
    <row r="3519" spans="2:16" x14ac:dyDescent="0.25">
      <c r="B3519" s="23"/>
      <c r="E3519" s="23"/>
      <c r="G3519" s="23"/>
      <c r="H3519" s="23"/>
      <c r="J3519" s="23"/>
      <c r="K3519" s="23"/>
      <c r="M3519" s="23"/>
      <c r="N3519" s="23"/>
      <c r="P3519" s="23"/>
    </row>
    <row r="3520" spans="2:16" x14ac:dyDescent="0.25">
      <c r="B3520" s="23"/>
      <c r="E3520" s="23"/>
      <c r="G3520" s="23"/>
      <c r="H3520" s="23"/>
      <c r="J3520" s="23"/>
      <c r="K3520" s="23"/>
      <c r="M3520" s="23"/>
      <c r="N3520" s="23"/>
      <c r="P3520" s="23"/>
    </row>
    <row r="3521" spans="2:16" x14ac:dyDescent="0.25">
      <c r="B3521" s="23"/>
      <c r="E3521" s="23"/>
      <c r="G3521" s="23"/>
      <c r="H3521" s="23"/>
      <c r="J3521" s="23"/>
      <c r="K3521" s="23"/>
      <c r="M3521" s="23"/>
      <c r="N3521" s="23"/>
      <c r="P3521" s="23"/>
    </row>
    <row r="3522" spans="2:16" x14ac:dyDescent="0.25">
      <c r="B3522" s="23"/>
      <c r="E3522" s="23"/>
      <c r="G3522" s="23"/>
      <c r="H3522" s="23"/>
      <c r="J3522" s="23"/>
      <c r="K3522" s="23"/>
      <c r="M3522" s="23"/>
      <c r="N3522" s="23"/>
      <c r="P3522" s="23"/>
    </row>
    <row r="3523" spans="2:16" x14ac:dyDescent="0.25">
      <c r="B3523" s="23"/>
      <c r="E3523" s="23"/>
      <c r="G3523" s="23"/>
      <c r="H3523" s="23"/>
      <c r="J3523" s="23"/>
      <c r="K3523" s="23"/>
      <c r="M3523" s="23"/>
      <c r="N3523" s="23"/>
      <c r="P3523" s="23"/>
    </row>
    <row r="3524" spans="2:16" x14ac:dyDescent="0.25">
      <c r="B3524" s="23"/>
      <c r="E3524" s="23"/>
      <c r="G3524" s="23"/>
      <c r="H3524" s="23"/>
      <c r="J3524" s="23"/>
      <c r="K3524" s="23"/>
      <c r="M3524" s="23"/>
      <c r="N3524" s="23"/>
      <c r="P3524" s="23"/>
    </row>
    <row r="3525" spans="2:16" x14ac:dyDescent="0.25">
      <c r="B3525" s="23"/>
      <c r="E3525" s="23"/>
      <c r="G3525" s="23"/>
      <c r="H3525" s="23"/>
      <c r="J3525" s="23"/>
      <c r="K3525" s="23"/>
      <c r="M3525" s="23"/>
      <c r="N3525" s="23"/>
      <c r="P3525" s="23"/>
    </row>
    <row r="3526" spans="2:16" x14ac:dyDescent="0.25">
      <c r="B3526" s="23"/>
      <c r="E3526" s="23"/>
      <c r="G3526" s="23"/>
      <c r="H3526" s="23"/>
      <c r="J3526" s="23"/>
      <c r="K3526" s="23"/>
      <c r="M3526" s="23"/>
      <c r="N3526" s="23"/>
      <c r="P3526" s="23"/>
    </row>
    <row r="3527" spans="2:16" x14ac:dyDescent="0.25">
      <c r="B3527" s="23"/>
      <c r="E3527" s="23"/>
      <c r="G3527" s="23"/>
      <c r="H3527" s="23"/>
      <c r="J3527" s="23"/>
      <c r="K3527" s="23"/>
      <c r="M3527" s="23"/>
      <c r="N3527" s="23"/>
      <c r="P3527" s="23"/>
    </row>
    <row r="3528" spans="2:16" x14ac:dyDescent="0.25">
      <c r="B3528" s="23"/>
      <c r="E3528" s="23"/>
      <c r="G3528" s="23"/>
      <c r="H3528" s="23"/>
      <c r="J3528" s="23"/>
      <c r="K3528" s="23"/>
      <c r="M3528" s="23"/>
      <c r="N3528" s="23"/>
      <c r="P3528" s="23"/>
    </row>
    <row r="3529" spans="2:16" x14ac:dyDescent="0.25">
      <c r="B3529" s="23"/>
      <c r="E3529" s="23"/>
      <c r="G3529" s="23"/>
      <c r="H3529" s="23"/>
      <c r="J3529" s="23"/>
      <c r="K3529" s="23"/>
      <c r="M3529" s="23"/>
      <c r="N3529" s="23"/>
      <c r="P3529" s="23"/>
    </row>
    <row r="3530" spans="2:16" x14ac:dyDescent="0.25">
      <c r="B3530" s="23"/>
      <c r="E3530" s="23"/>
      <c r="G3530" s="23"/>
      <c r="H3530" s="23"/>
      <c r="J3530" s="23"/>
      <c r="K3530" s="23"/>
      <c r="M3530" s="23"/>
      <c r="N3530" s="23"/>
      <c r="P3530" s="23"/>
    </row>
    <row r="3531" spans="2:16" x14ac:dyDescent="0.25">
      <c r="B3531" s="23"/>
      <c r="E3531" s="23"/>
      <c r="G3531" s="23"/>
      <c r="H3531" s="23"/>
      <c r="J3531" s="23"/>
      <c r="K3531" s="23"/>
      <c r="M3531" s="23"/>
      <c r="N3531" s="23"/>
      <c r="P3531" s="23"/>
    </row>
    <row r="3532" spans="2:16" x14ac:dyDescent="0.25">
      <c r="B3532" s="23"/>
      <c r="E3532" s="23"/>
      <c r="G3532" s="23"/>
      <c r="H3532" s="23"/>
      <c r="J3532" s="23"/>
      <c r="K3532" s="23"/>
      <c r="M3532" s="23"/>
      <c r="N3532" s="23"/>
      <c r="P3532" s="23"/>
    </row>
    <row r="3533" spans="2:16" x14ac:dyDescent="0.25">
      <c r="B3533" s="23"/>
      <c r="E3533" s="23"/>
      <c r="G3533" s="23"/>
      <c r="H3533" s="23"/>
      <c r="J3533" s="23"/>
      <c r="K3533" s="23"/>
      <c r="M3533" s="23"/>
      <c r="N3533" s="23"/>
      <c r="P3533" s="23"/>
    </row>
    <row r="3534" spans="2:16" x14ac:dyDescent="0.25">
      <c r="B3534" s="23"/>
      <c r="E3534" s="23"/>
      <c r="G3534" s="23"/>
      <c r="H3534" s="23"/>
      <c r="J3534" s="23"/>
      <c r="K3534" s="23"/>
      <c r="M3534" s="23"/>
      <c r="N3534" s="23"/>
      <c r="P3534" s="23"/>
    </row>
    <row r="3535" spans="2:16" x14ac:dyDescent="0.25">
      <c r="B3535" s="23"/>
      <c r="E3535" s="23"/>
      <c r="G3535" s="23"/>
      <c r="H3535" s="23"/>
      <c r="J3535" s="23"/>
      <c r="K3535" s="23"/>
      <c r="M3535" s="23"/>
      <c r="N3535" s="23"/>
      <c r="P3535" s="23"/>
    </row>
    <row r="3536" spans="2:16" x14ac:dyDescent="0.25">
      <c r="B3536" s="23"/>
      <c r="E3536" s="23"/>
      <c r="G3536" s="23"/>
      <c r="H3536" s="23"/>
      <c r="J3536" s="23"/>
      <c r="K3536" s="23"/>
      <c r="M3536" s="23"/>
      <c r="N3536" s="23"/>
      <c r="P3536" s="23"/>
    </row>
    <row r="3537" spans="2:16" x14ac:dyDescent="0.25">
      <c r="B3537" s="23"/>
      <c r="E3537" s="23"/>
      <c r="G3537" s="23"/>
      <c r="H3537" s="23"/>
      <c r="J3537" s="23"/>
      <c r="K3537" s="23"/>
      <c r="M3537" s="23"/>
      <c r="N3537" s="23"/>
      <c r="P3537" s="23"/>
    </row>
    <row r="3538" spans="2:16" x14ac:dyDescent="0.25">
      <c r="B3538" s="23"/>
      <c r="E3538" s="23"/>
      <c r="G3538" s="23"/>
      <c r="H3538" s="23"/>
      <c r="J3538" s="23"/>
      <c r="K3538" s="23"/>
      <c r="M3538" s="23"/>
      <c r="N3538" s="23"/>
      <c r="P3538" s="23"/>
    </row>
    <row r="3539" spans="2:16" x14ac:dyDescent="0.25">
      <c r="B3539" s="23"/>
      <c r="E3539" s="23"/>
      <c r="G3539" s="23"/>
      <c r="H3539" s="23"/>
      <c r="J3539" s="23"/>
      <c r="K3539" s="23"/>
      <c r="M3539" s="23"/>
      <c r="N3539" s="23"/>
      <c r="P3539" s="23"/>
    </row>
    <row r="3540" spans="2:16" x14ac:dyDescent="0.25">
      <c r="B3540" s="23"/>
      <c r="E3540" s="23"/>
      <c r="G3540" s="23"/>
      <c r="H3540" s="23"/>
      <c r="J3540" s="23"/>
      <c r="K3540" s="23"/>
      <c r="M3540" s="23"/>
      <c r="N3540" s="23"/>
      <c r="P3540" s="23"/>
    </row>
    <row r="3541" spans="2:16" x14ac:dyDescent="0.25">
      <c r="B3541" s="23"/>
      <c r="E3541" s="23"/>
      <c r="G3541" s="23"/>
      <c r="H3541" s="23"/>
      <c r="J3541" s="23"/>
      <c r="K3541" s="23"/>
      <c r="M3541" s="23"/>
      <c r="N3541" s="23"/>
      <c r="P3541" s="23"/>
    </row>
    <row r="3542" spans="2:16" x14ac:dyDescent="0.25">
      <c r="B3542" s="23"/>
      <c r="E3542" s="23"/>
      <c r="G3542" s="23"/>
      <c r="H3542" s="23"/>
      <c r="J3542" s="23"/>
      <c r="K3542" s="23"/>
      <c r="M3542" s="23"/>
      <c r="N3542" s="23"/>
      <c r="P3542" s="23"/>
    </row>
    <row r="3543" spans="2:16" x14ac:dyDescent="0.25">
      <c r="B3543" s="23"/>
      <c r="E3543" s="23"/>
      <c r="G3543" s="23"/>
      <c r="H3543" s="23"/>
      <c r="J3543" s="23"/>
      <c r="K3543" s="23"/>
      <c r="M3543" s="23"/>
      <c r="N3543" s="23"/>
      <c r="P3543" s="23"/>
    </row>
    <row r="3544" spans="2:16" x14ac:dyDescent="0.25">
      <c r="B3544" s="23"/>
      <c r="E3544" s="23"/>
      <c r="G3544" s="23"/>
      <c r="H3544" s="23"/>
      <c r="J3544" s="23"/>
      <c r="K3544" s="23"/>
      <c r="M3544" s="23"/>
      <c r="N3544" s="23"/>
      <c r="P3544" s="23"/>
    </row>
    <row r="3545" spans="2:16" x14ac:dyDescent="0.25">
      <c r="B3545" s="23"/>
      <c r="E3545" s="23"/>
      <c r="G3545" s="23"/>
      <c r="H3545" s="23"/>
      <c r="J3545" s="23"/>
      <c r="K3545" s="23"/>
      <c r="M3545" s="23"/>
      <c r="N3545" s="23"/>
      <c r="P3545" s="23"/>
    </row>
    <row r="3546" spans="2:16" x14ac:dyDescent="0.25">
      <c r="B3546" s="23"/>
      <c r="E3546" s="23"/>
      <c r="G3546" s="23"/>
      <c r="H3546" s="23"/>
      <c r="J3546" s="23"/>
      <c r="K3546" s="23"/>
      <c r="M3546" s="23"/>
      <c r="N3546" s="23"/>
      <c r="P3546" s="23"/>
    </row>
    <row r="3547" spans="2:16" x14ac:dyDescent="0.25">
      <c r="B3547" s="23"/>
      <c r="E3547" s="23"/>
      <c r="G3547" s="23"/>
      <c r="H3547" s="23"/>
      <c r="J3547" s="23"/>
      <c r="K3547" s="23"/>
      <c r="M3547" s="23"/>
      <c r="N3547" s="23"/>
      <c r="P3547" s="23"/>
    </row>
    <row r="3548" spans="2:16" x14ac:dyDescent="0.25">
      <c r="B3548" s="23"/>
      <c r="E3548" s="23"/>
      <c r="G3548" s="23"/>
      <c r="H3548" s="23"/>
      <c r="J3548" s="23"/>
      <c r="K3548" s="23"/>
      <c r="M3548" s="23"/>
      <c r="N3548" s="23"/>
      <c r="P3548" s="23"/>
    </row>
    <row r="3549" spans="2:16" x14ac:dyDescent="0.25">
      <c r="B3549" s="23"/>
      <c r="E3549" s="23"/>
      <c r="G3549" s="23"/>
      <c r="H3549" s="23"/>
      <c r="J3549" s="23"/>
      <c r="K3549" s="23"/>
      <c r="M3549" s="23"/>
      <c r="N3549" s="23"/>
      <c r="P3549" s="23"/>
    </row>
    <row r="3550" spans="2:16" x14ac:dyDescent="0.25">
      <c r="B3550" s="23"/>
      <c r="E3550" s="23"/>
      <c r="G3550" s="23"/>
      <c r="H3550" s="23"/>
      <c r="J3550" s="23"/>
      <c r="K3550" s="23"/>
      <c r="M3550" s="23"/>
      <c r="N3550" s="23"/>
      <c r="P3550" s="23"/>
    </row>
    <row r="3551" spans="2:16" x14ac:dyDescent="0.25">
      <c r="B3551" s="23"/>
      <c r="E3551" s="23"/>
      <c r="G3551" s="23"/>
      <c r="H3551" s="23"/>
      <c r="J3551" s="23"/>
      <c r="K3551" s="23"/>
      <c r="M3551" s="23"/>
      <c r="N3551" s="23"/>
      <c r="P3551" s="23"/>
    </row>
    <row r="3552" spans="2:16" x14ac:dyDescent="0.25">
      <c r="B3552" s="23"/>
      <c r="E3552" s="23"/>
      <c r="G3552" s="23"/>
      <c r="H3552" s="23"/>
      <c r="J3552" s="23"/>
      <c r="K3552" s="23"/>
      <c r="M3552" s="23"/>
      <c r="N3552" s="23"/>
      <c r="P3552" s="23"/>
    </row>
    <row r="3553" spans="2:16" x14ac:dyDescent="0.25">
      <c r="B3553" s="23"/>
      <c r="E3553" s="23"/>
      <c r="G3553" s="23"/>
      <c r="H3553" s="23"/>
      <c r="J3553" s="23"/>
      <c r="K3553" s="23"/>
      <c r="M3553" s="23"/>
      <c r="N3553" s="23"/>
      <c r="P3553" s="23"/>
    </row>
    <row r="3554" spans="2:16" x14ac:dyDescent="0.25">
      <c r="B3554" s="23"/>
      <c r="E3554" s="23"/>
      <c r="G3554" s="23"/>
      <c r="H3554" s="23"/>
      <c r="J3554" s="23"/>
      <c r="K3554" s="23"/>
      <c r="M3554" s="23"/>
      <c r="N3554" s="23"/>
      <c r="P3554" s="23"/>
    </row>
    <row r="3555" spans="2:16" x14ac:dyDescent="0.25">
      <c r="B3555" s="23"/>
      <c r="E3555" s="23"/>
      <c r="G3555" s="23"/>
      <c r="H3555" s="23"/>
      <c r="J3555" s="23"/>
      <c r="K3555" s="23"/>
      <c r="M3555" s="23"/>
      <c r="N3555" s="23"/>
      <c r="P3555" s="23"/>
    </row>
    <row r="3556" spans="2:16" x14ac:dyDescent="0.25">
      <c r="B3556" s="23"/>
      <c r="E3556" s="23"/>
      <c r="G3556" s="23"/>
      <c r="H3556" s="23"/>
      <c r="J3556" s="23"/>
      <c r="K3556" s="23"/>
      <c r="M3556" s="23"/>
      <c r="N3556" s="23"/>
      <c r="P3556" s="23"/>
    </row>
    <row r="3557" spans="2:16" x14ac:dyDescent="0.25">
      <c r="B3557" s="23"/>
      <c r="E3557" s="23"/>
      <c r="G3557" s="23"/>
      <c r="H3557" s="23"/>
      <c r="J3557" s="23"/>
      <c r="K3557" s="23"/>
      <c r="M3557" s="23"/>
      <c r="N3557" s="23"/>
      <c r="P3557" s="23"/>
    </row>
    <row r="3558" spans="2:16" x14ac:dyDescent="0.25">
      <c r="B3558" s="23"/>
      <c r="E3558" s="23"/>
      <c r="G3558" s="23"/>
      <c r="H3558" s="23"/>
      <c r="J3558" s="23"/>
      <c r="K3558" s="23"/>
      <c r="M3558" s="23"/>
      <c r="N3558" s="23"/>
      <c r="P3558" s="23"/>
    </row>
    <row r="3559" spans="2:16" x14ac:dyDescent="0.25">
      <c r="B3559" s="23"/>
      <c r="E3559" s="23"/>
      <c r="G3559" s="23"/>
      <c r="H3559" s="23"/>
      <c r="J3559" s="23"/>
      <c r="K3559" s="23"/>
      <c r="M3559" s="23"/>
      <c r="N3559" s="23"/>
      <c r="P3559" s="23"/>
    </row>
    <row r="3560" spans="2:16" x14ac:dyDescent="0.25">
      <c r="B3560" s="23"/>
      <c r="E3560" s="23"/>
      <c r="G3560" s="23"/>
      <c r="H3560" s="23"/>
      <c r="J3560" s="23"/>
      <c r="K3560" s="23"/>
      <c r="M3560" s="23"/>
      <c r="N3560" s="23"/>
      <c r="P3560" s="23"/>
    </row>
    <row r="3561" spans="2:16" x14ac:dyDescent="0.25">
      <c r="B3561" s="23"/>
      <c r="E3561" s="23"/>
      <c r="G3561" s="23"/>
      <c r="H3561" s="23"/>
      <c r="J3561" s="23"/>
      <c r="K3561" s="23"/>
      <c r="M3561" s="23"/>
      <c r="N3561" s="23"/>
      <c r="P3561" s="23"/>
    </row>
    <row r="3562" spans="2:16" x14ac:dyDescent="0.25">
      <c r="B3562" s="23"/>
      <c r="E3562" s="23"/>
      <c r="G3562" s="23"/>
      <c r="H3562" s="23"/>
      <c r="J3562" s="23"/>
      <c r="K3562" s="23"/>
      <c r="M3562" s="23"/>
      <c r="N3562" s="23"/>
      <c r="P3562" s="23"/>
    </row>
    <row r="3563" spans="2:16" x14ac:dyDescent="0.25">
      <c r="B3563" s="23"/>
      <c r="E3563" s="23"/>
      <c r="G3563" s="23"/>
      <c r="H3563" s="23"/>
      <c r="J3563" s="23"/>
      <c r="K3563" s="23"/>
      <c r="M3563" s="23"/>
      <c r="N3563" s="23"/>
      <c r="P3563" s="23"/>
    </row>
    <row r="3564" spans="2:16" x14ac:dyDescent="0.25">
      <c r="B3564" s="23"/>
      <c r="E3564" s="23"/>
      <c r="G3564" s="23"/>
      <c r="H3564" s="23"/>
      <c r="J3564" s="23"/>
      <c r="K3564" s="23"/>
      <c r="M3564" s="23"/>
      <c r="N3564" s="23"/>
      <c r="P3564" s="23"/>
    </row>
    <row r="3565" spans="2:16" x14ac:dyDescent="0.25">
      <c r="B3565" s="23"/>
      <c r="E3565" s="23"/>
      <c r="G3565" s="23"/>
      <c r="H3565" s="23"/>
      <c r="J3565" s="23"/>
      <c r="K3565" s="23"/>
      <c r="M3565" s="23"/>
      <c r="N3565" s="23"/>
      <c r="P3565" s="23"/>
    </row>
    <row r="3566" spans="2:16" x14ac:dyDescent="0.25">
      <c r="B3566" s="23"/>
      <c r="E3566" s="23"/>
      <c r="G3566" s="23"/>
      <c r="H3566" s="23"/>
      <c r="J3566" s="23"/>
      <c r="K3566" s="23"/>
      <c r="M3566" s="23"/>
      <c r="N3566" s="23"/>
      <c r="P3566" s="23"/>
    </row>
    <row r="3567" spans="2:16" x14ac:dyDescent="0.25">
      <c r="B3567" s="23"/>
      <c r="E3567" s="23"/>
      <c r="G3567" s="23"/>
      <c r="H3567" s="23"/>
      <c r="J3567" s="23"/>
      <c r="K3567" s="23"/>
      <c r="M3567" s="23"/>
      <c r="N3567" s="23"/>
      <c r="P3567" s="23"/>
    </row>
    <row r="3568" spans="2:16" x14ac:dyDescent="0.25">
      <c r="B3568" s="23"/>
      <c r="E3568" s="23"/>
      <c r="G3568" s="23"/>
      <c r="H3568" s="23"/>
      <c r="J3568" s="23"/>
      <c r="K3568" s="23"/>
      <c r="M3568" s="23"/>
      <c r="N3568" s="23"/>
      <c r="P3568" s="23"/>
    </row>
    <row r="3569" spans="2:16" x14ac:dyDescent="0.25">
      <c r="B3569" s="23"/>
      <c r="E3569" s="23"/>
      <c r="G3569" s="23"/>
      <c r="H3569" s="23"/>
      <c r="J3569" s="23"/>
      <c r="K3569" s="23"/>
      <c r="M3569" s="23"/>
      <c r="N3569" s="23"/>
      <c r="P3569" s="23"/>
    </row>
    <row r="3570" spans="2:16" x14ac:dyDescent="0.25">
      <c r="B3570" s="23"/>
      <c r="E3570" s="23"/>
      <c r="G3570" s="23"/>
      <c r="H3570" s="23"/>
      <c r="J3570" s="23"/>
      <c r="K3570" s="23"/>
      <c r="M3570" s="23"/>
      <c r="N3570" s="23"/>
      <c r="P3570" s="23"/>
    </row>
    <row r="3571" spans="2:16" x14ac:dyDescent="0.25">
      <c r="B3571" s="23"/>
      <c r="E3571" s="23"/>
      <c r="G3571" s="23"/>
      <c r="H3571" s="23"/>
      <c r="J3571" s="23"/>
      <c r="K3571" s="23"/>
      <c r="M3571" s="23"/>
      <c r="N3571" s="23"/>
      <c r="P3571" s="23"/>
    </row>
    <row r="3572" spans="2:16" x14ac:dyDescent="0.25">
      <c r="B3572" s="23"/>
      <c r="E3572" s="23"/>
      <c r="G3572" s="23"/>
      <c r="H3572" s="23"/>
      <c r="J3572" s="23"/>
      <c r="K3572" s="23"/>
      <c r="M3572" s="23"/>
      <c r="N3572" s="23"/>
      <c r="P3572" s="23"/>
    </row>
    <row r="3573" spans="2:16" x14ac:dyDescent="0.25">
      <c r="B3573" s="23"/>
      <c r="E3573" s="23"/>
      <c r="G3573" s="23"/>
      <c r="H3573" s="23"/>
      <c r="J3573" s="23"/>
      <c r="K3573" s="23"/>
      <c r="M3573" s="23"/>
      <c r="N3573" s="23"/>
      <c r="P3573" s="23"/>
    </row>
    <row r="3574" spans="2:16" x14ac:dyDescent="0.25">
      <c r="B3574" s="23"/>
      <c r="E3574" s="23"/>
      <c r="G3574" s="23"/>
      <c r="H3574" s="23"/>
      <c r="J3574" s="23"/>
      <c r="K3574" s="23"/>
      <c r="M3574" s="23"/>
      <c r="N3574" s="23"/>
      <c r="P3574" s="23"/>
    </row>
    <row r="3575" spans="2:16" x14ac:dyDescent="0.25">
      <c r="B3575" s="23"/>
      <c r="E3575" s="23"/>
      <c r="G3575" s="23"/>
      <c r="H3575" s="23"/>
      <c r="J3575" s="23"/>
      <c r="K3575" s="23"/>
      <c r="M3575" s="23"/>
      <c r="N3575" s="23"/>
      <c r="P3575" s="23"/>
    </row>
    <row r="3576" spans="2:16" x14ac:dyDescent="0.25">
      <c r="B3576" s="23"/>
      <c r="E3576" s="23"/>
      <c r="G3576" s="23"/>
      <c r="H3576" s="23"/>
      <c r="J3576" s="23"/>
      <c r="K3576" s="23"/>
      <c r="M3576" s="23"/>
      <c r="N3576" s="23"/>
      <c r="P3576" s="23"/>
    </row>
    <row r="3577" spans="2:16" x14ac:dyDescent="0.25">
      <c r="B3577" s="23"/>
      <c r="E3577" s="23"/>
      <c r="G3577" s="23"/>
      <c r="H3577" s="23"/>
      <c r="J3577" s="23"/>
      <c r="K3577" s="23"/>
      <c r="M3577" s="23"/>
      <c r="N3577" s="23"/>
      <c r="P3577" s="23"/>
    </row>
    <row r="3578" spans="2:16" x14ac:dyDescent="0.25">
      <c r="B3578" s="23"/>
      <c r="E3578" s="23"/>
      <c r="G3578" s="23"/>
      <c r="H3578" s="23"/>
      <c r="J3578" s="23"/>
      <c r="K3578" s="23"/>
      <c r="M3578" s="23"/>
      <c r="N3578" s="23"/>
      <c r="P3578" s="23"/>
    </row>
    <row r="3579" spans="2:16" x14ac:dyDescent="0.25">
      <c r="B3579" s="23"/>
      <c r="E3579" s="23"/>
      <c r="G3579" s="23"/>
      <c r="H3579" s="23"/>
      <c r="J3579" s="23"/>
      <c r="K3579" s="23"/>
      <c r="M3579" s="23"/>
      <c r="N3579" s="23"/>
      <c r="P3579" s="23"/>
    </row>
    <row r="3580" spans="2:16" x14ac:dyDescent="0.25">
      <c r="B3580" s="23"/>
      <c r="E3580" s="23"/>
      <c r="G3580" s="23"/>
      <c r="H3580" s="23"/>
      <c r="J3580" s="23"/>
      <c r="K3580" s="23"/>
      <c r="M3580" s="23"/>
      <c r="N3580" s="23"/>
      <c r="P3580" s="23"/>
    </row>
    <row r="3581" spans="2:16" x14ac:dyDescent="0.25">
      <c r="B3581" s="23"/>
      <c r="E3581" s="23"/>
      <c r="G3581" s="23"/>
      <c r="H3581" s="23"/>
      <c r="J3581" s="23"/>
      <c r="K3581" s="23"/>
      <c r="M3581" s="23"/>
      <c r="N3581" s="23"/>
      <c r="P3581" s="23"/>
    </row>
    <row r="3582" spans="2:16" x14ac:dyDescent="0.25">
      <c r="B3582" s="23"/>
      <c r="E3582" s="23"/>
      <c r="G3582" s="23"/>
      <c r="H3582" s="23"/>
      <c r="J3582" s="23"/>
      <c r="K3582" s="23"/>
      <c r="M3582" s="23"/>
      <c r="N3582" s="23"/>
      <c r="P3582" s="23"/>
    </row>
    <row r="3583" spans="2:16" x14ac:dyDescent="0.25">
      <c r="B3583" s="23"/>
      <c r="E3583" s="23"/>
      <c r="G3583" s="23"/>
      <c r="H3583" s="23"/>
      <c r="J3583" s="23"/>
      <c r="K3583" s="23"/>
      <c r="M3583" s="23"/>
      <c r="N3583" s="23"/>
      <c r="P3583" s="23"/>
    </row>
    <row r="3584" spans="2:16" x14ac:dyDescent="0.25">
      <c r="B3584" s="23"/>
      <c r="E3584" s="23"/>
      <c r="G3584" s="23"/>
      <c r="H3584" s="23"/>
      <c r="J3584" s="23"/>
      <c r="K3584" s="23"/>
      <c r="M3584" s="23"/>
      <c r="N3584" s="23"/>
      <c r="P3584" s="23"/>
    </row>
    <row r="3585" spans="2:16" x14ac:dyDescent="0.25">
      <c r="B3585" s="23"/>
      <c r="E3585" s="23"/>
      <c r="G3585" s="23"/>
      <c r="H3585" s="23"/>
      <c r="J3585" s="23"/>
      <c r="K3585" s="23"/>
      <c r="M3585" s="23"/>
      <c r="N3585" s="23"/>
      <c r="P3585" s="23"/>
    </row>
    <row r="3586" spans="2:16" x14ac:dyDescent="0.25">
      <c r="B3586" s="23"/>
      <c r="E3586" s="23"/>
      <c r="G3586" s="23"/>
      <c r="H3586" s="23"/>
      <c r="J3586" s="23"/>
      <c r="K3586" s="23"/>
      <c r="M3586" s="23"/>
      <c r="N3586" s="23"/>
      <c r="P3586" s="23"/>
    </row>
    <row r="3587" spans="2:16" x14ac:dyDescent="0.25">
      <c r="B3587" s="23"/>
      <c r="E3587" s="23"/>
      <c r="G3587" s="23"/>
      <c r="H3587" s="23"/>
      <c r="J3587" s="23"/>
      <c r="K3587" s="23"/>
      <c r="M3587" s="23"/>
      <c r="N3587" s="23"/>
      <c r="P3587" s="23"/>
    </row>
    <row r="3588" spans="2:16" x14ac:dyDescent="0.25">
      <c r="B3588" s="23"/>
      <c r="E3588" s="23"/>
      <c r="G3588" s="23"/>
      <c r="H3588" s="23"/>
      <c r="J3588" s="23"/>
      <c r="K3588" s="23"/>
      <c r="M3588" s="23"/>
      <c r="N3588" s="23"/>
      <c r="P3588" s="23"/>
    </row>
    <row r="3589" spans="2:16" x14ac:dyDescent="0.25">
      <c r="B3589" s="23"/>
      <c r="E3589" s="23"/>
      <c r="G3589" s="23"/>
      <c r="H3589" s="23"/>
      <c r="J3589" s="23"/>
      <c r="K3589" s="23"/>
      <c r="M3589" s="23"/>
      <c r="N3589" s="23"/>
      <c r="P3589" s="23"/>
    </row>
    <row r="3590" spans="2:16" x14ac:dyDescent="0.25">
      <c r="B3590" s="23"/>
      <c r="E3590" s="23"/>
      <c r="G3590" s="23"/>
      <c r="H3590" s="23"/>
      <c r="J3590" s="23"/>
      <c r="K3590" s="23"/>
      <c r="M3590" s="23"/>
      <c r="N3590" s="23"/>
      <c r="P3590" s="23"/>
    </row>
    <row r="3591" spans="2:16" x14ac:dyDescent="0.25">
      <c r="B3591" s="23"/>
      <c r="E3591" s="23"/>
      <c r="G3591" s="23"/>
      <c r="H3591" s="23"/>
      <c r="J3591" s="23"/>
      <c r="K3591" s="23"/>
      <c r="M3591" s="23"/>
      <c r="N3591" s="23"/>
      <c r="P3591" s="23"/>
    </row>
    <row r="3592" spans="2:16" x14ac:dyDescent="0.25">
      <c r="B3592" s="23"/>
      <c r="E3592" s="23"/>
      <c r="G3592" s="23"/>
      <c r="H3592" s="23"/>
      <c r="J3592" s="23"/>
      <c r="K3592" s="23"/>
      <c r="M3592" s="23"/>
      <c r="N3592" s="23"/>
      <c r="P3592" s="23"/>
    </row>
    <row r="3593" spans="2:16" x14ac:dyDescent="0.25">
      <c r="B3593" s="23"/>
      <c r="E3593" s="23"/>
      <c r="G3593" s="23"/>
      <c r="H3593" s="23"/>
      <c r="J3593" s="23"/>
      <c r="K3593" s="23"/>
      <c r="M3593" s="23"/>
      <c r="N3593" s="23"/>
      <c r="P3593" s="23"/>
    </row>
    <row r="3594" spans="2:16" x14ac:dyDescent="0.25">
      <c r="B3594" s="23"/>
      <c r="E3594" s="23"/>
      <c r="G3594" s="23"/>
      <c r="H3594" s="23"/>
      <c r="J3594" s="23"/>
      <c r="K3594" s="23"/>
      <c r="M3594" s="23"/>
      <c r="N3594" s="23"/>
      <c r="P3594" s="23"/>
    </row>
    <row r="3595" spans="2:16" x14ac:dyDescent="0.25">
      <c r="B3595" s="23"/>
      <c r="E3595" s="23"/>
      <c r="G3595" s="23"/>
      <c r="H3595" s="23"/>
      <c r="J3595" s="23"/>
      <c r="K3595" s="23"/>
      <c r="M3595" s="23"/>
      <c r="N3595" s="23"/>
      <c r="P3595" s="23"/>
    </row>
    <row r="3596" spans="2:16" x14ac:dyDescent="0.25">
      <c r="B3596" s="23"/>
      <c r="E3596" s="23"/>
      <c r="G3596" s="23"/>
      <c r="H3596" s="23"/>
      <c r="J3596" s="23"/>
      <c r="K3596" s="23"/>
      <c r="M3596" s="23"/>
      <c r="N3596" s="23"/>
      <c r="P3596" s="23"/>
    </row>
    <row r="3597" spans="2:16" x14ac:dyDescent="0.25">
      <c r="B3597" s="23"/>
      <c r="E3597" s="23"/>
      <c r="G3597" s="23"/>
      <c r="H3597" s="23"/>
      <c r="J3597" s="23"/>
      <c r="K3597" s="23"/>
      <c r="M3597" s="23"/>
      <c r="N3597" s="23"/>
      <c r="P3597" s="23"/>
    </row>
    <row r="3598" spans="2:16" x14ac:dyDescent="0.25">
      <c r="B3598" s="23"/>
      <c r="E3598" s="23"/>
      <c r="G3598" s="23"/>
      <c r="H3598" s="23"/>
      <c r="J3598" s="23"/>
      <c r="K3598" s="23"/>
      <c r="M3598" s="23"/>
      <c r="N3598" s="23"/>
      <c r="P3598" s="23"/>
    </row>
    <row r="3599" spans="2:16" x14ac:dyDescent="0.25">
      <c r="B3599" s="23"/>
      <c r="E3599" s="23"/>
      <c r="G3599" s="23"/>
      <c r="H3599" s="23"/>
      <c r="J3599" s="23"/>
      <c r="K3599" s="23"/>
      <c r="M3599" s="23"/>
      <c r="N3599" s="23"/>
      <c r="P3599" s="23"/>
    </row>
    <row r="3600" spans="2:16" x14ac:dyDescent="0.25">
      <c r="B3600" s="23"/>
      <c r="E3600" s="23"/>
      <c r="G3600" s="23"/>
      <c r="H3600" s="23"/>
      <c r="J3600" s="23"/>
      <c r="K3600" s="23"/>
      <c r="M3600" s="23"/>
      <c r="N3600" s="23"/>
      <c r="P3600" s="23"/>
    </row>
    <row r="3601" spans="2:16" x14ac:dyDescent="0.25">
      <c r="B3601" s="23"/>
      <c r="E3601" s="23"/>
      <c r="G3601" s="23"/>
      <c r="H3601" s="23"/>
      <c r="J3601" s="23"/>
      <c r="K3601" s="23"/>
      <c r="M3601" s="23"/>
      <c r="N3601" s="23"/>
      <c r="P3601" s="23"/>
    </row>
    <row r="3602" spans="2:16" x14ac:dyDescent="0.25">
      <c r="B3602" s="23"/>
      <c r="E3602" s="23"/>
      <c r="G3602" s="23"/>
      <c r="H3602" s="23"/>
      <c r="J3602" s="23"/>
      <c r="K3602" s="23"/>
      <c r="M3602" s="23"/>
      <c r="N3602" s="23"/>
      <c r="P3602" s="23"/>
    </row>
    <row r="3603" spans="2:16" x14ac:dyDescent="0.25">
      <c r="B3603" s="23"/>
      <c r="E3603" s="23"/>
      <c r="G3603" s="23"/>
      <c r="H3603" s="23"/>
      <c r="J3603" s="23"/>
      <c r="K3603" s="23"/>
      <c r="M3603" s="23"/>
      <c r="N3603" s="23"/>
      <c r="P3603" s="23"/>
    </row>
    <row r="3604" spans="2:16" x14ac:dyDescent="0.25">
      <c r="B3604" s="23"/>
      <c r="E3604" s="23"/>
      <c r="G3604" s="23"/>
      <c r="H3604" s="23"/>
      <c r="J3604" s="23"/>
      <c r="K3604" s="23"/>
      <c r="M3604" s="23"/>
      <c r="N3604" s="23"/>
      <c r="P3604" s="23"/>
    </row>
    <row r="3605" spans="2:16" x14ac:dyDescent="0.25">
      <c r="B3605" s="23"/>
      <c r="E3605" s="23"/>
      <c r="G3605" s="23"/>
      <c r="H3605" s="23"/>
      <c r="J3605" s="23"/>
      <c r="K3605" s="23"/>
      <c r="M3605" s="23"/>
      <c r="N3605" s="23"/>
      <c r="P3605" s="23"/>
    </row>
    <row r="3606" spans="2:16" x14ac:dyDescent="0.25">
      <c r="B3606" s="23"/>
      <c r="E3606" s="23"/>
      <c r="G3606" s="23"/>
      <c r="H3606" s="23"/>
      <c r="J3606" s="23"/>
      <c r="K3606" s="23"/>
      <c r="M3606" s="23"/>
      <c r="N3606" s="23"/>
      <c r="P3606" s="23"/>
    </row>
    <row r="3607" spans="2:16" x14ac:dyDescent="0.25">
      <c r="B3607" s="23"/>
      <c r="E3607" s="23"/>
      <c r="G3607" s="23"/>
      <c r="H3607" s="23"/>
      <c r="J3607" s="23"/>
      <c r="K3607" s="23"/>
      <c r="M3607" s="23"/>
      <c r="N3607" s="23"/>
      <c r="P3607" s="23"/>
    </row>
    <row r="3608" spans="2:16" x14ac:dyDescent="0.25">
      <c r="B3608" s="23"/>
      <c r="E3608" s="23"/>
      <c r="G3608" s="23"/>
      <c r="H3608" s="23"/>
      <c r="J3608" s="23"/>
      <c r="K3608" s="23"/>
      <c r="M3608" s="23"/>
      <c r="N3608" s="23"/>
      <c r="P3608" s="23"/>
    </row>
    <row r="3609" spans="2:16" x14ac:dyDescent="0.25">
      <c r="B3609" s="23"/>
      <c r="E3609" s="23"/>
      <c r="G3609" s="23"/>
      <c r="H3609" s="23"/>
      <c r="J3609" s="23"/>
      <c r="K3609" s="23"/>
      <c r="M3609" s="23"/>
      <c r="N3609" s="23"/>
      <c r="P3609" s="23"/>
    </row>
    <row r="3610" spans="2:16" x14ac:dyDescent="0.25">
      <c r="B3610" s="23"/>
      <c r="E3610" s="23"/>
      <c r="G3610" s="23"/>
      <c r="H3610" s="23"/>
      <c r="J3610" s="23"/>
      <c r="K3610" s="23"/>
      <c r="M3610" s="23"/>
      <c r="N3610" s="23"/>
      <c r="P3610" s="23"/>
    </row>
    <row r="3611" spans="2:16" x14ac:dyDescent="0.25">
      <c r="B3611" s="23"/>
      <c r="E3611" s="23"/>
      <c r="G3611" s="23"/>
      <c r="H3611" s="23"/>
      <c r="J3611" s="23"/>
      <c r="K3611" s="23"/>
      <c r="M3611" s="23"/>
      <c r="N3611" s="23"/>
      <c r="P3611" s="23"/>
    </row>
    <row r="3612" spans="2:16" x14ac:dyDescent="0.25">
      <c r="B3612" s="23"/>
      <c r="E3612" s="23"/>
      <c r="G3612" s="23"/>
      <c r="H3612" s="23"/>
      <c r="J3612" s="23"/>
      <c r="K3612" s="23"/>
      <c r="M3612" s="23"/>
      <c r="N3612" s="23"/>
      <c r="P3612" s="23"/>
    </row>
    <row r="3613" spans="2:16" x14ac:dyDescent="0.25">
      <c r="B3613" s="23"/>
      <c r="E3613" s="23"/>
      <c r="G3613" s="23"/>
      <c r="H3613" s="23"/>
      <c r="J3613" s="23"/>
      <c r="K3613" s="23"/>
      <c r="M3613" s="23"/>
      <c r="N3613" s="23"/>
      <c r="P3613" s="23"/>
    </row>
    <row r="3614" spans="2:16" x14ac:dyDescent="0.25">
      <c r="B3614" s="23"/>
      <c r="E3614" s="23"/>
      <c r="G3614" s="23"/>
      <c r="H3614" s="23"/>
      <c r="J3614" s="23"/>
      <c r="K3614" s="23"/>
      <c r="M3614" s="23"/>
      <c r="N3614" s="23"/>
      <c r="P3614" s="23"/>
    </row>
    <row r="3615" spans="2:16" x14ac:dyDescent="0.25">
      <c r="B3615" s="23"/>
      <c r="E3615" s="23"/>
      <c r="G3615" s="23"/>
      <c r="H3615" s="23"/>
      <c r="J3615" s="23"/>
      <c r="K3615" s="23"/>
      <c r="M3615" s="23"/>
      <c r="N3615" s="23"/>
      <c r="P3615" s="23"/>
    </row>
    <row r="3616" spans="2:16" x14ac:dyDescent="0.25">
      <c r="B3616" s="23"/>
      <c r="E3616" s="23"/>
      <c r="G3616" s="23"/>
      <c r="H3616" s="23"/>
      <c r="J3616" s="23"/>
      <c r="K3616" s="23"/>
      <c r="M3616" s="23"/>
      <c r="N3616" s="23"/>
      <c r="P3616" s="23"/>
    </row>
    <row r="3617" spans="2:16" x14ac:dyDescent="0.25">
      <c r="B3617" s="23"/>
      <c r="E3617" s="23"/>
      <c r="G3617" s="23"/>
      <c r="H3617" s="23"/>
      <c r="J3617" s="23"/>
      <c r="K3617" s="23"/>
      <c r="M3617" s="23"/>
      <c r="N3617" s="23"/>
      <c r="P3617" s="23"/>
    </row>
    <row r="3618" spans="2:16" x14ac:dyDescent="0.25">
      <c r="B3618" s="23"/>
      <c r="E3618" s="23"/>
      <c r="G3618" s="23"/>
      <c r="H3618" s="23"/>
      <c r="J3618" s="23"/>
      <c r="K3618" s="23"/>
      <c r="M3618" s="23"/>
      <c r="N3618" s="23"/>
      <c r="P3618" s="23"/>
    </row>
    <row r="3619" spans="2:16" x14ac:dyDescent="0.25">
      <c r="B3619" s="23"/>
      <c r="E3619" s="23"/>
      <c r="G3619" s="23"/>
      <c r="H3619" s="23"/>
      <c r="J3619" s="23"/>
      <c r="K3619" s="23"/>
      <c r="M3619" s="23"/>
      <c r="N3619" s="23"/>
      <c r="P3619" s="23"/>
    </row>
    <row r="3620" spans="2:16" x14ac:dyDescent="0.25">
      <c r="B3620" s="23"/>
      <c r="E3620" s="23"/>
      <c r="G3620" s="23"/>
      <c r="H3620" s="23"/>
      <c r="J3620" s="23"/>
      <c r="K3620" s="23"/>
      <c r="M3620" s="23"/>
      <c r="N3620" s="23"/>
      <c r="P3620" s="23"/>
    </row>
    <row r="3621" spans="2:16" x14ac:dyDescent="0.25">
      <c r="B3621" s="23"/>
      <c r="E3621" s="23"/>
      <c r="G3621" s="23"/>
      <c r="H3621" s="23"/>
      <c r="J3621" s="23"/>
      <c r="K3621" s="23"/>
      <c r="M3621" s="23"/>
      <c r="N3621" s="23"/>
      <c r="P3621" s="23"/>
    </row>
    <row r="3622" spans="2:16" x14ac:dyDescent="0.25">
      <c r="B3622" s="23"/>
      <c r="E3622" s="23"/>
      <c r="G3622" s="23"/>
      <c r="H3622" s="23"/>
      <c r="J3622" s="23"/>
      <c r="K3622" s="23"/>
      <c r="M3622" s="23"/>
      <c r="N3622" s="23"/>
      <c r="P3622" s="23"/>
    </row>
    <row r="3623" spans="2:16" x14ac:dyDescent="0.25">
      <c r="B3623" s="23"/>
      <c r="E3623" s="23"/>
      <c r="G3623" s="23"/>
      <c r="H3623" s="23"/>
      <c r="J3623" s="23"/>
      <c r="K3623" s="23"/>
      <c r="M3623" s="23"/>
      <c r="N3623" s="23"/>
      <c r="P3623" s="23"/>
    </row>
    <row r="3624" spans="2:16" x14ac:dyDescent="0.25">
      <c r="B3624" s="23"/>
      <c r="E3624" s="23"/>
      <c r="G3624" s="23"/>
      <c r="H3624" s="23"/>
      <c r="J3624" s="23"/>
      <c r="K3624" s="23"/>
      <c r="M3624" s="23"/>
      <c r="N3624" s="23"/>
      <c r="P3624" s="23"/>
    </row>
    <row r="3625" spans="2:16" x14ac:dyDescent="0.25">
      <c r="B3625" s="23"/>
      <c r="E3625" s="23"/>
      <c r="G3625" s="23"/>
      <c r="H3625" s="23"/>
      <c r="J3625" s="23"/>
      <c r="K3625" s="23"/>
      <c r="M3625" s="23"/>
      <c r="N3625" s="23"/>
      <c r="P3625" s="23"/>
    </row>
    <row r="3626" spans="2:16" x14ac:dyDescent="0.25">
      <c r="B3626" s="23"/>
      <c r="E3626" s="23"/>
      <c r="G3626" s="23"/>
      <c r="H3626" s="23"/>
      <c r="J3626" s="23"/>
      <c r="K3626" s="23"/>
      <c r="M3626" s="23"/>
      <c r="N3626" s="23"/>
      <c r="P3626" s="23"/>
    </row>
    <row r="3627" spans="2:16" x14ac:dyDescent="0.25">
      <c r="B3627" s="23"/>
      <c r="E3627" s="23"/>
      <c r="G3627" s="23"/>
      <c r="H3627" s="23"/>
      <c r="J3627" s="23"/>
      <c r="K3627" s="23"/>
      <c r="M3627" s="23"/>
      <c r="N3627" s="23"/>
      <c r="P3627" s="23"/>
    </row>
    <row r="3628" spans="2:16" x14ac:dyDescent="0.25">
      <c r="B3628" s="23"/>
      <c r="E3628" s="23"/>
      <c r="G3628" s="23"/>
      <c r="H3628" s="23"/>
      <c r="J3628" s="23"/>
      <c r="K3628" s="23"/>
      <c r="M3628" s="23"/>
      <c r="N3628" s="23"/>
      <c r="P3628" s="23"/>
    </row>
    <row r="3629" spans="2:16" x14ac:dyDescent="0.25">
      <c r="B3629" s="23"/>
      <c r="E3629" s="23"/>
      <c r="G3629" s="23"/>
      <c r="H3629" s="23"/>
      <c r="J3629" s="23"/>
      <c r="K3629" s="23"/>
      <c r="M3629" s="23"/>
      <c r="N3629" s="23"/>
      <c r="P3629" s="23"/>
    </row>
    <row r="3630" spans="2:16" x14ac:dyDescent="0.25">
      <c r="B3630" s="23"/>
      <c r="E3630" s="23"/>
      <c r="G3630" s="23"/>
      <c r="H3630" s="23"/>
      <c r="J3630" s="23"/>
      <c r="K3630" s="23"/>
      <c r="M3630" s="23"/>
      <c r="N3630" s="23"/>
      <c r="P3630" s="23"/>
    </row>
    <row r="3631" spans="2:16" x14ac:dyDescent="0.25">
      <c r="B3631" s="23"/>
      <c r="E3631" s="23"/>
      <c r="G3631" s="23"/>
      <c r="H3631" s="23"/>
      <c r="J3631" s="23"/>
      <c r="K3631" s="23"/>
      <c r="M3631" s="23"/>
      <c r="N3631" s="23"/>
      <c r="P3631" s="23"/>
    </row>
    <row r="3632" spans="2:16" x14ac:dyDescent="0.25">
      <c r="B3632" s="23"/>
      <c r="E3632" s="23"/>
      <c r="G3632" s="23"/>
      <c r="H3632" s="23"/>
      <c r="J3632" s="23"/>
      <c r="K3632" s="23"/>
      <c r="M3632" s="23"/>
      <c r="N3632" s="23"/>
      <c r="P3632" s="23"/>
    </row>
    <row r="3633" spans="2:16" x14ac:dyDescent="0.25">
      <c r="B3633" s="23"/>
      <c r="E3633" s="23"/>
      <c r="G3633" s="23"/>
      <c r="H3633" s="23"/>
      <c r="J3633" s="23"/>
      <c r="K3633" s="23"/>
      <c r="M3633" s="23"/>
      <c r="N3633" s="23"/>
      <c r="P3633" s="23"/>
    </row>
    <row r="3634" spans="2:16" x14ac:dyDescent="0.25">
      <c r="B3634" s="23"/>
      <c r="E3634" s="23"/>
      <c r="G3634" s="23"/>
      <c r="H3634" s="23"/>
      <c r="J3634" s="23"/>
      <c r="K3634" s="23"/>
      <c r="M3634" s="23"/>
      <c r="N3634" s="23"/>
      <c r="P3634" s="23"/>
    </row>
    <row r="3635" spans="2:16" x14ac:dyDescent="0.25">
      <c r="B3635" s="23"/>
      <c r="E3635" s="23"/>
      <c r="G3635" s="23"/>
      <c r="H3635" s="23"/>
      <c r="J3635" s="23"/>
      <c r="K3635" s="23"/>
      <c r="M3635" s="23"/>
      <c r="N3635" s="23"/>
      <c r="P3635" s="23"/>
    </row>
    <row r="3636" spans="2:16" x14ac:dyDescent="0.25">
      <c r="B3636" s="23"/>
      <c r="E3636" s="23"/>
      <c r="G3636" s="23"/>
      <c r="H3636" s="23"/>
      <c r="J3636" s="23"/>
      <c r="K3636" s="23"/>
      <c r="M3636" s="23"/>
      <c r="N3636" s="23"/>
      <c r="P3636" s="23"/>
    </row>
    <row r="3637" spans="2:16" x14ac:dyDescent="0.25">
      <c r="B3637" s="23"/>
      <c r="E3637" s="23"/>
      <c r="G3637" s="23"/>
      <c r="H3637" s="23"/>
      <c r="J3637" s="23"/>
      <c r="K3637" s="23"/>
      <c r="M3637" s="23"/>
      <c r="N3637" s="23"/>
      <c r="P3637" s="23"/>
    </row>
    <row r="3638" spans="2:16" x14ac:dyDescent="0.25">
      <c r="B3638" s="23"/>
      <c r="E3638" s="23"/>
      <c r="G3638" s="23"/>
      <c r="H3638" s="23"/>
      <c r="J3638" s="23"/>
      <c r="K3638" s="23"/>
      <c r="M3638" s="23"/>
      <c r="N3638" s="23"/>
      <c r="P3638" s="23"/>
    </row>
    <row r="3639" spans="2:16" x14ac:dyDescent="0.25">
      <c r="B3639" s="23"/>
      <c r="E3639" s="23"/>
      <c r="G3639" s="23"/>
      <c r="H3639" s="23"/>
      <c r="J3639" s="23"/>
      <c r="K3639" s="23"/>
      <c r="M3639" s="23"/>
      <c r="N3639" s="23"/>
      <c r="P3639" s="23"/>
    </row>
    <row r="3640" spans="2:16" x14ac:dyDescent="0.25">
      <c r="B3640" s="23"/>
      <c r="E3640" s="23"/>
      <c r="G3640" s="23"/>
      <c r="H3640" s="23"/>
      <c r="J3640" s="23"/>
      <c r="K3640" s="23"/>
      <c r="M3640" s="23"/>
      <c r="N3640" s="23"/>
      <c r="P3640" s="23"/>
    </row>
    <row r="3641" spans="2:16" x14ac:dyDescent="0.25">
      <c r="B3641" s="23"/>
      <c r="E3641" s="23"/>
      <c r="G3641" s="23"/>
      <c r="H3641" s="23"/>
      <c r="J3641" s="23"/>
      <c r="K3641" s="23"/>
      <c r="M3641" s="23"/>
      <c r="N3641" s="23"/>
      <c r="P3641" s="23"/>
    </row>
    <row r="3642" spans="2:16" x14ac:dyDescent="0.25">
      <c r="B3642" s="23"/>
      <c r="E3642" s="23"/>
      <c r="G3642" s="23"/>
      <c r="H3642" s="23"/>
      <c r="J3642" s="23"/>
      <c r="K3642" s="23"/>
      <c r="M3642" s="23"/>
      <c r="N3642" s="23"/>
      <c r="P3642" s="23"/>
    </row>
    <row r="3643" spans="2:16" x14ac:dyDescent="0.25">
      <c r="B3643" s="23"/>
      <c r="E3643" s="23"/>
      <c r="G3643" s="23"/>
      <c r="H3643" s="23"/>
      <c r="J3643" s="23"/>
      <c r="K3643" s="23"/>
      <c r="M3643" s="23"/>
      <c r="N3643" s="23"/>
      <c r="P3643" s="23"/>
    </row>
    <row r="3644" spans="2:16" x14ac:dyDescent="0.25">
      <c r="B3644" s="23"/>
      <c r="E3644" s="23"/>
      <c r="G3644" s="23"/>
      <c r="H3644" s="23"/>
      <c r="J3644" s="23"/>
      <c r="K3644" s="23"/>
      <c r="M3644" s="23"/>
      <c r="N3644" s="23"/>
      <c r="P3644" s="23"/>
    </row>
    <row r="3645" spans="2:16" x14ac:dyDescent="0.25">
      <c r="B3645" s="23"/>
      <c r="E3645" s="23"/>
      <c r="G3645" s="23"/>
      <c r="H3645" s="23"/>
      <c r="J3645" s="23"/>
      <c r="K3645" s="23"/>
      <c r="M3645" s="23"/>
      <c r="N3645" s="23"/>
      <c r="P3645" s="23"/>
    </row>
    <row r="3646" spans="2:16" x14ac:dyDescent="0.25">
      <c r="B3646" s="23"/>
      <c r="E3646" s="23"/>
      <c r="G3646" s="23"/>
      <c r="H3646" s="23"/>
      <c r="J3646" s="23"/>
      <c r="K3646" s="23"/>
      <c r="M3646" s="23"/>
      <c r="N3646" s="23"/>
      <c r="P3646" s="23"/>
    </row>
    <row r="3647" spans="2:16" x14ac:dyDescent="0.25">
      <c r="B3647" s="23"/>
      <c r="E3647" s="23"/>
      <c r="G3647" s="23"/>
      <c r="H3647" s="23"/>
      <c r="J3647" s="23"/>
      <c r="K3647" s="23"/>
      <c r="M3647" s="23"/>
      <c r="N3647" s="23"/>
      <c r="P3647" s="23"/>
    </row>
    <row r="3648" spans="2:16" x14ac:dyDescent="0.25">
      <c r="B3648" s="23"/>
      <c r="E3648" s="23"/>
      <c r="G3648" s="23"/>
      <c r="H3648" s="23"/>
      <c r="J3648" s="23"/>
      <c r="K3648" s="23"/>
      <c r="M3648" s="23"/>
      <c r="N3648" s="23"/>
      <c r="P3648" s="23"/>
    </row>
    <row r="3649" spans="2:16" x14ac:dyDescent="0.25">
      <c r="B3649" s="23"/>
      <c r="E3649" s="23"/>
      <c r="G3649" s="23"/>
      <c r="H3649" s="23"/>
      <c r="J3649" s="23"/>
      <c r="K3649" s="23"/>
      <c r="M3649" s="23"/>
      <c r="N3649" s="23"/>
      <c r="P3649" s="23"/>
    </row>
    <row r="3650" spans="2:16" x14ac:dyDescent="0.25">
      <c r="B3650" s="23"/>
      <c r="E3650" s="23"/>
      <c r="G3650" s="23"/>
      <c r="H3650" s="23"/>
      <c r="J3650" s="23"/>
      <c r="K3650" s="23"/>
      <c r="M3650" s="23"/>
      <c r="N3650" s="23"/>
      <c r="P3650" s="23"/>
    </row>
    <row r="3651" spans="2:16" x14ac:dyDescent="0.25">
      <c r="B3651" s="23"/>
      <c r="E3651" s="23"/>
      <c r="G3651" s="23"/>
      <c r="H3651" s="23"/>
      <c r="J3651" s="23"/>
      <c r="K3651" s="23"/>
      <c r="M3651" s="23"/>
      <c r="N3651" s="23"/>
      <c r="P3651" s="23"/>
    </row>
    <row r="3652" spans="2:16" x14ac:dyDescent="0.25">
      <c r="B3652" s="23"/>
      <c r="E3652" s="23"/>
      <c r="G3652" s="23"/>
      <c r="H3652" s="23"/>
      <c r="J3652" s="23"/>
      <c r="K3652" s="23"/>
      <c r="M3652" s="23"/>
      <c r="N3652" s="23"/>
      <c r="P3652" s="23"/>
    </row>
    <row r="3653" spans="2:16" x14ac:dyDescent="0.25">
      <c r="B3653" s="23"/>
      <c r="E3653" s="23"/>
      <c r="G3653" s="23"/>
      <c r="H3653" s="23"/>
      <c r="J3653" s="23"/>
      <c r="K3653" s="23"/>
      <c r="M3653" s="23"/>
      <c r="N3653" s="23"/>
      <c r="P3653" s="23"/>
    </row>
    <row r="3654" spans="2:16" x14ac:dyDescent="0.25">
      <c r="B3654" s="23"/>
      <c r="E3654" s="23"/>
      <c r="G3654" s="23"/>
      <c r="H3654" s="23"/>
      <c r="J3654" s="23"/>
      <c r="K3654" s="23"/>
      <c r="M3654" s="23"/>
      <c r="N3654" s="23"/>
      <c r="P3654" s="23"/>
    </row>
    <row r="3655" spans="2:16" x14ac:dyDescent="0.25">
      <c r="B3655" s="23"/>
      <c r="E3655" s="23"/>
      <c r="G3655" s="23"/>
      <c r="H3655" s="23"/>
      <c r="J3655" s="23"/>
      <c r="K3655" s="23"/>
      <c r="M3655" s="23"/>
      <c r="N3655" s="23"/>
      <c r="P3655" s="23"/>
    </row>
    <row r="3656" spans="2:16" x14ac:dyDescent="0.25">
      <c r="B3656" s="23"/>
      <c r="E3656" s="23"/>
      <c r="G3656" s="23"/>
      <c r="H3656" s="23"/>
      <c r="J3656" s="23"/>
      <c r="K3656" s="23"/>
      <c r="M3656" s="23"/>
      <c r="N3656" s="23"/>
      <c r="P3656" s="23"/>
    </row>
    <row r="3657" spans="2:16" x14ac:dyDescent="0.25">
      <c r="B3657" s="23"/>
      <c r="E3657" s="23"/>
      <c r="G3657" s="23"/>
      <c r="H3657" s="23"/>
      <c r="J3657" s="23"/>
      <c r="K3657" s="23"/>
      <c r="M3657" s="23"/>
      <c r="N3657" s="23"/>
      <c r="P3657" s="23"/>
    </row>
    <row r="3658" spans="2:16" x14ac:dyDescent="0.25">
      <c r="B3658" s="23"/>
      <c r="E3658" s="23"/>
      <c r="G3658" s="23"/>
      <c r="H3658" s="23"/>
      <c r="J3658" s="23"/>
      <c r="K3658" s="23"/>
      <c r="M3658" s="23"/>
      <c r="N3658" s="23"/>
      <c r="P3658" s="23"/>
    </row>
    <row r="3659" spans="2:16" x14ac:dyDescent="0.25">
      <c r="B3659" s="23"/>
      <c r="E3659" s="23"/>
      <c r="G3659" s="23"/>
      <c r="H3659" s="23"/>
      <c r="J3659" s="23"/>
      <c r="K3659" s="23"/>
      <c r="M3659" s="23"/>
      <c r="N3659" s="23"/>
      <c r="P3659" s="23"/>
    </row>
    <row r="3660" spans="2:16" x14ac:dyDescent="0.25">
      <c r="B3660" s="23"/>
      <c r="E3660" s="23"/>
      <c r="G3660" s="23"/>
      <c r="H3660" s="23"/>
      <c r="J3660" s="23"/>
      <c r="K3660" s="23"/>
      <c r="M3660" s="23"/>
      <c r="N3660" s="23"/>
      <c r="P3660" s="23"/>
    </row>
    <row r="3661" spans="2:16" x14ac:dyDescent="0.25">
      <c r="B3661" s="23"/>
      <c r="E3661" s="23"/>
      <c r="G3661" s="23"/>
      <c r="H3661" s="23"/>
      <c r="J3661" s="23"/>
      <c r="K3661" s="23"/>
      <c r="M3661" s="23"/>
      <c r="N3661" s="23"/>
      <c r="P3661" s="23"/>
    </row>
    <row r="3662" spans="2:16" x14ac:dyDescent="0.25">
      <c r="B3662" s="23"/>
      <c r="E3662" s="23"/>
      <c r="G3662" s="23"/>
      <c r="H3662" s="23"/>
      <c r="J3662" s="23"/>
      <c r="K3662" s="23"/>
      <c r="M3662" s="23"/>
      <c r="N3662" s="23"/>
      <c r="P3662" s="23"/>
    </row>
    <row r="3663" spans="2:16" x14ac:dyDescent="0.25">
      <c r="B3663" s="23"/>
      <c r="E3663" s="23"/>
      <c r="G3663" s="23"/>
      <c r="H3663" s="23"/>
      <c r="J3663" s="23"/>
      <c r="K3663" s="23"/>
      <c r="M3663" s="23"/>
      <c r="N3663" s="23"/>
      <c r="P3663" s="23"/>
    </row>
    <row r="3664" spans="2:16" x14ac:dyDescent="0.25">
      <c r="B3664" s="23"/>
      <c r="E3664" s="23"/>
      <c r="G3664" s="23"/>
      <c r="H3664" s="23"/>
      <c r="J3664" s="23"/>
      <c r="K3664" s="23"/>
      <c r="M3664" s="23"/>
      <c r="N3664" s="23"/>
      <c r="P3664" s="23"/>
    </row>
    <row r="3665" spans="2:16" x14ac:dyDescent="0.25">
      <c r="B3665" s="23"/>
      <c r="E3665" s="23"/>
      <c r="G3665" s="23"/>
      <c r="H3665" s="23"/>
      <c r="J3665" s="23"/>
      <c r="K3665" s="23"/>
      <c r="M3665" s="23"/>
      <c r="N3665" s="23"/>
      <c r="P3665" s="23"/>
    </row>
    <row r="3666" spans="2:16" x14ac:dyDescent="0.25">
      <c r="B3666" s="23"/>
      <c r="E3666" s="23"/>
      <c r="G3666" s="23"/>
      <c r="H3666" s="23"/>
      <c r="J3666" s="23"/>
      <c r="K3666" s="23"/>
      <c r="M3666" s="23"/>
      <c r="N3666" s="23"/>
      <c r="P3666" s="23"/>
    </row>
    <row r="3667" spans="2:16" x14ac:dyDescent="0.25">
      <c r="B3667" s="23"/>
      <c r="E3667" s="23"/>
      <c r="G3667" s="23"/>
      <c r="H3667" s="23"/>
      <c r="J3667" s="23"/>
      <c r="K3667" s="23"/>
      <c r="M3667" s="23"/>
      <c r="N3667" s="23"/>
      <c r="P3667" s="23"/>
    </row>
    <row r="3668" spans="2:16" x14ac:dyDescent="0.25">
      <c r="B3668" s="23"/>
      <c r="E3668" s="23"/>
      <c r="G3668" s="23"/>
      <c r="H3668" s="23"/>
      <c r="J3668" s="23"/>
      <c r="K3668" s="23"/>
      <c r="M3668" s="23"/>
      <c r="N3668" s="23"/>
      <c r="P3668" s="23"/>
    </row>
    <row r="3669" spans="2:16" x14ac:dyDescent="0.25">
      <c r="B3669" s="23"/>
      <c r="E3669" s="23"/>
      <c r="G3669" s="23"/>
      <c r="H3669" s="23"/>
      <c r="J3669" s="23"/>
      <c r="K3669" s="23"/>
      <c r="M3669" s="23"/>
      <c r="N3669" s="23"/>
      <c r="P3669" s="23"/>
    </row>
    <row r="3670" spans="2:16" x14ac:dyDescent="0.25">
      <c r="B3670" s="23"/>
      <c r="E3670" s="23"/>
      <c r="G3670" s="23"/>
      <c r="H3670" s="23"/>
      <c r="J3670" s="23"/>
      <c r="K3670" s="23"/>
      <c r="M3670" s="23"/>
      <c r="N3670" s="23"/>
      <c r="P3670" s="23"/>
    </row>
    <row r="3671" spans="2:16" x14ac:dyDescent="0.25">
      <c r="B3671" s="23"/>
      <c r="E3671" s="23"/>
      <c r="G3671" s="23"/>
      <c r="H3671" s="23"/>
      <c r="J3671" s="23"/>
      <c r="K3671" s="23"/>
      <c r="M3671" s="23"/>
      <c r="N3671" s="23"/>
      <c r="P3671" s="23"/>
    </row>
    <row r="3672" spans="2:16" x14ac:dyDescent="0.25">
      <c r="B3672" s="23"/>
      <c r="E3672" s="23"/>
      <c r="G3672" s="23"/>
      <c r="H3672" s="23"/>
      <c r="J3672" s="23"/>
      <c r="K3672" s="23"/>
      <c r="M3672" s="23"/>
      <c r="N3672" s="23"/>
      <c r="P3672" s="23"/>
    </row>
    <row r="3673" spans="2:16" x14ac:dyDescent="0.25">
      <c r="B3673" s="23"/>
      <c r="E3673" s="23"/>
      <c r="G3673" s="23"/>
      <c r="H3673" s="23"/>
      <c r="J3673" s="23"/>
      <c r="K3673" s="23"/>
      <c r="M3673" s="23"/>
      <c r="N3673" s="23"/>
      <c r="P3673" s="23"/>
    </row>
    <row r="3674" spans="2:16" x14ac:dyDescent="0.25">
      <c r="B3674" s="23"/>
      <c r="E3674" s="23"/>
      <c r="G3674" s="23"/>
      <c r="H3674" s="23"/>
      <c r="J3674" s="23"/>
      <c r="K3674" s="23"/>
      <c r="M3674" s="23"/>
      <c r="N3674" s="23"/>
      <c r="P3674" s="23"/>
    </row>
    <row r="3675" spans="2:16" x14ac:dyDescent="0.25">
      <c r="B3675" s="23"/>
      <c r="E3675" s="23"/>
      <c r="G3675" s="23"/>
      <c r="H3675" s="23"/>
      <c r="J3675" s="23"/>
      <c r="K3675" s="23"/>
      <c r="M3675" s="23"/>
      <c r="N3675" s="23"/>
      <c r="P3675" s="23"/>
    </row>
    <row r="3676" spans="2:16" x14ac:dyDescent="0.25">
      <c r="B3676" s="23"/>
      <c r="E3676" s="23"/>
      <c r="G3676" s="23"/>
      <c r="H3676" s="23"/>
      <c r="J3676" s="23"/>
      <c r="K3676" s="23"/>
      <c r="M3676" s="23"/>
      <c r="N3676" s="23"/>
      <c r="P3676" s="23"/>
    </row>
    <row r="3677" spans="2:16" x14ac:dyDescent="0.25">
      <c r="B3677" s="23"/>
      <c r="E3677" s="23"/>
      <c r="G3677" s="23"/>
      <c r="H3677" s="23"/>
      <c r="J3677" s="23"/>
      <c r="K3677" s="23"/>
      <c r="M3677" s="23"/>
      <c r="N3677" s="23"/>
      <c r="P3677" s="23"/>
    </row>
    <row r="3678" spans="2:16" x14ac:dyDescent="0.25">
      <c r="B3678" s="23"/>
      <c r="E3678" s="23"/>
      <c r="G3678" s="23"/>
      <c r="H3678" s="23"/>
      <c r="J3678" s="23"/>
      <c r="K3678" s="23"/>
      <c r="M3678" s="23"/>
      <c r="N3678" s="23"/>
      <c r="P3678" s="23"/>
    </row>
    <row r="3679" spans="2:16" x14ac:dyDescent="0.25">
      <c r="B3679" s="23"/>
      <c r="E3679" s="23"/>
      <c r="G3679" s="23"/>
      <c r="H3679" s="23"/>
      <c r="J3679" s="23"/>
      <c r="K3679" s="23"/>
      <c r="M3679" s="23"/>
      <c r="N3679" s="23"/>
      <c r="P3679" s="23"/>
    </row>
    <row r="3680" spans="2:16" x14ac:dyDescent="0.25">
      <c r="B3680" s="23"/>
      <c r="E3680" s="23"/>
      <c r="G3680" s="23"/>
      <c r="H3680" s="23"/>
      <c r="J3680" s="23"/>
      <c r="K3680" s="23"/>
      <c r="M3680" s="23"/>
      <c r="N3680" s="23"/>
      <c r="P3680" s="23"/>
    </row>
    <row r="3681" spans="2:16" x14ac:dyDescent="0.25">
      <c r="B3681" s="23"/>
      <c r="E3681" s="23"/>
      <c r="G3681" s="23"/>
      <c r="H3681" s="23"/>
      <c r="J3681" s="23"/>
      <c r="K3681" s="23"/>
      <c r="M3681" s="23"/>
      <c r="N3681" s="23"/>
      <c r="P3681" s="23"/>
    </row>
    <row r="3682" spans="2:16" x14ac:dyDescent="0.25">
      <c r="B3682" s="23"/>
      <c r="E3682" s="23"/>
      <c r="G3682" s="23"/>
      <c r="H3682" s="23"/>
      <c r="J3682" s="23"/>
      <c r="K3682" s="23"/>
      <c r="M3682" s="23"/>
      <c r="N3682" s="23"/>
      <c r="P3682" s="23"/>
    </row>
    <row r="3683" spans="2:16" x14ac:dyDescent="0.25">
      <c r="B3683" s="23"/>
      <c r="E3683" s="23"/>
      <c r="G3683" s="23"/>
      <c r="H3683" s="23"/>
      <c r="J3683" s="23"/>
      <c r="K3683" s="23"/>
      <c r="M3683" s="23"/>
      <c r="N3683" s="23"/>
      <c r="P3683" s="23"/>
    </row>
    <row r="3684" spans="2:16" x14ac:dyDescent="0.25">
      <c r="B3684" s="23"/>
      <c r="E3684" s="23"/>
      <c r="G3684" s="23"/>
      <c r="H3684" s="23"/>
      <c r="J3684" s="23"/>
      <c r="K3684" s="23"/>
      <c r="M3684" s="23"/>
      <c r="N3684" s="23"/>
      <c r="P3684" s="23"/>
    </row>
    <row r="3685" spans="2:16" x14ac:dyDescent="0.25">
      <c r="B3685" s="23"/>
      <c r="E3685" s="23"/>
      <c r="G3685" s="23"/>
      <c r="H3685" s="23"/>
      <c r="J3685" s="23"/>
      <c r="K3685" s="23"/>
      <c r="M3685" s="23"/>
      <c r="N3685" s="23"/>
      <c r="P3685" s="23"/>
    </row>
    <row r="3686" spans="2:16" x14ac:dyDescent="0.25">
      <c r="B3686" s="23"/>
      <c r="E3686" s="23"/>
      <c r="G3686" s="23"/>
      <c r="H3686" s="23"/>
      <c r="J3686" s="23"/>
      <c r="K3686" s="23"/>
      <c r="M3686" s="23"/>
      <c r="N3686" s="23"/>
      <c r="P3686" s="23"/>
    </row>
    <row r="3687" spans="2:16" x14ac:dyDescent="0.25">
      <c r="B3687" s="23"/>
      <c r="E3687" s="23"/>
      <c r="G3687" s="23"/>
      <c r="H3687" s="23"/>
      <c r="J3687" s="23"/>
      <c r="K3687" s="23"/>
      <c r="M3687" s="23"/>
      <c r="N3687" s="23"/>
      <c r="P3687" s="23"/>
    </row>
    <row r="3688" spans="2:16" x14ac:dyDescent="0.25">
      <c r="B3688" s="23"/>
      <c r="E3688" s="23"/>
      <c r="G3688" s="23"/>
      <c r="H3688" s="23"/>
      <c r="J3688" s="23"/>
      <c r="K3688" s="23"/>
      <c r="M3688" s="23"/>
      <c r="N3688" s="23"/>
      <c r="P3688" s="23"/>
    </row>
    <row r="3689" spans="2:16" x14ac:dyDescent="0.25">
      <c r="B3689" s="23"/>
      <c r="E3689" s="23"/>
      <c r="G3689" s="23"/>
      <c r="H3689" s="23"/>
      <c r="J3689" s="23"/>
      <c r="K3689" s="23"/>
      <c r="M3689" s="23"/>
      <c r="N3689" s="23"/>
      <c r="P3689" s="23"/>
    </row>
    <row r="3690" spans="2:16" x14ac:dyDescent="0.25">
      <c r="B3690" s="23"/>
      <c r="E3690" s="23"/>
      <c r="G3690" s="23"/>
      <c r="H3690" s="23"/>
      <c r="J3690" s="23"/>
      <c r="K3690" s="23"/>
      <c r="M3690" s="23"/>
      <c r="N3690" s="23"/>
      <c r="P3690" s="23"/>
    </row>
    <row r="3691" spans="2:16" x14ac:dyDescent="0.25">
      <c r="B3691" s="23"/>
      <c r="E3691" s="23"/>
      <c r="G3691" s="23"/>
      <c r="H3691" s="23"/>
      <c r="J3691" s="23"/>
      <c r="K3691" s="23"/>
      <c r="M3691" s="23"/>
      <c r="N3691" s="23"/>
      <c r="P3691" s="23"/>
    </row>
    <row r="3692" spans="2:16" x14ac:dyDescent="0.25">
      <c r="B3692" s="23"/>
      <c r="E3692" s="23"/>
      <c r="G3692" s="23"/>
      <c r="H3692" s="23"/>
      <c r="J3692" s="23"/>
      <c r="K3692" s="23"/>
      <c r="M3692" s="23"/>
      <c r="N3692" s="23"/>
      <c r="P3692" s="23"/>
    </row>
    <row r="3693" spans="2:16" x14ac:dyDescent="0.25">
      <c r="B3693" s="23"/>
      <c r="E3693" s="23"/>
      <c r="G3693" s="23"/>
      <c r="H3693" s="23"/>
      <c r="J3693" s="23"/>
      <c r="K3693" s="23"/>
      <c r="M3693" s="23"/>
      <c r="N3693" s="23"/>
      <c r="P3693" s="23"/>
    </row>
    <row r="3694" spans="2:16" x14ac:dyDescent="0.25">
      <c r="B3694" s="23"/>
      <c r="E3694" s="23"/>
      <c r="G3694" s="23"/>
      <c r="H3694" s="23"/>
      <c r="J3694" s="23"/>
      <c r="K3694" s="23"/>
      <c r="M3694" s="23"/>
      <c r="N3694" s="23"/>
      <c r="P3694" s="23"/>
    </row>
    <row r="3695" spans="2:16" x14ac:dyDescent="0.25">
      <c r="B3695" s="23"/>
      <c r="E3695" s="23"/>
      <c r="G3695" s="23"/>
      <c r="H3695" s="23"/>
      <c r="J3695" s="23"/>
      <c r="K3695" s="23"/>
      <c r="M3695" s="23"/>
      <c r="N3695" s="23"/>
      <c r="P3695" s="23"/>
    </row>
    <row r="3696" spans="2:16" x14ac:dyDescent="0.25">
      <c r="B3696" s="23"/>
      <c r="E3696" s="23"/>
      <c r="G3696" s="23"/>
      <c r="H3696" s="23"/>
      <c r="J3696" s="23"/>
      <c r="K3696" s="23"/>
      <c r="M3696" s="23"/>
      <c r="N3696" s="23"/>
      <c r="P3696" s="23"/>
    </row>
    <row r="3697" spans="2:16" x14ac:dyDescent="0.25">
      <c r="B3697" s="23"/>
      <c r="E3697" s="23"/>
      <c r="G3697" s="23"/>
      <c r="H3697" s="23"/>
      <c r="J3697" s="23"/>
      <c r="K3697" s="23"/>
      <c r="M3697" s="23"/>
      <c r="N3697" s="23"/>
      <c r="P3697" s="23"/>
    </row>
    <row r="3698" spans="2:16" x14ac:dyDescent="0.25">
      <c r="B3698" s="23"/>
      <c r="E3698" s="23"/>
      <c r="G3698" s="23"/>
      <c r="H3698" s="23"/>
      <c r="J3698" s="23"/>
      <c r="K3698" s="23"/>
      <c r="M3698" s="23"/>
      <c r="N3698" s="23"/>
      <c r="P3698" s="23"/>
    </row>
    <row r="3699" spans="2:16" x14ac:dyDescent="0.25">
      <c r="B3699" s="23"/>
      <c r="E3699" s="23"/>
      <c r="G3699" s="23"/>
      <c r="H3699" s="23"/>
      <c r="J3699" s="23"/>
      <c r="K3699" s="23"/>
      <c r="M3699" s="23"/>
      <c r="N3699" s="23"/>
      <c r="P3699" s="23"/>
    </row>
    <row r="3700" spans="2:16" x14ac:dyDescent="0.25">
      <c r="B3700" s="23"/>
      <c r="E3700" s="23"/>
      <c r="G3700" s="23"/>
      <c r="H3700" s="23"/>
      <c r="J3700" s="23"/>
      <c r="K3700" s="23"/>
      <c r="M3700" s="23"/>
      <c r="N3700" s="23"/>
      <c r="P3700" s="23"/>
    </row>
    <row r="3701" spans="2:16" x14ac:dyDescent="0.25">
      <c r="B3701" s="23"/>
      <c r="E3701" s="23"/>
      <c r="G3701" s="23"/>
      <c r="H3701" s="23"/>
      <c r="J3701" s="23"/>
      <c r="K3701" s="23"/>
      <c r="M3701" s="23"/>
      <c r="N3701" s="23"/>
      <c r="P3701" s="23"/>
    </row>
    <row r="3702" spans="2:16" x14ac:dyDescent="0.25">
      <c r="B3702" s="23"/>
      <c r="E3702" s="23"/>
      <c r="G3702" s="23"/>
      <c r="H3702" s="23"/>
      <c r="J3702" s="23"/>
      <c r="K3702" s="23"/>
      <c r="M3702" s="23"/>
      <c r="N3702" s="23"/>
      <c r="P3702" s="23"/>
    </row>
    <row r="3703" spans="2:16" x14ac:dyDescent="0.25">
      <c r="B3703" s="23"/>
      <c r="E3703" s="23"/>
      <c r="G3703" s="23"/>
      <c r="H3703" s="23"/>
      <c r="J3703" s="23"/>
      <c r="K3703" s="23"/>
      <c r="M3703" s="23"/>
      <c r="N3703" s="23"/>
      <c r="P3703" s="23"/>
    </row>
    <row r="3704" spans="2:16" x14ac:dyDescent="0.25">
      <c r="B3704" s="23"/>
      <c r="E3704" s="23"/>
      <c r="G3704" s="23"/>
      <c r="H3704" s="23"/>
      <c r="J3704" s="23"/>
      <c r="K3704" s="23"/>
      <c r="M3704" s="23"/>
      <c r="N3704" s="23"/>
      <c r="P3704" s="23"/>
    </row>
    <row r="3705" spans="2:16" x14ac:dyDescent="0.25">
      <c r="B3705" s="23"/>
      <c r="E3705" s="23"/>
      <c r="G3705" s="23"/>
      <c r="H3705" s="23"/>
      <c r="J3705" s="23"/>
      <c r="K3705" s="23"/>
      <c r="M3705" s="23"/>
      <c r="N3705" s="23"/>
      <c r="P3705" s="23"/>
    </row>
    <row r="3706" spans="2:16" x14ac:dyDescent="0.25">
      <c r="B3706" s="23"/>
      <c r="E3706" s="23"/>
      <c r="G3706" s="23"/>
      <c r="H3706" s="23"/>
      <c r="J3706" s="23"/>
      <c r="K3706" s="23"/>
      <c r="M3706" s="23"/>
      <c r="N3706" s="23"/>
      <c r="P3706" s="23"/>
    </row>
    <row r="3707" spans="2:16" x14ac:dyDescent="0.25">
      <c r="B3707" s="23"/>
      <c r="E3707" s="23"/>
      <c r="G3707" s="23"/>
      <c r="H3707" s="23"/>
      <c r="J3707" s="23"/>
      <c r="K3707" s="23"/>
      <c r="M3707" s="23"/>
      <c r="N3707" s="23"/>
      <c r="P3707" s="23"/>
    </row>
    <row r="3708" spans="2:16" x14ac:dyDescent="0.25">
      <c r="B3708" s="23"/>
      <c r="E3708" s="23"/>
      <c r="G3708" s="23"/>
      <c r="H3708" s="23"/>
      <c r="J3708" s="23"/>
      <c r="K3708" s="23"/>
      <c r="M3708" s="23"/>
      <c r="N3708" s="23"/>
      <c r="P3708" s="23"/>
    </row>
    <row r="3709" spans="2:16" x14ac:dyDescent="0.25">
      <c r="B3709" s="23"/>
      <c r="E3709" s="23"/>
      <c r="G3709" s="23"/>
      <c r="H3709" s="23"/>
      <c r="J3709" s="23"/>
      <c r="K3709" s="23"/>
      <c r="M3709" s="23"/>
      <c r="N3709" s="23"/>
      <c r="P3709" s="23"/>
    </row>
    <row r="3710" spans="2:16" x14ac:dyDescent="0.25">
      <c r="B3710" s="23"/>
      <c r="E3710" s="23"/>
      <c r="G3710" s="23"/>
      <c r="H3710" s="23"/>
      <c r="J3710" s="23"/>
      <c r="K3710" s="23"/>
      <c r="M3710" s="23"/>
      <c r="N3710" s="23"/>
      <c r="P3710" s="23"/>
    </row>
    <row r="3711" spans="2:16" x14ac:dyDescent="0.25">
      <c r="B3711" s="23"/>
      <c r="E3711" s="23"/>
      <c r="G3711" s="23"/>
      <c r="H3711" s="23"/>
      <c r="J3711" s="23"/>
      <c r="K3711" s="23"/>
      <c r="M3711" s="23"/>
      <c r="N3711" s="23"/>
      <c r="P3711" s="23"/>
    </row>
    <row r="3712" spans="2:16" x14ac:dyDescent="0.25">
      <c r="B3712" s="23"/>
      <c r="E3712" s="23"/>
      <c r="G3712" s="23"/>
      <c r="H3712" s="23"/>
      <c r="J3712" s="23"/>
      <c r="K3712" s="23"/>
      <c r="M3712" s="23"/>
      <c r="N3712" s="23"/>
      <c r="P3712" s="23"/>
    </row>
    <row r="3713" spans="2:16" x14ac:dyDescent="0.25">
      <c r="B3713" s="23"/>
      <c r="E3713" s="23"/>
      <c r="G3713" s="23"/>
      <c r="H3713" s="23"/>
      <c r="J3713" s="23"/>
      <c r="K3713" s="23"/>
      <c r="M3713" s="23"/>
      <c r="N3713" s="23"/>
      <c r="P3713" s="23"/>
    </row>
    <row r="3714" spans="2:16" x14ac:dyDescent="0.25">
      <c r="B3714" s="23"/>
      <c r="E3714" s="23"/>
      <c r="G3714" s="23"/>
      <c r="H3714" s="23"/>
      <c r="J3714" s="23"/>
      <c r="K3714" s="23"/>
      <c r="M3714" s="23"/>
      <c r="N3714" s="23"/>
      <c r="P3714" s="23"/>
    </row>
    <row r="3715" spans="2:16" x14ac:dyDescent="0.25">
      <c r="B3715" s="23"/>
      <c r="E3715" s="23"/>
      <c r="G3715" s="23"/>
      <c r="H3715" s="23"/>
      <c r="J3715" s="23"/>
      <c r="K3715" s="23"/>
      <c r="M3715" s="23"/>
      <c r="N3715" s="23"/>
      <c r="P3715" s="23"/>
    </row>
    <row r="3716" spans="2:16" x14ac:dyDescent="0.25">
      <c r="B3716" s="23"/>
      <c r="E3716" s="23"/>
      <c r="G3716" s="23"/>
      <c r="H3716" s="23"/>
      <c r="J3716" s="23"/>
      <c r="K3716" s="23"/>
      <c r="M3716" s="23"/>
      <c r="N3716" s="23"/>
      <c r="P3716" s="23"/>
    </row>
    <row r="3717" spans="2:16" x14ac:dyDescent="0.25">
      <c r="B3717" s="23"/>
      <c r="E3717" s="23"/>
      <c r="G3717" s="23"/>
      <c r="H3717" s="23"/>
      <c r="J3717" s="23"/>
      <c r="K3717" s="23"/>
      <c r="M3717" s="23"/>
      <c r="N3717" s="23"/>
      <c r="P3717" s="23"/>
    </row>
    <row r="3718" spans="2:16" x14ac:dyDescent="0.25">
      <c r="B3718" s="23"/>
      <c r="E3718" s="23"/>
      <c r="G3718" s="23"/>
      <c r="H3718" s="23"/>
      <c r="J3718" s="23"/>
      <c r="K3718" s="23"/>
      <c r="M3718" s="23"/>
      <c r="N3718" s="23"/>
      <c r="P3718" s="23"/>
    </row>
    <row r="3719" spans="2:16" x14ac:dyDescent="0.25">
      <c r="B3719" s="23"/>
      <c r="E3719" s="23"/>
      <c r="G3719" s="23"/>
      <c r="H3719" s="23"/>
      <c r="J3719" s="23"/>
      <c r="K3719" s="23"/>
      <c r="M3719" s="23"/>
      <c r="N3719" s="23"/>
      <c r="P3719" s="23"/>
    </row>
    <row r="3720" spans="2:16" x14ac:dyDescent="0.25">
      <c r="B3720" s="23"/>
      <c r="E3720" s="23"/>
      <c r="G3720" s="23"/>
      <c r="H3720" s="23"/>
      <c r="J3720" s="23"/>
      <c r="K3720" s="23"/>
      <c r="M3720" s="23"/>
      <c r="N3720" s="23"/>
      <c r="P3720" s="23"/>
    </row>
    <row r="3721" spans="2:16" x14ac:dyDescent="0.25">
      <c r="B3721" s="23"/>
      <c r="E3721" s="23"/>
      <c r="G3721" s="23"/>
      <c r="H3721" s="23"/>
      <c r="J3721" s="23"/>
      <c r="K3721" s="23"/>
      <c r="M3721" s="23"/>
      <c r="N3721" s="23"/>
      <c r="P3721" s="23"/>
    </row>
    <row r="3722" spans="2:16" x14ac:dyDescent="0.25">
      <c r="B3722" s="23"/>
      <c r="E3722" s="23"/>
      <c r="G3722" s="23"/>
      <c r="H3722" s="23"/>
      <c r="J3722" s="23"/>
      <c r="K3722" s="23"/>
      <c r="M3722" s="23"/>
      <c r="N3722" s="23"/>
      <c r="P3722" s="23"/>
    </row>
    <row r="3723" spans="2:16" x14ac:dyDescent="0.25">
      <c r="B3723" s="23"/>
      <c r="E3723" s="23"/>
      <c r="G3723" s="23"/>
      <c r="H3723" s="23"/>
      <c r="J3723" s="23"/>
      <c r="K3723" s="23"/>
      <c r="M3723" s="23"/>
      <c r="N3723" s="23"/>
      <c r="P3723" s="23"/>
    </row>
    <row r="3724" spans="2:16" x14ac:dyDescent="0.25">
      <c r="B3724" s="23"/>
      <c r="E3724" s="23"/>
      <c r="G3724" s="23"/>
      <c r="H3724" s="23"/>
      <c r="J3724" s="23"/>
      <c r="K3724" s="23"/>
      <c r="M3724" s="23"/>
      <c r="N3724" s="23"/>
      <c r="P3724" s="23"/>
    </row>
    <row r="3725" spans="2:16" x14ac:dyDescent="0.25">
      <c r="B3725" s="23"/>
      <c r="E3725" s="23"/>
      <c r="G3725" s="23"/>
      <c r="H3725" s="23"/>
      <c r="J3725" s="23"/>
      <c r="K3725" s="23"/>
      <c r="M3725" s="23"/>
      <c r="N3725" s="23"/>
      <c r="P3725" s="23"/>
    </row>
    <row r="3726" spans="2:16" x14ac:dyDescent="0.25">
      <c r="B3726" s="23"/>
      <c r="E3726" s="23"/>
      <c r="G3726" s="23"/>
      <c r="H3726" s="23"/>
      <c r="J3726" s="23"/>
      <c r="K3726" s="23"/>
      <c r="M3726" s="23"/>
      <c r="N3726" s="23"/>
      <c r="P3726" s="23"/>
    </row>
    <row r="3727" spans="2:16" x14ac:dyDescent="0.25">
      <c r="B3727" s="23"/>
      <c r="E3727" s="23"/>
      <c r="G3727" s="23"/>
      <c r="H3727" s="23"/>
      <c r="J3727" s="23"/>
      <c r="K3727" s="23"/>
      <c r="M3727" s="23"/>
      <c r="N3727" s="23"/>
      <c r="P3727" s="23"/>
    </row>
    <row r="3728" spans="2:16" x14ac:dyDescent="0.25">
      <c r="B3728" s="23"/>
      <c r="E3728" s="23"/>
      <c r="G3728" s="23"/>
      <c r="H3728" s="23"/>
      <c r="J3728" s="23"/>
      <c r="K3728" s="23"/>
      <c r="M3728" s="23"/>
      <c r="N3728" s="23"/>
      <c r="P3728" s="23"/>
    </row>
    <row r="3729" spans="2:16" x14ac:dyDescent="0.25">
      <c r="B3729" s="23"/>
      <c r="E3729" s="23"/>
      <c r="G3729" s="23"/>
      <c r="H3729" s="23"/>
      <c r="J3729" s="23"/>
      <c r="K3729" s="23"/>
      <c r="M3729" s="23"/>
      <c r="N3729" s="23"/>
      <c r="P3729" s="23"/>
    </row>
    <row r="3730" spans="2:16" x14ac:dyDescent="0.25">
      <c r="B3730" s="23"/>
      <c r="E3730" s="23"/>
      <c r="G3730" s="23"/>
      <c r="H3730" s="23"/>
      <c r="J3730" s="23"/>
      <c r="K3730" s="23"/>
      <c r="M3730" s="23"/>
      <c r="N3730" s="23"/>
      <c r="P3730" s="23"/>
    </row>
    <row r="3731" spans="2:16" x14ac:dyDescent="0.25">
      <c r="B3731" s="23"/>
      <c r="E3731" s="23"/>
      <c r="G3731" s="23"/>
      <c r="H3731" s="23"/>
      <c r="J3731" s="23"/>
      <c r="K3731" s="23"/>
      <c r="M3731" s="23"/>
      <c r="N3731" s="23"/>
      <c r="P3731" s="23"/>
    </row>
    <row r="3732" spans="2:16" x14ac:dyDescent="0.25">
      <c r="B3732" s="23"/>
      <c r="E3732" s="23"/>
      <c r="G3732" s="23"/>
      <c r="H3732" s="23"/>
      <c r="J3732" s="23"/>
      <c r="K3732" s="23"/>
      <c r="M3732" s="23"/>
      <c r="N3732" s="23"/>
      <c r="P3732" s="23"/>
    </row>
    <row r="3733" spans="2:16" x14ac:dyDescent="0.25">
      <c r="B3733" s="23"/>
      <c r="E3733" s="23"/>
      <c r="G3733" s="23"/>
      <c r="H3733" s="23"/>
      <c r="J3733" s="23"/>
      <c r="K3733" s="23"/>
      <c r="M3733" s="23"/>
      <c r="N3733" s="23"/>
      <c r="P3733" s="23"/>
    </row>
    <row r="3734" spans="2:16" x14ac:dyDescent="0.25">
      <c r="B3734" s="23"/>
      <c r="E3734" s="23"/>
      <c r="G3734" s="23"/>
      <c r="H3734" s="23"/>
      <c r="J3734" s="23"/>
      <c r="K3734" s="23"/>
      <c r="M3734" s="23"/>
      <c r="N3734" s="23"/>
      <c r="P3734" s="23"/>
    </row>
    <row r="3735" spans="2:16" x14ac:dyDescent="0.25">
      <c r="B3735" s="23"/>
      <c r="E3735" s="23"/>
      <c r="G3735" s="23"/>
      <c r="H3735" s="23"/>
      <c r="J3735" s="23"/>
      <c r="K3735" s="23"/>
      <c r="M3735" s="23"/>
      <c r="N3735" s="23"/>
      <c r="P3735" s="23"/>
    </row>
    <row r="3736" spans="2:16" x14ac:dyDescent="0.25">
      <c r="B3736" s="23"/>
      <c r="E3736" s="23"/>
      <c r="G3736" s="23"/>
      <c r="H3736" s="23"/>
      <c r="J3736" s="23"/>
      <c r="K3736" s="23"/>
      <c r="M3736" s="23"/>
      <c r="N3736" s="23"/>
      <c r="P3736" s="23"/>
    </row>
    <row r="3737" spans="2:16" x14ac:dyDescent="0.25">
      <c r="B3737" s="23"/>
      <c r="E3737" s="23"/>
      <c r="G3737" s="23"/>
      <c r="H3737" s="23"/>
      <c r="J3737" s="23"/>
      <c r="K3737" s="23"/>
      <c r="M3737" s="23"/>
      <c r="N3737" s="23"/>
      <c r="P3737" s="23"/>
    </row>
    <row r="3738" spans="2:16" x14ac:dyDescent="0.25">
      <c r="B3738" s="23"/>
      <c r="E3738" s="23"/>
      <c r="G3738" s="23"/>
      <c r="H3738" s="23"/>
      <c r="J3738" s="23"/>
      <c r="K3738" s="23"/>
      <c r="M3738" s="23"/>
      <c r="N3738" s="23"/>
      <c r="P3738" s="23"/>
    </row>
    <row r="3739" spans="2:16" x14ac:dyDescent="0.25">
      <c r="B3739" s="23"/>
      <c r="E3739" s="23"/>
      <c r="G3739" s="23"/>
      <c r="H3739" s="23"/>
      <c r="J3739" s="23"/>
      <c r="K3739" s="23"/>
      <c r="M3739" s="23"/>
      <c r="N3739" s="23"/>
      <c r="P3739" s="23"/>
    </row>
    <row r="3740" spans="2:16" x14ac:dyDescent="0.25">
      <c r="B3740" s="23"/>
      <c r="E3740" s="23"/>
      <c r="G3740" s="23"/>
      <c r="H3740" s="23"/>
      <c r="J3740" s="23"/>
      <c r="K3740" s="23"/>
      <c r="M3740" s="23"/>
      <c r="N3740" s="23"/>
      <c r="P3740" s="23"/>
    </row>
    <row r="3741" spans="2:16" x14ac:dyDescent="0.25">
      <c r="B3741" s="23"/>
      <c r="E3741" s="23"/>
      <c r="G3741" s="23"/>
      <c r="H3741" s="23"/>
      <c r="J3741" s="23"/>
      <c r="K3741" s="23"/>
      <c r="M3741" s="23"/>
      <c r="N3741" s="23"/>
      <c r="P3741" s="23"/>
    </row>
    <row r="3742" spans="2:16" x14ac:dyDescent="0.25">
      <c r="B3742" s="23"/>
      <c r="E3742" s="23"/>
      <c r="G3742" s="23"/>
      <c r="H3742" s="23"/>
      <c r="J3742" s="23"/>
      <c r="K3742" s="23"/>
      <c r="M3742" s="23"/>
      <c r="N3742" s="23"/>
      <c r="P3742" s="23"/>
    </row>
    <row r="3743" spans="2:16" x14ac:dyDescent="0.25">
      <c r="B3743" s="23"/>
      <c r="E3743" s="23"/>
      <c r="G3743" s="23"/>
      <c r="H3743" s="23"/>
      <c r="J3743" s="23"/>
      <c r="K3743" s="23"/>
      <c r="M3743" s="23"/>
      <c r="N3743" s="23"/>
      <c r="P3743" s="23"/>
    </row>
    <row r="3744" spans="2:16" x14ac:dyDescent="0.25">
      <c r="B3744" s="23"/>
      <c r="E3744" s="23"/>
      <c r="G3744" s="23"/>
      <c r="H3744" s="23"/>
      <c r="J3744" s="23"/>
      <c r="K3744" s="23"/>
      <c r="M3744" s="23"/>
      <c r="N3744" s="23"/>
      <c r="P3744" s="23"/>
    </row>
    <row r="3745" spans="2:16" x14ac:dyDescent="0.25">
      <c r="B3745" s="23"/>
      <c r="E3745" s="23"/>
      <c r="G3745" s="23"/>
      <c r="H3745" s="23"/>
      <c r="J3745" s="23"/>
      <c r="K3745" s="23"/>
      <c r="M3745" s="23"/>
      <c r="N3745" s="23"/>
      <c r="P3745" s="23"/>
    </row>
    <row r="3746" spans="2:16" x14ac:dyDescent="0.25">
      <c r="B3746" s="23"/>
      <c r="E3746" s="23"/>
      <c r="G3746" s="23"/>
      <c r="H3746" s="23"/>
      <c r="J3746" s="23"/>
      <c r="K3746" s="23"/>
      <c r="M3746" s="23"/>
      <c r="N3746" s="23"/>
      <c r="P3746" s="23"/>
    </row>
    <row r="3747" spans="2:16" x14ac:dyDescent="0.25">
      <c r="B3747" s="23"/>
      <c r="E3747" s="23"/>
      <c r="G3747" s="23"/>
      <c r="H3747" s="23"/>
      <c r="J3747" s="23"/>
      <c r="K3747" s="23"/>
      <c r="M3747" s="23"/>
      <c r="N3747" s="23"/>
      <c r="P3747" s="23"/>
    </row>
    <row r="3748" spans="2:16" x14ac:dyDescent="0.25">
      <c r="B3748" s="23"/>
      <c r="E3748" s="23"/>
      <c r="G3748" s="23"/>
      <c r="H3748" s="23"/>
      <c r="J3748" s="23"/>
      <c r="K3748" s="23"/>
      <c r="M3748" s="23"/>
      <c r="N3748" s="23"/>
      <c r="P3748" s="23"/>
    </row>
    <row r="3749" spans="2:16" x14ac:dyDescent="0.25">
      <c r="B3749" s="23"/>
      <c r="E3749" s="23"/>
      <c r="G3749" s="23"/>
      <c r="H3749" s="23"/>
      <c r="J3749" s="23"/>
      <c r="K3749" s="23"/>
      <c r="M3749" s="23"/>
      <c r="N3749" s="23"/>
      <c r="P3749" s="23"/>
    </row>
    <row r="3750" spans="2:16" x14ac:dyDescent="0.25">
      <c r="B3750" s="23"/>
      <c r="E3750" s="23"/>
      <c r="G3750" s="23"/>
      <c r="H3750" s="23"/>
      <c r="J3750" s="23"/>
      <c r="K3750" s="23"/>
      <c r="M3750" s="23"/>
      <c r="N3750" s="23"/>
      <c r="P3750" s="23"/>
    </row>
    <row r="3751" spans="2:16" x14ac:dyDescent="0.25">
      <c r="B3751" s="23"/>
      <c r="E3751" s="23"/>
      <c r="G3751" s="23"/>
      <c r="H3751" s="23"/>
      <c r="J3751" s="23"/>
      <c r="K3751" s="23"/>
      <c r="M3751" s="23"/>
      <c r="N3751" s="23"/>
      <c r="P3751" s="23"/>
    </row>
    <row r="3752" spans="2:16" x14ac:dyDescent="0.25">
      <c r="B3752" s="23"/>
      <c r="E3752" s="23"/>
      <c r="G3752" s="23"/>
      <c r="H3752" s="23"/>
      <c r="J3752" s="23"/>
      <c r="K3752" s="23"/>
      <c r="M3752" s="23"/>
      <c r="N3752" s="23"/>
      <c r="P3752" s="23"/>
    </row>
    <row r="3753" spans="2:16" x14ac:dyDescent="0.25">
      <c r="B3753" s="23"/>
      <c r="E3753" s="23"/>
      <c r="G3753" s="23"/>
      <c r="H3753" s="23"/>
      <c r="J3753" s="23"/>
      <c r="K3753" s="23"/>
      <c r="M3753" s="23"/>
      <c r="N3753" s="23"/>
      <c r="P3753" s="23"/>
    </row>
    <row r="3754" spans="2:16" x14ac:dyDescent="0.25">
      <c r="B3754" s="23"/>
      <c r="E3754" s="23"/>
      <c r="G3754" s="23"/>
      <c r="H3754" s="23"/>
      <c r="J3754" s="23"/>
      <c r="K3754" s="23"/>
      <c r="M3754" s="23"/>
      <c r="N3754" s="23"/>
      <c r="P3754" s="23"/>
    </row>
    <row r="3755" spans="2:16" x14ac:dyDescent="0.25">
      <c r="B3755" s="23"/>
      <c r="E3755" s="23"/>
      <c r="G3755" s="23"/>
      <c r="H3755" s="23"/>
      <c r="J3755" s="23"/>
      <c r="K3755" s="23"/>
      <c r="M3755" s="23"/>
      <c r="N3755" s="23"/>
      <c r="P3755" s="23"/>
    </row>
    <row r="3756" spans="2:16" x14ac:dyDescent="0.25">
      <c r="B3756" s="23"/>
      <c r="E3756" s="23"/>
      <c r="G3756" s="23"/>
      <c r="H3756" s="23"/>
      <c r="J3756" s="23"/>
      <c r="K3756" s="23"/>
      <c r="M3756" s="23"/>
      <c r="N3756" s="23"/>
      <c r="P3756" s="23"/>
    </row>
    <row r="3757" spans="2:16" x14ac:dyDescent="0.25">
      <c r="B3757" s="23"/>
      <c r="E3757" s="23"/>
      <c r="G3757" s="23"/>
      <c r="H3757" s="23"/>
      <c r="J3757" s="23"/>
      <c r="K3757" s="23"/>
      <c r="M3757" s="23"/>
      <c r="N3757" s="23"/>
      <c r="P3757" s="23"/>
    </row>
    <row r="3758" spans="2:16" x14ac:dyDescent="0.25">
      <c r="B3758" s="23"/>
      <c r="E3758" s="23"/>
      <c r="G3758" s="23"/>
      <c r="H3758" s="23"/>
      <c r="J3758" s="23"/>
      <c r="K3758" s="23"/>
      <c r="M3758" s="23"/>
      <c r="N3758" s="23"/>
      <c r="P3758" s="23"/>
    </row>
    <row r="3759" spans="2:16" x14ac:dyDescent="0.25">
      <c r="B3759" s="23"/>
      <c r="E3759" s="23"/>
      <c r="G3759" s="23"/>
      <c r="H3759" s="23"/>
      <c r="J3759" s="23"/>
      <c r="K3759" s="23"/>
      <c r="M3759" s="23"/>
      <c r="N3759" s="23"/>
      <c r="P3759" s="23"/>
    </row>
    <row r="3760" spans="2:16" x14ac:dyDescent="0.25">
      <c r="B3760" s="23"/>
      <c r="E3760" s="23"/>
      <c r="G3760" s="23"/>
      <c r="H3760" s="23"/>
      <c r="J3760" s="23"/>
      <c r="K3760" s="23"/>
      <c r="M3760" s="23"/>
      <c r="N3760" s="23"/>
      <c r="P3760" s="23"/>
    </row>
    <row r="3761" spans="2:16" x14ac:dyDescent="0.25">
      <c r="B3761" s="23"/>
      <c r="E3761" s="23"/>
      <c r="G3761" s="23"/>
      <c r="H3761" s="23"/>
      <c r="J3761" s="23"/>
      <c r="K3761" s="23"/>
      <c r="M3761" s="23"/>
      <c r="N3761" s="23"/>
      <c r="P3761" s="23"/>
    </row>
    <row r="3762" spans="2:16" x14ac:dyDescent="0.25">
      <c r="B3762" s="23"/>
      <c r="E3762" s="23"/>
      <c r="G3762" s="23"/>
      <c r="H3762" s="23"/>
      <c r="J3762" s="23"/>
      <c r="K3762" s="23"/>
      <c r="M3762" s="23"/>
      <c r="N3762" s="23"/>
      <c r="P3762" s="23"/>
    </row>
    <row r="3763" spans="2:16" x14ac:dyDescent="0.25">
      <c r="B3763" s="23"/>
      <c r="E3763" s="23"/>
      <c r="G3763" s="23"/>
      <c r="H3763" s="23"/>
      <c r="J3763" s="23"/>
      <c r="K3763" s="23"/>
      <c r="M3763" s="23"/>
      <c r="N3763" s="23"/>
      <c r="P3763" s="23"/>
    </row>
    <row r="3764" spans="2:16" x14ac:dyDescent="0.25">
      <c r="B3764" s="23"/>
      <c r="E3764" s="23"/>
      <c r="G3764" s="23"/>
      <c r="H3764" s="23"/>
      <c r="J3764" s="23"/>
      <c r="K3764" s="23"/>
      <c r="M3764" s="23"/>
      <c r="N3764" s="23"/>
      <c r="P3764" s="23"/>
    </row>
    <row r="3765" spans="2:16" x14ac:dyDescent="0.25">
      <c r="B3765" s="23"/>
      <c r="E3765" s="23"/>
      <c r="G3765" s="23"/>
      <c r="H3765" s="23"/>
      <c r="J3765" s="23"/>
      <c r="K3765" s="23"/>
      <c r="M3765" s="23"/>
      <c r="N3765" s="23"/>
      <c r="P3765" s="23"/>
    </row>
    <row r="3766" spans="2:16" x14ac:dyDescent="0.25">
      <c r="B3766" s="23"/>
      <c r="E3766" s="23"/>
      <c r="G3766" s="23"/>
      <c r="H3766" s="23"/>
      <c r="J3766" s="23"/>
      <c r="K3766" s="23"/>
      <c r="M3766" s="23"/>
      <c r="N3766" s="23"/>
      <c r="P3766" s="23"/>
    </row>
    <row r="3767" spans="2:16" x14ac:dyDescent="0.25">
      <c r="B3767" s="23"/>
      <c r="E3767" s="23"/>
      <c r="G3767" s="23"/>
      <c r="H3767" s="23"/>
      <c r="J3767" s="23"/>
      <c r="K3767" s="23"/>
      <c r="M3767" s="23"/>
      <c r="N3767" s="23"/>
      <c r="P3767" s="23"/>
    </row>
    <row r="3768" spans="2:16" x14ac:dyDescent="0.25">
      <c r="B3768" s="23"/>
      <c r="E3768" s="23"/>
      <c r="G3768" s="23"/>
      <c r="H3768" s="23"/>
      <c r="J3768" s="23"/>
      <c r="K3768" s="23"/>
      <c r="M3768" s="23"/>
      <c r="N3768" s="23"/>
      <c r="P3768" s="23"/>
    </row>
    <row r="3769" spans="2:16" x14ac:dyDescent="0.25">
      <c r="B3769" s="23"/>
      <c r="E3769" s="23"/>
      <c r="G3769" s="23"/>
      <c r="H3769" s="23"/>
      <c r="J3769" s="23"/>
      <c r="K3769" s="23"/>
      <c r="M3769" s="23"/>
      <c r="N3769" s="23"/>
      <c r="P3769" s="23"/>
    </row>
    <row r="3770" spans="2:16" x14ac:dyDescent="0.25">
      <c r="B3770" s="23"/>
      <c r="E3770" s="23"/>
      <c r="G3770" s="23"/>
      <c r="H3770" s="23"/>
      <c r="J3770" s="23"/>
      <c r="K3770" s="23"/>
      <c r="M3770" s="23"/>
      <c r="N3770" s="23"/>
      <c r="P3770" s="23"/>
    </row>
    <row r="3771" spans="2:16" x14ac:dyDescent="0.25">
      <c r="B3771" s="23"/>
      <c r="E3771" s="23"/>
      <c r="G3771" s="23"/>
      <c r="H3771" s="23"/>
      <c r="J3771" s="23"/>
      <c r="K3771" s="23"/>
      <c r="M3771" s="23"/>
      <c r="N3771" s="23"/>
      <c r="P3771" s="23"/>
    </row>
    <row r="3772" spans="2:16" x14ac:dyDescent="0.25">
      <c r="B3772" s="23"/>
      <c r="E3772" s="23"/>
      <c r="G3772" s="23"/>
      <c r="H3772" s="23"/>
      <c r="J3772" s="23"/>
      <c r="K3772" s="23"/>
      <c r="M3772" s="23"/>
      <c r="N3772" s="23"/>
      <c r="P3772" s="23"/>
    </row>
    <row r="3773" spans="2:16" x14ac:dyDescent="0.25">
      <c r="B3773" s="23"/>
      <c r="E3773" s="23"/>
      <c r="G3773" s="23"/>
      <c r="H3773" s="23"/>
      <c r="J3773" s="23"/>
      <c r="K3773" s="23"/>
      <c r="M3773" s="23"/>
      <c r="N3773" s="23"/>
      <c r="P3773" s="23"/>
    </row>
    <row r="3774" spans="2:16" x14ac:dyDescent="0.25">
      <c r="B3774" s="23"/>
      <c r="E3774" s="23"/>
      <c r="G3774" s="23"/>
      <c r="H3774" s="23"/>
      <c r="J3774" s="23"/>
      <c r="K3774" s="23"/>
      <c r="M3774" s="23"/>
      <c r="N3774" s="23"/>
      <c r="P3774" s="23"/>
    </row>
    <row r="3775" spans="2:16" x14ac:dyDescent="0.25">
      <c r="B3775" s="23"/>
      <c r="E3775" s="23"/>
      <c r="G3775" s="23"/>
      <c r="H3775" s="23"/>
      <c r="J3775" s="23"/>
      <c r="K3775" s="23"/>
      <c r="M3775" s="23"/>
      <c r="N3775" s="23"/>
      <c r="P3775" s="23"/>
    </row>
    <row r="3776" spans="2:16" x14ac:dyDescent="0.25">
      <c r="B3776" s="23"/>
      <c r="E3776" s="23"/>
      <c r="G3776" s="23"/>
      <c r="H3776" s="23"/>
      <c r="J3776" s="23"/>
      <c r="K3776" s="23"/>
      <c r="M3776" s="23"/>
      <c r="N3776" s="23"/>
      <c r="P3776" s="23"/>
    </row>
    <row r="3777" spans="2:16" x14ac:dyDescent="0.25">
      <c r="B3777" s="23"/>
      <c r="E3777" s="23"/>
      <c r="G3777" s="23"/>
      <c r="H3777" s="23"/>
      <c r="J3777" s="23"/>
      <c r="K3777" s="23"/>
      <c r="M3777" s="23"/>
      <c r="N3777" s="23"/>
      <c r="P3777" s="23"/>
    </row>
    <row r="3778" spans="2:16" x14ac:dyDescent="0.25">
      <c r="B3778" s="23"/>
      <c r="E3778" s="23"/>
      <c r="G3778" s="23"/>
      <c r="H3778" s="23"/>
      <c r="J3778" s="23"/>
      <c r="K3778" s="23"/>
      <c r="M3778" s="23"/>
      <c r="N3778" s="23"/>
      <c r="P3778" s="23"/>
    </row>
    <row r="3779" spans="2:16" x14ac:dyDescent="0.25">
      <c r="B3779" s="23"/>
      <c r="E3779" s="23"/>
      <c r="G3779" s="23"/>
      <c r="H3779" s="23"/>
      <c r="J3779" s="23"/>
      <c r="K3779" s="23"/>
      <c r="M3779" s="23"/>
      <c r="N3779" s="23"/>
      <c r="P3779" s="23"/>
    </row>
    <row r="3780" spans="2:16" x14ac:dyDescent="0.25">
      <c r="B3780" s="23"/>
      <c r="E3780" s="23"/>
      <c r="G3780" s="23"/>
      <c r="H3780" s="23"/>
      <c r="J3780" s="23"/>
      <c r="K3780" s="23"/>
      <c r="M3780" s="23"/>
      <c r="N3780" s="23"/>
      <c r="P3780" s="23"/>
    </row>
    <row r="3781" spans="2:16" x14ac:dyDescent="0.25">
      <c r="B3781" s="23"/>
      <c r="E3781" s="23"/>
      <c r="G3781" s="23"/>
      <c r="H3781" s="23"/>
      <c r="J3781" s="23"/>
      <c r="K3781" s="23"/>
      <c r="M3781" s="23"/>
      <c r="N3781" s="23"/>
      <c r="P3781" s="23"/>
    </row>
    <row r="3782" spans="2:16" x14ac:dyDescent="0.25">
      <c r="B3782" s="23"/>
      <c r="E3782" s="23"/>
      <c r="G3782" s="23"/>
      <c r="H3782" s="23"/>
      <c r="J3782" s="23"/>
      <c r="K3782" s="23"/>
      <c r="M3782" s="23"/>
      <c r="N3782" s="23"/>
      <c r="P3782" s="23"/>
    </row>
    <row r="3783" spans="2:16" x14ac:dyDescent="0.25">
      <c r="B3783" s="23"/>
      <c r="E3783" s="23"/>
      <c r="G3783" s="23"/>
      <c r="H3783" s="23"/>
      <c r="J3783" s="23"/>
      <c r="K3783" s="23"/>
      <c r="M3783" s="23"/>
      <c r="N3783" s="23"/>
      <c r="P3783" s="23"/>
    </row>
    <row r="3784" spans="2:16" x14ac:dyDescent="0.25">
      <c r="B3784" s="23"/>
      <c r="E3784" s="23"/>
      <c r="G3784" s="23"/>
      <c r="H3784" s="23"/>
      <c r="J3784" s="23"/>
      <c r="K3784" s="23"/>
      <c r="M3784" s="23"/>
      <c r="N3784" s="23"/>
      <c r="P3784" s="23"/>
    </row>
    <row r="3785" spans="2:16" x14ac:dyDescent="0.25">
      <c r="B3785" s="23"/>
      <c r="E3785" s="23"/>
      <c r="G3785" s="23"/>
      <c r="H3785" s="23"/>
      <c r="J3785" s="23"/>
      <c r="K3785" s="23"/>
      <c r="M3785" s="23"/>
      <c r="N3785" s="23"/>
      <c r="P3785" s="23"/>
    </row>
    <row r="3786" spans="2:16" x14ac:dyDescent="0.25">
      <c r="B3786" s="23"/>
      <c r="E3786" s="23"/>
      <c r="G3786" s="23"/>
      <c r="H3786" s="23"/>
      <c r="J3786" s="23"/>
      <c r="K3786" s="23"/>
      <c r="M3786" s="23"/>
      <c r="N3786" s="23"/>
      <c r="P3786" s="23"/>
    </row>
    <row r="3787" spans="2:16" x14ac:dyDescent="0.25">
      <c r="B3787" s="23"/>
      <c r="E3787" s="23"/>
      <c r="G3787" s="23"/>
      <c r="H3787" s="23"/>
      <c r="J3787" s="23"/>
      <c r="K3787" s="23"/>
      <c r="M3787" s="23"/>
      <c r="N3787" s="23"/>
      <c r="P3787" s="23"/>
    </row>
    <row r="3788" spans="2:16" x14ac:dyDescent="0.25">
      <c r="B3788" s="23"/>
      <c r="E3788" s="23"/>
      <c r="G3788" s="23"/>
      <c r="H3788" s="23"/>
      <c r="J3788" s="23"/>
      <c r="K3788" s="23"/>
      <c r="M3788" s="23"/>
      <c r="N3788" s="23"/>
      <c r="P3788" s="23"/>
    </row>
    <row r="3789" spans="2:16" x14ac:dyDescent="0.25">
      <c r="B3789" s="23"/>
      <c r="E3789" s="23"/>
      <c r="G3789" s="23"/>
      <c r="H3789" s="23"/>
      <c r="J3789" s="23"/>
      <c r="K3789" s="23"/>
      <c r="M3789" s="23"/>
      <c r="N3789" s="23"/>
      <c r="P3789" s="23"/>
    </row>
    <row r="3790" spans="2:16" x14ac:dyDescent="0.25">
      <c r="B3790" s="23"/>
      <c r="E3790" s="23"/>
      <c r="G3790" s="23"/>
      <c r="H3790" s="23"/>
      <c r="J3790" s="23"/>
      <c r="K3790" s="23"/>
      <c r="M3790" s="23"/>
      <c r="N3790" s="23"/>
      <c r="P3790" s="23"/>
    </row>
    <row r="3791" spans="2:16" x14ac:dyDescent="0.25">
      <c r="B3791" s="23"/>
      <c r="E3791" s="23"/>
      <c r="G3791" s="23"/>
      <c r="H3791" s="23"/>
      <c r="J3791" s="23"/>
      <c r="K3791" s="23"/>
      <c r="M3791" s="23"/>
      <c r="N3791" s="23"/>
      <c r="P3791" s="23"/>
    </row>
    <row r="3792" spans="2:16" x14ac:dyDescent="0.25">
      <c r="B3792" s="23"/>
      <c r="E3792" s="23"/>
      <c r="G3792" s="23"/>
      <c r="H3792" s="23"/>
      <c r="J3792" s="23"/>
      <c r="K3792" s="23"/>
      <c r="M3792" s="23"/>
      <c r="N3792" s="23"/>
      <c r="P3792" s="23"/>
    </row>
    <row r="3793" spans="2:16" x14ac:dyDescent="0.25">
      <c r="B3793" s="23"/>
      <c r="E3793" s="23"/>
      <c r="G3793" s="23"/>
      <c r="H3793" s="23"/>
      <c r="J3793" s="23"/>
      <c r="K3793" s="23"/>
      <c r="M3793" s="23"/>
      <c r="N3793" s="23"/>
      <c r="P3793" s="23"/>
    </row>
    <row r="3794" spans="2:16" x14ac:dyDescent="0.25">
      <c r="B3794" s="23"/>
      <c r="E3794" s="23"/>
      <c r="G3794" s="23"/>
      <c r="H3794" s="23"/>
      <c r="J3794" s="23"/>
      <c r="K3794" s="23"/>
      <c r="M3794" s="23"/>
      <c r="N3794" s="23"/>
      <c r="P3794" s="23"/>
    </row>
    <row r="3795" spans="2:16" x14ac:dyDescent="0.25">
      <c r="B3795" s="23"/>
      <c r="E3795" s="23"/>
      <c r="G3795" s="23"/>
      <c r="H3795" s="23"/>
      <c r="J3795" s="23"/>
      <c r="K3795" s="23"/>
      <c r="M3795" s="23"/>
      <c r="N3795" s="23"/>
      <c r="P3795" s="23"/>
    </row>
    <row r="3796" spans="2:16" x14ac:dyDescent="0.25">
      <c r="B3796" s="23"/>
      <c r="E3796" s="23"/>
      <c r="G3796" s="23"/>
      <c r="H3796" s="23"/>
      <c r="J3796" s="23"/>
      <c r="K3796" s="23"/>
      <c r="M3796" s="23"/>
      <c r="N3796" s="23"/>
      <c r="P3796" s="23"/>
    </row>
    <row r="3797" spans="2:16" x14ac:dyDescent="0.25">
      <c r="B3797" s="23"/>
      <c r="E3797" s="23"/>
      <c r="G3797" s="23"/>
      <c r="H3797" s="23"/>
      <c r="J3797" s="23"/>
      <c r="K3797" s="23"/>
      <c r="M3797" s="23"/>
      <c r="N3797" s="23"/>
      <c r="P3797" s="23"/>
    </row>
    <row r="3798" spans="2:16" x14ac:dyDescent="0.25">
      <c r="B3798" s="23"/>
      <c r="E3798" s="23"/>
      <c r="G3798" s="23"/>
      <c r="H3798" s="23"/>
      <c r="J3798" s="23"/>
      <c r="K3798" s="23"/>
      <c r="M3798" s="23"/>
      <c r="N3798" s="23"/>
      <c r="P3798" s="23"/>
    </row>
    <row r="3799" spans="2:16" x14ac:dyDescent="0.25">
      <c r="B3799" s="23"/>
      <c r="E3799" s="23"/>
      <c r="G3799" s="23"/>
      <c r="H3799" s="23"/>
      <c r="J3799" s="23"/>
      <c r="K3799" s="23"/>
      <c r="M3799" s="23"/>
      <c r="N3799" s="23"/>
      <c r="P3799" s="23"/>
    </row>
    <row r="3800" spans="2:16" x14ac:dyDescent="0.25">
      <c r="B3800" s="23"/>
      <c r="E3800" s="23"/>
      <c r="G3800" s="23"/>
      <c r="H3800" s="23"/>
      <c r="J3800" s="23"/>
      <c r="K3800" s="23"/>
      <c r="M3800" s="23"/>
      <c r="N3800" s="23"/>
      <c r="P3800" s="23"/>
    </row>
    <row r="3801" spans="2:16" x14ac:dyDescent="0.25">
      <c r="B3801" s="23"/>
      <c r="E3801" s="23"/>
      <c r="G3801" s="23"/>
      <c r="H3801" s="23"/>
      <c r="J3801" s="23"/>
      <c r="K3801" s="23"/>
      <c r="M3801" s="23"/>
      <c r="N3801" s="23"/>
      <c r="P3801" s="23"/>
    </row>
    <row r="3802" spans="2:16" x14ac:dyDescent="0.25">
      <c r="B3802" s="23"/>
      <c r="E3802" s="23"/>
      <c r="G3802" s="23"/>
      <c r="H3802" s="23"/>
      <c r="J3802" s="23"/>
      <c r="K3802" s="23"/>
      <c r="M3802" s="23"/>
      <c r="N3802" s="23"/>
      <c r="P3802" s="23"/>
    </row>
    <row r="3803" spans="2:16" x14ac:dyDescent="0.25">
      <c r="B3803" s="23"/>
      <c r="E3803" s="23"/>
      <c r="G3803" s="23"/>
      <c r="H3803" s="23"/>
      <c r="J3803" s="23"/>
      <c r="K3803" s="23"/>
      <c r="M3803" s="23"/>
      <c r="N3803" s="23"/>
      <c r="P3803" s="23"/>
    </row>
    <row r="3804" spans="2:16" x14ac:dyDescent="0.25">
      <c r="B3804" s="23"/>
      <c r="E3804" s="23"/>
      <c r="G3804" s="23"/>
      <c r="H3804" s="23"/>
      <c r="J3804" s="23"/>
      <c r="K3804" s="23"/>
      <c r="M3804" s="23"/>
      <c r="N3804" s="23"/>
      <c r="P3804" s="23"/>
    </row>
    <row r="3805" spans="2:16" x14ac:dyDescent="0.25">
      <c r="B3805" s="23"/>
      <c r="E3805" s="23"/>
      <c r="G3805" s="23"/>
      <c r="H3805" s="23"/>
      <c r="J3805" s="23"/>
      <c r="K3805" s="23"/>
      <c r="M3805" s="23"/>
      <c r="N3805" s="23"/>
      <c r="P3805" s="23"/>
    </row>
    <row r="3806" spans="2:16" x14ac:dyDescent="0.25">
      <c r="B3806" s="23"/>
      <c r="E3806" s="23"/>
      <c r="G3806" s="23"/>
      <c r="H3806" s="23"/>
      <c r="J3806" s="23"/>
      <c r="K3806" s="23"/>
      <c r="M3806" s="23"/>
      <c r="N3806" s="23"/>
      <c r="P3806" s="23"/>
    </row>
    <row r="3807" spans="2:16" x14ac:dyDescent="0.25">
      <c r="B3807" s="23"/>
      <c r="E3807" s="23"/>
      <c r="G3807" s="23"/>
      <c r="H3807" s="23"/>
      <c r="J3807" s="23"/>
      <c r="K3807" s="23"/>
      <c r="M3807" s="23"/>
      <c r="N3807" s="23"/>
      <c r="P3807" s="23"/>
    </row>
    <row r="3808" spans="2:16" x14ac:dyDescent="0.25">
      <c r="B3808" s="23"/>
      <c r="E3808" s="23"/>
      <c r="G3808" s="23"/>
      <c r="H3808" s="23"/>
      <c r="J3808" s="23"/>
      <c r="K3808" s="23"/>
      <c r="M3808" s="23"/>
      <c r="N3808" s="23"/>
      <c r="P3808" s="23"/>
    </row>
    <row r="3809" spans="2:16" x14ac:dyDescent="0.25">
      <c r="B3809" s="23"/>
      <c r="E3809" s="23"/>
      <c r="G3809" s="23"/>
      <c r="H3809" s="23"/>
      <c r="J3809" s="23"/>
      <c r="K3809" s="23"/>
      <c r="M3809" s="23"/>
      <c r="N3809" s="23"/>
      <c r="P3809" s="23"/>
    </row>
    <row r="3810" spans="2:16" x14ac:dyDescent="0.25">
      <c r="B3810" s="23"/>
      <c r="E3810" s="23"/>
      <c r="G3810" s="23"/>
      <c r="H3810" s="23"/>
      <c r="J3810" s="23"/>
      <c r="K3810" s="23"/>
      <c r="M3810" s="23"/>
      <c r="N3810" s="23"/>
      <c r="P3810" s="23"/>
    </row>
    <row r="3811" spans="2:16" x14ac:dyDescent="0.25">
      <c r="B3811" s="23"/>
      <c r="E3811" s="23"/>
      <c r="G3811" s="23"/>
      <c r="H3811" s="23"/>
      <c r="J3811" s="23"/>
      <c r="K3811" s="23"/>
      <c r="M3811" s="23"/>
      <c r="N3811" s="23"/>
      <c r="P3811" s="23"/>
    </row>
    <row r="3812" spans="2:16" x14ac:dyDescent="0.25">
      <c r="B3812" s="23"/>
      <c r="E3812" s="23"/>
      <c r="G3812" s="23"/>
      <c r="H3812" s="23"/>
      <c r="J3812" s="23"/>
      <c r="K3812" s="23"/>
      <c r="M3812" s="23"/>
      <c r="N3812" s="23"/>
      <c r="P3812" s="23"/>
    </row>
    <row r="3813" spans="2:16" x14ac:dyDescent="0.25">
      <c r="B3813" s="23"/>
      <c r="E3813" s="23"/>
      <c r="G3813" s="23"/>
      <c r="H3813" s="23"/>
      <c r="J3813" s="23"/>
      <c r="K3813" s="23"/>
      <c r="M3813" s="23"/>
      <c r="N3813" s="23"/>
      <c r="P3813" s="23"/>
    </row>
    <row r="3814" spans="2:16" x14ac:dyDescent="0.25">
      <c r="B3814" s="23"/>
      <c r="E3814" s="23"/>
      <c r="G3814" s="23"/>
      <c r="H3814" s="23"/>
      <c r="J3814" s="23"/>
      <c r="K3814" s="23"/>
      <c r="M3814" s="23"/>
      <c r="N3814" s="23"/>
      <c r="P3814" s="23"/>
    </row>
    <row r="3815" spans="2:16" x14ac:dyDescent="0.25">
      <c r="B3815" s="23"/>
      <c r="E3815" s="23"/>
      <c r="G3815" s="23"/>
      <c r="H3815" s="23"/>
      <c r="J3815" s="23"/>
      <c r="K3815" s="23"/>
      <c r="M3815" s="23"/>
      <c r="N3815" s="23"/>
      <c r="P3815" s="23"/>
    </row>
    <row r="3816" spans="2:16" x14ac:dyDescent="0.25">
      <c r="B3816" s="23"/>
      <c r="E3816" s="23"/>
      <c r="G3816" s="23"/>
      <c r="H3816" s="23"/>
      <c r="J3816" s="23"/>
      <c r="K3816" s="23"/>
      <c r="M3816" s="23"/>
      <c r="N3816" s="23"/>
      <c r="P3816" s="23"/>
    </row>
    <row r="3817" spans="2:16" x14ac:dyDescent="0.25">
      <c r="B3817" s="23"/>
      <c r="E3817" s="23"/>
      <c r="G3817" s="23"/>
      <c r="H3817" s="23"/>
      <c r="J3817" s="23"/>
      <c r="K3817" s="23"/>
      <c r="M3817" s="23"/>
      <c r="N3817" s="23"/>
      <c r="P3817" s="23"/>
    </row>
    <row r="3818" spans="2:16" x14ac:dyDescent="0.25">
      <c r="B3818" s="23"/>
      <c r="E3818" s="23"/>
      <c r="G3818" s="23"/>
      <c r="H3818" s="23"/>
      <c r="J3818" s="23"/>
      <c r="K3818" s="23"/>
      <c r="M3818" s="23"/>
      <c r="N3818" s="23"/>
      <c r="P3818" s="23"/>
    </row>
    <row r="3819" spans="2:16" x14ac:dyDescent="0.25">
      <c r="B3819" s="23"/>
      <c r="E3819" s="23"/>
      <c r="G3819" s="23"/>
      <c r="H3819" s="23"/>
      <c r="J3819" s="23"/>
      <c r="K3819" s="23"/>
      <c r="M3819" s="23"/>
      <c r="N3819" s="23"/>
      <c r="P3819" s="23"/>
    </row>
    <row r="3820" spans="2:16" x14ac:dyDescent="0.25">
      <c r="B3820" s="23"/>
      <c r="E3820" s="23"/>
      <c r="G3820" s="23"/>
      <c r="H3820" s="23"/>
      <c r="J3820" s="23"/>
      <c r="K3820" s="23"/>
      <c r="M3820" s="23"/>
      <c r="N3820" s="23"/>
      <c r="P3820" s="23"/>
    </row>
    <row r="3821" spans="2:16" x14ac:dyDescent="0.25">
      <c r="B3821" s="23"/>
      <c r="E3821" s="23"/>
      <c r="G3821" s="23"/>
      <c r="H3821" s="23"/>
      <c r="J3821" s="23"/>
      <c r="K3821" s="23"/>
      <c r="M3821" s="23"/>
      <c r="N3821" s="23"/>
      <c r="P3821" s="23"/>
    </row>
    <row r="3822" spans="2:16" x14ac:dyDescent="0.25">
      <c r="B3822" s="23"/>
      <c r="E3822" s="23"/>
      <c r="G3822" s="23"/>
      <c r="H3822" s="23"/>
      <c r="J3822" s="23"/>
      <c r="K3822" s="23"/>
      <c r="M3822" s="23"/>
      <c r="N3822" s="23"/>
      <c r="P3822" s="23"/>
    </row>
    <row r="3823" spans="2:16" x14ac:dyDescent="0.25">
      <c r="B3823" s="23"/>
      <c r="E3823" s="23"/>
      <c r="G3823" s="23"/>
      <c r="H3823" s="23"/>
      <c r="J3823" s="23"/>
      <c r="K3823" s="23"/>
      <c r="M3823" s="23"/>
      <c r="N3823" s="23"/>
      <c r="P3823" s="23"/>
    </row>
    <row r="3824" spans="2:16" x14ac:dyDescent="0.25">
      <c r="B3824" s="23"/>
      <c r="E3824" s="23"/>
      <c r="G3824" s="23"/>
      <c r="H3824" s="23"/>
      <c r="J3824" s="23"/>
      <c r="K3824" s="23"/>
      <c r="M3824" s="23"/>
      <c r="N3824" s="23"/>
      <c r="P3824" s="23"/>
    </row>
    <row r="3825" spans="2:16" x14ac:dyDescent="0.25">
      <c r="B3825" s="23"/>
      <c r="E3825" s="23"/>
      <c r="G3825" s="23"/>
      <c r="H3825" s="23"/>
      <c r="J3825" s="23"/>
      <c r="K3825" s="23"/>
      <c r="M3825" s="23"/>
      <c r="N3825" s="23"/>
      <c r="P3825" s="23"/>
    </row>
    <row r="3826" spans="2:16" x14ac:dyDescent="0.25">
      <c r="B3826" s="23"/>
      <c r="E3826" s="23"/>
      <c r="G3826" s="23"/>
      <c r="H3826" s="23"/>
      <c r="J3826" s="23"/>
      <c r="K3826" s="23"/>
      <c r="M3826" s="23"/>
      <c r="N3826" s="23"/>
      <c r="P3826" s="23"/>
    </row>
    <row r="3827" spans="2:16" x14ac:dyDescent="0.25">
      <c r="B3827" s="23"/>
      <c r="E3827" s="23"/>
      <c r="G3827" s="23"/>
      <c r="H3827" s="23"/>
      <c r="J3827" s="23"/>
      <c r="K3827" s="23"/>
      <c r="M3827" s="23"/>
      <c r="N3827" s="23"/>
      <c r="P3827" s="23"/>
    </row>
    <row r="3828" spans="2:16" x14ac:dyDescent="0.25">
      <c r="B3828" s="23"/>
      <c r="E3828" s="23"/>
      <c r="G3828" s="23"/>
      <c r="H3828" s="23"/>
      <c r="J3828" s="23"/>
      <c r="K3828" s="23"/>
      <c r="M3828" s="23"/>
      <c r="N3828" s="23"/>
      <c r="P3828" s="23"/>
    </row>
    <row r="3829" spans="2:16" x14ac:dyDescent="0.25">
      <c r="B3829" s="23"/>
      <c r="E3829" s="23"/>
      <c r="G3829" s="23"/>
      <c r="H3829" s="23"/>
      <c r="J3829" s="23"/>
      <c r="K3829" s="23"/>
      <c r="M3829" s="23"/>
      <c r="N3829" s="23"/>
      <c r="P3829" s="23"/>
    </row>
    <row r="3830" spans="2:16" x14ac:dyDescent="0.25">
      <c r="B3830" s="23"/>
      <c r="E3830" s="23"/>
      <c r="G3830" s="23"/>
      <c r="H3830" s="23"/>
      <c r="J3830" s="23"/>
      <c r="K3830" s="23"/>
      <c r="M3830" s="23"/>
      <c r="N3830" s="23"/>
      <c r="P3830" s="23"/>
    </row>
    <row r="3831" spans="2:16" x14ac:dyDescent="0.25">
      <c r="B3831" s="23"/>
      <c r="E3831" s="23"/>
      <c r="G3831" s="23"/>
      <c r="H3831" s="23"/>
      <c r="J3831" s="23"/>
      <c r="K3831" s="23"/>
      <c r="M3831" s="23"/>
      <c r="N3831" s="23"/>
      <c r="P3831" s="23"/>
    </row>
    <row r="3832" spans="2:16" x14ac:dyDescent="0.25">
      <c r="B3832" s="23"/>
      <c r="E3832" s="23"/>
      <c r="G3832" s="23"/>
      <c r="H3832" s="23"/>
      <c r="J3832" s="23"/>
      <c r="K3832" s="23"/>
      <c r="M3832" s="23"/>
      <c r="N3832" s="23"/>
      <c r="P3832" s="23"/>
    </row>
    <row r="3833" spans="2:16" x14ac:dyDescent="0.25">
      <c r="B3833" s="23"/>
      <c r="E3833" s="23"/>
      <c r="G3833" s="23"/>
      <c r="H3833" s="23"/>
      <c r="J3833" s="23"/>
      <c r="K3833" s="23"/>
      <c r="M3833" s="23"/>
      <c r="N3833" s="23"/>
      <c r="P3833" s="23"/>
    </row>
    <row r="3834" spans="2:16" x14ac:dyDescent="0.25">
      <c r="B3834" s="23"/>
      <c r="E3834" s="23"/>
      <c r="G3834" s="23"/>
      <c r="H3834" s="23"/>
      <c r="J3834" s="23"/>
      <c r="K3834" s="23"/>
      <c r="M3834" s="23"/>
      <c r="N3834" s="23"/>
      <c r="P3834" s="23"/>
    </row>
    <row r="3835" spans="2:16" x14ac:dyDescent="0.25">
      <c r="B3835" s="23"/>
      <c r="E3835" s="23"/>
      <c r="G3835" s="23"/>
      <c r="H3835" s="23"/>
      <c r="J3835" s="23"/>
      <c r="K3835" s="23"/>
      <c r="M3835" s="23"/>
      <c r="N3835" s="23"/>
      <c r="P3835" s="23"/>
    </row>
    <row r="3836" spans="2:16" x14ac:dyDescent="0.25">
      <c r="B3836" s="23"/>
      <c r="E3836" s="23"/>
      <c r="G3836" s="23"/>
      <c r="H3836" s="23"/>
      <c r="J3836" s="23"/>
      <c r="K3836" s="23"/>
      <c r="M3836" s="23"/>
      <c r="N3836" s="23"/>
      <c r="P3836" s="23"/>
    </row>
    <row r="3837" spans="2:16" x14ac:dyDescent="0.25">
      <c r="B3837" s="23"/>
      <c r="E3837" s="23"/>
      <c r="G3837" s="23"/>
      <c r="H3837" s="23"/>
      <c r="J3837" s="23"/>
      <c r="K3837" s="23"/>
      <c r="M3837" s="23"/>
      <c r="N3837" s="23"/>
      <c r="P3837" s="23"/>
    </row>
    <row r="3838" spans="2:16" x14ac:dyDescent="0.25">
      <c r="B3838" s="23"/>
      <c r="E3838" s="23"/>
      <c r="G3838" s="23"/>
      <c r="H3838" s="23"/>
      <c r="J3838" s="23"/>
      <c r="K3838" s="23"/>
      <c r="M3838" s="23"/>
      <c r="N3838" s="23"/>
      <c r="P3838" s="23"/>
    </row>
    <row r="3839" spans="2:16" x14ac:dyDescent="0.25">
      <c r="B3839" s="23"/>
      <c r="E3839" s="23"/>
      <c r="G3839" s="23"/>
      <c r="H3839" s="23"/>
      <c r="J3839" s="23"/>
      <c r="K3839" s="23"/>
      <c r="M3839" s="23"/>
      <c r="N3839" s="23"/>
      <c r="P3839" s="23"/>
    </row>
    <row r="3840" spans="2:16" x14ac:dyDescent="0.25">
      <c r="B3840" s="23"/>
      <c r="E3840" s="23"/>
      <c r="G3840" s="23"/>
      <c r="H3840" s="23"/>
      <c r="J3840" s="23"/>
      <c r="K3840" s="23"/>
      <c r="M3840" s="23"/>
      <c r="N3840" s="23"/>
      <c r="P3840" s="23"/>
    </row>
    <row r="3841" spans="2:16" x14ac:dyDescent="0.25">
      <c r="B3841" s="23"/>
      <c r="E3841" s="23"/>
      <c r="G3841" s="23"/>
      <c r="H3841" s="23"/>
      <c r="J3841" s="23"/>
      <c r="K3841" s="23"/>
      <c r="M3841" s="23"/>
      <c r="N3841" s="23"/>
      <c r="P3841" s="23"/>
    </row>
    <row r="3842" spans="2:16" x14ac:dyDescent="0.25">
      <c r="B3842" s="23"/>
      <c r="E3842" s="23"/>
      <c r="G3842" s="23"/>
      <c r="H3842" s="23"/>
      <c r="J3842" s="23"/>
      <c r="K3842" s="23"/>
      <c r="M3842" s="23"/>
      <c r="N3842" s="23"/>
      <c r="P3842" s="23"/>
    </row>
    <row r="3843" spans="2:16" x14ac:dyDescent="0.25">
      <c r="B3843" s="23"/>
      <c r="E3843" s="23"/>
      <c r="G3843" s="23"/>
      <c r="H3843" s="23"/>
      <c r="J3843" s="23"/>
      <c r="K3843" s="23"/>
      <c r="M3843" s="23"/>
      <c r="N3843" s="23"/>
      <c r="P3843" s="23"/>
    </row>
    <row r="3844" spans="2:16" x14ac:dyDescent="0.25">
      <c r="B3844" s="23"/>
      <c r="E3844" s="23"/>
      <c r="G3844" s="23"/>
      <c r="H3844" s="23"/>
      <c r="J3844" s="23"/>
      <c r="K3844" s="23"/>
      <c r="M3844" s="23"/>
      <c r="N3844" s="23"/>
      <c r="P3844" s="23"/>
    </row>
    <row r="3845" spans="2:16" x14ac:dyDescent="0.25">
      <c r="B3845" s="23"/>
      <c r="E3845" s="23"/>
      <c r="G3845" s="23"/>
      <c r="H3845" s="23"/>
      <c r="J3845" s="23"/>
      <c r="K3845" s="23"/>
      <c r="M3845" s="23"/>
      <c r="N3845" s="23"/>
      <c r="P3845" s="23"/>
    </row>
    <row r="3846" spans="2:16" x14ac:dyDescent="0.25">
      <c r="B3846" s="23"/>
      <c r="E3846" s="23"/>
      <c r="G3846" s="23"/>
      <c r="H3846" s="23"/>
      <c r="J3846" s="23"/>
      <c r="K3846" s="23"/>
      <c r="M3846" s="23"/>
      <c r="N3846" s="23"/>
      <c r="P3846" s="23"/>
    </row>
    <row r="3847" spans="2:16" x14ac:dyDescent="0.25">
      <c r="B3847" s="23"/>
      <c r="E3847" s="23"/>
      <c r="G3847" s="23"/>
      <c r="H3847" s="23"/>
      <c r="J3847" s="23"/>
      <c r="K3847" s="23"/>
      <c r="M3847" s="23"/>
      <c r="N3847" s="23"/>
      <c r="P3847" s="23"/>
    </row>
    <row r="3848" spans="2:16" x14ac:dyDescent="0.25">
      <c r="B3848" s="23"/>
      <c r="E3848" s="23"/>
      <c r="G3848" s="23"/>
      <c r="H3848" s="23"/>
      <c r="J3848" s="23"/>
      <c r="K3848" s="23"/>
      <c r="M3848" s="23"/>
      <c r="N3848" s="23"/>
      <c r="P3848" s="23"/>
    </row>
    <row r="3849" spans="2:16" x14ac:dyDescent="0.25">
      <c r="B3849" s="23"/>
      <c r="E3849" s="23"/>
      <c r="G3849" s="23"/>
      <c r="H3849" s="23"/>
      <c r="J3849" s="23"/>
      <c r="K3849" s="23"/>
      <c r="M3849" s="23"/>
      <c r="N3849" s="23"/>
      <c r="P3849" s="23"/>
    </row>
    <row r="3850" spans="2:16" x14ac:dyDescent="0.25">
      <c r="B3850" s="23"/>
      <c r="E3850" s="23"/>
      <c r="G3850" s="23"/>
      <c r="H3850" s="23"/>
      <c r="J3850" s="23"/>
      <c r="K3850" s="23"/>
      <c r="M3850" s="23"/>
      <c r="N3850" s="23"/>
      <c r="P3850" s="23"/>
    </row>
    <row r="3851" spans="2:16" x14ac:dyDescent="0.25">
      <c r="B3851" s="23"/>
      <c r="E3851" s="23"/>
      <c r="G3851" s="23"/>
      <c r="H3851" s="23"/>
      <c r="J3851" s="23"/>
      <c r="K3851" s="23"/>
      <c r="M3851" s="23"/>
      <c r="N3851" s="23"/>
      <c r="P3851" s="23"/>
    </row>
    <row r="3852" spans="2:16" x14ac:dyDescent="0.25">
      <c r="B3852" s="23"/>
      <c r="E3852" s="23"/>
      <c r="G3852" s="23"/>
      <c r="H3852" s="23"/>
      <c r="J3852" s="23"/>
      <c r="K3852" s="23"/>
      <c r="M3852" s="23"/>
      <c r="N3852" s="23"/>
      <c r="P3852" s="23"/>
    </row>
    <row r="3853" spans="2:16" x14ac:dyDescent="0.25">
      <c r="B3853" s="23"/>
      <c r="E3853" s="23"/>
      <c r="G3853" s="23"/>
      <c r="H3853" s="23"/>
      <c r="J3853" s="23"/>
      <c r="K3853" s="23"/>
      <c r="M3853" s="23"/>
      <c r="N3853" s="23"/>
      <c r="P3853" s="23"/>
    </row>
    <row r="3854" spans="2:16" x14ac:dyDescent="0.25">
      <c r="B3854" s="23"/>
      <c r="E3854" s="23"/>
      <c r="G3854" s="23"/>
      <c r="H3854" s="23"/>
      <c r="J3854" s="23"/>
      <c r="K3854" s="23"/>
      <c r="M3854" s="23"/>
      <c r="N3854" s="23"/>
      <c r="P3854" s="23"/>
    </row>
    <row r="3855" spans="2:16" x14ac:dyDescent="0.25">
      <c r="B3855" s="23"/>
      <c r="E3855" s="23"/>
      <c r="G3855" s="23"/>
      <c r="H3855" s="23"/>
      <c r="J3855" s="23"/>
      <c r="K3855" s="23"/>
      <c r="M3855" s="23"/>
      <c r="N3855" s="23"/>
      <c r="P3855" s="23"/>
    </row>
    <row r="3856" spans="2:16" x14ac:dyDescent="0.25">
      <c r="B3856" s="23"/>
      <c r="E3856" s="23"/>
      <c r="G3856" s="23"/>
      <c r="H3856" s="23"/>
      <c r="J3856" s="23"/>
      <c r="K3856" s="23"/>
      <c r="M3856" s="23"/>
      <c r="N3856" s="23"/>
      <c r="P3856" s="23"/>
    </row>
    <row r="3857" spans="2:16" x14ac:dyDescent="0.25">
      <c r="B3857" s="23"/>
      <c r="E3857" s="23"/>
      <c r="G3857" s="23"/>
      <c r="H3857" s="23"/>
      <c r="J3857" s="23"/>
      <c r="K3857" s="23"/>
      <c r="M3857" s="23"/>
      <c r="N3857" s="23"/>
      <c r="P3857" s="23"/>
    </row>
    <row r="3858" spans="2:16" x14ac:dyDescent="0.25">
      <c r="B3858" s="23"/>
      <c r="E3858" s="23"/>
      <c r="G3858" s="23"/>
      <c r="H3858" s="23"/>
      <c r="J3858" s="23"/>
      <c r="K3858" s="23"/>
      <c r="M3858" s="23"/>
      <c r="N3858" s="23"/>
      <c r="P3858" s="23"/>
    </row>
    <row r="3859" spans="2:16" x14ac:dyDescent="0.25">
      <c r="B3859" s="23"/>
      <c r="E3859" s="23"/>
      <c r="G3859" s="23"/>
      <c r="H3859" s="23"/>
      <c r="J3859" s="23"/>
      <c r="K3859" s="23"/>
      <c r="M3859" s="23"/>
      <c r="N3859" s="23"/>
      <c r="P3859" s="23"/>
    </row>
    <row r="3860" spans="2:16" x14ac:dyDescent="0.25">
      <c r="B3860" s="23"/>
      <c r="E3860" s="23"/>
      <c r="G3860" s="23"/>
      <c r="H3860" s="23"/>
      <c r="J3860" s="23"/>
      <c r="K3860" s="23"/>
      <c r="M3860" s="23"/>
      <c r="N3860" s="23"/>
      <c r="P3860" s="23"/>
    </row>
    <row r="3861" spans="2:16" x14ac:dyDescent="0.25">
      <c r="B3861" s="23"/>
      <c r="E3861" s="23"/>
      <c r="G3861" s="23"/>
      <c r="H3861" s="23"/>
      <c r="J3861" s="23"/>
      <c r="K3861" s="23"/>
      <c r="M3861" s="23"/>
      <c r="N3861" s="23"/>
      <c r="P3861" s="23"/>
    </row>
    <row r="3862" spans="2:16" x14ac:dyDescent="0.25">
      <c r="B3862" s="23"/>
      <c r="E3862" s="23"/>
      <c r="G3862" s="23"/>
      <c r="H3862" s="23"/>
      <c r="J3862" s="23"/>
      <c r="K3862" s="23"/>
      <c r="M3862" s="23"/>
      <c r="N3862" s="23"/>
      <c r="P3862" s="23"/>
    </row>
    <row r="3863" spans="2:16" x14ac:dyDescent="0.25">
      <c r="B3863" s="23"/>
      <c r="E3863" s="23"/>
      <c r="G3863" s="23"/>
      <c r="H3863" s="23"/>
      <c r="J3863" s="23"/>
      <c r="K3863" s="23"/>
      <c r="M3863" s="23"/>
      <c r="N3863" s="23"/>
      <c r="P3863" s="23"/>
    </row>
    <row r="3864" spans="2:16" x14ac:dyDescent="0.25">
      <c r="B3864" s="23"/>
      <c r="E3864" s="23"/>
      <c r="G3864" s="23"/>
      <c r="H3864" s="23"/>
      <c r="J3864" s="23"/>
      <c r="K3864" s="23"/>
      <c r="M3864" s="23"/>
      <c r="N3864" s="23"/>
      <c r="P3864" s="23"/>
    </row>
    <row r="3865" spans="2:16" x14ac:dyDescent="0.25">
      <c r="B3865" s="23"/>
      <c r="E3865" s="23"/>
      <c r="G3865" s="23"/>
      <c r="H3865" s="23"/>
      <c r="J3865" s="23"/>
      <c r="K3865" s="23"/>
      <c r="M3865" s="23"/>
      <c r="N3865" s="23"/>
      <c r="P3865" s="23"/>
    </row>
    <row r="3866" spans="2:16" x14ac:dyDescent="0.25">
      <c r="B3866" s="23"/>
      <c r="E3866" s="23"/>
      <c r="G3866" s="23"/>
      <c r="H3866" s="23"/>
      <c r="J3866" s="23"/>
      <c r="K3866" s="23"/>
      <c r="M3866" s="23"/>
      <c r="N3866" s="23"/>
      <c r="P3866" s="23"/>
    </row>
    <row r="3867" spans="2:16" x14ac:dyDescent="0.25">
      <c r="B3867" s="23"/>
      <c r="E3867" s="23"/>
      <c r="G3867" s="23"/>
      <c r="H3867" s="23"/>
      <c r="J3867" s="23"/>
      <c r="K3867" s="23"/>
      <c r="M3867" s="23"/>
      <c r="N3867" s="23"/>
      <c r="P3867" s="23"/>
    </row>
    <row r="3868" spans="2:16" x14ac:dyDescent="0.25">
      <c r="B3868" s="23"/>
      <c r="E3868" s="23"/>
      <c r="G3868" s="23"/>
      <c r="H3868" s="23"/>
      <c r="J3868" s="23"/>
      <c r="K3868" s="23"/>
      <c r="M3868" s="23"/>
      <c r="N3868" s="23"/>
      <c r="P3868" s="23"/>
    </row>
    <row r="3869" spans="2:16" x14ac:dyDescent="0.25">
      <c r="B3869" s="23"/>
      <c r="E3869" s="23"/>
      <c r="G3869" s="23"/>
      <c r="H3869" s="23"/>
      <c r="J3869" s="23"/>
      <c r="K3869" s="23"/>
      <c r="M3869" s="23"/>
      <c r="N3869" s="23"/>
      <c r="P3869" s="23"/>
    </row>
    <row r="3870" spans="2:16" x14ac:dyDescent="0.25">
      <c r="B3870" s="23"/>
      <c r="E3870" s="23"/>
      <c r="G3870" s="23"/>
      <c r="H3870" s="23"/>
      <c r="J3870" s="23"/>
      <c r="K3870" s="23"/>
      <c r="M3870" s="23"/>
      <c r="N3870" s="23"/>
      <c r="P3870" s="23"/>
    </row>
    <row r="3871" spans="2:16" x14ac:dyDescent="0.25">
      <c r="B3871" s="23"/>
      <c r="E3871" s="23"/>
      <c r="G3871" s="23"/>
      <c r="H3871" s="23"/>
      <c r="J3871" s="23"/>
      <c r="K3871" s="23"/>
      <c r="M3871" s="23"/>
      <c r="N3871" s="23"/>
      <c r="P3871" s="23"/>
    </row>
    <row r="3872" spans="2:16" x14ac:dyDescent="0.25">
      <c r="B3872" s="23"/>
      <c r="E3872" s="23"/>
      <c r="G3872" s="23"/>
      <c r="H3872" s="23"/>
      <c r="J3872" s="23"/>
      <c r="K3872" s="23"/>
      <c r="M3872" s="23"/>
      <c r="N3872" s="23"/>
      <c r="P3872" s="23"/>
    </row>
    <row r="3873" spans="2:16" x14ac:dyDescent="0.25">
      <c r="B3873" s="23"/>
      <c r="E3873" s="23"/>
      <c r="G3873" s="23"/>
      <c r="H3873" s="23"/>
      <c r="J3873" s="23"/>
      <c r="K3873" s="23"/>
      <c r="M3873" s="23"/>
      <c r="N3873" s="23"/>
      <c r="P3873" s="23"/>
    </row>
    <row r="3874" spans="2:16" x14ac:dyDescent="0.25">
      <c r="B3874" s="23"/>
      <c r="E3874" s="23"/>
      <c r="G3874" s="23"/>
      <c r="H3874" s="23"/>
      <c r="J3874" s="23"/>
      <c r="K3874" s="23"/>
      <c r="M3874" s="23"/>
      <c r="N3874" s="23"/>
      <c r="P3874" s="23"/>
    </row>
    <row r="3875" spans="2:16" x14ac:dyDescent="0.25">
      <c r="B3875" s="23"/>
      <c r="E3875" s="23"/>
      <c r="G3875" s="23"/>
      <c r="H3875" s="23"/>
      <c r="J3875" s="23"/>
      <c r="K3875" s="23"/>
      <c r="M3875" s="23"/>
      <c r="N3875" s="23"/>
      <c r="P3875" s="23"/>
    </row>
    <row r="3876" spans="2:16" x14ac:dyDescent="0.25">
      <c r="B3876" s="23"/>
      <c r="E3876" s="23"/>
      <c r="G3876" s="23"/>
      <c r="H3876" s="23"/>
      <c r="J3876" s="23"/>
      <c r="K3876" s="23"/>
      <c r="M3876" s="23"/>
      <c r="N3876" s="23"/>
      <c r="P3876" s="23"/>
    </row>
    <row r="3877" spans="2:16" x14ac:dyDescent="0.25">
      <c r="B3877" s="23"/>
      <c r="E3877" s="23"/>
      <c r="G3877" s="23"/>
      <c r="H3877" s="23"/>
      <c r="J3877" s="23"/>
      <c r="K3877" s="23"/>
      <c r="M3877" s="23"/>
      <c r="N3877" s="23"/>
      <c r="P3877" s="23"/>
    </row>
    <row r="3878" spans="2:16" x14ac:dyDescent="0.25">
      <c r="B3878" s="23"/>
      <c r="E3878" s="23"/>
      <c r="G3878" s="23"/>
      <c r="H3878" s="23"/>
      <c r="J3878" s="23"/>
      <c r="K3878" s="23"/>
      <c r="M3878" s="23"/>
      <c r="N3878" s="23"/>
      <c r="P3878" s="23"/>
    </row>
    <row r="3879" spans="2:16" x14ac:dyDescent="0.25">
      <c r="B3879" s="23"/>
      <c r="E3879" s="23"/>
      <c r="G3879" s="23"/>
      <c r="H3879" s="23"/>
      <c r="J3879" s="23"/>
      <c r="K3879" s="23"/>
      <c r="M3879" s="23"/>
      <c r="N3879" s="23"/>
      <c r="P3879" s="23"/>
    </row>
    <row r="3880" spans="2:16" x14ac:dyDescent="0.25">
      <c r="B3880" s="23"/>
      <c r="E3880" s="23"/>
      <c r="G3880" s="23"/>
      <c r="H3880" s="23"/>
      <c r="J3880" s="23"/>
      <c r="K3880" s="23"/>
      <c r="M3880" s="23"/>
      <c r="N3880" s="23"/>
      <c r="P3880" s="23"/>
    </row>
    <row r="3881" spans="2:16" x14ac:dyDescent="0.25">
      <c r="B3881" s="23"/>
      <c r="E3881" s="23"/>
      <c r="G3881" s="23"/>
      <c r="H3881" s="23"/>
      <c r="J3881" s="23"/>
      <c r="K3881" s="23"/>
      <c r="M3881" s="23"/>
      <c r="N3881" s="23"/>
      <c r="P3881" s="23"/>
    </row>
    <row r="3882" spans="2:16" x14ac:dyDescent="0.25">
      <c r="B3882" s="23"/>
      <c r="E3882" s="23"/>
      <c r="G3882" s="23"/>
      <c r="H3882" s="23"/>
      <c r="J3882" s="23"/>
      <c r="K3882" s="23"/>
      <c r="M3882" s="23"/>
      <c r="N3882" s="23"/>
      <c r="P3882" s="23"/>
    </row>
    <row r="3883" spans="2:16" x14ac:dyDescent="0.25">
      <c r="B3883" s="23"/>
      <c r="E3883" s="23"/>
      <c r="G3883" s="23"/>
      <c r="H3883" s="23"/>
      <c r="J3883" s="23"/>
      <c r="K3883" s="23"/>
      <c r="M3883" s="23"/>
      <c r="N3883" s="23"/>
      <c r="P3883" s="23"/>
    </row>
    <row r="3884" spans="2:16" x14ac:dyDescent="0.25">
      <c r="B3884" s="23"/>
      <c r="E3884" s="23"/>
      <c r="G3884" s="23"/>
      <c r="H3884" s="23"/>
      <c r="J3884" s="23"/>
      <c r="K3884" s="23"/>
      <c r="M3884" s="23"/>
      <c r="N3884" s="23"/>
      <c r="P3884" s="23"/>
    </row>
    <row r="3885" spans="2:16" x14ac:dyDescent="0.25">
      <c r="B3885" s="23"/>
      <c r="E3885" s="23"/>
      <c r="G3885" s="23"/>
      <c r="H3885" s="23"/>
      <c r="J3885" s="23"/>
      <c r="K3885" s="23"/>
      <c r="M3885" s="23"/>
      <c r="N3885" s="23"/>
      <c r="P3885" s="23"/>
    </row>
    <row r="3886" spans="2:16" x14ac:dyDescent="0.25">
      <c r="B3886" s="23"/>
      <c r="E3886" s="23"/>
      <c r="G3886" s="23"/>
      <c r="H3886" s="23"/>
      <c r="J3886" s="23"/>
      <c r="K3886" s="23"/>
      <c r="M3886" s="23"/>
      <c r="N3886" s="23"/>
      <c r="P3886" s="23"/>
    </row>
    <row r="3887" spans="2:16" x14ac:dyDescent="0.25">
      <c r="B3887" s="23"/>
      <c r="E3887" s="23"/>
      <c r="G3887" s="23"/>
      <c r="H3887" s="23"/>
      <c r="J3887" s="23"/>
      <c r="K3887" s="23"/>
      <c r="M3887" s="23"/>
      <c r="N3887" s="23"/>
      <c r="P3887" s="23"/>
    </row>
    <row r="3888" spans="2:16" x14ac:dyDescent="0.25">
      <c r="B3888" s="23"/>
      <c r="E3888" s="23"/>
      <c r="G3888" s="23"/>
      <c r="H3888" s="23"/>
      <c r="J3888" s="23"/>
      <c r="K3888" s="23"/>
      <c r="M3888" s="23"/>
      <c r="N3888" s="23"/>
      <c r="P3888" s="23"/>
    </row>
    <row r="3889" spans="2:16" x14ac:dyDescent="0.25">
      <c r="B3889" s="23"/>
      <c r="E3889" s="23"/>
      <c r="G3889" s="23"/>
      <c r="H3889" s="23"/>
      <c r="J3889" s="23"/>
      <c r="K3889" s="23"/>
      <c r="M3889" s="23"/>
      <c r="N3889" s="23"/>
      <c r="P3889" s="23"/>
    </row>
    <row r="3890" spans="2:16" x14ac:dyDescent="0.25">
      <c r="B3890" s="23"/>
      <c r="E3890" s="23"/>
      <c r="G3890" s="23"/>
      <c r="H3890" s="23"/>
      <c r="J3890" s="23"/>
      <c r="K3890" s="23"/>
      <c r="M3890" s="23"/>
      <c r="N3890" s="23"/>
      <c r="P3890" s="23"/>
    </row>
    <row r="3891" spans="2:16" x14ac:dyDescent="0.25">
      <c r="B3891" s="23"/>
      <c r="E3891" s="23"/>
      <c r="G3891" s="23"/>
      <c r="H3891" s="23"/>
      <c r="J3891" s="23"/>
      <c r="K3891" s="23"/>
      <c r="M3891" s="23"/>
      <c r="N3891" s="23"/>
      <c r="P3891" s="23"/>
    </row>
    <row r="3892" spans="2:16" x14ac:dyDescent="0.25">
      <c r="B3892" s="23"/>
      <c r="E3892" s="23"/>
      <c r="G3892" s="23"/>
      <c r="H3892" s="23"/>
      <c r="J3892" s="23"/>
      <c r="K3892" s="23"/>
      <c r="M3892" s="23"/>
      <c r="N3892" s="23"/>
      <c r="P3892" s="23"/>
    </row>
    <row r="3893" spans="2:16" x14ac:dyDescent="0.25">
      <c r="B3893" s="23"/>
      <c r="E3893" s="23"/>
      <c r="G3893" s="23"/>
      <c r="H3893" s="23"/>
      <c r="J3893" s="23"/>
      <c r="K3893" s="23"/>
      <c r="M3893" s="23"/>
      <c r="N3893" s="23"/>
      <c r="P3893" s="23"/>
    </row>
    <row r="3894" spans="2:16" x14ac:dyDescent="0.25">
      <c r="B3894" s="23"/>
      <c r="E3894" s="23"/>
      <c r="G3894" s="23"/>
      <c r="H3894" s="23"/>
      <c r="J3894" s="23"/>
      <c r="K3894" s="23"/>
      <c r="M3894" s="23"/>
      <c r="N3894" s="23"/>
      <c r="P3894" s="23"/>
    </row>
    <row r="3895" spans="2:16" x14ac:dyDescent="0.25">
      <c r="B3895" s="23"/>
      <c r="E3895" s="23"/>
      <c r="G3895" s="23"/>
      <c r="H3895" s="23"/>
      <c r="J3895" s="23"/>
      <c r="K3895" s="23"/>
      <c r="M3895" s="23"/>
      <c r="N3895" s="23"/>
      <c r="P3895" s="23"/>
    </row>
    <row r="3896" spans="2:16" x14ac:dyDescent="0.25">
      <c r="B3896" s="23"/>
      <c r="E3896" s="23"/>
      <c r="G3896" s="23"/>
      <c r="H3896" s="23"/>
      <c r="J3896" s="23"/>
      <c r="K3896" s="23"/>
      <c r="M3896" s="23"/>
      <c r="N3896" s="23"/>
      <c r="P3896" s="23"/>
    </row>
    <row r="3897" spans="2:16" x14ac:dyDescent="0.25">
      <c r="B3897" s="23"/>
      <c r="E3897" s="23"/>
      <c r="G3897" s="23"/>
      <c r="H3897" s="23"/>
      <c r="J3897" s="23"/>
      <c r="K3897" s="23"/>
      <c r="M3897" s="23"/>
      <c r="N3897" s="23"/>
      <c r="P3897" s="23"/>
    </row>
    <row r="3898" spans="2:16" x14ac:dyDescent="0.25">
      <c r="B3898" s="23"/>
      <c r="E3898" s="23"/>
      <c r="G3898" s="23"/>
      <c r="H3898" s="23"/>
      <c r="J3898" s="23"/>
      <c r="K3898" s="23"/>
      <c r="M3898" s="23"/>
      <c r="N3898" s="23"/>
      <c r="P3898" s="23"/>
    </row>
    <row r="3899" spans="2:16" x14ac:dyDescent="0.25">
      <c r="B3899" s="23"/>
      <c r="E3899" s="23"/>
      <c r="G3899" s="23"/>
      <c r="H3899" s="23"/>
      <c r="J3899" s="23"/>
      <c r="K3899" s="23"/>
      <c r="M3899" s="23"/>
      <c r="N3899" s="23"/>
      <c r="P3899" s="23"/>
    </row>
    <row r="3900" spans="2:16" x14ac:dyDescent="0.25">
      <c r="B3900" s="23"/>
      <c r="E3900" s="23"/>
      <c r="G3900" s="23"/>
      <c r="H3900" s="23"/>
      <c r="J3900" s="23"/>
      <c r="K3900" s="23"/>
      <c r="M3900" s="23"/>
      <c r="N3900" s="23"/>
      <c r="P3900" s="23"/>
    </row>
    <row r="3901" spans="2:16" x14ac:dyDescent="0.25">
      <c r="B3901" s="23"/>
      <c r="E3901" s="23"/>
      <c r="G3901" s="23"/>
      <c r="H3901" s="23"/>
      <c r="J3901" s="23"/>
      <c r="K3901" s="23"/>
      <c r="M3901" s="23"/>
      <c r="N3901" s="23"/>
      <c r="P3901" s="23"/>
    </row>
    <row r="3902" spans="2:16" x14ac:dyDescent="0.25">
      <c r="B3902" s="23"/>
      <c r="E3902" s="23"/>
      <c r="G3902" s="23"/>
      <c r="H3902" s="23"/>
      <c r="J3902" s="23"/>
      <c r="K3902" s="23"/>
      <c r="M3902" s="23"/>
      <c r="N3902" s="23"/>
      <c r="P3902" s="23"/>
    </row>
    <row r="3903" spans="2:16" x14ac:dyDescent="0.25">
      <c r="B3903" s="23"/>
      <c r="E3903" s="23"/>
      <c r="G3903" s="23"/>
      <c r="H3903" s="23"/>
      <c r="J3903" s="23"/>
      <c r="K3903" s="23"/>
      <c r="M3903" s="23"/>
      <c r="N3903" s="23"/>
      <c r="P3903" s="23"/>
    </row>
    <row r="3904" spans="2:16" x14ac:dyDescent="0.25">
      <c r="B3904" s="23"/>
      <c r="E3904" s="23"/>
      <c r="G3904" s="23"/>
      <c r="H3904" s="23"/>
      <c r="J3904" s="23"/>
      <c r="K3904" s="23"/>
      <c r="M3904" s="23"/>
      <c r="N3904" s="23"/>
      <c r="P3904" s="23"/>
    </row>
    <row r="3905" spans="2:16" x14ac:dyDescent="0.25">
      <c r="B3905" s="23"/>
      <c r="E3905" s="23"/>
      <c r="G3905" s="23"/>
      <c r="H3905" s="23"/>
      <c r="J3905" s="23"/>
      <c r="K3905" s="23"/>
      <c r="M3905" s="23"/>
      <c r="N3905" s="23"/>
      <c r="P3905" s="23"/>
    </row>
    <row r="3906" spans="2:16" x14ac:dyDescent="0.25">
      <c r="B3906" s="23"/>
      <c r="E3906" s="23"/>
      <c r="G3906" s="23"/>
      <c r="H3906" s="23"/>
      <c r="J3906" s="23"/>
      <c r="K3906" s="23"/>
      <c r="M3906" s="23"/>
      <c r="N3906" s="23"/>
      <c r="P3906" s="23"/>
    </row>
    <row r="3907" spans="2:16" x14ac:dyDescent="0.25">
      <c r="B3907" s="23"/>
      <c r="E3907" s="23"/>
      <c r="G3907" s="23"/>
      <c r="H3907" s="23"/>
      <c r="J3907" s="23"/>
      <c r="K3907" s="23"/>
      <c r="M3907" s="23"/>
      <c r="N3907" s="23"/>
      <c r="P3907" s="23"/>
    </row>
    <row r="3908" spans="2:16" x14ac:dyDescent="0.25">
      <c r="B3908" s="23"/>
      <c r="E3908" s="23"/>
      <c r="G3908" s="23"/>
      <c r="H3908" s="23"/>
      <c r="J3908" s="23"/>
      <c r="K3908" s="23"/>
      <c r="M3908" s="23"/>
      <c r="N3908" s="23"/>
      <c r="P3908" s="23"/>
    </row>
    <row r="3909" spans="2:16" x14ac:dyDescent="0.25">
      <c r="B3909" s="23"/>
      <c r="E3909" s="23"/>
      <c r="G3909" s="23"/>
      <c r="H3909" s="23"/>
      <c r="J3909" s="23"/>
      <c r="K3909" s="23"/>
      <c r="M3909" s="23"/>
      <c r="N3909" s="23"/>
      <c r="P3909" s="23"/>
    </row>
    <row r="3910" spans="2:16" x14ac:dyDescent="0.25">
      <c r="B3910" s="23"/>
      <c r="E3910" s="23"/>
      <c r="G3910" s="23"/>
      <c r="H3910" s="23"/>
      <c r="J3910" s="23"/>
      <c r="K3910" s="23"/>
      <c r="M3910" s="23"/>
      <c r="N3910" s="23"/>
      <c r="P3910" s="23"/>
    </row>
    <row r="3911" spans="2:16" x14ac:dyDescent="0.25">
      <c r="B3911" s="23"/>
      <c r="E3911" s="23"/>
      <c r="G3911" s="23"/>
      <c r="H3911" s="23"/>
      <c r="J3911" s="23"/>
      <c r="K3911" s="23"/>
      <c r="M3911" s="23"/>
      <c r="N3911" s="23"/>
      <c r="P3911" s="23"/>
    </row>
    <row r="3912" spans="2:16" x14ac:dyDescent="0.25">
      <c r="B3912" s="23"/>
      <c r="E3912" s="23"/>
      <c r="G3912" s="23"/>
      <c r="H3912" s="23"/>
      <c r="J3912" s="23"/>
      <c r="K3912" s="23"/>
      <c r="M3912" s="23"/>
      <c r="N3912" s="23"/>
      <c r="P3912" s="23"/>
    </row>
    <row r="3913" spans="2:16" x14ac:dyDescent="0.25">
      <c r="B3913" s="23"/>
      <c r="E3913" s="23"/>
      <c r="G3913" s="23"/>
      <c r="H3913" s="23"/>
      <c r="J3913" s="23"/>
      <c r="K3913" s="23"/>
      <c r="M3913" s="23"/>
      <c r="N3913" s="23"/>
      <c r="P3913" s="23"/>
    </row>
    <row r="3914" spans="2:16" x14ac:dyDescent="0.25">
      <c r="B3914" s="23"/>
      <c r="E3914" s="23"/>
      <c r="G3914" s="23"/>
      <c r="H3914" s="23"/>
      <c r="J3914" s="23"/>
      <c r="K3914" s="23"/>
      <c r="M3914" s="23"/>
      <c r="N3914" s="23"/>
      <c r="P3914" s="23"/>
    </row>
    <row r="3915" spans="2:16" x14ac:dyDescent="0.25">
      <c r="B3915" s="23"/>
      <c r="E3915" s="23"/>
      <c r="G3915" s="23"/>
      <c r="H3915" s="23"/>
      <c r="J3915" s="23"/>
      <c r="K3915" s="23"/>
      <c r="M3915" s="23"/>
      <c r="N3915" s="23"/>
      <c r="P3915" s="23"/>
    </row>
    <row r="3916" spans="2:16" x14ac:dyDescent="0.25">
      <c r="B3916" s="23"/>
      <c r="E3916" s="23"/>
      <c r="G3916" s="23"/>
      <c r="H3916" s="23"/>
      <c r="J3916" s="23"/>
      <c r="K3916" s="23"/>
      <c r="M3916" s="23"/>
      <c r="N3916" s="23"/>
      <c r="P3916" s="23"/>
    </row>
    <row r="3917" spans="2:16" x14ac:dyDescent="0.25">
      <c r="B3917" s="23"/>
      <c r="E3917" s="23"/>
      <c r="G3917" s="23"/>
      <c r="H3917" s="23"/>
      <c r="J3917" s="23"/>
      <c r="K3917" s="23"/>
      <c r="M3917" s="23"/>
      <c r="N3917" s="23"/>
      <c r="P3917" s="23"/>
    </row>
    <row r="3918" spans="2:16" x14ac:dyDescent="0.25">
      <c r="B3918" s="23"/>
      <c r="E3918" s="23"/>
      <c r="G3918" s="23"/>
      <c r="H3918" s="23"/>
      <c r="J3918" s="23"/>
      <c r="K3918" s="23"/>
      <c r="M3918" s="23"/>
      <c r="N3918" s="23"/>
      <c r="P3918" s="23"/>
    </row>
    <row r="3919" spans="2:16" x14ac:dyDescent="0.25">
      <c r="B3919" s="23"/>
      <c r="E3919" s="23"/>
      <c r="G3919" s="23"/>
      <c r="H3919" s="23"/>
      <c r="J3919" s="23"/>
      <c r="K3919" s="23"/>
      <c r="M3919" s="23"/>
      <c r="N3919" s="23"/>
      <c r="P3919" s="23"/>
    </row>
    <row r="3920" spans="2:16" x14ac:dyDescent="0.25">
      <c r="B3920" s="23"/>
      <c r="E3920" s="23"/>
      <c r="G3920" s="23"/>
      <c r="H3920" s="23"/>
      <c r="J3920" s="23"/>
      <c r="K3920" s="23"/>
      <c r="M3920" s="23"/>
      <c r="N3920" s="23"/>
      <c r="P3920" s="23"/>
    </row>
    <row r="3921" spans="2:16" x14ac:dyDescent="0.25">
      <c r="B3921" s="23"/>
      <c r="E3921" s="23"/>
      <c r="G3921" s="23"/>
      <c r="H3921" s="23"/>
      <c r="J3921" s="23"/>
      <c r="K3921" s="23"/>
      <c r="M3921" s="23"/>
      <c r="N3921" s="23"/>
      <c r="P3921" s="23"/>
    </row>
    <row r="3922" spans="2:16" x14ac:dyDescent="0.25">
      <c r="B3922" s="23"/>
      <c r="E3922" s="23"/>
      <c r="G3922" s="23"/>
      <c r="H3922" s="23"/>
      <c r="J3922" s="23"/>
      <c r="K3922" s="23"/>
      <c r="M3922" s="23"/>
      <c r="N3922" s="23"/>
      <c r="P3922" s="23"/>
    </row>
    <row r="3923" spans="2:16" x14ac:dyDescent="0.25">
      <c r="B3923" s="23"/>
      <c r="E3923" s="23"/>
      <c r="G3923" s="23"/>
      <c r="H3923" s="23"/>
      <c r="J3923" s="23"/>
      <c r="K3923" s="23"/>
      <c r="M3923" s="23"/>
      <c r="N3923" s="23"/>
      <c r="P3923" s="23"/>
    </row>
    <row r="3924" spans="2:16" x14ac:dyDescent="0.25">
      <c r="B3924" s="23"/>
      <c r="E3924" s="23"/>
      <c r="G3924" s="23"/>
      <c r="H3924" s="23"/>
      <c r="J3924" s="23"/>
      <c r="K3924" s="23"/>
      <c r="M3924" s="23"/>
      <c r="N3924" s="23"/>
      <c r="P3924" s="23"/>
    </row>
    <row r="3925" spans="2:16" x14ac:dyDescent="0.25">
      <c r="B3925" s="23"/>
      <c r="E3925" s="23"/>
      <c r="G3925" s="23"/>
      <c r="H3925" s="23"/>
      <c r="J3925" s="23"/>
      <c r="K3925" s="23"/>
      <c r="M3925" s="23"/>
      <c r="N3925" s="23"/>
      <c r="P3925" s="23"/>
    </row>
    <row r="3926" spans="2:16" x14ac:dyDescent="0.25">
      <c r="B3926" s="23"/>
      <c r="E3926" s="23"/>
      <c r="G3926" s="23"/>
      <c r="H3926" s="23"/>
      <c r="J3926" s="23"/>
      <c r="K3926" s="23"/>
      <c r="M3926" s="23"/>
      <c r="N3926" s="23"/>
      <c r="P3926" s="23"/>
    </row>
    <row r="3927" spans="2:16" x14ac:dyDescent="0.25">
      <c r="B3927" s="23"/>
      <c r="E3927" s="23"/>
      <c r="G3927" s="23"/>
      <c r="H3927" s="23"/>
      <c r="J3927" s="23"/>
      <c r="K3927" s="23"/>
      <c r="M3927" s="23"/>
      <c r="N3927" s="23"/>
      <c r="P3927" s="23"/>
    </row>
    <row r="3928" spans="2:16" x14ac:dyDescent="0.25">
      <c r="B3928" s="23"/>
      <c r="E3928" s="23"/>
      <c r="G3928" s="23"/>
      <c r="H3928" s="23"/>
      <c r="J3928" s="23"/>
      <c r="K3928" s="23"/>
      <c r="M3928" s="23"/>
      <c r="N3928" s="23"/>
      <c r="P3928" s="23"/>
    </row>
    <row r="3929" spans="2:16" x14ac:dyDescent="0.25">
      <c r="B3929" s="23"/>
      <c r="E3929" s="23"/>
      <c r="G3929" s="23"/>
      <c r="H3929" s="23"/>
      <c r="J3929" s="23"/>
      <c r="K3929" s="23"/>
      <c r="M3929" s="23"/>
      <c r="N3929" s="23"/>
      <c r="P3929" s="23"/>
    </row>
    <row r="3930" spans="2:16" x14ac:dyDescent="0.25">
      <c r="B3930" s="23"/>
      <c r="E3930" s="23"/>
      <c r="G3930" s="23"/>
      <c r="H3930" s="23"/>
      <c r="J3930" s="23"/>
      <c r="K3930" s="23"/>
      <c r="M3930" s="23"/>
      <c r="N3930" s="23"/>
      <c r="P3930" s="23"/>
    </row>
    <row r="3931" spans="2:16" x14ac:dyDescent="0.25">
      <c r="B3931" s="23"/>
      <c r="E3931" s="23"/>
      <c r="G3931" s="23"/>
      <c r="H3931" s="23"/>
      <c r="J3931" s="23"/>
      <c r="K3931" s="23"/>
      <c r="M3931" s="23"/>
      <c r="N3931" s="23"/>
      <c r="P3931" s="23"/>
    </row>
    <row r="3932" spans="2:16" x14ac:dyDescent="0.25">
      <c r="B3932" s="23"/>
      <c r="E3932" s="23"/>
      <c r="G3932" s="23"/>
      <c r="H3932" s="23"/>
      <c r="J3932" s="23"/>
      <c r="K3932" s="23"/>
      <c r="M3932" s="23"/>
      <c r="N3932" s="23"/>
      <c r="P3932" s="23"/>
    </row>
    <row r="3933" spans="2:16" x14ac:dyDescent="0.25">
      <c r="B3933" s="23"/>
      <c r="E3933" s="23"/>
      <c r="G3933" s="23"/>
      <c r="H3933" s="23"/>
      <c r="J3933" s="23"/>
      <c r="K3933" s="23"/>
      <c r="M3933" s="23"/>
      <c r="N3933" s="23"/>
      <c r="P3933" s="23"/>
    </row>
    <row r="3934" spans="2:16" x14ac:dyDescent="0.25">
      <c r="B3934" s="23"/>
      <c r="E3934" s="23"/>
      <c r="G3934" s="23"/>
      <c r="H3934" s="23"/>
      <c r="J3934" s="23"/>
      <c r="K3934" s="23"/>
      <c r="M3934" s="23"/>
      <c r="N3934" s="23"/>
      <c r="P3934" s="23"/>
    </row>
    <row r="3935" spans="2:16" x14ac:dyDescent="0.25">
      <c r="B3935" s="23"/>
      <c r="E3935" s="23"/>
      <c r="G3935" s="23"/>
      <c r="H3935" s="23"/>
      <c r="J3935" s="23"/>
      <c r="K3935" s="23"/>
      <c r="M3935" s="23"/>
      <c r="N3935" s="23"/>
      <c r="P3935" s="23"/>
    </row>
    <row r="3936" spans="2:16" x14ac:dyDescent="0.25">
      <c r="B3936" s="23"/>
      <c r="E3936" s="23"/>
      <c r="G3936" s="23"/>
      <c r="H3936" s="23"/>
      <c r="J3936" s="23"/>
      <c r="K3936" s="23"/>
      <c r="M3936" s="23"/>
      <c r="N3936" s="23"/>
      <c r="P3936" s="23"/>
    </row>
    <row r="3937" spans="2:16" x14ac:dyDescent="0.25">
      <c r="B3937" s="23"/>
      <c r="E3937" s="23"/>
      <c r="G3937" s="23"/>
      <c r="H3937" s="23"/>
      <c r="J3937" s="23"/>
      <c r="K3937" s="23"/>
      <c r="M3937" s="23"/>
      <c r="N3937" s="23"/>
      <c r="P3937" s="23"/>
    </row>
    <row r="3938" spans="2:16" x14ac:dyDescent="0.25">
      <c r="B3938" s="23"/>
      <c r="E3938" s="23"/>
      <c r="G3938" s="23"/>
      <c r="H3938" s="23"/>
      <c r="J3938" s="23"/>
      <c r="K3938" s="23"/>
      <c r="M3938" s="23"/>
      <c r="N3938" s="23"/>
      <c r="P3938" s="23"/>
    </row>
    <row r="3939" spans="2:16" x14ac:dyDescent="0.25">
      <c r="B3939" s="23"/>
      <c r="E3939" s="23"/>
      <c r="G3939" s="23"/>
      <c r="H3939" s="23"/>
      <c r="J3939" s="23"/>
      <c r="K3939" s="23"/>
      <c r="M3939" s="23"/>
      <c r="N3939" s="23"/>
      <c r="P3939" s="23"/>
    </row>
    <row r="3940" spans="2:16" x14ac:dyDescent="0.25">
      <c r="B3940" s="23"/>
      <c r="E3940" s="23"/>
      <c r="G3940" s="23"/>
      <c r="H3940" s="23"/>
      <c r="J3940" s="23"/>
      <c r="K3940" s="23"/>
      <c r="M3940" s="23"/>
      <c r="N3940" s="23"/>
      <c r="P3940" s="23"/>
    </row>
    <row r="3941" spans="2:16" x14ac:dyDescent="0.25">
      <c r="B3941" s="23"/>
      <c r="E3941" s="23"/>
      <c r="G3941" s="23"/>
      <c r="H3941" s="23"/>
      <c r="J3941" s="23"/>
      <c r="K3941" s="23"/>
      <c r="M3941" s="23"/>
      <c r="N3941" s="23"/>
      <c r="P3941" s="23"/>
    </row>
    <row r="3942" spans="2:16" x14ac:dyDescent="0.25">
      <c r="B3942" s="23"/>
      <c r="E3942" s="23"/>
      <c r="G3942" s="23"/>
      <c r="H3942" s="23"/>
      <c r="J3942" s="23"/>
      <c r="K3942" s="23"/>
      <c r="M3942" s="23"/>
      <c r="N3942" s="23"/>
      <c r="P3942" s="23"/>
    </row>
    <row r="3943" spans="2:16" x14ac:dyDescent="0.25">
      <c r="B3943" s="23"/>
      <c r="E3943" s="23"/>
      <c r="G3943" s="23"/>
      <c r="H3943" s="23"/>
      <c r="J3943" s="23"/>
      <c r="K3943" s="23"/>
      <c r="M3943" s="23"/>
      <c r="N3943" s="23"/>
      <c r="P3943" s="23"/>
    </row>
    <row r="3944" spans="2:16" x14ac:dyDescent="0.25">
      <c r="B3944" s="23"/>
      <c r="E3944" s="23"/>
      <c r="G3944" s="23"/>
      <c r="H3944" s="23"/>
      <c r="J3944" s="23"/>
      <c r="K3944" s="23"/>
      <c r="M3944" s="23"/>
      <c r="N3944" s="23"/>
      <c r="P3944" s="23"/>
    </row>
    <row r="3945" spans="2:16" x14ac:dyDescent="0.25">
      <c r="B3945" s="23"/>
      <c r="E3945" s="23"/>
      <c r="G3945" s="23"/>
      <c r="H3945" s="23"/>
      <c r="J3945" s="23"/>
      <c r="K3945" s="23"/>
      <c r="M3945" s="23"/>
      <c r="N3945" s="23"/>
      <c r="P3945" s="23"/>
    </row>
    <row r="3946" spans="2:16" x14ac:dyDescent="0.25">
      <c r="B3946" s="23"/>
      <c r="E3946" s="23"/>
      <c r="G3946" s="23"/>
      <c r="H3946" s="23"/>
      <c r="J3946" s="23"/>
      <c r="K3946" s="23"/>
      <c r="M3946" s="23"/>
      <c r="N3946" s="23"/>
      <c r="P3946" s="23"/>
    </row>
    <row r="3947" spans="2:16" x14ac:dyDescent="0.25">
      <c r="B3947" s="23"/>
      <c r="E3947" s="23"/>
      <c r="G3947" s="23"/>
      <c r="H3947" s="23"/>
      <c r="J3947" s="23"/>
      <c r="K3947" s="23"/>
      <c r="M3947" s="23"/>
      <c r="N3947" s="23"/>
      <c r="P3947" s="23"/>
    </row>
    <row r="3948" spans="2:16" x14ac:dyDescent="0.25">
      <c r="B3948" s="23"/>
      <c r="E3948" s="23"/>
      <c r="G3948" s="23"/>
      <c r="H3948" s="23"/>
      <c r="J3948" s="23"/>
      <c r="K3948" s="23"/>
      <c r="M3948" s="23"/>
      <c r="N3948" s="23"/>
      <c r="P3948" s="23"/>
    </row>
    <row r="3949" spans="2:16" x14ac:dyDescent="0.25">
      <c r="B3949" s="23"/>
      <c r="E3949" s="23"/>
      <c r="G3949" s="23"/>
      <c r="H3949" s="23"/>
      <c r="J3949" s="23"/>
      <c r="K3949" s="23"/>
      <c r="M3949" s="23"/>
      <c r="N3949" s="23"/>
      <c r="P3949" s="23"/>
    </row>
    <row r="3950" spans="2:16" x14ac:dyDescent="0.25">
      <c r="B3950" s="23"/>
      <c r="E3950" s="23"/>
      <c r="G3950" s="23"/>
      <c r="H3950" s="23"/>
      <c r="J3950" s="23"/>
      <c r="K3950" s="23"/>
      <c r="M3950" s="23"/>
      <c r="N3950" s="23"/>
      <c r="P3950" s="23"/>
    </row>
    <row r="3951" spans="2:16" x14ac:dyDescent="0.25">
      <c r="B3951" s="23"/>
      <c r="E3951" s="23"/>
      <c r="G3951" s="23"/>
      <c r="H3951" s="23"/>
      <c r="J3951" s="23"/>
      <c r="K3951" s="23"/>
      <c r="M3951" s="23"/>
      <c r="N3951" s="23"/>
      <c r="P3951" s="23"/>
    </row>
    <row r="3952" spans="2:16" x14ac:dyDescent="0.25">
      <c r="B3952" s="23"/>
      <c r="E3952" s="23"/>
      <c r="G3952" s="23"/>
      <c r="H3952" s="23"/>
      <c r="J3952" s="23"/>
      <c r="K3952" s="23"/>
      <c r="M3952" s="23"/>
      <c r="N3952" s="23"/>
      <c r="P3952" s="23"/>
    </row>
    <row r="3953" spans="2:16" x14ac:dyDescent="0.25">
      <c r="B3953" s="23"/>
      <c r="E3953" s="23"/>
      <c r="G3953" s="23"/>
      <c r="H3953" s="23"/>
      <c r="J3953" s="23"/>
      <c r="K3953" s="23"/>
      <c r="M3953" s="23"/>
      <c r="N3953" s="23"/>
      <c r="P3953" s="23"/>
    </row>
    <row r="3954" spans="2:16" x14ac:dyDescent="0.25">
      <c r="B3954" s="23"/>
      <c r="E3954" s="23"/>
      <c r="G3954" s="23"/>
      <c r="H3954" s="23"/>
      <c r="J3954" s="23"/>
      <c r="K3954" s="23"/>
      <c r="M3954" s="23"/>
      <c r="N3954" s="23"/>
      <c r="P3954" s="23"/>
    </row>
    <row r="3955" spans="2:16" x14ac:dyDescent="0.25">
      <c r="B3955" s="23"/>
      <c r="E3955" s="23"/>
      <c r="G3955" s="23"/>
      <c r="H3955" s="23"/>
      <c r="J3955" s="23"/>
      <c r="K3955" s="23"/>
      <c r="M3955" s="23"/>
      <c r="N3955" s="23"/>
      <c r="P3955" s="23"/>
    </row>
    <row r="3956" spans="2:16" x14ac:dyDescent="0.25">
      <c r="B3956" s="23"/>
      <c r="E3956" s="23"/>
      <c r="G3956" s="23"/>
      <c r="H3956" s="23"/>
      <c r="J3956" s="23"/>
      <c r="K3956" s="23"/>
      <c r="M3956" s="23"/>
      <c r="N3956" s="23"/>
      <c r="P3956" s="23"/>
    </row>
    <row r="3957" spans="2:16" x14ac:dyDescent="0.25">
      <c r="B3957" s="23"/>
      <c r="E3957" s="23"/>
      <c r="G3957" s="23"/>
      <c r="H3957" s="23"/>
      <c r="J3957" s="23"/>
      <c r="K3957" s="23"/>
      <c r="M3957" s="23"/>
      <c r="N3957" s="23"/>
      <c r="P3957" s="23"/>
    </row>
    <row r="3958" spans="2:16" x14ac:dyDescent="0.25">
      <c r="B3958" s="23"/>
      <c r="E3958" s="23"/>
      <c r="G3958" s="23"/>
      <c r="H3958" s="23"/>
      <c r="J3958" s="23"/>
      <c r="K3958" s="23"/>
      <c r="M3958" s="23"/>
      <c r="N3958" s="23"/>
      <c r="P3958" s="23"/>
    </row>
    <row r="3959" spans="2:16" x14ac:dyDescent="0.25">
      <c r="B3959" s="23"/>
      <c r="E3959" s="23"/>
      <c r="G3959" s="23"/>
      <c r="H3959" s="23"/>
      <c r="J3959" s="23"/>
      <c r="K3959" s="23"/>
      <c r="M3959" s="23"/>
      <c r="N3959" s="23"/>
      <c r="P3959" s="23"/>
    </row>
    <row r="3960" spans="2:16" x14ac:dyDescent="0.25">
      <c r="B3960" s="23"/>
      <c r="E3960" s="23"/>
      <c r="G3960" s="23"/>
      <c r="H3960" s="23"/>
      <c r="J3960" s="23"/>
      <c r="K3960" s="23"/>
      <c r="M3960" s="23"/>
      <c r="N3960" s="23"/>
      <c r="P3960" s="23"/>
    </row>
    <row r="3961" spans="2:16" x14ac:dyDescent="0.25">
      <c r="B3961" s="23"/>
      <c r="E3961" s="23"/>
      <c r="G3961" s="23"/>
      <c r="H3961" s="23"/>
      <c r="J3961" s="23"/>
      <c r="K3961" s="23"/>
      <c r="M3961" s="23"/>
      <c r="N3961" s="23"/>
      <c r="P3961" s="23"/>
    </row>
    <row r="3962" spans="2:16" x14ac:dyDescent="0.25">
      <c r="B3962" s="23"/>
      <c r="E3962" s="23"/>
      <c r="G3962" s="23"/>
      <c r="H3962" s="23"/>
      <c r="J3962" s="23"/>
      <c r="K3962" s="23"/>
      <c r="M3962" s="23"/>
      <c r="N3962" s="23"/>
      <c r="P3962" s="23"/>
    </row>
    <row r="3963" spans="2:16" x14ac:dyDescent="0.25">
      <c r="B3963" s="23"/>
      <c r="E3963" s="23"/>
      <c r="G3963" s="23"/>
      <c r="H3963" s="23"/>
      <c r="J3963" s="23"/>
      <c r="K3963" s="23"/>
      <c r="M3963" s="23"/>
      <c r="N3963" s="23"/>
      <c r="P3963" s="23"/>
    </row>
    <row r="3964" spans="2:16" x14ac:dyDescent="0.25">
      <c r="B3964" s="23"/>
      <c r="E3964" s="23"/>
      <c r="G3964" s="23"/>
      <c r="H3964" s="23"/>
      <c r="J3964" s="23"/>
      <c r="K3964" s="23"/>
      <c r="M3964" s="23"/>
      <c r="N3964" s="23"/>
      <c r="P3964" s="23"/>
    </row>
    <row r="3965" spans="2:16" x14ac:dyDescent="0.25">
      <c r="B3965" s="23"/>
      <c r="E3965" s="23"/>
      <c r="G3965" s="23"/>
      <c r="H3965" s="23"/>
      <c r="J3965" s="23"/>
      <c r="K3965" s="23"/>
      <c r="M3965" s="23"/>
      <c r="N3965" s="23"/>
      <c r="P3965" s="23"/>
    </row>
    <row r="3966" spans="2:16" x14ac:dyDescent="0.25">
      <c r="B3966" s="23"/>
      <c r="E3966" s="23"/>
      <c r="G3966" s="23"/>
      <c r="H3966" s="23"/>
      <c r="J3966" s="23"/>
      <c r="K3966" s="23"/>
      <c r="M3966" s="23"/>
      <c r="N3966" s="23"/>
      <c r="P3966" s="23"/>
    </row>
    <row r="3967" spans="2:16" x14ac:dyDescent="0.25">
      <c r="B3967" s="23"/>
      <c r="E3967" s="23"/>
      <c r="G3967" s="23"/>
      <c r="H3967" s="23"/>
      <c r="J3967" s="23"/>
      <c r="K3967" s="23"/>
      <c r="M3967" s="23"/>
      <c r="N3967" s="23"/>
      <c r="P3967" s="23"/>
    </row>
    <row r="3968" spans="2:16" x14ac:dyDescent="0.25">
      <c r="B3968" s="23"/>
      <c r="E3968" s="23"/>
      <c r="G3968" s="23"/>
      <c r="H3968" s="23"/>
      <c r="J3968" s="23"/>
      <c r="K3968" s="23"/>
      <c r="M3968" s="23"/>
      <c r="N3968" s="23"/>
      <c r="P3968" s="23"/>
    </row>
    <row r="3969" spans="2:16" x14ac:dyDescent="0.25">
      <c r="B3969" s="23"/>
      <c r="E3969" s="23"/>
      <c r="G3969" s="23"/>
      <c r="H3969" s="23"/>
      <c r="J3969" s="23"/>
      <c r="K3969" s="23"/>
      <c r="M3969" s="23"/>
      <c r="N3969" s="23"/>
      <c r="P3969" s="23"/>
    </row>
    <row r="3970" spans="2:16" x14ac:dyDescent="0.25">
      <c r="B3970" s="23"/>
      <c r="E3970" s="23"/>
      <c r="G3970" s="23"/>
      <c r="H3970" s="23"/>
      <c r="J3970" s="23"/>
      <c r="K3970" s="23"/>
      <c r="M3970" s="23"/>
      <c r="N3970" s="23"/>
      <c r="P3970" s="23"/>
    </row>
    <row r="3971" spans="2:16" x14ac:dyDescent="0.25">
      <c r="B3971" s="23"/>
      <c r="E3971" s="23"/>
      <c r="G3971" s="23"/>
      <c r="H3971" s="23"/>
      <c r="J3971" s="23"/>
      <c r="K3971" s="23"/>
      <c r="M3971" s="23"/>
      <c r="N3971" s="23"/>
      <c r="P3971" s="23"/>
    </row>
    <row r="3972" spans="2:16" x14ac:dyDescent="0.25">
      <c r="B3972" s="23"/>
      <c r="E3972" s="23"/>
      <c r="G3972" s="23"/>
      <c r="H3972" s="23"/>
      <c r="J3972" s="23"/>
      <c r="K3972" s="23"/>
      <c r="M3972" s="23"/>
      <c r="N3972" s="23"/>
      <c r="P3972" s="23"/>
    </row>
    <row r="3973" spans="2:16" x14ac:dyDescent="0.25">
      <c r="B3973" s="23"/>
      <c r="E3973" s="23"/>
      <c r="G3973" s="23"/>
      <c r="H3973" s="23"/>
      <c r="J3973" s="23"/>
      <c r="K3973" s="23"/>
      <c r="M3973" s="23"/>
      <c r="N3973" s="23"/>
      <c r="P3973" s="23"/>
    </row>
    <row r="3974" spans="2:16" x14ac:dyDescent="0.25">
      <c r="B3974" s="23"/>
      <c r="E3974" s="23"/>
      <c r="G3974" s="23"/>
      <c r="H3974" s="23"/>
      <c r="J3974" s="23"/>
      <c r="K3974" s="23"/>
      <c r="M3974" s="23"/>
      <c r="N3974" s="23"/>
      <c r="P3974" s="23"/>
    </row>
    <row r="3975" spans="2:16" x14ac:dyDescent="0.25">
      <c r="B3975" s="23"/>
      <c r="E3975" s="23"/>
      <c r="G3975" s="23"/>
      <c r="H3975" s="23"/>
      <c r="J3975" s="23"/>
      <c r="K3975" s="23"/>
      <c r="M3975" s="23"/>
      <c r="N3975" s="23"/>
      <c r="P3975" s="23"/>
    </row>
    <row r="3976" spans="2:16" x14ac:dyDescent="0.25">
      <c r="B3976" s="23"/>
      <c r="E3976" s="23"/>
      <c r="G3976" s="23"/>
      <c r="H3976" s="23"/>
      <c r="J3976" s="23"/>
      <c r="K3976" s="23"/>
      <c r="M3976" s="23"/>
      <c r="N3976" s="23"/>
      <c r="P3976" s="23"/>
    </row>
    <row r="3977" spans="2:16" x14ac:dyDescent="0.25">
      <c r="B3977" s="23"/>
      <c r="E3977" s="23"/>
      <c r="G3977" s="23"/>
      <c r="H3977" s="23"/>
      <c r="J3977" s="23"/>
      <c r="K3977" s="23"/>
      <c r="M3977" s="23"/>
      <c r="N3977" s="23"/>
      <c r="P3977" s="23"/>
    </row>
    <row r="3978" spans="2:16" x14ac:dyDescent="0.25">
      <c r="B3978" s="23"/>
      <c r="E3978" s="23"/>
      <c r="G3978" s="23"/>
      <c r="H3978" s="23"/>
      <c r="J3978" s="23"/>
      <c r="K3978" s="23"/>
      <c r="M3978" s="23"/>
      <c r="N3978" s="23"/>
      <c r="P3978" s="23"/>
    </row>
    <row r="3979" spans="2:16" x14ac:dyDescent="0.25">
      <c r="B3979" s="23"/>
      <c r="E3979" s="23"/>
      <c r="G3979" s="23"/>
      <c r="H3979" s="23"/>
      <c r="J3979" s="23"/>
      <c r="K3979" s="23"/>
      <c r="M3979" s="23"/>
      <c r="N3979" s="23"/>
      <c r="P3979" s="23"/>
    </row>
    <row r="3980" spans="2:16" x14ac:dyDescent="0.25">
      <c r="B3980" s="23"/>
      <c r="E3980" s="23"/>
      <c r="G3980" s="23"/>
      <c r="H3980" s="23"/>
      <c r="J3980" s="23"/>
      <c r="K3980" s="23"/>
      <c r="M3980" s="23"/>
      <c r="N3980" s="23"/>
      <c r="P3980" s="23"/>
    </row>
    <row r="3981" spans="2:16" x14ac:dyDescent="0.25">
      <c r="B3981" s="23"/>
      <c r="E3981" s="23"/>
      <c r="G3981" s="23"/>
      <c r="H3981" s="23"/>
      <c r="J3981" s="23"/>
      <c r="K3981" s="23"/>
      <c r="M3981" s="23"/>
      <c r="N3981" s="23"/>
      <c r="P3981" s="23"/>
    </row>
    <row r="3982" spans="2:16" x14ac:dyDescent="0.25">
      <c r="B3982" s="23"/>
      <c r="E3982" s="23"/>
      <c r="G3982" s="23"/>
      <c r="H3982" s="23"/>
      <c r="J3982" s="23"/>
      <c r="K3982" s="23"/>
      <c r="M3982" s="23"/>
      <c r="N3982" s="23"/>
      <c r="P3982" s="23"/>
    </row>
    <row r="3983" spans="2:16" x14ac:dyDescent="0.25">
      <c r="B3983" s="23"/>
      <c r="E3983" s="23"/>
      <c r="G3983" s="23"/>
      <c r="H3983" s="23"/>
      <c r="J3983" s="23"/>
      <c r="K3983" s="23"/>
      <c r="M3983" s="23"/>
      <c r="N3983" s="23"/>
      <c r="P3983" s="23"/>
    </row>
    <row r="3984" spans="2:16" x14ac:dyDescent="0.25">
      <c r="B3984" s="23"/>
      <c r="E3984" s="23"/>
      <c r="G3984" s="23"/>
      <c r="H3984" s="23"/>
      <c r="J3984" s="23"/>
      <c r="K3984" s="23"/>
      <c r="M3984" s="23"/>
      <c r="N3984" s="23"/>
      <c r="P3984" s="23"/>
    </row>
    <row r="3985" spans="2:16" x14ac:dyDescent="0.25">
      <c r="B3985" s="23"/>
      <c r="E3985" s="23"/>
      <c r="G3985" s="23"/>
      <c r="H3985" s="23"/>
      <c r="J3985" s="23"/>
      <c r="K3985" s="23"/>
      <c r="M3985" s="23"/>
      <c r="N3985" s="23"/>
      <c r="P3985" s="23"/>
    </row>
    <row r="3986" spans="2:16" x14ac:dyDescent="0.25">
      <c r="B3986" s="23"/>
      <c r="E3986" s="23"/>
      <c r="G3986" s="23"/>
      <c r="H3986" s="23"/>
      <c r="J3986" s="23"/>
      <c r="K3986" s="23"/>
      <c r="M3986" s="23"/>
      <c r="N3986" s="23"/>
      <c r="P3986" s="23"/>
    </row>
    <row r="3987" spans="2:16" x14ac:dyDescent="0.25">
      <c r="B3987" s="23"/>
      <c r="E3987" s="23"/>
      <c r="G3987" s="23"/>
      <c r="H3987" s="23"/>
      <c r="J3987" s="23"/>
      <c r="K3987" s="23"/>
      <c r="M3987" s="23"/>
      <c r="N3987" s="23"/>
      <c r="P3987" s="23"/>
    </row>
    <row r="3988" spans="2:16" x14ac:dyDescent="0.25">
      <c r="B3988" s="23"/>
      <c r="E3988" s="23"/>
      <c r="G3988" s="23"/>
      <c r="H3988" s="23"/>
      <c r="J3988" s="23"/>
      <c r="K3988" s="23"/>
      <c r="M3988" s="23"/>
      <c r="N3988" s="23"/>
      <c r="P3988" s="23"/>
    </row>
    <row r="3989" spans="2:16" x14ac:dyDescent="0.25">
      <c r="B3989" s="23"/>
      <c r="E3989" s="23"/>
      <c r="G3989" s="23"/>
      <c r="H3989" s="23"/>
      <c r="J3989" s="23"/>
      <c r="K3989" s="23"/>
      <c r="M3989" s="23"/>
      <c r="N3989" s="23"/>
      <c r="P3989" s="23"/>
    </row>
    <row r="3990" spans="2:16" x14ac:dyDescent="0.25">
      <c r="B3990" s="23"/>
      <c r="E3990" s="23"/>
      <c r="G3990" s="23"/>
      <c r="H3990" s="23"/>
      <c r="J3990" s="23"/>
      <c r="K3990" s="23"/>
      <c r="M3990" s="23"/>
      <c r="N3990" s="23"/>
      <c r="P3990" s="23"/>
    </row>
    <row r="3991" spans="2:16" x14ac:dyDescent="0.25">
      <c r="B3991" s="23"/>
      <c r="E3991" s="23"/>
      <c r="G3991" s="23"/>
      <c r="H3991" s="23"/>
      <c r="J3991" s="23"/>
      <c r="K3991" s="23"/>
      <c r="M3991" s="23"/>
      <c r="N3991" s="23"/>
      <c r="P3991" s="23"/>
    </row>
    <row r="3992" spans="2:16" x14ac:dyDescent="0.25">
      <c r="B3992" s="23"/>
      <c r="E3992" s="23"/>
      <c r="G3992" s="23"/>
      <c r="H3992" s="23"/>
      <c r="J3992" s="23"/>
      <c r="K3992" s="23"/>
      <c r="M3992" s="23"/>
      <c r="N3992" s="23"/>
      <c r="P3992" s="23"/>
    </row>
    <row r="3993" spans="2:16" x14ac:dyDescent="0.25">
      <c r="B3993" s="23"/>
      <c r="E3993" s="23"/>
      <c r="G3993" s="23"/>
      <c r="H3993" s="23"/>
      <c r="J3993" s="23"/>
      <c r="K3993" s="23"/>
      <c r="M3993" s="23"/>
      <c r="N3993" s="23"/>
      <c r="P3993" s="23"/>
    </row>
    <row r="3994" spans="2:16" x14ac:dyDescent="0.25">
      <c r="B3994" s="23"/>
      <c r="E3994" s="23"/>
      <c r="G3994" s="23"/>
      <c r="H3994" s="23"/>
      <c r="J3994" s="23"/>
      <c r="K3994" s="23"/>
      <c r="M3994" s="23"/>
      <c r="N3994" s="23"/>
      <c r="P3994" s="23"/>
    </row>
    <row r="3995" spans="2:16" x14ac:dyDescent="0.25">
      <c r="B3995" s="23"/>
      <c r="E3995" s="23"/>
      <c r="G3995" s="23"/>
      <c r="H3995" s="23"/>
      <c r="J3995" s="23"/>
      <c r="K3995" s="23"/>
      <c r="M3995" s="23"/>
      <c r="N3995" s="23"/>
      <c r="P3995" s="23"/>
    </row>
    <row r="3996" spans="2:16" x14ac:dyDescent="0.25">
      <c r="B3996" s="23"/>
      <c r="E3996" s="23"/>
      <c r="G3996" s="23"/>
      <c r="H3996" s="23"/>
      <c r="J3996" s="23"/>
      <c r="K3996" s="23"/>
      <c r="M3996" s="23"/>
      <c r="N3996" s="23"/>
      <c r="P3996" s="23"/>
    </row>
    <row r="3997" spans="2:16" x14ac:dyDescent="0.25">
      <c r="B3997" s="23"/>
      <c r="E3997" s="23"/>
      <c r="G3997" s="23"/>
      <c r="H3997" s="23"/>
      <c r="J3997" s="23"/>
      <c r="K3997" s="23"/>
      <c r="M3997" s="23"/>
      <c r="N3997" s="23"/>
      <c r="P3997" s="23"/>
    </row>
    <row r="3998" spans="2:16" x14ac:dyDescent="0.25">
      <c r="B3998" s="23"/>
      <c r="E3998" s="23"/>
      <c r="G3998" s="23"/>
      <c r="H3998" s="23"/>
      <c r="J3998" s="23"/>
      <c r="K3998" s="23"/>
      <c r="M3998" s="23"/>
      <c r="N3998" s="23"/>
      <c r="P3998" s="23"/>
    </row>
    <row r="3999" spans="2:16" x14ac:dyDescent="0.25">
      <c r="B3999" s="23"/>
      <c r="E3999" s="23"/>
      <c r="G3999" s="23"/>
      <c r="H3999" s="23"/>
      <c r="J3999" s="23"/>
      <c r="K3999" s="23"/>
      <c r="M3999" s="23"/>
      <c r="N3999" s="23"/>
      <c r="P3999" s="23"/>
    </row>
    <row r="4000" spans="2:16" x14ac:dyDescent="0.25">
      <c r="B4000" s="23"/>
      <c r="E4000" s="23"/>
      <c r="G4000" s="23"/>
      <c r="H4000" s="23"/>
      <c r="J4000" s="23"/>
      <c r="K4000" s="23"/>
      <c r="M4000" s="23"/>
      <c r="N4000" s="23"/>
      <c r="P4000" s="23"/>
    </row>
    <row r="4001" spans="2:16" x14ac:dyDescent="0.25">
      <c r="B4001" s="23"/>
      <c r="E4001" s="23"/>
      <c r="G4001" s="23"/>
      <c r="H4001" s="23"/>
      <c r="J4001" s="23"/>
      <c r="K4001" s="23"/>
      <c r="M4001" s="23"/>
      <c r="N4001" s="23"/>
      <c r="P4001" s="23"/>
    </row>
    <row r="4002" spans="2:16" x14ac:dyDescent="0.25">
      <c r="B4002" s="23"/>
      <c r="E4002" s="23"/>
      <c r="G4002" s="23"/>
      <c r="H4002" s="23"/>
      <c r="J4002" s="23"/>
      <c r="K4002" s="23"/>
      <c r="M4002" s="23"/>
      <c r="N4002" s="23"/>
      <c r="P4002" s="23"/>
    </row>
    <row r="4003" spans="2:16" x14ac:dyDescent="0.25">
      <c r="B4003" s="23"/>
      <c r="E4003" s="23"/>
      <c r="G4003" s="23"/>
      <c r="H4003" s="23"/>
      <c r="J4003" s="23"/>
      <c r="K4003" s="23"/>
      <c r="M4003" s="23"/>
      <c r="N4003" s="23"/>
      <c r="P4003" s="23"/>
    </row>
    <row r="4004" spans="2:16" x14ac:dyDescent="0.25">
      <c r="B4004" s="23"/>
      <c r="E4004" s="23"/>
      <c r="G4004" s="23"/>
      <c r="H4004" s="23"/>
      <c r="J4004" s="23"/>
      <c r="K4004" s="23"/>
      <c r="M4004" s="23"/>
      <c r="N4004" s="23"/>
      <c r="P4004" s="23"/>
    </row>
    <row r="4005" spans="2:16" x14ac:dyDescent="0.25">
      <c r="B4005" s="23"/>
      <c r="E4005" s="23"/>
      <c r="G4005" s="23"/>
      <c r="H4005" s="23"/>
      <c r="J4005" s="23"/>
      <c r="K4005" s="23"/>
      <c r="M4005" s="23"/>
      <c r="N4005" s="23"/>
      <c r="P4005" s="23"/>
    </row>
    <row r="4006" spans="2:16" x14ac:dyDescent="0.25">
      <c r="B4006" s="23"/>
      <c r="E4006" s="23"/>
      <c r="G4006" s="23"/>
      <c r="H4006" s="23"/>
      <c r="J4006" s="23"/>
      <c r="K4006" s="23"/>
      <c r="M4006" s="23"/>
      <c r="N4006" s="23"/>
      <c r="P4006" s="23"/>
    </row>
    <row r="4007" spans="2:16" x14ac:dyDescent="0.25">
      <c r="B4007" s="23"/>
      <c r="E4007" s="23"/>
      <c r="G4007" s="23"/>
      <c r="H4007" s="23"/>
      <c r="J4007" s="23"/>
      <c r="K4007" s="23"/>
      <c r="M4007" s="23"/>
      <c r="N4007" s="23"/>
      <c r="P4007" s="23"/>
    </row>
    <row r="4008" spans="2:16" x14ac:dyDescent="0.25">
      <c r="B4008" s="23"/>
      <c r="E4008" s="23"/>
      <c r="G4008" s="23"/>
      <c r="H4008" s="23"/>
      <c r="J4008" s="23"/>
      <c r="K4008" s="23"/>
      <c r="M4008" s="23"/>
      <c r="N4008" s="23"/>
      <c r="P4008" s="23"/>
    </row>
    <row r="4009" spans="2:16" x14ac:dyDescent="0.25">
      <c r="B4009" s="23"/>
      <c r="E4009" s="23"/>
      <c r="G4009" s="23"/>
      <c r="H4009" s="23"/>
      <c r="J4009" s="23"/>
      <c r="K4009" s="23"/>
      <c r="M4009" s="23"/>
      <c r="N4009" s="23"/>
      <c r="P4009" s="23"/>
    </row>
    <row r="4010" spans="2:16" x14ac:dyDescent="0.25">
      <c r="B4010" s="23"/>
      <c r="E4010" s="23"/>
      <c r="G4010" s="23"/>
      <c r="H4010" s="23"/>
      <c r="J4010" s="23"/>
      <c r="K4010" s="23"/>
      <c r="M4010" s="23"/>
      <c r="N4010" s="23"/>
      <c r="P4010" s="23"/>
    </row>
    <row r="4011" spans="2:16" x14ac:dyDescent="0.25">
      <c r="B4011" s="23"/>
      <c r="E4011" s="23"/>
      <c r="G4011" s="23"/>
      <c r="H4011" s="23"/>
      <c r="J4011" s="23"/>
      <c r="K4011" s="23"/>
      <c r="M4011" s="23"/>
      <c r="N4011" s="23"/>
      <c r="P4011" s="23"/>
    </row>
    <row r="4012" spans="2:16" x14ac:dyDescent="0.25">
      <c r="B4012" s="23"/>
      <c r="E4012" s="23"/>
      <c r="G4012" s="23"/>
      <c r="H4012" s="23"/>
      <c r="J4012" s="23"/>
      <c r="K4012" s="23"/>
      <c r="M4012" s="23"/>
      <c r="N4012" s="23"/>
      <c r="P4012" s="23"/>
    </row>
    <row r="4013" spans="2:16" x14ac:dyDescent="0.25">
      <c r="B4013" s="23"/>
      <c r="E4013" s="23"/>
      <c r="G4013" s="23"/>
      <c r="H4013" s="23"/>
      <c r="J4013" s="23"/>
      <c r="K4013" s="23"/>
      <c r="M4013" s="23"/>
      <c r="N4013" s="23"/>
      <c r="P4013" s="23"/>
    </row>
    <row r="4014" spans="2:16" x14ac:dyDescent="0.25">
      <c r="B4014" s="23"/>
      <c r="E4014" s="23"/>
      <c r="G4014" s="23"/>
      <c r="H4014" s="23"/>
      <c r="J4014" s="23"/>
      <c r="K4014" s="23"/>
      <c r="M4014" s="23"/>
      <c r="N4014" s="23"/>
      <c r="P4014" s="23"/>
    </row>
    <row r="4015" spans="2:16" x14ac:dyDescent="0.25">
      <c r="B4015" s="23"/>
      <c r="E4015" s="23"/>
      <c r="G4015" s="23"/>
      <c r="H4015" s="23"/>
      <c r="J4015" s="23"/>
      <c r="K4015" s="23"/>
      <c r="M4015" s="23"/>
      <c r="N4015" s="23"/>
      <c r="P4015" s="23"/>
    </row>
    <row r="4016" spans="2:16" x14ac:dyDescent="0.25">
      <c r="B4016" s="23"/>
      <c r="E4016" s="23"/>
      <c r="G4016" s="23"/>
      <c r="H4016" s="23"/>
      <c r="J4016" s="23"/>
      <c r="K4016" s="23"/>
      <c r="M4016" s="23"/>
      <c r="N4016" s="23"/>
      <c r="P4016" s="23"/>
    </row>
    <row r="4017" spans="2:16" x14ac:dyDescent="0.25">
      <c r="B4017" s="23"/>
      <c r="E4017" s="23"/>
      <c r="G4017" s="23"/>
      <c r="H4017" s="23"/>
      <c r="J4017" s="23"/>
      <c r="K4017" s="23"/>
      <c r="M4017" s="23"/>
      <c r="N4017" s="23"/>
      <c r="P4017" s="23"/>
    </row>
    <row r="4018" spans="2:16" x14ac:dyDescent="0.25">
      <c r="B4018" s="23"/>
      <c r="E4018" s="23"/>
      <c r="G4018" s="23"/>
      <c r="H4018" s="23"/>
      <c r="J4018" s="23"/>
      <c r="K4018" s="23"/>
      <c r="M4018" s="23"/>
      <c r="N4018" s="23"/>
      <c r="P4018" s="23"/>
    </row>
    <row r="4019" spans="2:16" x14ac:dyDescent="0.25">
      <c r="B4019" s="23"/>
      <c r="E4019" s="23"/>
      <c r="G4019" s="23"/>
      <c r="H4019" s="23"/>
      <c r="J4019" s="23"/>
      <c r="K4019" s="23"/>
      <c r="M4019" s="23"/>
      <c r="N4019" s="23"/>
      <c r="P4019" s="23"/>
    </row>
    <row r="4020" spans="2:16" x14ac:dyDescent="0.25">
      <c r="B4020" s="23"/>
      <c r="E4020" s="23"/>
      <c r="G4020" s="23"/>
      <c r="H4020" s="23"/>
      <c r="J4020" s="23"/>
      <c r="K4020" s="23"/>
      <c r="M4020" s="23"/>
      <c r="N4020" s="23"/>
      <c r="P4020" s="23"/>
    </row>
    <row r="4021" spans="2:16" x14ac:dyDescent="0.25">
      <c r="B4021" s="23"/>
      <c r="E4021" s="23"/>
      <c r="G4021" s="23"/>
      <c r="H4021" s="23"/>
      <c r="J4021" s="23"/>
      <c r="K4021" s="23"/>
      <c r="M4021" s="23"/>
      <c r="N4021" s="23"/>
      <c r="P4021" s="23"/>
    </row>
    <row r="4022" spans="2:16" x14ac:dyDescent="0.25">
      <c r="B4022" s="23"/>
      <c r="E4022" s="23"/>
      <c r="G4022" s="23"/>
      <c r="H4022" s="23"/>
      <c r="J4022" s="23"/>
      <c r="K4022" s="23"/>
      <c r="M4022" s="23"/>
      <c r="N4022" s="23"/>
      <c r="P4022" s="23"/>
    </row>
    <row r="4023" spans="2:16" x14ac:dyDescent="0.25">
      <c r="B4023" s="23"/>
      <c r="E4023" s="23"/>
      <c r="G4023" s="23"/>
      <c r="H4023" s="23"/>
      <c r="J4023" s="23"/>
      <c r="K4023" s="23"/>
      <c r="M4023" s="23"/>
      <c r="N4023" s="23"/>
      <c r="P4023" s="23"/>
    </row>
    <row r="4024" spans="2:16" x14ac:dyDescent="0.25">
      <c r="B4024" s="23"/>
      <c r="E4024" s="23"/>
      <c r="G4024" s="23"/>
      <c r="H4024" s="23"/>
      <c r="J4024" s="23"/>
      <c r="K4024" s="23"/>
      <c r="M4024" s="23"/>
      <c r="N4024" s="23"/>
      <c r="P4024" s="23"/>
    </row>
    <row r="4025" spans="2:16" x14ac:dyDescent="0.25">
      <c r="B4025" s="23"/>
      <c r="E4025" s="23"/>
      <c r="G4025" s="23"/>
      <c r="H4025" s="23"/>
      <c r="J4025" s="23"/>
      <c r="K4025" s="23"/>
      <c r="M4025" s="23"/>
      <c r="N4025" s="23"/>
      <c r="P4025" s="23"/>
    </row>
    <row r="4026" spans="2:16" x14ac:dyDescent="0.25">
      <c r="B4026" s="23"/>
      <c r="E4026" s="23"/>
      <c r="G4026" s="23"/>
      <c r="H4026" s="23"/>
      <c r="J4026" s="23"/>
      <c r="K4026" s="23"/>
      <c r="M4026" s="23"/>
      <c r="N4026" s="23"/>
      <c r="P4026" s="23"/>
    </row>
    <row r="4027" spans="2:16" x14ac:dyDescent="0.25">
      <c r="B4027" s="23"/>
      <c r="E4027" s="23"/>
      <c r="G4027" s="23"/>
      <c r="H4027" s="23"/>
      <c r="J4027" s="23"/>
      <c r="K4027" s="23"/>
      <c r="M4027" s="23"/>
      <c r="N4027" s="23"/>
      <c r="P4027" s="23"/>
    </row>
    <row r="4028" spans="2:16" x14ac:dyDescent="0.25">
      <c r="B4028" s="23"/>
      <c r="E4028" s="23"/>
      <c r="G4028" s="23"/>
      <c r="H4028" s="23"/>
      <c r="J4028" s="23"/>
      <c r="K4028" s="23"/>
      <c r="M4028" s="23"/>
      <c r="N4028" s="23"/>
      <c r="P4028" s="23"/>
    </row>
    <row r="4029" spans="2:16" x14ac:dyDescent="0.25">
      <c r="B4029" s="23"/>
      <c r="E4029" s="23"/>
      <c r="G4029" s="23"/>
      <c r="H4029" s="23"/>
      <c r="J4029" s="23"/>
      <c r="K4029" s="23"/>
      <c r="M4029" s="23"/>
      <c r="N4029" s="23"/>
      <c r="P4029" s="23"/>
    </row>
    <row r="4030" spans="2:16" x14ac:dyDescent="0.25">
      <c r="B4030" s="23"/>
      <c r="E4030" s="23"/>
      <c r="G4030" s="23"/>
      <c r="H4030" s="23"/>
      <c r="J4030" s="23"/>
      <c r="K4030" s="23"/>
      <c r="M4030" s="23"/>
      <c r="N4030" s="23"/>
      <c r="P4030" s="23"/>
    </row>
    <row r="4031" spans="2:16" x14ac:dyDescent="0.25">
      <c r="B4031" s="23"/>
      <c r="E4031" s="23"/>
      <c r="G4031" s="23"/>
      <c r="H4031" s="23"/>
      <c r="J4031" s="23"/>
      <c r="K4031" s="23"/>
      <c r="M4031" s="23"/>
      <c r="N4031" s="23"/>
      <c r="P4031" s="23"/>
    </row>
    <row r="4032" spans="2:16" x14ac:dyDescent="0.25">
      <c r="B4032" s="23"/>
      <c r="E4032" s="23"/>
      <c r="G4032" s="23"/>
      <c r="H4032" s="23"/>
      <c r="J4032" s="23"/>
      <c r="K4032" s="23"/>
      <c r="M4032" s="23"/>
      <c r="N4032" s="23"/>
      <c r="P4032" s="23"/>
    </row>
    <row r="4033" spans="2:16" x14ac:dyDescent="0.25">
      <c r="B4033" s="23"/>
      <c r="E4033" s="23"/>
      <c r="G4033" s="23"/>
      <c r="H4033" s="23"/>
      <c r="J4033" s="23"/>
      <c r="K4033" s="23"/>
      <c r="M4033" s="23"/>
      <c r="N4033" s="23"/>
      <c r="P4033" s="23"/>
    </row>
    <row r="4034" spans="2:16" x14ac:dyDescent="0.25">
      <c r="B4034" s="23"/>
      <c r="E4034" s="23"/>
      <c r="G4034" s="23"/>
      <c r="H4034" s="23"/>
      <c r="J4034" s="23"/>
      <c r="K4034" s="23"/>
      <c r="M4034" s="23"/>
      <c r="N4034" s="23"/>
      <c r="P4034" s="23"/>
    </row>
    <row r="4035" spans="2:16" x14ac:dyDescent="0.25">
      <c r="B4035" s="23"/>
      <c r="E4035" s="23"/>
      <c r="G4035" s="23"/>
      <c r="H4035" s="23"/>
      <c r="J4035" s="23"/>
      <c r="K4035" s="23"/>
      <c r="M4035" s="23"/>
      <c r="N4035" s="23"/>
      <c r="P4035" s="23"/>
    </row>
    <row r="4036" spans="2:16" x14ac:dyDescent="0.25">
      <c r="B4036" s="23"/>
      <c r="E4036" s="23"/>
      <c r="G4036" s="23"/>
      <c r="H4036" s="23"/>
      <c r="J4036" s="23"/>
      <c r="K4036" s="23"/>
      <c r="M4036" s="23"/>
      <c r="N4036" s="23"/>
      <c r="P4036" s="23"/>
    </row>
    <row r="4037" spans="2:16" x14ac:dyDescent="0.25">
      <c r="B4037" s="23"/>
      <c r="E4037" s="23"/>
      <c r="G4037" s="23"/>
      <c r="H4037" s="23"/>
      <c r="J4037" s="23"/>
      <c r="K4037" s="23"/>
      <c r="M4037" s="23"/>
      <c r="N4037" s="23"/>
      <c r="P4037" s="23"/>
    </row>
    <row r="4038" spans="2:16" x14ac:dyDescent="0.25">
      <c r="B4038" s="23"/>
      <c r="E4038" s="23"/>
      <c r="G4038" s="23"/>
      <c r="H4038" s="23"/>
      <c r="J4038" s="23"/>
      <c r="K4038" s="23"/>
      <c r="M4038" s="23"/>
      <c r="N4038" s="23"/>
      <c r="P4038" s="23"/>
    </row>
    <row r="4039" spans="2:16" x14ac:dyDescent="0.25">
      <c r="B4039" s="23"/>
      <c r="E4039" s="23"/>
      <c r="G4039" s="23"/>
      <c r="H4039" s="23"/>
      <c r="J4039" s="23"/>
      <c r="K4039" s="23"/>
      <c r="M4039" s="23"/>
      <c r="N4039" s="23"/>
      <c r="P4039" s="23"/>
    </row>
    <row r="4040" spans="2:16" x14ac:dyDescent="0.25">
      <c r="B4040" s="23"/>
      <c r="E4040" s="23"/>
      <c r="G4040" s="23"/>
      <c r="H4040" s="23"/>
      <c r="J4040" s="23"/>
      <c r="K4040" s="23"/>
      <c r="M4040" s="23"/>
      <c r="N4040" s="23"/>
      <c r="P4040" s="23"/>
    </row>
    <row r="4041" spans="2:16" x14ac:dyDescent="0.25">
      <c r="B4041" s="23"/>
      <c r="E4041" s="23"/>
      <c r="G4041" s="23"/>
      <c r="H4041" s="23"/>
      <c r="J4041" s="23"/>
      <c r="K4041" s="23"/>
      <c r="M4041" s="23"/>
      <c r="N4041" s="23"/>
      <c r="P4041" s="23"/>
    </row>
    <row r="4042" spans="2:16" x14ac:dyDescent="0.25">
      <c r="B4042" s="23"/>
      <c r="E4042" s="23"/>
      <c r="G4042" s="23"/>
      <c r="H4042" s="23"/>
      <c r="J4042" s="23"/>
      <c r="K4042" s="23"/>
      <c r="M4042" s="23"/>
      <c r="N4042" s="23"/>
      <c r="P4042" s="23"/>
    </row>
    <row r="4043" spans="2:16" x14ac:dyDescent="0.25">
      <c r="B4043" s="23"/>
      <c r="E4043" s="23"/>
      <c r="G4043" s="23"/>
      <c r="H4043" s="23"/>
      <c r="J4043" s="23"/>
      <c r="K4043" s="23"/>
      <c r="M4043" s="23"/>
      <c r="N4043" s="23"/>
      <c r="P4043" s="23"/>
    </row>
    <row r="4044" spans="2:16" x14ac:dyDescent="0.25">
      <c r="B4044" s="23"/>
      <c r="E4044" s="23"/>
      <c r="G4044" s="23"/>
      <c r="H4044" s="23"/>
      <c r="J4044" s="23"/>
      <c r="K4044" s="23"/>
      <c r="M4044" s="23"/>
      <c r="N4044" s="23"/>
      <c r="P4044" s="23"/>
    </row>
    <row r="4045" spans="2:16" x14ac:dyDescent="0.25">
      <c r="B4045" s="23"/>
      <c r="E4045" s="23"/>
      <c r="G4045" s="23"/>
      <c r="H4045" s="23"/>
      <c r="J4045" s="23"/>
      <c r="K4045" s="23"/>
      <c r="M4045" s="23"/>
      <c r="N4045" s="23"/>
      <c r="P4045" s="23"/>
    </row>
    <row r="4046" spans="2:16" x14ac:dyDescent="0.25">
      <c r="B4046" s="23"/>
      <c r="E4046" s="23"/>
      <c r="G4046" s="23"/>
      <c r="H4046" s="23"/>
      <c r="J4046" s="23"/>
      <c r="K4046" s="23"/>
      <c r="M4046" s="23"/>
      <c r="N4046" s="23"/>
      <c r="P4046" s="23"/>
    </row>
    <row r="4047" spans="2:16" x14ac:dyDescent="0.25">
      <c r="B4047" s="23"/>
      <c r="E4047" s="23"/>
      <c r="G4047" s="23"/>
      <c r="H4047" s="23"/>
      <c r="J4047" s="23"/>
      <c r="K4047" s="23"/>
      <c r="M4047" s="23"/>
      <c r="N4047" s="23"/>
      <c r="P4047" s="23"/>
    </row>
    <row r="4048" spans="2:16" x14ac:dyDescent="0.25">
      <c r="B4048" s="23"/>
      <c r="E4048" s="23"/>
      <c r="G4048" s="23"/>
      <c r="H4048" s="23"/>
      <c r="J4048" s="23"/>
      <c r="K4048" s="23"/>
      <c r="M4048" s="23"/>
      <c r="N4048" s="23"/>
      <c r="P4048" s="23"/>
    </row>
    <row r="4049" spans="2:16" x14ac:dyDescent="0.25">
      <c r="B4049" s="23"/>
      <c r="E4049" s="23"/>
      <c r="G4049" s="23"/>
      <c r="H4049" s="23"/>
      <c r="J4049" s="23"/>
      <c r="K4049" s="23"/>
      <c r="M4049" s="23"/>
      <c r="N4049" s="23"/>
      <c r="P4049" s="23"/>
    </row>
    <row r="4050" spans="2:16" x14ac:dyDescent="0.25">
      <c r="B4050" s="23"/>
      <c r="E4050" s="23"/>
      <c r="G4050" s="23"/>
      <c r="H4050" s="23"/>
      <c r="J4050" s="23"/>
      <c r="K4050" s="23"/>
      <c r="M4050" s="23"/>
      <c r="N4050" s="23"/>
      <c r="P4050" s="23"/>
    </row>
    <row r="4051" spans="2:16" x14ac:dyDescent="0.25">
      <c r="B4051" s="23"/>
      <c r="E4051" s="23"/>
      <c r="G4051" s="23"/>
      <c r="H4051" s="23"/>
      <c r="J4051" s="23"/>
      <c r="K4051" s="23"/>
      <c r="M4051" s="23"/>
      <c r="N4051" s="23"/>
      <c r="P4051" s="23"/>
    </row>
    <row r="4052" spans="2:16" x14ac:dyDescent="0.25">
      <c r="B4052" s="23"/>
      <c r="E4052" s="23"/>
      <c r="G4052" s="23"/>
      <c r="H4052" s="23"/>
      <c r="J4052" s="23"/>
      <c r="K4052" s="23"/>
      <c r="M4052" s="23"/>
      <c r="N4052" s="23"/>
      <c r="P4052" s="23"/>
    </row>
    <row r="4053" spans="2:16" x14ac:dyDescent="0.25">
      <c r="B4053" s="23"/>
      <c r="E4053" s="23"/>
      <c r="G4053" s="23"/>
      <c r="H4053" s="23"/>
      <c r="J4053" s="23"/>
      <c r="K4053" s="23"/>
      <c r="M4053" s="23"/>
      <c r="N4053" s="23"/>
      <c r="P4053" s="23"/>
    </row>
    <row r="4054" spans="2:16" x14ac:dyDescent="0.25">
      <c r="B4054" s="23"/>
      <c r="E4054" s="23"/>
      <c r="G4054" s="23"/>
      <c r="H4054" s="23"/>
      <c r="J4054" s="23"/>
      <c r="K4054" s="23"/>
      <c r="M4054" s="23"/>
      <c r="N4054" s="23"/>
      <c r="P4054" s="23"/>
    </row>
    <row r="4055" spans="2:16" x14ac:dyDescent="0.25">
      <c r="B4055" s="23"/>
      <c r="E4055" s="23"/>
      <c r="G4055" s="23"/>
      <c r="H4055" s="23"/>
      <c r="J4055" s="23"/>
      <c r="K4055" s="23"/>
      <c r="M4055" s="23"/>
      <c r="N4055" s="23"/>
      <c r="P4055" s="23"/>
    </row>
    <row r="4056" spans="2:16" x14ac:dyDescent="0.25">
      <c r="B4056" s="23"/>
      <c r="E4056" s="23"/>
      <c r="G4056" s="23"/>
      <c r="H4056" s="23"/>
      <c r="J4056" s="23"/>
      <c r="K4056" s="23"/>
      <c r="M4056" s="23"/>
      <c r="N4056" s="23"/>
      <c r="P4056" s="23"/>
    </row>
    <row r="4057" spans="2:16" x14ac:dyDescent="0.25">
      <c r="B4057" s="23"/>
      <c r="E4057" s="23"/>
      <c r="G4057" s="23"/>
      <c r="H4057" s="23"/>
      <c r="J4057" s="23"/>
      <c r="K4057" s="23"/>
      <c r="M4057" s="23"/>
      <c r="N4057" s="23"/>
      <c r="P4057" s="23"/>
    </row>
    <row r="4058" spans="2:16" x14ac:dyDescent="0.25">
      <c r="B4058" s="23"/>
      <c r="E4058" s="23"/>
      <c r="G4058" s="23"/>
      <c r="H4058" s="23"/>
      <c r="J4058" s="23"/>
      <c r="K4058" s="23"/>
      <c r="M4058" s="23"/>
      <c r="N4058" s="23"/>
      <c r="P4058" s="23"/>
    </row>
    <row r="4059" spans="2:16" x14ac:dyDescent="0.25">
      <c r="B4059" s="23"/>
      <c r="E4059" s="23"/>
      <c r="G4059" s="23"/>
      <c r="H4059" s="23"/>
      <c r="J4059" s="23"/>
      <c r="K4059" s="23"/>
      <c r="M4059" s="23"/>
      <c r="N4059" s="23"/>
      <c r="P4059" s="23"/>
    </row>
    <row r="4060" spans="2:16" x14ac:dyDescent="0.25">
      <c r="B4060" s="23"/>
      <c r="E4060" s="23"/>
      <c r="G4060" s="23"/>
      <c r="H4060" s="23"/>
      <c r="J4060" s="23"/>
      <c r="K4060" s="23"/>
      <c r="M4060" s="23"/>
      <c r="N4060" s="23"/>
      <c r="P4060" s="23"/>
    </row>
    <row r="4061" spans="2:16" x14ac:dyDescent="0.25">
      <c r="B4061" s="23"/>
      <c r="E4061" s="23"/>
      <c r="G4061" s="23"/>
      <c r="H4061" s="23"/>
      <c r="J4061" s="23"/>
      <c r="K4061" s="23"/>
      <c r="M4061" s="23"/>
      <c r="N4061" s="23"/>
      <c r="P4061" s="23"/>
    </row>
    <row r="4062" spans="2:16" x14ac:dyDescent="0.25">
      <c r="B4062" s="23"/>
      <c r="E4062" s="23"/>
      <c r="G4062" s="23"/>
      <c r="H4062" s="23"/>
      <c r="J4062" s="23"/>
      <c r="K4062" s="23"/>
      <c r="M4062" s="23"/>
      <c r="N4062" s="23"/>
      <c r="P4062" s="23"/>
    </row>
    <row r="4063" spans="2:16" x14ac:dyDescent="0.25">
      <c r="B4063" s="23"/>
      <c r="E4063" s="23"/>
      <c r="G4063" s="23"/>
      <c r="H4063" s="23"/>
      <c r="J4063" s="23"/>
      <c r="K4063" s="23"/>
      <c r="M4063" s="23"/>
      <c r="N4063" s="23"/>
      <c r="P4063" s="23"/>
    </row>
    <row r="4064" spans="2:16" x14ac:dyDescent="0.25">
      <c r="B4064" s="23"/>
      <c r="E4064" s="23"/>
      <c r="G4064" s="23"/>
      <c r="H4064" s="23"/>
      <c r="J4064" s="23"/>
      <c r="K4064" s="23"/>
      <c r="M4064" s="23"/>
      <c r="N4064" s="23"/>
      <c r="P4064" s="23"/>
    </row>
    <row r="4065" spans="2:16" x14ac:dyDescent="0.25">
      <c r="B4065" s="23"/>
      <c r="E4065" s="23"/>
      <c r="G4065" s="23"/>
      <c r="H4065" s="23"/>
      <c r="J4065" s="23"/>
      <c r="K4065" s="23"/>
      <c r="M4065" s="23"/>
      <c r="N4065" s="23"/>
      <c r="P4065" s="23"/>
    </row>
    <row r="4066" spans="2:16" x14ac:dyDescent="0.25">
      <c r="B4066" s="23"/>
      <c r="E4066" s="23"/>
      <c r="G4066" s="23"/>
      <c r="H4066" s="23"/>
      <c r="J4066" s="23"/>
      <c r="K4066" s="23"/>
      <c r="M4066" s="23"/>
      <c r="N4066" s="23"/>
      <c r="P4066" s="23"/>
    </row>
    <row r="4067" spans="2:16" x14ac:dyDescent="0.25">
      <c r="B4067" s="23"/>
      <c r="E4067" s="23"/>
      <c r="G4067" s="23"/>
      <c r="H4067" s="23"/>
      <c r="J4067" s="23"/>
      <c r="K4067" s="23"/>
      <c r="M4067" s="23"/>
      <c r="N4067" s="23"/>
      <c r="P4067" s="23"/>
    </row>
    <row r="4068" spans="2:16" x14ac:dyDescent="0.25">
      <c r="B4068" s="23"/>
      <c r="E4068" s="23"/>
      <c r="G4068" s="23"/>
      <c r="H4068" s="23"/>
      <c r="J4068" s="23"/>
      <c r="K4068" s="23"/>
      <c r="M4068" s="23"/>
      <c r="N4068" s="23"/>
      <c r="P4068" s="23"/>
    </row>
    <row r="4069" spans="2:16" x14ac:dyDescent="0.25">
      <c r="B4069" s="23"/>
      <c r="E4069" s="23"/>
      <c r="G4069" s="23"/>
      <c r="H4069" s="23"/>
      <c r="J4069" s="23"/>
      <c r="K4069" s="23"/>
      <c r="M4069" s="23"/>
      <c r="N4069" s="23"/>
      <c r="P4069" s="23"/>
    </row>
    <row r="4070" spans="2:16" x14ac:dyDescent="0.25">
      <c r="B4070" s="23"/>
      <c r="E4070" s="23"/>
      <c r="G4070" s="23"/>
      <c r="H4070" s="23"/>
      <c r="J4070" s="23"/>
      <c r="K4070" s="23"/>
      <c r="M4070" s="23"/>
      <c r="N4070" s="23"/>
      <c r="P4070" s="23"/>
    </row>
    <row r="4071" spans="2:16" x14ac:dyDescent="0.25">
      <c r="B4071" s="23"/>
      <c r="E4071" s="23"/>
      <c r="G4071" s="23"/>
      <c r="H4071" s="23"/>
      <c r="J4071" s="23"/>
      <c r="K4071" s="23"/>
      <c r="M4071" s="23"/>
      <c r="N4071" s="23"/>
      <c r="P4071" s="23"/>
    </row>
    <row r="4072" spans="2:16" x14ac:dyDescent="0.25">
      <c r="B4072" s="23"/>
      <c r="E4072" s="23"/>
      <c r="G4072" s="23"/>
      <c r="H4072" s="23"/>
      <c r="J4072" s="23"/>
      <c r="K4072" s="23"/>
      <c r="M4072" s="23"/>
      <c r="N4072" s="23"/>
      <c r="P4072" s="23"/>
    </row>
    <row r="4073" spans="2:16" x14ac:dyDescent="0.25">
      <c r="B4073" s="23"/>
      <c r="E4073" s="23"/>
      <c r="G4073" s="23"/>
      <c r="H4073" s="23"/>
      <c r="J4073" s="23"/>
      <c r="K4073" s="23"/>
      <c r="M4073" s="23"/>
      <c r="N4073" s="23"/>
      <c r="P4073" s="23"/>
    </row>
    <row r="4074" spans="2:16" x14ac:dyDescent="0.25">
      <c r="B4074" s="23"/>
      <c r="E4074" s="23"/>
      <c r="G4074" s="23"/>
      <c r="H4074" s="23"/>
      <c r="J4074" s="23"/>
      <c r="K4074" s="23"/>
      <c r="M4074" s="23"/>
      <c r="N4074" s="23"/>
      <c r="P4074" s="23"/>
    </row>
    <row r="4075" spans="2:16" x14ac:dyDescent="0.25">
      <c r="B4075" s="23"/>
      <c r="E4075" s="23"/>
      <c r="G4075" s="23"/>
      <c r="H4075" s="23"/>
      <c r="J4075" s="23"/>
      <c r="K4075" s="23"/>
      <c r="M4075" s="23"/>
      <c r="N4075" s="23"/>
      <c r="P4075" s="23"/>
    </row>
    <row r="4076" spans="2:16" x14ac:dyDescent="0.25">
      <c r="B4076" s="23"/>
      <c r="E4076" s="23"/>
      <c r="G4076" s="23"/>
      <c r="H4076" s="23"/>
      <c r="J4076" s="23"/>
      <c r="K4076" s="23"/>
      <c r="M4076" s="23"/>
      <c r="N4076" s="23"/>
      <c r="P4076" s="23"/>
    </row>
    <row r="4077" spans="2:16" x14ac:dyDescent="0.25">
      <c r="B4077" s="23"/>
      <c r="E4077" s="23"/>
      <c r="G4077" s="23"/>
      <c r="H4077" s="23"/>
      <c r="J4077" s="23"/>
      <c r="K4077" s="23"/>
      <c r="M4077" s="23"/>
      <c r="N4077" s="23"/>
      <c r="P4077" s="23"/>
    </row>
    <row r="4078" spans="2:16" x14ac:dyDescent="0.25">
      <c r="B4078" s="23"/>
      <c r="E4078" s="23"/>
      <c r="G4078" s="23"/>
      <c r="H4078" s="23"/>
      <c r="J4078" s="23"/>
      <c r="K4078" s="23"/>
      <c r="M4078" s="23"/>
      <c r="N4078" s="23"/>
      <c r="P4078" s="23"/>
    </row>
    <row r="4079" spans="2:16" x14ac:dyDescent="0.25">
      <c r="B4079" s="23"/>
      <c r="E4079" s="23"/>
      <c r="G4079" s="23"/>
      <c r="H4079" s="23"/>
      <c r="J4079" s="23"/>
      <c r="K4079" s="23"/>
      <c r="M4079" s="23"/>
      <c r="N4079" s="23"/>
      <c r="P4079" s="23"/>
    </row>
    <row r="4080" spans="2:16" x14ac:dyDescent="0.25">
      <c r="B4080" s="23"/>
      <c r="E4080" s="23"/>
      <c r="G4080" s="23"/>
      <c r="H4080" s="23"/>
      <c r="J4080" s="23"/>
      <c r="K4080" s="23"/>
      <c r="M4080" s="23"/>
      <c r="N4080" s="23"/>
      <c r="P4080" s="23"/>
    </row>
    <row r="4081" spans="2:16" x14ac:dyDescent="0.25">
      <c r="B4081" s="23"/>
      <c r="E4081" s="23"/>
      <c r="G4081" s="23"/>
      <c r="H4081" s="23"/>
      <c r="J4081" s="23"/>
      <c r="K4081" s="23"/>
      <c r="M4081" s="23"/>
      <c r="N4081" s="23"/>
      <c r="P4081" s="23"/>
    </row>
    <row r="4082" spans="2:16" x14ac:dyDescent="0.25">
      <c r="B4082" s="23"/>
      <c r="E4082" s="23"/>
      <c r="G4082" s="23"/>
      <c r="H4082" s="23"/>
      <c r="J4082" s="23"/>
      <c r="K4082" s="23"/>
      <c r="M4082" s="23"/>
      <c r="N4082" s="23"/>
      <c r="P4082" s="23"/>
    </row>
    <row r="4083" spans="2:16" x14ac:dyDescent="0.25">
      <c r="B4083" s="23"/>
      <c r="E4083" s="23"/>
      <c r="G4083" s="23"/>
      <c r="H4083" s="23"/>
      <c r="J4083" s="23"/>
      <c r="K4083" s="23"/>
      <c r="M4083" s="23"/>
      <c r="N4083" s="23"/>
      <c r="P4083" s="23"/>
    </row>
    <row r="4084" spans="2:16" x14ac:dyDescent="0.25">
      <c r="B4084" s="23"/>
      <c r="E4084" s="23"/>
      <c r="G4084" s="23"/>
      <c r="H4084" s="23"/>
      <c r="J4084" s="23"/>
      <c r="K4084" s="23"/>
      <c r="M4084" s="23"/>
      <c r="N4084" s="23"/>
      <c r="P4084" s="23"/>
    </row>
    <row r="4085" spans="2:16" x14ac:dyDescent="0.25">
      <c r="B4085" s="23"/>
      <c r="E4085" s="23"/>
      <c r="G4085" s="23"/>
      <c r="H4085" s="23"/>
      <c r="J4085" s="23"/>
      <c r="K4085" s="23"/>
      <c r="M4085" s="23"/>
      <c r="N4085" s="23"/>
      <c r="P4085" s="23"/>
    </row>
    <row r="4086" spans="2:16" x14ac:dyDescent="0.25">
      <c r="B4086" s="23"/>
      <c r="E4086" s="23"/>
      <c r="G4086" s="23"/>
      <c r="H4086" s="23"/>
      <c r="J4086" s="23"/>
      <c r="K4086" s="23"/>
      <c r="M4086" s="23"/>
      <c r="N4086" s="23"/>
      <c r="P4086" s="23"/>
    </row>
    <row r="4087" spans="2:16" x14ac:dyDescent="0.25">
      <c r="B4087" s="23"/>
      <c r="E4087" s="23"/>
      <c r="G4087" s="23"/>
      <c r="H4087" s="23"/>
      <c r="J4087" s="23"/>
      <c r="K4087" s="23"/>
      <c r="M4087" s="23"/>
      <c r="N4087" s="23"/>
      <c r="P4087" s="23"/>
    </row>
    <row r="4088" spans="2:16" x14ac:dyDescent="0.25">
      <c r="B4088" s="23"/>
      <c r="E4088" s="23"/>
      <c r="G4088" s="23"/>
      <c r="H4088" s="23"/>
      <c r="J4088" s="23"/>
      <c r="K4088" s="23"/>
      <c r="M4088" s="23"/>
      <c r="N4088" s="23"/>
      <c r="P4088" s="23"/>
    </row>
    <row r="4089" spans="2:16" x14ac:dyDescent="0.25">
      <c r="B4089" s="23"/>
      <c r="E4089" s="23"/>
      <c r="G4089" s="23"/>
      <c r="H4089" s="23"/>
      <c r="J4089" s="23"/>
      <c r="K4089" s="23"/>
      <c r="M4089" s="23"/>
      <c r="N4089" s="23"/>
      <c r="P4089" s="23"/>
    </row>
    <row r="4090" spans="2:16" x14ac:dyDescent="0.25">
      <c r="B4090" s="23"/>
      <c r="E4090" s="23"/>
      <c r="G4090" s="23"/>
      <c r="H4090" s="23"/>
      <c r="J4090" s="23"/>
      <c r="K4090" s="23"/>
      <c r="M4090" s="23"/>
      <c r="N4090" s="23"/>
      <c r="P4090" s="23"/>
    </row>
    <row r="4091" spans="2:16" x14ac:dyDescent="0.25">
      <c r="B4091" s="23"/>
      <c r="E4091" s="23"/>
      <c r="G4091" s="23"/>
      <c r="H4091" s="23"/>
      <c r="J4091" s="23"/>
      <c r="K4091" s="23"/>
      <c r="M4091" s="23"/>
      <c r="N4091" s="23"/>
      <c r="P4091" s="23"/>
    </row>
    <row r="4092" spans="2:16" x14ac:dyDescent="0.25">
      <c r="B4092" s="23"/>
      <c r="E4092" s="23"/>
      <c r="G4092" s="23"/>
      <c r="H4092" s="23"/>
      <c r="J4092" s="23"/>
      <c r="K4092" s="23"/>
      <c r="M4092" s="23"/>
      <c r="N4092" s="23"/>
      <c r="P4092" s="23"/>
    </row>
    <row r="4093" spans="2:16" x14ac:dyDescent="0.25">
      <c r="B4093" s="23"/>
      <c r="E4093" s="23"/>
      <c r="G4093" s="23"/>
      <c r="H4093" s="23"/>
      <c r="J4093" s="23"/>
      <c r="K4093" s="23"/>
      <c r="M4093" s="23"/>
      <c r="N4093" s="23"/>
      <c r="P4093" s="23"/>
    </row>
    <row r="4094" spans="2:16" x14ac:dyDescent="0.25">
      <c r="B4094" s="23"/>
      <c r="E4094" s="23"/>
      <c r="G4094" s="23"/>
      <c r="H4094" s="23"/>
      <c r="J4094" s="23"/>
      <c r="K4094" s="23"/>
      <c r="M4094" s="23"/>
      <c r="N4094" s="23"/>
      <c r="P4094" s="23"/>
    </row>
    <row r="4095" spans="2:16" x14ac:dyDescent="0.25">
      <c r="B4095" s="23"/>
      <c r="E4095" s="23"/>
      <c r="G4095" s="23"/>
      <c r="H4095" s="23"/>
      <c r="J4095" s="23"/>
      <c r="K4095" s="23"/>
      <c r="M4095" s="23"/>
      <c r="N4095" s="23"/>
      <c r="P4095" s="23"/>
    </row>
    <row r="4096" spans="2:16" x14ac:dyDescent="0.25">
      <c r="B4096" s="23"/>
      <c r="E4096" s="23"/>
      <c r="G4096" s="23"/>
      <c r="H4096" s="23"/>
      <c r="J4096" s="23"/>
      <c r="K4096" s="23"/>
      <c r="M4096" s="23"/>
      <c r="N4096" s="23"/>
      <c r="P4096" s="23"/>
    </row>
    <row r="4097" spans="2:16" x14ac:dyDescent="0.25">
      <c r="B4097" s="23"/>
      <c r="E4097" s="23"/>
      <c r="G4097" s="23"/>
      <c r="H4097" s="23"/>
      <c r="J4097" s="23"/>
      <c r="K4097" s="23"/>
      <c r="M4097" s="23"/>
      <c r="N4097" s="23"/>
      <c r="P4097" s="23"/>
    </row>
    <row r="4098" spans="2:16" x14ac:dyDescent="0.25">
      <c r="B4098" s="23"/>
      <c r="E4098" s="23"/>
      <c r="G4098" s="23"/>
      <c r="H4098" s="23"/>
      <c r="J4098" s="23"/>
      <c r="K4098" s="23"/>
      <c r="M4098" s="23"/>
      <c r="N4098" s="23"/>
      <c r="P4098" s="23"/>
    </row>
    <row r="4099" spans="2:16" x14ac:dyDescent="0.25">
      <c r="B4099" s="23"/>
      <c r="E4099" s="23"/>
      <c r="G4099" s="23"/>
      <c r="H4099" s="23"/>
      <c r="J4099" s="23"/>
      <c r="K4099" s="23"/>
      <c r="M4099" s="23"/>
      <c r="N4099" s="23"/>
      <c r="P4099" s="23"/>
    </row>
    <row r="4100" spans="2:16" x14ac:dyDescent="0.25">
      <c r="B4100" s="23"/>
      <c r="E4100" s="23"/>
      <c r="G4100" s="23"/>
      <c r="H4100" s="23"/>
      <c r="J4100" s="23"/>
      <c r="K4100" s="23"/>
      <c r="M4100" s="23"/>
      <c r="N4100" s="23"/>
      <c r="P4100" s="23"/>
    </row>
    <row r="4101" spans="2:16" x14ac:dyDescent="0.25">
      <c r="B4101" s="23"/>
      <c r="E4101" s="23"/>
      <c r="G4101" s="23"/>
      <c r="H4101" s="23"/>
      <c r="J4101" s="23"/>
      <c r="K4101" s="23"/>
      <c r="M4101" s="23"/>
      <c r="N4101" s="23"/>
      <c r="P4101" s="23"/>
    </row>
    <row r="4102" spans="2:16" x14ac:dyDescent="0.25">
      <c r="B4102" s="23"/>
      <c r="E4102" s="23"/>
      <c r="G4102" s="23"/>
      <c r="H4102" s="23"/>
      <c r="J4102" s="23"/>
      <c r="K4102" s="23"/>
      <c r="M4102" s="23"/>
      <c r="N4102" s="23"/>
      <c r="P4102" s="23"/>
    </row>
    <row r="4103" spans="2:16" x14ac:dyDescent="0.25">
      <c r="B4103" s="23"/>
      <c r="E4103" s="23"/>
      <c r="G4103" s="23"/>
      <c r="H4103" s="23"/>
      <c r="J4103" s="23"/>
      <c r="K4103" s="23"/>
      <c r="M4103" s="23"/>
      <c r="N4103" s="23"/>
      <c r="P4103" s="23"/>
    </row>
    <row r="4104" spans="2:16" x14ac:dyDescent="0.25">
      <c r="B4104" s="23"/>
      <c r="E4104" s="23"/>
      <c r="G4104" s="23"/>
      <c r="H4104" s="23"/>
      <c r="J4104" s="23"/>
      <c r="K4104" s="23"/>
      <c r="M4104" s="23"/>
      <c r="N4104" s="23"/>
      <c r="P4104" s="23"/>
    </row>
    <row r="4105" spans="2:16" x14ac:dyDescent="0.25">
      <c r="B4105" s="23"/>
      <c r="E4105" s="23"/>
      <c r="G4105" s="23"/>
      <c r="H4105" s="23"/>
      <c r="J4105" s="23"/>
      <c r="K4105" s="23"/>
      <c r="M4105" s="23"/>
      <c r="N4105" s="23"/>
      <c r="P4105" s="23"/>
    </row>
    <row r="4106" spans="2:16" x14ac:dyDescent="0.25">
      <c r="B4106" s="23"/>
      <c r="E4106" s="23"/>
      <c r="G4106" s="23"/>
      <c r="H4106" s="23"/>
      <c r="J4106" s="23"/>
      <c r="K4106" s="23"/>
      <c r="M4106" s="23"/>
      <c r="N4106" s="23"/>
      <c r="P4106" s="23"/>
    </row>
    <row r="4107" spans="2:16" x14ac:dyDescent="0.25">
      <c r="B4107" s="23"/>
      <c r="E4107" s="23"/>
      <c r="G4107" s="23"/>
      <c r="H4107" s="23"/>
      <c r="J4107" s="23"/>
      <c r="K4107" s="23"/>
      <c r="M4107" s="23"/>
      <c r="N4107" s="23"/>
      <c r="P4107" s="23"/>
    </row>
    <row r="4108" spans="2:16" x14ac:dyDescent="0.25">
      <c r="B4108" s="23"/>
      <c r="E4108" s="23"/>
      <c r="G4108" s="23"/>
      <c r="H4108" s="23"/>
      <c r="J4108" s="23"/>
      <c r="K4108" s="23"/>
      <c r="M4108" s="23"/>
      <c r="N4108" s="23"/>
      <c r="P4108" s="23"/>
    </row>
    <row r="4109" spans="2:16" x14ac:dyDescent="0.25">
      <c r="B4109" s="23"/>
      <c r="E4109" s="23"/>
      <c r="G4109" s="23"/>
      <c r="H4109" s="23"/>
      <c r="J4109" s="23"/>
      <c r="K4109" s="23"/>
      <c r="M4109" s="23"/>
      <c r="N4109" s="23"/>
      <c r="P4109" s="23"/>
    </row>
    <row r="4110" spans="2:16" x14ac:dyDescent="0.25">
      <c r="B4110" s="23"/>
      <c r="E4110" s="23"/>
      <c r="G4110" s="23"/>
      <c r="H4110" s="23"/>
      <c r="J4110" s="23"/>
      <c r="K4110" s="23"/>
      <c r="M4110" s="23"/>
      <c r="N4110" s="23"/>
      <c r="P4110" s="23"/>
    </row>
    <row r="4111" spans="2:16" x14ac:dyDescent="0.25">
      <c r="B4111" s="23"/>
      <c r="E4111" s="23"/>
      <c r="G4111" s="23"/>
      <c r="H4111" s="23"/>
      <c r="J4111" s="23"/>
      <c r="K4111" s="23"/>
      <c r="M4111" s="23"/>
      <c r="N4111" s="23"/>
      <c r="P4111" s="23"/>
    </row>
    <row r="4112" spans="2:16" x14ac:dyDescent="0.25">
      <c r="B4112" s="23"/>
      <c r="E4112" s="23"/>
      <c r="G4112" s="23"/>
      <c r="H4112" s="23"/>
      <c r="J4112" s="23"/>
      <c r="K4112" s="23"/>
      <c r="M4112" s="23"/>
      <c r="N4112" s="23"/>
      <c r="P4112" s="23"/>
    </row>
    <row r="4113" spans="2:16" x14ac:dyDescent="0.25">
      <c r="B4113" s="23"/>
      <c r="E4113" s="23"/>
      <c r="G4113" s="23"/>
      <c r="H4113" s="23"/>
      <c r="J4113" s="23"/>
      <c r="K4113" s="23"/>
      <c r="M4113" s="23"/>
      <c r="N4113" s="23"/>
      <c r="P4113" s="23"/>
    </row>
    <row r="4114" spans="2:16" x14ac:dyDescent="0.25">
      <c r="B4114" s="23"/>
      <c r="E4114" s="23"/>
      <c r="G4114" s="23"/>
      <c r="H4114" s="23"/>
      <c r="J4114" s="23"/>
      <c r="K4114" s="23"/>
      <c r="M4114" s="23"/>
      <c r="N4114" s="23"/>
      <c r="P4114" s="23"/>
    </row>
    <row r="4115" spans="2:16" x14ac:dyDescent="0.25">
      <c r="B4115" s="23"/>
      <c r="E4115" s="23"/>
      <c r="G4115" s="23"/>
      <c r="H4115" s="23"/>
      <c r="J4115" s="23"/>
      <c r="K4115" s="23"/>
      <c r="M4115" s="23"/>
      <c r="N4115" s="23"/>
      <c r="P4115" s="23"/>
    </row>
    <row r="4116" spans="2:16" x14ac:dyDescent="0.25">
      <c r="B4116" s="23"/>
      <c r="E4116" s="23"/>
      <c r="G4116" s="23"/>
      <c r="H4116" s="23"/>
      <c r="J4116" s="23"/>
      <c r="K4116" s="23"/>
      <c r="M4116" s="23"/>
      <c r="N4116" s="23"/>
      <c r="P4116" s="23"/>
    </row>
    <row r="4117" spans="2:16" x14ac:dyDescent="0.25">
      <c r="B4117" s="23"/>
      <c r="E4117" s="23"/>
      <c r="G4117" s="23"/>
      <c r="H4117" s="23"/>
      <c r="J4117" s="23"/>
      <c r="K4117" s="23"/>
      <c r="M4117" s="23"/>
      <c r="N4117" s="23"/>
      <c r="P4117" s="23"/>
    </row>
    <row r="4118" spans="2:16" x14ac:dyDescent="0.25">
      <c r="B4118" s="23"/>
      <c r="E4118" s="23"/>
      <c r="G4118" s="23"/>
      <c r="H4118" s="23"/>
      <c r="J4118" s="23"/>
      <c r="K4118" s="23"/>
      <c r="M4118" s="23"/>
      <c r="N4118" s="23"/>
      <c r="P4118" s="23"/>
    </row>
    <row r="4119" spans="2:16" x14ac:dyDescent="0.25">
      <c r="B4119" s="23"/>
      <c r="E4119" s="23"/>
      <c r="G4119" s="23"/>
      <c r="H4119" s="23"/>
      <c r="J4119" s="23"/>
      <c r="K4119" s="23"/>
      <c r="M4119" s="23"/>
      <c r="N4119" s="23"/>
      <c r="P4119" s="23"/>
    </row>
    <row r="4120" spans="2:16" x14ac:dyDescent="0.25">
      <c r="B4120" s="23"/>
      <c r="E4120" s="23"/>
      <c r="G4120" s="23"/>
      <c r="H4120" s="23"/>
      <c r="J4120" s="23"/>
      <c r="K4120" s="23"/>
      <c r="M4120" s="23"/>
      <c r="N4120" s="23"/>
      <c r="P4120" s="23"/>
    </row>
    <row r="4121" spans="2:16" x14ac:dyDescent="0.25">
      <c r="B4121" s="23"/>
      <c r="E4121" s="23"/>
      <c r="G4121" s="23"/>
      <c r="H4121" s="23"/>
      <c r="J4121" s="23"/>
      <c r="K4121" s="23"/>
      <c r="M4121" s="23"/>
      <c r="N4121" s="23"/>
      <c r="P4121" s="23"/>
    </row>
    <row r="4122" spans="2:16" x14ac:dyDescent="0.25">
      <c r="B4122" s="23"/>
      <c r="E4122" s="23"/>
      <c r="G4122" s="23"/>
      <c r="H4122" s="23"/>
      <c r="J4122" s="23"/>
      <c r="K4122" s="23"/>
      <c r="M4122" s="23"/>
      <c r="N4122" s="23"/>
      <c r="P4122" s="23"/>
    </row>
    <row r="4123" spans="2:16" x14ac:dyDescent="0.25">
      <c r="B4123" s="23"/>
      <c r="E4123" s="23"/>
      <c r="G4123" s="23"/>
      <c r="H4123" s="23"/>
      <c r="J4123" s="23"/>
      <c r="K4123" s="23"/>
      <c r="M4123" s="23"/>
      <c r="N4123" s="23"/>
      <c r="P4123" s="23"/>
    </row>
    <row r="4124" spans="2:16" x14ac:dyDescent="0.25">
      <c r="B4124" s="23"/>
      <c r="E4124" s="23"/>
      <c r="G4124" s="23"/>
      <c r="H4124" s="23"/>
      <c r="J4124" s="23"/>
      <c r="K4124" s="23"/>
      <c r="M4124" s="23"/>
      <c r="N4124" s="23"/>
      <c r="P4124" s="23"/>
    </row>
    <row r="4125" spans="2:16" x14ac:dyDescent="0.25">
      <c r="B4125" s="23"/>
      <c r="E4125" s="23"/>
      <c r="G4125" s="23"/>
      <c r="H4125" s="23"/>
      <c r="J4125" s="23"/>
      <c r="K4125" s="23"/>
      <c r="M4125" s="23"/>
      <c r="N4125" s="23"/>
      <c r="P4125" s="23"/>
    </row>
    <row r="4126" spans="2:16" x14ac:dyDescent="0.25">
      <c r="B4126" s="23"/>
      <c r="E4126" s="23"/>
      <c r="G4126" s="23"/>
      <c r="H4126" s="23"/>
      <c r="J4126" s="23"/>
      <c r="K4126" s="23"/>
      <c r="M4126" s="23"/>
      <c r="N4126" s="23"/>
      <c r="P4126" s="23"/>
    </row>
    <row r="4127" spans="2:16" x14ac:dyDescent="0.25">
      <c r="B4127" s="23"/>
      <c r="E4127" s="23"/>
      <c r="G4127" s="23"/>
      <c r="H4127" s="23"/>
      <c r="J4127" s="23"/>
      <c r="K4127" s="23"/>
      <c r="M4127" s="23"/>
      <c r="N4127" s="23"/>
      <c r="P4127" s="23"/>
    </row>
    <row r="4128" spans="2:16" x14ac:dyDescent="0.25">
      <c r="B4128" s="23"/>
      <c r="E4128" s="23"/>
      <c r="G4128" s="23"/>
      <c r="H4128" s="23"/>
      <c r="J4128" s="23"/>
      <c r="K4128" s="23"/>
      <c r="M4128" s="23"/>
      <c r="N4128" s="23"/>
      <c r="P4128" s="23"/>
    </row>
    <row r="4129" spans="2:16" x14ac:dyDescent="0.25">
      <c r="B4129" s="23"/>
      <c r="E4129" s="23"/>
      <c r="G4129" s="23"/>
      <c r="H4129" s="23"/>
      <c r="J4129" s="23"/>
      <c r="K4129" s="23"/>
      <c r="M4129" s="23"/>
      <c r="N4129" s="23"/>
      <c r="P4129" s="23"/>
    </row>
    <row r="4130" spans="2:16" x14ac:dyDescent="0.25">
      <c r="B4130" s="23"/>
      <c r="E4130" s="23"/>
      <c r="G4130" s="23"/>
      <c r="H4130" s="23"/>
      <c r="J4130" s="23"/>
      <c r="K4130" s="23"/>
      <c r="M4130" s="23"/>
      <c r="N4130" s="23"/>
      <c r="P4130" s="23"/>
    </row>
    <row r="4131" spans="2:16" x14ac:dyDescent="0.25">
      <c r="B4131" s="23"/>
      <c r="E4131" s="23"/>
      <c r="G4131" s="23"/>
      <c r="H4131" s="23"/>
      <c r="J4131" s="23"/>
      <c r="K4131" s="23"/>
      <c r="M4131" s="23"/>
      <c r="N4131" s="23"/>
      <c r="P4131" s="23"/>
    </row>
    <row r="4132" spans="2:16" x14ac:dyDescent="0.25">
      <c r="B4132" s="23"/>
      <c r="E4132" s="23"/>
      <c r="G4132" s="23"/>
      <c r="H4132" s="23"/>
      <c r="J4132" s="23"/>
      <c r="K4132" s="23"/>
      <c r="M4132" s="23"/>
      <c r="N4132" s="23"/>
      <c r="P4132" s="23"/>
    </row>
    <row r="4133" spans="2:16" x14ac:dyDescent="0.25">
      <c r="B4133" s="23"/>
      <c r="E4133" s="23"/>
      <c r="G4133" s="23"/>
      <c r="H4133" s="23"/>
      <c r="J4133" s="23"/>
      <c r="K4133" s="23"/>
      <c r="M4133" s="23"/>
      <c r="N4133" s="23"/>
      <c r="P4133" s="23"/>
    </row>
    <row r="4134" spans="2:16" x14ac:dyDescent="0.25">
      <c r="B4134" s="23"/>
      <c r="E4134" s="23"/>
      <c r="G4134" s="23"/>
      <c r="H4134" s="23"/>
      <c r="J4134" s="23"/>
      <c r="K4134" s="23"/>
      <c r="M4134" s="23"/>
      <c r="N4134" s="23"/>
      <c r="P4134" s="23"/>
    </row>
    <row r="4135" spans="2:16" x14ac:dyDescent="0.25">
      <c r="B4135" s="23"/>
      <c r="E4135" s="23"/>
      <c r="G4135" s="23"/>
      <c r="H4135" s="23"/>
      <c r="J4135" s="23"/>
      <c r="K4135" s="23"/>
      <c r="M4135" s="23"/>
      <c r="N4135" s="23"/>
      <c r="P4135" s="23"/>
    </row>
    <row r="4136" spans="2:16" x14ac:dyDescent="0.25">
      <c r="B4136" s="23"/>
      <c r="E4136" s="23"/>
      <c r="G4136" s="23"/>
      <c r="H4136" s="23"/>
      <c r="J4136" s="23"/>
      <c r="K4136" s="23"/>
      <c r="M4136" s="23"/>
      <c r="N4136" s="23"/>
      <c r="P4136" s="23"/>
    </row>
    <row r="4137" spans="2:16" x14ac:dyDescent="0.25">
      <c r="B4137" s="23"/>
      <c r="E4137" s="23"/>
      <c r="G4137" s="23"/>
      <c r="H4137" s="23"/>
      <c r="J4137" s="23"/>
      <c r="K4137" s="23"/>
      <c r="M4137" s="23"/>
      <c r="N4137" s="23"/>
      <c r="P4137" s="23"/>
    </row>
    <row r="4138" spans="2:16" x14ac:dyDescent="0.25">
      <c r="B4138" s="23"/>
      <c r="E4138" s="23"/>
      <c r="G4138" s="23"/>
      <c r="H4138" s="23"/>
      <c r="J4138" s="23"/>
      <c r="K4138" s="23"/>
      <c r="M4138" s="23"/>
      <c r="N4138" s="23"/>
      <c r="P4138" s="23"/>
    </row>
    <row r="4139" spans="2:16" x14ac:dyDescent="0.25">
      <c r="B4139" s="23"/>
      <c r="E4139" s="23"/>
      <c r="G4139" s="23"/>
      <c r="H4139" s="23"/>
      <c r="J4139" s="23"/>
      <c r="K4139" s="23"/>
      <c r="M4139" s="23"/>
      <c r="N4139" s="23"/>
      <c r="P4139" s="23"/>
    </row>
    <row r="4140" spans="2:16" x14ac:dyDescent="0.25">
      <c r="B4140" s="23"/>
      <c r="E4140" s="23"/>
      <c r="G4140" s="23"/>
      <c r="H4140" s="23"/>
      <c r="J4140" s="23"/>
      <c r="K4140" s="23"/>
      <c r="M4140" s="23"/>
      <c r="N4140" s="23"/>
      <c r="P4140" s="23"/>
    </row>
    <row r="4141" spans="2:16" x14ac:dyDescent="0.25">
      <c r="B4141" s="23"/>
      <c r="E4141" s="23"/>
      <c r="G4141" s="23"/>
      <c r="H4141" s="23"/>
      <c r="J4141" s="23"/>
      <c r="K4141" s="23"/>
      <c r="M4141" s="23"/>
      <c r="N4141" s="23"/>
      <c r="P4141" s="23"/>
    </row>
    <row r="4142" spans="2:16" x14ac:dyDescent="0.25">
      <c r="B4142" s="23"/>
      <c r="E4142" s="23"/>
      <c r="G4142" s="23"/>
      <c r="H4142" s="23"/>
      <c r="J4142" s="23"/>
      <c r="K4142" s="23"/>
      <c r="M4142" s="23"/>
      <c r="N4142" s="23"/>
      <c r="P4142" s="23"/>
    </row>
    <row r="4143" spans="2:16" x14ac:dyDescent="0.25">
      <c r="B4143" s="23"/>
      <c r="E4143" s="23"/>
      <c r="G4143" s="23"/>
      <c r="H4143" s="23"/>
      <c r="J4143" s="23"/>
      <c r="K4143" s="23"/>
      <c r="M4143" s="23"/>
      <c r="N4143" s="23"/>
      <c r="P4143" s="23"/>
    </row>
    <row r="4144" spans="2:16" x14ac:dyDescent="0.25">
      <c r="B4144" s="23"/>
      <c r="E4144" s="23"/>
      <c r="G4144" s="23"/>
      <c r="H4144" s="23"/>
      <c r="J4144" s="23"/>
      <c r="K4144" s="23"/>
      <c r="M4144" s="23"/>
      <c r="N4144" s="23"/>
      <c r="P4144" s="23"/>
    </row>
    <row r="4145" spans="2:16" x14ac:dyDescent="0.25">
      <c r="B4145" s="23"/>
      <c r="E4145" s="23"/>
      <c r="G4145" s="23"/>
      <c r="H4145" s="23"/>
      <c r="J4145" s="23"/>
      <c r="K4145" s="23"/>
      <c r="M4145" s="23"/>
      <c r="N4145" s="23"/>
      <c r="P4145" s="23"/>
    </row>
    <row r="4146" spans="2:16" x14ac:dyDescent="0.25">
      <c r="B4146" s="23"/>
      <c r="E4146" s="23"/>
      <c r="G4146" s="23"/>
      <c r="H4146" s="23"/>
      <c r="J4146" s="23"/>
      <c r="K4146" s="23"/>
      <c r="M4146" s="23"/>
      <c r="N4146" s="23"/>
      <c r="P4146" s="23"/>
    </row>
    <row r="4147" spans="2:16" x14ac:dyDescent="0.25">
      <c r="B4147" s="23"/>
      <c r="E4147" s="23"/>
      <c r="G4147" s="23"/>
      <c r="H4147" s="23"/>
      <c r="J4147" s="23"/>
      <c r="K4147" s="23"/>
      <c r="M4147" s="23"/>
      <c r="N4147" s="23"/>
      <c r="P4147" s="23"/>
    </row>
    <row r="4148" spans="2:16" x14ac:dyDescent="0.25">
      <c r="B4148" s="23"/>
      <c r="E4148" s="23"/>
      <c r="G4148" s="23"/>
      <c r="H4148" s="23"/>
      <c r="J4148" s="23"/>
      <c r="K4148" s="23"/>
      <c r="M4148" s="23"/>
      <c r="N4148" s="23"/>
      <c r="P4148" s="23"/>
    </row>
    <row r="4149" spans="2:16" x14ac:dyDescent="0.25">
      <c r="B4149" s="23"/>
      <c r="E4149" s="23"/>
      <c r="G4149" s="23"/>
      <c r="H4149" s="23"/>
      <c r="J4149" s="23"/>
      <c r="K4149" s="23"/>
      <c r="M4149" s="23"/>
      <c r="N4149" s="23"/>
      <c r="P4149" s="23"/>
    </row>
    <row r="4150" spans="2:16" x14ac:dyDescent="0.25">
      <c r="B4150" s="23"/>
      <c r="E4150" s="23"/>
      <c r="G4150" s="23"/>
      <c r="H4150" s="23"/>
      <c r="J4150" s="23"/>
      <c r="K4150" s="23"/>
      <c r="M4150" s="23"/>
      <c r="N4150" s="23"/>
      <c r="P4150" s="23"/>
    </row>
    <row r="4151" spans="2:16" x14ac:dyDescent="0.25">
      <c r="B4151" s="23"/>
      <c r="E4151" s="23"/>
      <c r="G4151" s="23"/>
      <c r="H4151" s="23"/>
      <c r="J4151" s="23"/>
      <c r="K4151" s="23"/>
      <c r="M4151" s="23"/>
      <c r="N4151" s="23"/>
      <c r="P4151" s="23"/>
    </row>
    <row r="4152" spans="2:16" x14ac:dyDescent="0.25">
      <c r="B4152" s="23"/>
      <c r="E4152" s="23"/>
      <c r="G4152" s="23"/>
      <c r="H4152" s="23"/>
      <c r="J4152" s="23"/>
      <c r="K4152" s="23"/>
      <c r="M4152" s="23"/>
      <c r="N4152" s="23"/>
      <c r="P4152" s="23"/>
    </row>
    <row r="4153" spans="2:16" x14ac:dyDescent="0.25">
      <c r="B4153" s="23"/>
      <c r="E4153" s="23"/>
      <c r="G4153" s="23"/>
      <c r="H4153" s="23"/>
      <c r="J4153" s="23"/>
      <c r="K4153" s="23"/>
      <c r="M4153" s="23"/>
      <c r="N4153" s="23"/>
      <c r="P4153" s="23"/>
    </row>
    <row r="4154" spans="2:16" x14ac:dyDescent="0.25">
      <c r="B4154" s="23"/>
      <c r="E4154" s="23"/>
      <c r="G4154" s="23"/>
      <c r="H4154" s="23"/>
      <c r="J4154" s="23"/>
      <c r="K4154" s="23"/>
      <c r="M4154" s="23"/>
      <c r="N4154" s="23"/>
      <c r="P4154" s="23"/>
    </row>
    <row r="4155" spans="2:16" x14ac:dyDescent="0.25">
      <c r="B4155" s="23"/>
      <c r="E4155" s="23"/>
      <c r="G4155" s="23"/>
      <c r="H4155" s="23"/>
      <c r="J4155" s="23"/>
      <c r="K4155" s="23"/>
      <c r="M4155" s="23"/>
      <c r="N4155" s="23"/>
      <c r="P4155" s="23"/>
    </row>
    <row r="4156" spans="2:16" x14ac:dyDescent="0.25">
      <c r="B4156" s="23"/>
      <c r="E4156" s="23"/>
      <c r="G4156" s="23"/>
      <c r="H4156" s="23"/>
      <c r="J4156" s="23"/>
      <c r="K4156" s="23"/>
      <c r="M4156" s="23"/>
      <c r="N4156" s="23"/>
      <c r="P4156" s="23"/>
    </row>
    <row r="4157" spans="2:16" x14ac:dyDescent="0.25">
      <c r="B4157" s="23"/>
      <c r="E4157" s="23"/>
      <c r="G4157" s="23"/>
      <c r="H4157" s="23"/>
      <c r="J4157" s="23"/>
      <c r="K4157" s="23"/>
      <c r="M4157" s="23"/>
      <c r="N4157" s="23"/>
      <c r="P4157" s="23"/>
    </row>
    <row r="4158" spans="2:16" x14ac:dyDescent="0.25">
      <c r="B4158" s="23"/>
      <c r="E4158" s="23"/>
      <c r="G4158" s="23"/>
      <c r="H4158" s="23"/>
      <c r="J4158" s="23"/>
      <c r="K4158" s="23"/>
      <c r="M4158" s="23"/>
      <c r="N4158" s="23"/>
      <c r="P4158" s="23"/>
    </row>
    <row r="4159" spans="2:16" x14ac:dyDescent="0.25">
      <c r="B4159" s="23"/>
      <c r="E4159" s="23"/>
      <c r="G4159" s="23"/>
      <c r="H4159" s="23"/>
      <c r="J4159" s="23"/>
      <c r="K4159" s="23"/>
      <c r="M4159" s="23"/>
      <c r="N4159" s="23"/>
      <c r="P4159" s="23"/>
    </row>
    <row r="4160" spans="2:16" x14ac:dyDescent="0.25">
      <c r="B4160" s="23"/>
      <c r="E4160" s="23"/>
      <c r="G4160" s="23"/>
      <c r="H4160" s="23"/>
      <c r="J4160" s="23"/>
      <c r="K4160" s="23"/>
      <c r="M4160" s="23"/>
      <c r="N4160" s="23"/>
      <c r="P4160" s="23"/>
    </row>
    <row r="4161" spans="2:16" x14ac:dyDescent="0.25">
      <c r="B4161" s="23"/>
      <c r="E4161" s="23"/>
      <c r="G4161" s="23"/>
      <c r="H4161" s="23"/>
      <c r="J4161" s="23"/>
      <c r="K4161" s="23"/>
      <c r="M4161" s="23"/>
      <c r="N4161" s="23"/>
      <c r="P4161" s="23"/>
    </row>
    <row r="4162" spans="2:16" x14ac:dyDescent="0.25">
      <c r="B4162" s="23"/>
      <c r="E4162" s="23"/>
      <c r="G4162" s="23"/>
      <c r="H4162" s="23"/>
      <c r="J4162" s="23"/>
      <c r="K4162" s="23"/>
      <c r="M4162" s="23"/>
      <c r="N4162" s="23"/>
      <c r="P4162" s="23"/>
    </row>
    <row r="4163" spans="2:16" x14ac:dyDescent="0.25">
      <c r="B4163" s="23"/>
      <c r="E4163" s="23"/>
      <c r="G4163" s="23"/>
      <c r="H4163" s="23"/>
      <c r="J4163" s="23"/>
      <c r="K4163" s="23"/>
      <c r="M4163" s="23"/>
      <c r="N4163" s="23"/>
      <c r="P4163" s="23"/>
    </row>
    <row r="4164" spans="2:16" x14ac:dyDescent="0.25">
      <c r="B4164" s="23"/>
      <c r="E4164" s="23"/>
      <c r="G4164" s="23"/>
      <c r="H4164" s="23"/>
      <c r="J4164" s="23"/>
      <c r="K4164" s="23"/>
      <c r="M4164" s="23"/>
      <c r="N4164" s="23"/>
      <c r="P4164" s="23"/>
    </row>
    <row r="4165" spans="2:16" x14ac:dyDescent="0.25">
      <c r="B4165" s="23"/>
      <c r="E4165" s="23"/>
      <c r="G4165" s="23"/>
      <c r="H4165" s="23"/>
      <c r="J4165" s="23"/>
      <c r="K4165" s="23"/>
      <c r="M4165" s="23"/>
      <c r="N4165" s="23"/>
      <c r="P4165" s="23"/>
    </row>
    <row r="4166" spans="2:16" x14ac:dyDescent="0.25">
      <c r="B4166" s="23"/>
      <c r="E4166" s="23"/>
      <c r="G4166" s="23"/>
      <c r="H4166" s="23"/>
      <c r="J4166" s="23"/>
      <c r="K4166" s="23"/>
      <c r="M4166" s="23"/>
      <c r="N4166" s="23"/>
      <c r="P4166" s="23"/>
    </row>
    <row r="4167" spans="2:16" x14ac:dyDescent="0.25">
      <c r="B4167" s="23"/>
      <c r="E4167" s="23"/>
      <c r="G4167" s="23"/>
      <c r="H4167" s="23"/>
      <c r="J4167" s="23"/>
      <c r="K4167" s="23"/>
      <c r="M4167" s="23"/>
      <c r="N4167" s="23"/>
      <c r="P4167" s="23"/>
    </row>
    <row r="4168" spans="2:16" x14ac:dyDescent="0.25">
      <c r="B4168" s="23"/>
      <c r="E4168" s="23"/>
      <c r="G4168" s="23"/>
      <c r="H4168" s="23"/>
      <c r="J4168" s="23"/>
      <c r="K4168" s="23"/>
      <c r="M4168" s="23"/>
      <c r="N4168" s="23"/>
      <c r="P4168" s="23"/>
    </row>
    <row r="4169" spans="2:16" x14ac:dyDescent="0.25">
      <c r="B4169" s="23"/>
      <c r="E4169" s="23"/>
      <c r="G4169" s="23"/>
      <c r="H4169" s="23"/>
      <c r="J4169" s="23"/>
      <c r="K4169" s="23"/>
      <c r="M4169" s="23"/>
      <c r="N4169" s="23"/>
      <c r="P4169" s="23"/>
    </row>
    <row r="4170" spans="2:16" x14ac:dyDescent="0.25">
      <c r="B4170" s="23"/>
      <c r="E4170" s="23"/>
      <c r="G4170" s="23"/>
      <c r="H4170" s="23"/>
      <c r="J4170" s="23"/>
      <c r="K4170" s="23"/>
      <c r="M4170" s="23"/>
      <c r="N4170" s="23"/>
      <c r="P4170" s="23"/>
    </row>
    <row r="4171" spans="2:16" x14ac:dyDescent="0.25">
      <c r="B4171" s="23"/>
      <c r="E4171" s="23"/>
      <c r="G4171" s="23"/>
      <c r="H4171" s="23"/>
      <c r="J4171" s="23"/>
      <c r="K4171" s="23"/>
      <c r="M4171" s="23"/>
      <c r="N4171" s="23"/>
      <c r="P4171" s="23"/>
    </row>
    <row r="4172" spans="2:16" x14ac:dyDescent="0.25">
      <c r="B4172" s="23"/>
      <c r="E4172" s="23"/>
      <c r="G4172" s="23"/>
      <c r="H4172" s="23"/>
      <c r="J4172" s="23"/>
      <c r="K4172" s="23"/>
      <c r="M4172" s="23"/>
      <c r="N4172" s="23"/>
      <c r="P4172" s="23"/>
    </row>
    <row r="4173" spans="2:16" x14ac:dyDescent="0.25">
      <c r="B4173" s="23"/>
      <c r="E4173" s="23"/>
      <c r="G4173" s="23"/>
      <c r="H4173" s="23"/>
      <c r="J4173" s="23"/>
      <c r="K4173" s="23"/>
      <c r="M4173" s="23"/>
      <c r="N4173" s="23"/>
      <c r="P4173" s="23"/>
    </row>
    <row r="4174" spans="2:16" x14ac:dyDescent="0.25">
      <c r="B4174" s="23"/>
      <c r="E4174" s="23"/>
      <c r="G4174" s="23"/>
      <c r="H4174" s="23"/>
      <c r="J4174" s="23"/>
      <c r="K4174" s="23"/>
      <c r="M4174" s="23"/>
      <c r="N4174" s="23"/>
      <c r="P4174" s="23"/>
    </row>
    <row r="4175" spans="2:16" x14ac:dyDescent="0.25">
      <c r="B4175" s="23"/>
      <c r="E4175" s="23"/>
      <c r="G4175" s="23"/>
      <c r="H4175" s="23"/>
      <c r="J4175" s="23"/>
      <c r="K4175" s="23"/>
      <c r="M4175" s="23"/>
      <c r="N4175" s="23"/>
      <c r="P4175" s="23"/>
    </row>
    <row r="4176" spans="2:16" x14ac:dyDescent="0.25">
      <c r="B4176" s="23"/>
      <c r="E4176" s="23"/>
      <c r="G4176" s="23"/>
      <c r="H4176" s="23"/>
      <c r="J4176" s="23"/>
      <c r="K4176" s="23"/>
      <c r="M4176" s="23"/>
      <c r="N4176" s="23"/>
      <c r="P4176" s="23"/>
    </row>
    <row r="4177" spans="2:16" x14ac:dyDescent="0.25">
      <c r="B4177" s="23"/>
      <c r="E4177" s="23"/>
      <c r="G4177" s="23"/>
      <c r="H4177" s="23"/>
      <c r="J4177" s="23"/>
      <c r="K4177" s="23"/>
      <c r="M4177" s="23"/>
      <c r="N4177" s="23"/>
      <c r="P4177" s="23"/>
    </row>
    <row r="4178" spans="2:16" x14ac:dyDescent="0.25">
      <c r="B4178" s="23"/>
      <c r="E4178" s="23"/>
      <c r="G4178" s="23"/>
      <c r="H4178" s="23"/>
      <c r="J4178" s="23"/>
      <c r="K4178" s="23"/>
      <c r="M4178" s="23"/>
      <c r="N4178" s="23"/>
      <c r="P4178" s="23"/>
    </row>
    <row r="4179" spans="2:16" x14ac:dyDescent="0.25">
      <c r="B4179" s="23"/>
      <c r="E4179" s="23"/>
      <c r="G4179" s="23"/>
      <c r="H4179" s="23"/>
      <c r="J4179" s="23"/>
      <c r="K4179" s="23"/>
      <c r="M4179" s="23"/>
      <c r="N4179" s="23"/>
      <c r="P4179" s="23"/>
    </row>
    <row r="4180" spans="2:16" x14ac:dyDescent="0.25">
      <c r="B4180" s="23"/>
      <c r="E4180" s="23"/>
      <c r="G4180" s="23"/>
      <c r="H4180" s="23"/>
      <c r="J4180" s="23"/>
      <c r="K4180" s="23"/>
      <c r="M4180" s="23"/>
      <c r="N4180" s="23"/>
      <c r="P4180" s="23"/>
    </row>
    <row r="4181" spans="2:16" x14ac:dyDescent="0.25">
      <c r="B4181" s="23"/>
      <c r="E4181" s="23"/>
      <c r="G4181" s="23"/>
      <c r="H4181" s="23"/>
      <c r="J4181" s="23"/>
      <c r="K4181" s="23"/>
      <c r="M4181" s="23"/>
      <c r="N4181" s="23"/>
      <c r="P4181" s="23"/>
    </row>
    <row r="4182" spans="2:16" x14ac:dyDescent="0.25">
      <c r="B4182" s="23"/>
      <c r="E4182" s="23"/>
      <c r="G4182" s="23"/>
      <c r="H4182" s="23"/>
      <c r="J4182" s="23"/>
      <c r="K4182" s="23"/>
      <c r="M4182" s="23"/>
      <c r="N4182" s="23"/>
      <c r="P4182" s="23"/>
    </row>
    <row r="4183" spans="2:16" x14ac:dyDescent="0.25">
      <c r="B4183" s="23"/>
      <c r="E4183" s="23"/>
      <c r="G4183" s="23"/>
      <c r="H4183" s="23"/>
      <c r="J4183" s="23"/>
      <c r="K4183" s="23"/>
      <c r="M4183" s="23"/>
      <c r="N4183" s="23"/>
      <c r="P4183" s="23"/>
    </row>
    <row r="4184" spans="2:16" x14ac:dyDescent="0.25">
      <c r="B4184" s="23"/>
      <c r="E4184" s="23"/>
      <c r="G4184" s="23"/>
      <c r="H4184" s="23"/>
      <c r="J4184" s="23"/>
      <c r="K4184" s="23"/>
      <c r="M4184" s="23"/>
      <c r="N4184" s="23"/>
      <c r="P4184" s="23"/>
    </row>
    <row r="4185" spans="2:16" x14ac:dyDescent="0.25">
      <c r="B4185" s="23"/>
      <c r="E4185" s="23"/>
      <c r="G4185" s="23"/>
      <c r="H4185" s="23"/>
      <c r="J4185" s="23"/>
      <c r="K4185" s="23"/>
      <c r="M4185" s="23"/>
      <c r="N4185" s="23"/>
      <c r="P4185" s="23"/>
    </row>
    <row r="4186" spans="2:16" x14ac:dyDescent="0.25">
      <c r="B4186" s="23"/>
      <c r="E4186" s="23"/>
      <c r="G4186" s="23"/>
      <c r="H4186" s="23"/>
      <c r="J4186" s="23"/>
      <c r="K4186" s="23"/>
      <c r="M4186" s="23"/>
      <c r="N4186" s="23"/>
      <c r="P4186" s="23"/>
    </row>
    <row r="4187" spans="2:16" x14ac:dyDescent="0.25">
      <c r="B4187" s="23"/>
      <c r="E4187" s="23"/>
      <c r="G4187" s="23"/>
      <c r="H4187" s="23"/>
      <c r="J4187" s="23"/>
      <c r="K4187" s="23"/>
      <c r="M4187" s="23"/>
      <c r="N4187" s="23"/>
      <c r="P4187" s="23"/>
    </row>
    <row r="4188" spans="2:16" x14ac:dyDescent="0.25">
      <c r="B4188" s="23"/>
      <c r="E4188" s="23"/>
      <c r="G4188" s="23"/>
      <c r="H4188" s="23"/>
      <c r="J4188" s="23"/>
      <c r="K4188" s="23"/>
      <c r="M4188" s="23"/>
      <c r="N4188" s="23"/>
      <c r="P4188" s="23"/>
    </row>
    <row r="4189" spans="2:16" x14ac:dyDescent="0.25">
      <c r="B4189" s="23"/>
      <c r="E4189" s="23"/>
      <c r="G4189" s="23"/>
      <c r="H4189" s="23"/>
      <c r="J4189" s="23"/>
      <c r="K4189" s="23"/>
      <c r="M4189" s="23"/>
      <c r="N4189" s="23"/>
      <c r="P4189" s="23"/>
    </row>
    <row r="4190" spans="2:16" x14ac:dyDescent="0.25">
      <c r="B4190" s="23"/>
      <c r="E4190" s="23"/>
      <c r="G4190" s="23"/>
      <c r="H4190" s="23"/>
      <c r="J4190" s="23"/>
      <c r="K4190" s="23"/>
      <c r="M4190" s="23"/>
      <c r="N4190" s="23"/>
      <c r="P4190" s="23"/>
    </row>
    <row r="4191" spans="2:16" x14ac:dyDescent="0.25">
      <c r="B4191" s="23"/>
      <c r="E4191" s="23"/>
      <c r="G4191" s="23"/>
      <c r="H4191" s="23"/>
      <c r="J4191" s="23"/>
      <c r="K4191" s="23"/>
      <c r="M4191" s="23"/>
      <c r="N4191" s="23"/>
      <c r="P4191" s="23"/>
    </row>
    <row r="4192" spans="2:16" x14ac:dyDescent="0.25">
      <c r="B4192" s="23"/>
      <c r="E4192" s="23"/>
      <c r="G4192" s="23"/>
      <c r="H4192" s="23"/>
      <c r="J4192" s="23"/>
      <c r="K4192" s="23"/>
      <c r="M4192" s="23"/>
      <c r="N4192" s="23"/>
      <c r="P4192" s="23"/>
    </row>
    <row r="4193" spans="2:16" x14ac:dyDescent="0.25">
      <c r="B4193" s="23"/>
      <c r="E4193" s="23"/>
      <c r="G4193" s="23"/>
      <c r="H4193" s="23"/>
      <c r="J4193" s="23"/>
      <c r="K4193" s="23"/>
      <c r="M4193" s="23"/>
      <c r="N4193" s="23"/>
      <c r="P4193" s="23"/>
    </row>
    <row r="4194" spans="2:16" x14ac:dyDescent="0.25">
      <c r="B4194" s="23"/>
      <c r="E4194" s="23"/>
      <c r="G4194" s="23"/>
      <c r="H4194" s="23"/>
      <c r="J4194" s="23"/>
      <c r="K4194" s="23"/>
      <c r="M4194" s="23"/>
      <c r="N4194" s="23"/>
      <c r="P4194" s="23"/>
    </row>
    <row r="4195" spans="2:16" x14ac:dyDescent="0.25">
      <c r="B4195" s="23"/>
      <c r="E4195" s="23"/>
      <c r="G4195" s="23"/>
      <c r="H4195" s="23"/>
      <c r="J4195" s="23"/>
      <c r="K4195" s="23"/>
      <c r="M4195" s="23"/>
      <c r="N4195" s="23"/>
      <c r="P4195" s="23"/>
    </row>
    <row r="4196" spans="2:16" x14ac:dyDescent="0.25">
      <c r="B4196" s="23"/>
      <c r="E4196" s="23"/>
      <c r="G4196" s="23"/>
      <c r="H4196" s="23"/>
      <c r="J4196" s="23"/>
      <c r="K4196" s="23"/>
      <c r="M4196" s="23"/>
      <c r="N4196" s="23"/>
      <c r="P4196" s="23"/>
    </row>
    <row r="4197" spans="2:16" x14ac:dyDescent="0.25">
      <c r="B4197" s="23"/>
      <c r="E4197" s="23"/>
      <c r="G4197" s="23"/>
      <c r="H4197" s="23"/>
      <c r="J4197" s="23"/>
      <c r="K4197" s="23"/>
      <c r="M4197" s="23"/>
      <c r="N4197" s="23"/>
      <c r="P4197" s="23"/>
    </row>
    <row r="4198" spans="2:16" x14ac:dyDescent="0.25">
      <c r="B4198" s="23"/>
      <c r="E4198" s="23"/>
      <c r="G4198" s="23"/>
      <c r="H4198" s="23"/>
      <c r="J4198" s="23"/>
      <c r="K4198" s="23"/>
      <c r="M4198" s="23"/>
      <c r="N4198" s="23"/>
      <c r="P4198" s="23"/>
    </row>
    <row r="4199" spans="2:16" x14ac:dyDescent="0.25">
      <c r="B4199" s="23"/>
      <c r="E4199" s="23"/>
      <c r="G4199" s="23"/>
      <c r="H4199" s="23"/>
      <c r="J4199" s="23"/>
      <c r="K4199" s="23"/>
      <c r="M4199" s="23"/>
      <c r="N4199" s="23"/>
      <c r="P4199" s="23"/>
    </row>
    <row r="4200" spans="2:16" x14ac:dyDescent="0.25">
      <c r="B4200" s="23"/>
      <c r="E4200" s="23"/>
      <c r="G4200" s="23"/>
      <c r="H4200" s="23"/>
      <c r="J4200" s="23"/>
      <c r="K4200" s="23"/>
      <c r="M4200" s="23"/>
      <c r="N4200" s="23"/>
      <c r="P4200" s="23"/>
    </row>
    <row r="4201" spans="2:16" x14ac:dyDescent="0.25">
      <c r="B4201" s="23"/>
      <c r="E4201" s="23"/>
      <c r="G4201" s="23"/>
      <c r="H4201" s="23"/>
      <c r="J4201" s="23"/>
      <c r="K4201" s="23"/>
      <c r="M4201" s="23"/>
      <c r="N4201" s="23"/>
      <c r="P4201" s="23"/>
    </row>
    <row r="4202" spans="2:16" x14ac:dyDescent="0.25">
      <c r="B4202" s="23"/>
      <c r="E4202" s="23"/>
      <c r="G4202" s="23"/>
      <c r="H4202" s="23"/>
      <c r="J4202" s="23"/>
      <c r="K4202" s="23"/>
      <c r="M4202" s="23"/>
      <c r="N4202" s="23"/>
      <c r="P4202" s="23"/>
    </row>
    <row r="4203" spans="2:16" x14ac:dyDescent="0.25">
      <c r="B4203" s="23"/>
      <c r="E4203" s="23"/>
      <c r="G4203" s="23"/>
      <c r="H4203" s="23"/>
      <c r="J4203" s="23"/>
      <c r="K4203" s="23"/>
      <c r="M4203" s="23"/>
      <c r="N4203" s="23"/>
      <c r="P4203" s="23"/>
    </row>
    <row r="4204" spans="2:16" x14ac:dyDescent="0.25">
      <c r="B4204" s="23"/>
      <c r="E4204" s="23"/>
      <c r="G4204" s="23"/>
      <c r="H4204" s="23"/>
      <c r="J4204" s="23"/>
      <c r="K4204" s="23"/>
      <c r="M4204" s="23"/>
      <c r="N4204" s="23"/>
      <c r="P4204" s="23"/>
    </row>
    <row r="4205" spans="2:16" x14ac:dyDescent="0.25">
      <c r="B4205" s="23"/>
      <c r="E4205" s="23"/>
      <c r="G4205" s="23"/>
      <c r="H4205" s="23"/>
      <c r="J4205" s="23"/>
      <c r="K4205" s="23"/>
      <c r="M4205" s="23"/>
      <c r="N4205" s="23"/>
      <c r="P4205" s="23"/>
    </row>
    <row r="4206" spans="2:16" x14ac:dyDescent="0.25">
      <c r="B4206" s="23"/>
      <c r="E4206" s="23"/>
      <c r="G4206" s="23"/>
      <c r="H4206" s="23"/>
      <c r="J4206" s="23"/>
      <c r="K4206" s="23"/>
      <c r="M4206" s="23"/>
      <c r="N4206" s="23"/>
      <c r="P4206" s="23"/>
    </row>
    <row r="4207" spans="2:16" x14ac:dyDescent="0.25">
      <c r="B4207" s="23"/>
      <c r="E4207" s="23"/>
      <c r="G4207" s="23"/>
      <c r="H4207" s="23"/>
      <c r="J4207" s="23"/>
      <c r="K4207" s="23"/>
      <c r="M4207" s="23"/>
      <c r="N4207" s="23"/>
      <c r="P4207" s="23"/>
    </row>
    <row r="4208" spans="2:16" x14ac:dyDescent="0.25">
      <c r="B4208" s="23"/>
      <c r="E4208" s="23"/>
      <c r="G4208" s="23"/>
      <c r="H4208" s="23"/>
      <c r="J4208" s="23"/>
      <c r="K4208" s="23"/>
      <c r="M4208" s="23"/>
      <c r="N4208" s="23"/>
      <c r="P4208" s="23"/>
    </row>
    <row r="4209" spans="2:16" x14ac:dyDescent="0.25">
      <c r="B4209" s="23"/>
      <c r="E4209" s="23"/>
      <c r="G4209" s="23"/>
      <c r="H4209" s="23"/>
      <c r="J4209" s="23"/>
      <c r="K4209" s="23"/>
      <c r="M4209" s="23"/>
      <c r="N4209" s="23"/>
      <c r="P4209" s="23"/>
    </row>
    <row r="4210" spans="2:16" x14ac:dyDescent="0.25">
      <c r="B4210" s="23"/>
      <c r="E4210" s="23"/>
      <c r="G4210" s="23"/>
      <c r="H4210" s="23"/>
      <c r="J4210" s="23"/>
      <c r="K4210" s="23"/>
      <c r="M4210" s="23"/>
      <c r="N4210" s="23"/>
      <c r="P4210" s="23"/>
    </row>
    <row r="4211" spans="2:16" x14ac:dyDescent="0.25">
      <c r="B4211" s="23"/>
      <c r="E4211" s="23"/>
      <c r="G4211" s="23"/>
      <c r="H4211" s="23"/>
      <c r="J4211" s="23"/>
      <c r="K4211" s="23"/>
      <c r="M4211" s="23"/>
      <c r="N4211" s="23"/>
      <c r="P4211" s="23"/>
    </row>
    <row r="4212" spans="2:16" x14ac:dyDescent="0.25">
      <c r="B4212" s="23"/>
      <c r="E4212" s="23"/>
      <c r="G4212" s="23"/>
      <c r="H4212" s="23"/>
      <c r="J4212" s="23"/>
      <c r="K4212" s="23"/>
      <c r="M4212" s="23"/>
      <c r="N4212" s="23"/>
      <c r="P4212" s="23"/>
    </row>
    <row r="4213" spans="2:16" x14ac:dyDescent="0.25">
      <c r="B4213" s="23"/>
      <c r="E4213" s="23"/>
      <c r="G4213" s="23"/>
      <c r="H4213" s="23"/>
      <c r="J4213" s="23"/>
      <c r="K4213" s="23"/>
      <c r="M4213" s="23"/>
      <c r="N4213" s="23"/>
      <c r="P4213" s="23"/>
    </row>
    <row r="4214" spans="2:16" x14ac:dyDescent="0.25">
      <c r="B4214" s="23"/>
      <c r="E4214" s="23"/>
      <c r="G4214" s="23"/>
      <c r="H4214" s="23"/>
      <c r="J4214" s="23"/>
      <c r="K4214" s="23"/>
      <c r="M4214" s="23"/>
      <c r="N4214" s="23"/>
      <c r="P4214" s="23"/>
    </row>
    <row r="4215" spans="2:16" x14ac:dyDescent="0.25">
      <c r="B4215" s="23"/>
      <c r="E4215" s="23"/>
      <c r="G4215" s="23"/>
      <c r="H4215" s="23"/>
      <c r="J4215" s="23"/>
      <c r="K4215" s="23"/>
      <c r="M4215" s="23"/>
      <c r="N4215" s="23"/>
      <c r="P4215" s="23"/>
    </row>
    <row r="4216" spans="2:16" x14ac:dyDescent="0.25">
      <c r="B4216" s="23"/>
      <c r="E4216" s="23"/>
      <c r="G4216" s="23"/>
      <c r="H4216" s="23"/>
      <c r="J4216" s="23"/>
      <c r="K4216" s="23"/>
      <c r="M4216" s="23"/>
      <c r="N4216" s="23"/>
      <c r="P4216" s="23"/>
    </row>
    <row r="4217" spans="2:16" x14ac:dyDescent="0.25">
      <c r="B4217" s="23"/>
      <c r="E4217" s="23"/>
      <c r="G4217" s="23"/>
      <c r="H4217" s="23"/>
      <c r="J4217" s="23"/>
      <c r="K4217" s="23"/>
      <c r="M4217" s="23"/>
      <c r="N4217" s="23"/>
      <c r="P4217" s="23"/>
    </row>
    <row r="4218" spans="2:16" x14ac:dyDescent="0.25">
      <c r="B4218" s="23"/>
      <c r="E4218" s="23"/>
      <c r="G4218" s="23"/>
      <c r="H4218" s="23"/>
      <c r="J4218" s="23"/>
      <c r="K4218" s="23"/>
      <c r="M4218" s="23"/>
      <c r="N4218" s="23"/>
      <c r="P4218" s="23"/>
    </row>
    <row r="4219" spans="2:16" x14ac:dyDescent="0.25">
      <c r="B4219" s="23"/>
      <c r="E4219" s="23"/>
      <c r="G4219" s="23"/>
      <c r="H4219" s="23"/>
      <c r="J4219" s="23"/>
      <c r="K4219" s="23"/>
      <c r="M4219" s="23"/>
      <c r="N4219" s="23"/>
      <c r="P4219" s="23"/>
    </row>
    <row r="4220" spans="2:16" x14ac:dyDescent="0.25">
      <c r="B4220" s="23"/>
      <c r="E4220" s="23"/>
      <c r="G4220" s="23"/>
      <c r="H4220" s="23"/>
      <c r="J4220" s="23"/>
      <c r="K4220" s="23"/>
      <c r="M4220" s="23"/>
      <c r="N4220" s="23"/>
      <c r="P4220" s="23"/>
    </row>
    <row r="4221" spans="2:16" x14ac:dyDescent="0.25">
      <c r="B4221" s="23"/>
      <c r="E4221" s="23"/>
      <c r="G4221" s="23"/>
      <c r="H4221" s="23"/>
      <c r="J4221" s="23"/>
      <c r="K4221" s="23"/>
      <c r="M4221" s="23"/>
      <c r="N4221" s="23"/>
      <c r="P4221" s="23"/>
    </row>
    <row r="4222" spans="2:16" x14ac:dyDescent="0.25">
      <c r="B4222" s="23"/>
      <c r="E4222" s="23"/>
      <c r="G4222" s="23"/>
      <c r="H4222" s="23"/>
      <c r="J4222" s="23"/>
      <c r="K4222" s="23"/>
      <c r="M4222" s="23"/>
      <c r="N4222" s="23"/>
      <c r="P4222" s="23"/>
    </row>
    <row r="4223" spans="2:16" x14ac:dyDescent="0.25">
      <c r="B4223" s="23"/>
      <c r="E4223" s="23"/>
      <c r="G4223" s="23"/>
      <c r="H4223" s="23"/>
      <c r="J4223" s="23"/>
      <c r="K4223" s="23"/>
      <c r="M4223" s="23"/>
      <c r="N4223" s="23"/>
      <c r="P4223" s="23"/>
    </row>
    <row r="4224" spans="2:16" x14ac:dyDescent="0.25">
      <c r="B4224" s="23"/>
      <c r="E4224" s="23"/>
      <c r="G4224" s="23"/>
      <c r="H4224" s="23"/>
      <c r="J4224" s="23"/>
      <c r="K4224" s="23"/>
      <c r="M4224" s="23"/>
      <c r="N4224" s="23"/>
      <c r="P4224" s="23"/>
    </row>
    <row r="4225" spans="2:16" x14ac:dyDescent="0.25">
      <c r="B4225" s="23"/>
      <c r="E4225" s="23"/>
      <c r="G4225" s="23"/>
      <c r="H4225" s="23"/>
      <c r="J4225" s="23"/>
      <c r="K4225" s="23"/>
      <c r="M4225" s="23"/>
      <c r="N4225" s="23"/>
      <c r="P4225" s="23"/>
    </row>
    <row r="4226" spans="2:16" x14ac:dyDescent="0.25">
      <c r="B4226" s="23"/>
      <c r="E4226" s="23"/>
      <c r="G4226" s="23"/>
      <c r="H4226" s="23"/>
      <c r="J4226" s="23"/>
      <c r="K4226" s="23"/>
      <c r="M4226" s="23"/>
      <c r="N4226" s="23"/>
      <c r="P4226" s="23"/>
    </row>
    <row r="4227" spans="2:16" x14ac:dyDescent="0.25">
      <c r="B4227" s="23"/>
      <c r="E4227" s="23"/>
      <c r="G4227" s="23"/>
      <c r="H4227" s="23"/>
      <c r="J4227" s="23"/>
      <c r="K4227" s="23"/>
      <c r="M4227" s="23"/>
      <c r="N4227" s="23"/>
      <c r="P4227" s="23"/>
    </row>
    <row r="4228" spans="2:16" x14ac:dyDescent="0.25">
      <c r="B4228" s="23"/>
      <c r="E4228" s="23"/>
      <c r="G4228" s="23"/>
      <c r="H4228" s="23"/>
      <c r="J4228" s="23"/>
      <c r="K4228" s="23"/>
      <c r="M4228" s="23"/>
      <c r="N4228" s="23"/>
      <c r="P4228" s="23"/>
    </row>
    <row r="4229" spans="2:16" x14ac:dyDescent="0.25">
      <c r="B4229" s="23"/>
      <c r="E4229" s="23"/>
      <c r="G4229" s="23"/>
      <c r="H4229" s="23"/>
      <c r="J4229" s="23"/>
      <c r="K4229" s="23"/>
      <c r="M4229" s="23"/>
      <c r="N4229" s="23"/>
      <c r="P4229" s="23"/>
    </row>
    <row r="4230" spans="2:16" x14ac:dyDescent="0.25">
      <c r="B4230" s="23"/>
      <c r="E4230" s="23"/>
      <c r="G4230" s="23"/>
      <c r="H4230" s="23"/>
      <c r="J4230" s="23"/>
      <c r="K4230" s="23"/>
      <c r="M4230" s="23"/>
      <c r="N4230" s="23"/>
      <c r="P4230" s="23"/>
    </row>
    <row r="4231" spans="2:16" x14ac:dyDescent="0.25">
      <c r="B4231" s="23"/>
      <c r="E4231" s="23"/>
      <c r="G4231" s="23"/>
      <c r="H4231" s="23"/>
      <c r="J4231" s="23"/>
      <c r="K4231" s="23"/>
      <c r="M4231" s="23"/>
      <c r="N4231" s="23"/>
      <c r="P4231" s="23"/>
    </row>
    <row r="4232" spans="2:16" x14ac:dyDescent="0.25">
      <c r="B4232" s="23"/>
      <c r="E4232" s="23"/>
      <c r="G4232" s="23"/>
      <c r="H4232" s="23"/>
      <c r="J4232" s="23"/>
      <c r="K4232" s="23"/>
      <c r="M4232" s="23"/>
      <c r="N4232" s="23"/>
      <c r="P4232" s="23"/>
    </row>
    <row r="4233" spans="2:16" x14ac:dyDescent="0.25">
      <c r="B4233" s="23"/>
      <c r="E4233" s="23"/>
      <c r="G4233" s="23"/>
      <c r="H4233" s="23"/>
      <c r="J4233" s="23"/>
      <c r="K4233" s="23"/>
      <c r="M4233" s="23"/>
      <c r="N4233" s="23"/>
      <c r="P4233" s="23"/>
    </row>
    <row r="4234" spans="2:16" x14ac:dyDescent="0.25">
      <c r="B4234" s="23"/>
      <c r="E4234" s="23"/>
      <c r="G4234" s="23"/>
      <c r="H4234" s="23"/>
      <c r="J4234" s="23"/>
      <c r="K4234" s="23"/>
      <c r="M4234" s="23"/>
      <c r="N4234" s="23"/>
      <c r="P4234" s="23"/>
    </row>
    <row r="4235" spans="2:16" x14ac:dyDescent="0.25">
      <c r="B4235" s="23"/>
      <c r="E4235" s="23"/>
      <c r="G4235" s="23"/>
      <c r="H4235" s="23"/>
      <c r="J4235" s="23"/>
      <c r="K4235" s="23"/>
      <c r="M4235" s="23"/>
      <c r="N4235" s="23"/>
      <c r="P4235" s="23"/>
    </row>
    <row r="4236" spans="2:16" x14ac:dyDescent="0.25">
      <c r="B4236" s="23"/>
      <c r="E4236" s="23"/>
      <c r="G4236" s="23"/>
      <c r="H4236" s="23"/>
      <c r="J4236" s="23"/>
      <c r="K4236" s="23"/>
      <c r="M4236" s="23"/>
      <c r="N4236" s="23"/>
      <c r="P4236" s="23"/>
    </row>
    <row r="4237" spans="2:16" x14ac:dyDescent="0.25">
      <c r="B4237" s="23"/>
      <c r="E4237" s="23"/>
      <c r="G4237" s="23"/>
      <c r="H4237" s="23"/>
      <c r="J4237" s="23"/>
      <c r="K4237" s="23"/>
      <c r="M4237" s="23"/>
      <c r="N4237" s="23"/>
      <c r="P4237" s="23"/>
    </row>
    <row r="4238" spans="2:16" x14ac:dyDescent="0.25">
      <c r="B4238" s="23"/>
      <c r="E4238" s="23"/>
      <c r="G4238" s="23"/>
      <c r="H4238" s="23"/>
      <c r="J4238" s="23"/>
      <c r="K4238" s="23"/>
      <c r="M4238" s="23"/>
      <c r="N4238" s="23"/>
      <c r="P4238" s="23"/>
    </row>
    <row r="4239" spans="2:16" x14ac:dyDescent="0.25">
      <c r="B4239" s="23"/>
      <c r="E4239" s="23"/>
      <c r="G4239" s="23"/>
      <c r="H4239" s="23"/>
      <c r="J4239" s="23"/>
      <c r="K4239" s="23"/>
      <c r="M4239" s="23"/>
      <c r="N4239" s="23"/>
      <c r="P4239" s="23"/>
    </row>
    <row r="4240" spans="2:16" x14ac:dyDescent="0.25">
      <c r="B4240" s="23"/>
      <c r="E4240" s="23"/>
      <c r="G4240" s="23"/>
      <c r="H4240" s="23"/>
      <c r="J4240" s="23"/>
      <c r="K4240" s="23"/>
      <c r="M4240" s="23"/>
      <c r="N4240" s="23"/>
      <c r="P4240" s="23"/>
    </row>
    <row r="4241" spans="2:16" x14ac:dyDescent="0.25">
      <c r="B4241" s="23"/>
      <c r="E4241" s="23"/>
      <c r="G4241" s="23"/>
      <c r="H4241" s="23"/>
      <c r="J4241" s="23"/>
      <c r="K4241" s="23"/>
      <c r="M4241" s="23"/>
      <c r="N4241" s="23"/>
      <c r="P4241" s="23"/>
    </row>
    <row r="4242" spans="2:16" x14ac:dyDescent="0.25">
      <c r="B4242" s="23"/>
      <c r="E4242" s="23"/>
      <c r="G4242" s="23"/>
      <c r="H4242" s="23"/>
      <c r="J4242" s="23"/>
      <c r="K4242" s="23"/>
      <c r="M4242" s="23"/>
      <c r="N4242" s="23"/>
      <c r="P4242" s="23"/>
    </row>
    <row r="4243" spans="2:16" x14ac:dyDescent="0.25">
      <c r="B4243" s="23"/>
      <c r="E4243" s="23"/>
      <c r="G4243" s="23"/>
      <c r="H4243" s="23"/>
      <c r="J4243" s="23"/>
      <c r="K4243" s="23"/>
      <c r="M4243" s="23"/>
      <c r="N4243" s="23"/>
      <c r="P4243" s="23"/>
    </row>
    <row r="4244" spans="2:16" x14ac:dyDescent="0.25">
      <c r="B4244" s="23"/>
      <c r="E4244" s="23"/>
      <c r="G4244" s="23"/>
      <c r="H4244" s="23"/>
      <c r="J4244" s="23"/>
      <c r="K4244" s="23"/>
      <c r="M4244" s="23"/>
      <c r="N4244" s="23"/>
      <c r="P4244" s="23"/>
    </row>
    <row r="4245" spans="2:16" x14ac:dyDescent="0.25">
      <c r="B4245" s="23"/>
      <c r="E4245" s="23"/>
      <c r="G4245" s="23"/>
      <c r="H4245" s="23"/>
      <c r="J4245" s="23"/>
      <c r="K4245" s="23"/>
      <c r="M4245" s="23"/>
      <c r="N4245" s="23"/>
      <c r="P4245" s="23"/>
    </row>
    <row r="4246" spans="2:16" x14ac:dyDescent="0.25">
      <c r="B4246" s="23"/>
      <c r="E4246" s="23"/>
      <c r="G4246" s="23"/>
      <c r="H4246" s="23"/>
      <c r="J4246" s="23"/>
      <c r="K4246" s="23"/>
      <c r="M4246" s="23"/>
      <c r="N4246" s="23"/>
      <c r="P4246" s="23"/>
    </row>
    <row r="4247" spans="2:16" x14ac:dyDescent="0.25">
      <c r="B4247" s="23"/>
      <c r="E4247" s="23"/>
      <c r="G4247" s="23"/>
      <c r="H4247" s="23"/>
      <c r="J4247" s="23"/>
      <c r="K4247" s="23"/>
      <c r="M4247" s="23"/>
      <c r="N4247" s="23"/>
      <c r="P4247" s="23"/>
    </row>
    <row r="4248" spans="2:16" x14ac:dyDescent="0.25">
      <c r="B4248" s="23"/>
      <c r="E4248" s="23"/>
      <c r="G4248" s="23"/>
      <c r="H4248" s="23"/>
      <c r="J4248" s="23"/>
      <c r="K4248" s="23"/>
      <c r="M4248" s="23"/>
      <c r="N4248" s="23"/>
      <c r="P4248" s="23"/>
    </row>
    <row r="4249" spans="2:16" x14ac:dyDescent="0.25">
      <c r="B4249" s="23"/>
      <c r="E4249" s="23"/>
      <c r="G4249" s="23"/>
      <c r="H4249" s="23"/>
      <c r="J4249" s="23"/>
      <c r="K4249" s="23"/>
      <c r="M4249" s="23"/>
      <c r="N4249" s="23"/>
      <c r="P4249" s="23"/>
    </row>
    <row r="4250" spans="2:16" x14ac:dyDescent="0.25">
      <c r="B4250" s="23"/>
      <c r="E4250" s="23"/>
      <c r="G4250" s="23"/>
      <c r="H4250" s="23"/>
      <c r="J4250" s="23"/>
      <c r="K4250" s="23"/>
      <c r="M4250" s="23"/>
      <c r="N4250" s="23"/>
      <c r="P4250" s="23"/>
    </row>
    <row r="4251" spans="2:16" x14ac:dyDescent="0.25">
      <c r="B4251" s="23"/>
      <c r="E4251" s="23"/>
      <c r="G4251" s="23"/>
      <c r="H4251" s="23"/>
      <c r="J4251" s="23"/>
      <c r="K4251" s="23"/>
      <c r="M4251" s="23"/>
      <c r="N4251" s="23"/>
      <c r="P4251" s="23"/>
    </row>
    <row r="4252" spans="2:16" x14ac:dyDescent="0.25">
      <c r="B4252" s="23"/>
      <c r="E4252" s="23"/>
      <c r="G4252" s="23"/>
      <c r="H4252" s="23"/>
      <c r="J4252" s="23"/>
      <c r="K4252" s="23"/>
      <c r="M4252" s="23"/>
      <c r="N4252" s="23"/>
      <c r="P4252" s="23"/>
    </row>
    <row r="4253" spans="2:16" x14ac:dyDescent="0.25">
      <c r="B4253" s="23"/>
      <c r="E4253" s="23"/>
      <c r="G4253" s="23"/>
      <c r="H4253" s="23"/>
      <c r="J4253" s="23"/>
      <c r="K4253" s="23"/>
      <c r="M4253" s="23"/>
      <c r="N4253" s="23"/>
      <c r="P4253" s="23"/>
    </row>
    <row r="4254" spans="2:16" x14ac:dyDescent="0.25">
      <c r="B4254" s="23"/>
      <c r="E4254" s="23"/>
      <c r="G4254" s="23"/>
      <c r="H4254" s="23"/>
      <c r="J4254" s="23"/>
      <c r="K4254" s="23"/>
      <c r="M4254" s="23"/>
      <c r="N4254" s="23"/>
      <c r="P4254" s="23"/>
    </row>
    <row r="4255" spans="2:16" x14ac:dyDescent="0.25">
      <c r="B4255" s="23"/>
      <c r="E4255" s="23"/>
      <c r="G4255" s="23"/>
      <c r="H4255" s="23"/>
      <c r="J4255" s="23"/>
      <c r="K4255" s="23"/>
      <c r="M4255" s="23"/>
      <c r="N4255" s="23"/>
      <c r="P4255" s="23"/>
    </row>
    <row r="4256" spans="2:16" x14ac:dyDescent="0.25">
      <c r="B4256" s="23"/>
      <c r="E4256" s="23"/>
      <c r="G4256" s="23"/>
      <c r="H4256" s="23"/>
      <c r="J4256" s="23"/>
      <c r="K4256" s="23"/>
      <c r="M4256" s="23"/>
      <c r="N4256" s="23"/>
      <c r="P4256" s="23"/>
    </row>
    <row r="4257" spans="2:16" x14ac:dyDescent="0.25">
      <c r="B4257" s="23"/>
      <c r="E4257" s="23"/>
      <c r="G4257" s="23"/>
      <c r="H4257" s="23"/>
      <c r="J4257" s="23"/>
      <c r="K4257" s="23"/>
      <c r="M4257" s="23"/>
      <c r="N4257" s="23"/>
      <c r="P4257" s="23"/>
    </row>
    <row r="4258" spans="2:16" x14ac:dyDescent="0.25">
      <c r="B4258" s="23"/>
      <c r="E4258" s="23"/>
      <c r="G4258" s="23"/>
      <c r="H4258" s="23"/>
      <c r="J4258" s="23"/>
      <c r="K4258" s="23"/>
      <c r="M4258" s="23"/>
      <c r="N4258" s="23"/>
      <c r="P4258" s="23"/>
    </row>
    <row r="4259" spans="2:16" x14ac:dyDescent="0.25">
      <c r="B4259" s="23"/>
      <c r="E4259" s="23"/>
      <c r="G4259" s="23"/>
      <c r="H4259" s="23"/>
      <c r="J4259" s="23"/>
      <c r="K4259" s="23"/>
      <c r="M4259" s="23"/>
      <c r="N4259" s="23"/>
      <c r="P4259" s="23"/>
    </row>
    <row r="4260" spans="2:16" x14ac:dyDescent="0.25">
      <c r="B4260" s="23"/>
      <c r="E4260" s="23"/>
      <c r="G4260" s="23"/>
      <c r="H4260" s="23"/>
      <c r="J4260" s="23"/>
      <c r="K4260" s="23"/>
      <c r="M4260" s="23"/>
      <c r="N4260" s="23"/>
      <c r="P4260" s="23"/>
    </row>
    <row r="4261" spans="2:16" x14ac:dyDescent="0.25">
      <c r="B4261" s="23"/>
      <c r="E4261" s="23"/>
      <c r="G4261" s="23"/>
      <c r="H4261" s="23"/>
      <c r="J4261" s="23"/>
      <c r="K4261" s="23"/>
      <c r="M4261" s="23"/>
      <c r="N4261" s="23"/>
      <c r="P4261" s="23"/>
    </row>
    <row r="4262" spans="2:16" x14ac:dyDescent="0.25">
      <c r="B4262" s="23"/>
      <c r="E4262" s="23"/>
      <c r="G4262" s="23"/>
      <c r="H4262" s="23"/>
      <c r="J4262" s="23"/>
      <c r="K4262" s="23"/>
      <c r="M4262" s="23"/>
      <c r="N4262" s="23"/>
      <c r="P4262" s="23"/>
    </row>
    <row r="4263" spans="2:16" x14ac:dyDescent="0.25">
      <c r="B4263" s="23"/>
      <c r="E4263" s="23"/>
      <c r="G4263" s="23"/>
      <c r="H4263" s="23"/>
      <c r="J4263" s="23"/>
      <c r="K4263" s="23"/>
      <c r="M4263" s="23"/>
      <c r="N4263" s="23"/>
      <c r="P4263" s="23"/>
    </row>
    <row r="4264" spans="2:16" x14ac:dyDescent="0.25">
      <c r="B4264" s="23"/>
      <c r="E4264" s="23"/>
      <c r="G4264" s="23"/>
      <c r="H4264" s="23"/>
      <c r="J4264" s="23"/>
      <c r="K4264" s="23"/>
      <c r="M4264" s="23"/>
      <c r="N4264" s="23"/>
      <c r="P4264" s="23"/>
    </row>
    <row r="4265" spans="2:16" x14ac:dyDescent="0.25">
      <c r="B4265" s="23"/>
      <c r="E4265" s="23"/>
      <c r="G4265" s="23"/>
      <c r="H4265" s="23"/>
      <c r="J4265" s="23"/>
      <c r="K4265" s="23"/>
      <c r="M4265" s="23"/>
      <c r="N4265" s="23"/>
      <c r="P4265" s="23"/>
    </row>
    <row r="4266" spans="2:16" x14ac:dyDescent="0.25">
      <c r="B4266" s="23"/>
      <c r="E4266" s="23"/>
      <c r="G4266" s="23"/>
      <c r="H4266" s="23"/>
      <c r="J4266" s="23"/>
      <c r="K4266" s="23"/>
      <c r="M4266" s="23"/>
      <c r="N4266" s="23"/>
      <c r="P4266" s="23"/>
    </row>
    <row r="4267" spans="2:16" x14ac:dyDescent="0.25">
      <c r="B4267" s="23"/>
      <c r="E4267" s="23"/>
      <c r="G4267" s="23"/>
      <c r="H4267" s="23"/>
      <c r="J4267" s="23"/>
      <c r="K4267" s="23"/>
      <c r="M4267" s="23"/>
      <c r="N4267" s="23"/>
      <c r="P4267" s="23"/>
    </row>
    <row r="4268" spans="2:16" x14ac:dyDescent="0.25">
      <c r="B4268" s="23"/>
      <c r="E4268" s="23"/>
      <c r="G4268" s="23"/>
      <c r="H4268" s="23"/>
      <c r="J4268" s="23"/>
      <c r="K4268" s="23"/>
      <c r="M4268" s="23"/>
      <c r="N4268" s="23"/>
      <c r="P4268" s="23"/>
    </row>
    <row r="4269" spans="2:16" x14ac:dyDescent="0.25">
      <c r="B4269" s="23"/>
      <c r="E4269" s="23"/>
      <c r="G4269" s="23"/>
      <c r="H4269" s="23"/>
      <c r="J4269" s="23"/>
      <c r="K4269" s="23"/>
      <c r="M4269" s="23"/>
      <c r="N4269" s="23"/>
      <c r="P4269" s="23"/>
    </row>
    <row r="4270" spans="2:16" x14ac:dyDescent="0.25">
      <c r="B4270" s="23"/>
      <c r="E4270" s="23"/>
      <c r="G4270" s="23"/>
      <c r="H4270" s="23"/>
      <c r="J4270" s="23"/>
      <c r="K4270" s="23"/>
      <c r="M4270" s="23"/>
      <c r="N4270" s="23"/>
      <c r="P4270" s="23"/>
    </row>
    <row r="4271" spans="2:16" x14ac:dyDescent="0.25">
      <c r="B4271" s="23"/>
      <c r="E4271" s="23"/>
      <c r="G4271" s="23"/>
      <c r="H4271" s="23"/>
      <c r="J4271" s="23"/>
      <c r="K4271" s="23"/>
      <c r="M4271" s="23"/>
      <c r="N4271" s="23"/>
      <c r="P4271" s="23"/>
    </row>
    <row r="4272" spans="2:16" x14ac:dyDescent="0.25">
      <c r="B4272" s="23"/>
      <c r="E4272" s="23"/>
      <c r="G4272" s="23"/>
      <c r="H4272" s="23"/>
      <c r="J4272" s="23"/>
      <c r="K4272" s="23"/>
      <c r="M4272" s="23"/>
      <c r="N4272" s="23"/>
      <c r="P4272" s="23"/>
    </row>
    <row r="4273" spans="2:16" x14ac:dyDescent="0.25">
      <c r="B4273" s="23"/>
      <c r="E4273" s="23"/>
      <c r="G4273" s="23"/>
      <c r="H4273" s="23"/>
      <c r="J4273" s="23"/>
      <c r="K4273" s="23"/>
      <c r="M4273" s="23"/>
      <c r="N4273" s="23"/>
      <c r="P4273" s="23"/>
    </row>
    <row r="4274" spans="2:16" x14ac:dyDescent="0.25">
      <c r="B4274" s="23"/>
      <c r="E4274" s="23"/>
      <c r="G4274" s="23"/>
      <c r="H4274" s="23"/>
      <c r="J4274" s="23"/>
      <c r="K4274" s="23"/>
      <c r="M4274" s="23"/>
      <c r="N4274" s="23"/>
      <c r="P4274" s="23"/>
    </row>
    <row r="4275" spans="2:16" x14ac:dyDescent="0.25">
      <c r="B4275" s="23"/>
      <c r="E4275" s="23"/>
      <c r="G4275" s="23"/>
      <c r="H4275" s="23"/>
      <c r="J4275" s="23"/>
      <c r="K4275" s="23"/>
      <c r="M4275" s="23"/>
      <c r="N4275" s="23"/>
      <c r="P4275" s="23"/>
    </row>
    <row r="4276" spans="2:16" x14ac:dyDescent="0.25">
      <c r="B4276" s="23"/>
      <c r="E4276" s="23"/>
      <c r="G4276" s="23"/>
      <c r="H4276" s="23"/>
      <c r="J4276" s="23"/>
      <c r="K4276" s="23"/>
      <c r="M4276" s="23"/>
      <c r="N4276" s="23"/>
      <c r="P4276" s="23"/>
    </row>
    <row r="4277" spans="2:16" x14ac:dyDescent="0.25">
      <c r="B4277" s="23"/>
      <c r="E4277" s="23"/>
      <c r="G4277" s="23"/>
      <c r="H4277" s="23"/>
      <c r="J4277" s="23"/>
      <c r="K4277" s="23"/>
      <c r="M4277" s="23"/>
      <c r="N4277" s="23"/>
      <c r="P4277" s="23"/>
    </row>
    <row r="4278" spans="2:16" x14ac:dyDescent="0.25">
      <c r="B4278" s="23"/>
      <c r="E4278" s="23"/>
      <c r="G4278" s="23"/>
      <c r="H4278" s="23"/>
      <c r="J4278" s="23"/>
      <c r="K4278" s="23"/>
      <c r="M4278" s="23"/>
      <c r="N4278" s="23"/>
      <c r="P4278" s="23"/>
    </row>
    <row r="4279" spans="2:16" x14ac:dyDescent="0.25">
      <c r="B4279" s="23"/>
      <c r="E4279" s="23"/>
      <c r="G4279" s="23"/>
      <c r="H4279" s="23"/>
      <c r="J4279" s="23"/>
      <c r="K4279" s="23"/>
      <c r="M4279" s="23"/>
      <c r="N4279" s="23"/>
      <c r="P4279" s="23"/>
    </row>
    <row r="4280" spans="2:16" x14ac:dyDescent="0.25">
      <c r="B4280" s="23"/>
      <c r="E4280" s="23"/>
      <c r="G4280" s="23"/>
      <c r="H4280" s="23"/>
      <c r="J4280" s="23"/>
      <c r="K4280" s="23"/>
      <c r="M4280" s="23"/>
      <c r="N4280" s="23"/>
      <c r="P4280" s="23"/>
    </row>
    <row r="4281" spans="2:16" x14ac:dyDescent="0.25">
      <c r="B4281" s="23"/>
      <c r="E4281" s="23"/>
      <c r="G4281" s="23"/>
      <c r="H4281" s="23"/>
      <c r="J4281" s="23"/>
      <c r="K4281" s="23"/>
      <c r="M4281" s="23"/>
      <c r="N4281" s="23"/>
      <c r="P4281" s="23"/>
    </row>
    <row r="4282" spans="2:16" x14ac:dyDescent="0.25">
      <c r="B4282" s="23"/>
      <c r="E4282" s="23"/>
      <c r="G4282" s="23"/>
      <c r="H4282" s="23"/>
      <c r="J4282" s="23"/>
      <c r="K4282" s="23"/>
      <c r="M4282" s="23"/>
      <c r="N4282" s="23"/>
      <c r="P4282" s="23"/>
    </row>
    <row r="4283" spans="2:16" x14ac:dyDescent="0.25">
      <c r="B4283" s="23"/>
      <c r="E4283" s="23"/>
      <c r="G4283" s="23"/>
      <c r="H4283" s="23"/>
      <c r="J4283" s="23"/>
      <c r="K4283" s="23"/>
      <c r="M4283" s="23"/>
      <c r="N4283" s="23"/>
      <c r="P4283" s="23"/>
    </row>
    <row r="4284" spans="2:16" x14ac:dyDescent="0.25">
      <c r="B4284" s="23"/>
      <c r="E4284" s="23"/>
      <c r="G4284" s="23"/>
      <c r="H4284" s="23"/>
      <c r="J4284" s="23"/>
      <c r="K4284" s="23"/>
      <c r="M4284" s="23"/>
      <c r="N4284" s="23"/>
      <c r="P4284" s="23"/>
    </row>
    <row r="4285" spans="2:16" x14ac:dyDescent="0.25">
      <c r="B4285" s="23"/>
      <c r="E4285" s="23"/>
      <c r="G4285" s="23"/>
      <c r="H4285" s="23"/>
      <c r="J4285" s="23"/>
      <c r="K4285" s="23"/>
      <c r="M4285" s="23"/>
      <c r="N4285" s="23"/>
      <c r="P4285" s="23"/>
    </row>
    <row r="4286" spans="2:16" x14ac:dyDescent="0.25">
      <c r="B4286" s="23"/>
      <c r="E4286" s="23"/>
      <c r="G4286" s="23"/>
      <c r="H4286" s="23"/>
      <c r="J4286" s="23"/>
      <c r="K4286" s="23"/>
      <c r="M4286" s="23"/>
      <c r="N4286" s="23"/>
      <c r="P4286" s="23"/>
    </row>
    <row r="4287" spans="2:16" x14ac:dyDescent="0.25">
      <c r="B4287" s="23"/>
      <c r="E4287" s="23"/>
      <c r="G4287" s="23"/>
      <c r="H4287" s="23"/>
      <c r="J4287" s="23"/>
      <c r="K4287" s="23"/>
      <c r="M4287" s="23"/>
      <c r="N4287" s="23"/>
      <c r="P4287" s="23"/>
    </row>
    <row r="4288" spans="2:16" x14ac:dyDescent="0.25">
      <c r="B4288" s="23"/>
      <c r="E4288" s="23"/>
      <c r="G4288" s="23"/>
      <c r="H4288" s="23"/>
      <c r="J4288" s="23"/>
      <c r="K4288" s="23"/>
      <c r="M4288" s="23"/>
      <c r="N4288" s="23"/>
      <c r="P4288" s="23"/>
    </row>
    <row r="4289" spans="2:16" x14ac:dyDescent="0.25">
      <c r="B4289" s="23"/>
      <c r="E4289" s="23"/>
      <c r="G4289" s="23"/>
      <c r="H4289" s="23"/>
      <c r="J4289" s="23"/>
      <c r="K4289" s="23"/>
      <c r="M4289" s="23"/>
      <c r="N4289" s="23"/>
      <c r="P4289" s="23"/>
    </row>
    <row r="4290" spans="2:16" x14ac:dyDescent="0.25">
      <c r="B4290" s="23"/>
      <c r="E4290" s="23"/>
      <c r="G4290" s="23"/>
      <c r="H4290" s="23"/>
      <c r="J4290" s="23"/>
      <c r="K4290" s="23"/>
      <c r="M4290" s="23"/>
      <c r="N4290" s="23"/>
      <c r="P4290" s="23"/>
    </row>
    <row r="4291" spans="2:16" x14ac:dyDescent="0.25">
      <c r="B4291" s="23"/>
      <c r="E4291" s="23"/>
      <c r="G4291" s="23"/>
      <c r="H4291" s="23"/>
      <c r="J4291" s="23"/>
      <c r="K4291" s="23"/>
      <c r="M4291" s="23"/>
      <c r="N4291" s="23"/>
      <c r="P4291" s="23"/>
    </row>
    <row r="4292" spans="2:16" x14ac:dyDescent="0.25">
      <c r="B4292" s="23"/>
      <c r="E4292" s="23"/>
      <c r="G4292" s="23"/>
      <c r="H4292" s="23"/>
      <c r="J4292" s="23"/>
      <c r="K4292" s="23"/>
      <c r="M4292" s="23"/>
      <c r="N4292" s="23"/>
      <c r="P4292" s="23"/>
    </row>
    <row r="4293" spans="2:16" x14ac:dyDescent="0.25">
      <c r="B4293" s="23"/>
      <c r="E4293" s="23"/>
      <c r="G4293" s="23"/>
      <c r="H4293" s="23"/>
      <c r="J4293" s="23"/>
      <c r="K4293" s="23"/>
      <c r="M4293" s="23"/>
      <c r="N4293" s="23"/>
      <c r="P4293" s="23"/>
    </row>
    <row r="4294" spans="2:16" x14ac:dyDescent="0.25">
      <c r="B4294" s="23"/>
      <c r="E4294" s="23"/>
      <c r="G4294" s="23"/>
      <c r="H4294" s="23"/>
      <c r="J4294" s="23"/>
      <c r="K4294" s="23"/>
      <c r="M4294" s="23"/>
      <c r="N4294" s="23"/>
      <c r="P4294" s="23"/>
    </row>
    <row r="4295" spans="2:16" x14ac:dyDescent="0.25">
      <c r="B4295" s="23"/>
      <c r="E4295" s="23"/>
      <c r="G4295" s="23"/>
      <c r="H4295" s="23"/>
      <c r="J4295" s="23"/>
      <c r="K4295" s="23"/>
      <c r="M4295" s="23"/>
      <c r="N4295" s="23"/>
      <c r="P4295" s="23"/>
    </row>
    <row r="4296" spans="2:16" x14ac:dyDescent="0.25">
      <c r="B4296" s="23"/>
      <c r="E4296" s="23"/>
      <c r="G4296" s="23"/>
      <c r="H4296" s="23"/>
      <c r="J4296" s="23"/>
      <c r="K4296" s="23"/>
      <c r="M4296" s="23"/>
      <c r="N4296" s="23"/>
      <c r="P4296" s="23"/>
    </row>
    <row r="4297" spans="2:16" x14ac:dyDescent="0.25">
      <c r="B4297" s="23"/>
      <c r="E4297" s="23"/>
      <c r="G4297" s="23"/>
      <c r="H4297" s="23"/>
      <c r="J4297" s="23"/>
      <c r="K4297" s="23"/>
      <c r="M4297" s="23"/>
      <c r="N4297" s="23"/>
      <c r="P4297" s="23"/>
    </row>
    <row r="4298" spans="2:16" x14ac:dyDescent="0.25">
      <c r="B4298" s="23"/>
      <c r="E4298" s="23"/>
      <c r="G4298" s="23"/>
      <c r="H4298" s="23"/>
      <c r="J4298" s="23"/>
      <c r="K4298" s="23"/>
      <c r="M4298" s="23"/>
      <c r="N4298" s="23"/>
      <c r="P4298" s="23"/>
    </row>
    <row r="4299" spans="2:16" x14ac:dyDescent="0.25">
      <c r="B4299" s="23"/>
      <c r="E4299" s="23"/>
      <c r="G4299" s="23"/>
      <c r="H4299" s="23"/>
      <c r="J4299" s="23"/>
      <c r="K4299" s="23"/>
      <c r="M4299" s="23"/>
      <c r="N4299" s="23"/>
      <c r="P4299" s="23"/>
    </row>
    <row r="4300" spans="2:16" x14ac:dyDescent="0.25">
      <c r="B4300" s="23"/>
      <c r="E4300" s="23"/>
      <c r="G4300" s="23"/>
      <c r="H4300" s="23"/>
      <c r="J4300" s="23"/>
      <c r="K4300" s="23"/>
      <c r="M4300" s="23"/>
      <c r="N4300" s="23"/>
      <c r="P4300" s="23"/>
    </row>
    <row r="4301" spans="2:16" x14ac:dyDescent="0.25">
      <c r="B4301" s="23"/>
      <c r="E4301" s="23"/>
      <c r="G4301" s="23"/>
      <c r="H4301" s="23"/>
      <c r="J4301" s="23"/>
      <c r="K4301" s="23"/>
      <c r="M4301" s="23"/>
      <c r="N4301" s="23"/>
      <c r="P4301" s="23"/>
    </row>
    <row r="4302" spans="2:16" x14ac:dyDescent="0.25">
      <c r="B4302" s="23"/>
      <c r="E4302" s="23"/>
      <c r="G4302" s="23"/>
      <c r="H4302" s="23"/>
      <c r="J4302" s="23"/>
      <c r="K4302" s="23"/>
      <c r="M4302" s="23"/>
      <c r="N4302" s="23"/>
      <c r="P4302" s="23"/>
    </row>
    <row r="4303" spans="2:16" x14ac:dyDescent="0.25">
      <c r="B4303" s="23"/>
      <c r="E4303" s="23"/>
      <c r="G4303" s="23"/>
      <c r="H4303" s="23"/>
      <c r="J4303" s="23"/>
      <c r="K4303" s="23"/>
      <c r="M4303" s="23"/>
      <c r="N4303" s="23"/>
      <c r="P4303" s="23"/>
    </row>
    <row r="4304" spans="2:16" x14ac:dyDescent="0.25">
      <c r="B4304" s="23"/>
      <c r="E4304" s="23"/>
      <c r="G4304" s="23"/>
      <c r="H4304" s="23"/>
      <c r="J4304" s="23"/>
      <c r="K4304" s="23"/>
      <c r="M4304" s="23"/>
      <c r="N4304" s="23"/>
      <c r="P4304" s="23"/>
    </row>
    <row r="4305" spans="2:16" x14ac:dyDescent="0.25">
      <c r="B4305" s="23"/>
      <c r="E4305" s="23"/>
      <c r="G4305" s="23"/>
      <c r="H4305" s="23"/>
      <c r="J4305" s="23"/>
      <c r="K4305" s="23"/>
      <c r="M4305" s="23"/>
      <c r="N4305" s="23"/>
      <c r="P4305" s="23"/>
    </row>
    <row r="4306" spans="2:16" x14ac:dyDescent="0.25">
      <c r="B4306" s="23"/>
      <c r="E4306" s="23"/>
      <c r="G4306" s="23"/>
      <c r="H4306" s="23"/>
      <c r="J4306" s="23"/>
      <c r="K4306" s="23"/>
      <c r="M4306" s="23"/>
      <c r="N4306" s="23"/>
      <c r="P4306" s="23"/>
    </row>
    <row r="4307" spans="2:16" x14ac:dyDescent="0.25">
      <c r="B4307" s="23"/>
      <c r="E4307" s="23"/>
      <c r="G4307" s="23"/>
      <c r="H4307" s="23"/>
      <c r="J4307" s="23"/>
      <c r="K4307" s="23"/>
      <c r="M4307" s="23"/>
      <c r="N4307" s="23"/>
      <c r="P4307" s="23"/>
    </row>
    <row r="4308" spans="2:16" x14ac:dyDescent="0.25">
      <c r="B4308" s="23"/>
      <c r="E4308" s="23"/>
      <c r="G4308" s="23"/>
      <c r="H4308" s="23"/>
      <c r="J4308" s="23"/>
      <c r="K4308" s="23"/>
      <c r="M4308" s="23"/>
      <c r="N4308" s="23"/>
      <c r="P4308" s="23"/>
    </row>
    <row r="4309" spans="2:16" x14ac:dyDescent="0.25">
      <c r="B4309" s="23"/>
      <c r="E4309" s="23"/>
      <c r="G4309" s="23"/>
      <c r="H4309" s="23"/>
      <c r="J4309" s="23"/>
      <c r="K4309" s="23"/>
      <c r="M4309" s="23"/>
      <c r="N4309" s="23"/>
      <c r="P4309" s="23"/>
    </row>
    <row r="4310" spans="2:16" x14ac:dyDescent="0.25">
      <c r="B4310" s="23"/>
      <c r="E4310" s="23"/>
      <c r="G4310" s="23"/>
      <c r="H4310" s="23"/>
      <c r="J4310" s="23"/>
      <c r="K4310" s="23"/>
      <c r="M4310" s="23"/>
      <c r="N4310" s="23"/>
      <c r="P4310" s="23"/>
    </row>
    <row r="4311" spans="2:16" x14ac:dyDescent="0.25">
      <c r="B4311" s="23"/>
      <c r="E4311" s="23"/>
      <c r="G4311" s="23"/>
      <c r="H4311" s="23"/>
      <c r="J4311" s="23"/>
      <c r="K4311" s="23"/>
      <c r="M4311" s="23"/>
      <c r="N4311" s="23"/>
      <c r="P4311" s="23"/>
    </row>
    <row r="4312" spans="2:16" x14ac:dyDescent="0.25">
      <c r="B4312" s="23"/>
      <c r="E4312" s="23"/>
      <c r="G4312" s="23"/>
      <c r="H4312" s="23"/>
      <c r="J4312" s="23"/>
      <c r="K4312" s="23"/>
      <c r="M4312" s="23"/>
      <c r="N4312" s="23"/>
      <c r="P4312" s="23"/>
    </row>
    <row r="4313" spans="2:16" x14ac:dyDescent="0.25">
      <c r="B4313" s="23"/>
      <c r="E4313" s="23"/>
      <c r="G4313" s="23"/>
      <c r="H4313" s="23"/>
      <c r="J4313" s="23"/>
      <c r="K4313" s="23"/>
      <c r="M4313" s="23"/>
      <c r="N4313" s="23"/>
      <c r="P4313" s="23"/>
    </row>
    <row r="4314" spans="2:16" x14ac:dyDescent="0.25">
      <c r="B4314" s="23"/>
      <c r="E4314" s="23"/>
      <c r="G4314" s="23"/>
      <c r="H4314" s="23"/>
      <c r="J4314" s="23"/>
      <c r="K4314" s="23"/>
      <c r="M4314" s="23"/>
      <c r="N4314" s="23"/>
      <c r="P4314" s="23"/>
    </row>
    <row r="4315" spans="2:16" x14ac:dyDescent="0.25">
      <c r="B4315" s="23"/>
      <c r="E4315" s="23"/>
      <c r="G4315" s="23"/>
      <c r="H4315" s="23"/>
      <c r="J4315" s="23"/>
      <c r="K4315" s="23"/>
      <c r="M4315" s="23"/>
      <c r="N4315" s="23"/>
      <c r="P4315" s="23"/>
    </row>
    <row r="4316" spans="2:16" x14ac:dyDescent="0.25">
      <c r="B4316" s="23"/>
      <c r="E4316" s="23"/>
      <c r="G4316" s="23"/>
      <c r="H4316" s="23"/>
      <c r="J4316" s="23"/>
      <c r="K4316" s="23"/>
      <c r="M4316" s="23"/>
      <c r="N4316" s="23"/>
      <c r="P4316" s="23"/>
    </row>
    <row r="4317" spans="2:16" x14ac:dyDescent="0.25">
      <c r="B4317" s="23"/>
      <c r="E4317" s="23"/>
      <c r="G4317" s="23"/>
      <c r="H4317" s="23"/>
      <c r="J4317" s="23"/>
      <c r="K4317" s="23"/>
      <c r="M4317" s="23"/>
      <c r="N4317" s="23"/>
      <c r="P4317" s="23"/>
    </row>
    <row r="4318" spans="2:16" x14ac:dyDescent="0.25">
      <c r="B4318" s="23"/>
      <c r="E4318" s="23"/>
      <c r="G4318" s="23"/>
      <c r="H4318" s="23"/>
      <c r="J4318" s="23"/>
      <c r="K4318" s="23"/>
      <c r="M4318" s="23"/>
      <c r="N4318" s="23"/>
      <c r="P4318" s="23"/>
    </row>
    <row r="4319" spans="2:16" x14ac:dyDescent="0.25">
      <c r="B4319" s="23"/>
      <c r="E4319" s="23"/>
      <c r="G4319" s="23"/>
      <c r="H4319" s="23"/>
      <c r="J4319" s="23"/>
      <c r="K4319" s="23"/>
      <c r="M4319" s="23"/>
      <c r="N4319" s="23"/>
      <c r="P4319" s="23"/>
    </row>
    <row r="4320" spans="2:16" x14ac:dyDescent="0.25">
      <c r="B4320" s="23"/>
      <c r="E4320" s="23"/>
      <c r="G4320" s="23"/>
      <c r="H4320" s="23"/>
      <c r="J4320" s="23"/>
      <c r="K4320" s="23"/>
      <c r="M4320" s="23"/>
      <c r="N4320" s="23"/>
      <c r="P4320" s="23"/>
    </row>
    <row r="4321" spans="2:16" x14ac:dyDescent="0.25">
      <c r="B4321" s="23"/>
      <c r="E4321" s="23"/>
      <c r="G4321" s="23"/>
      <c r="H4321" s="23"/>
      <c r="J4321" s="23"/>
      <c r="K4321" s="23"/>
      <c r="M4321" s="23"/>
      <c r="N4321" s="23"/>
      <c r="P4321" s="23"/>
    </row>
    <row r="4322" spans="2:16" x14ac:dyDescent="0.25">
      <c r="B4322" s="23"/>
      <c r="E4322" s="23"/>
      <c r="G4322" s="23"/>
      <c r="H4322" s="23"/>
      <c r="J4322" s="23"/>
      <c r="K4322" s="23"/>
      <c r="M4322" s="23"/>
      <c r="N4322" s="23"/>
      <c r="P4322" s="23"/>
    </row>
    <row r="4323" spans="2:16" x14ac:dyDescent="0.25">
      <c r="B4323" s="23"/>
      <c r="E4323" s="23"/>
      <c r="G4323" s="23"/>
      <c r="H4323" s="23"/>
      <c r="J4323" s="23"/>
      <c r="K4323" s="23"/>
      <c r="M4323" s="23"/>
      <c r="N4323" s="23"/>
      <c r="P4323" s="23"/>
    </row>
    <row r="4324" spans="2:16" x14ac:dyDescent="0.25">
      <c r="B4324" s="23"/>
      <c r="E4324" s="23"/>
      <c r="G4324" s="23"/>
      <c r="H4324" s="23"/>
      <c r="J4324" s="23"/>
      <c r="K4324" s="23"/>
      <c r="M4324" s="23"/>
      <c r="N4324" s="23"/>
      <c r="P4324" s="23"/>
    </row>
    <row r="4325" spans="2:16" x14ac:dyDescent="0.25">
      <c r="B4325" s="23"/>
      <c r="E4325" s="23"/>
      <c r="G4325" s="23"/>
      <c r="H4325" s="23"/>
      <c r="J4325" s="23"/>
      <c r="K4325" s="23"/>
      <c r="M4325" s="23"/>
      <c r="N4325" s="23"/>
      <c r="P4325" s="23"/>
    </row>
    <row r="4326" spans="2:16" x14ac:dyDescent="0.25">
      <c r="B4326" s="23"/>
      <c r="E4326" s="23"/>
      <c r="G4326" s="23"/>
      <c r="H4326" s="23"/>
      <c r="J4326" s="23"/>
      <c r="K4326" s="23"/>
      <c r="M4326" s="23"/>
      <c r="N4326" s="23"/>
      <c r="P4326" s="23"/>
    </row>
    <row r="4327" spans="2:16" x14ac:dyDescent="0.25">
      <c r="B4327" s="23"/>
      <c r="E4327" s="23"/>
      <c r="G4327" s="23"/>
      <c r="H4327" s="23"/>
      <c r="J4327" s="23"/>
      <c r="K4327" s="23"/>
      <c r="M4327" s="23"/>
      <c r="N4327" s="23"/>
      <c r="P4327" s="23"/>
    </row>
    <row r="4328" spans="2:16" x14ac:dyDescent="0.25">
      <c r="B4328" s="23"/>
      <c r="E4328" s="23"/>
      <c r="G4328" s="23"/>
      <c r="H4328" s="23"/>
      <c r="J4328" s="23"/>
      <c r="K4328" s="23"/>
      <c r="M4328" s="23"/>
      <c r="N4328" s="23"/>
      <c r="P4328" s="23"/>
    </row>
    <row r="4329" spans="2:16" x14ac:dyDescent="0.25">
      <c r="B4329" s="23"/>
      <c r="E4329" s="23"/>
      <c r="G4329" s="23"/>
      <c r="H4329" s="23"/>
      <c r="J4329" s="23"/>
      <c r="K4329" s="23"/>
      <c r="M4329" s="23"/>
      <c r="N4329" s="23"/>
      <c r="P4329" s="23"/>
    </row>
    <row r="4330" spans="2:16" x14ac:dyDescent="0.25">
      <c r="B4330" s="23"/>
      <c r="E4330" s="23"/>
      <c r="G4330" s="23"/>
      <c r="H4330" s="23"/>
      <c r="J4330" s="23"/>
      <c r="K4330" s="23"/>
      <c r="M4330" s="23"/>
      <c r="N4330" s="23"/>
      <c r="P4330" s="23"/>
    </row>
    <row r="4331" spans="2:16" x14ac:dyDescent="0.25">
      <c r="B4331" s="23"/>
      <c r="E4331" s="23"/>
      <c r="G4331" s="23"/>
      <c r="H4331" s="23"/>
      <c r="J4331" s="23"/>
      <c r="K4331" s="23"/>
      <c r="M4331" s="23"/>
      <c r="N4331" s="23"/>
      <c r="P4331" s="23"/>
    </row>
    <row r="4332" spans="2:16" x14ac:dyDescent="0.25">
      <c r="B4332" s="23"/>
      <c r="E4332" s="23"/>
      <c r="G4332" s="23"/>
      <c r="H4332" s="23"/>
      <c r="J4332" s="23"/>
      <c r="K4332" s="23"/>
      <c r="M4332" s="23"/>
      <c r="N4332" s="23"/>
      <c r="P4332" s="23"/>
    </row>
    <row r="4333" spans="2:16" x14ac:dyDescent="0.25">
      <c r="B4333" s="23"/>
      <c r="E4333" s="23"/>
      <c r="G4333" s="23"/>
      <c r="H4333" s="23"/>
      <c r="J4333" s="23"/>
      <c r="K4333" s="23"/>
      <c r="M4333" s="23"/>
      <c r="N4333" s="23"/>
      <c r="P4333" s="23"/>
    </row>
    <row r="4334" spans="2:16" x14ac:dyDescent="0.25">
      <c r="B4334" s="23"/>
      <c r="E4334" s="23"/>
      <c r="G4334" s="23"/>
      <c r="H4334" s="23"/>
      <c r="J4334" s="23"/>
      <c r="K4334" s="23"/>
      <c r="M4334" s="23"/>
      <c r="N4334" s="23"/>
      <c r="P4334" s="23"/>
    </row>
    <row r="4335" spans="2:16" x14ac:dyDescent="0.25">
      <c r="B4335" s="23"/>
      <c r="E4335" s="23"/>
      <c r="G4335" s="23"/>
      <c r="H4335" s="23"/>
      <c r="J4335" s="23"/>
      <c r="K4335" s="23"/>
      <c r="M4335" s="23"/>
      <c r="N4335" s="23"/>
      <c r="P4335" s="23"/>
    </row>
    <row r="4336" spans="2:16" x14ac:dyDescent="0.25">
      <c r="B4336" s="23"/>
      <c r="E4336" s="23"/>
      <c r="G4336" s="23"/>
      <c r="H4336" s="23"/>
      <c r="J4336" s="23"/>
      <c r="K4336" s="23"/>
      <c r="M4336" s="23"/>
      <c r="N4336" s="23"/>
      <c r="P4336" s="23"/>
    </row>
    <row r="4337" spans="2:16" x14ac:dyDescent="0.25">
      <c r="B4337" s="23"/>
      <c r="E4337" s="23"/>
      <c r="G4337" s="23"/>
      <c r="H4337" s="23"/>
      <c r="J4337" s="23"/>
      <c r="K4337" s="23"/>
      <c r="M4337" s="23"/>
      <c r="N4337" s="23"/>
      <c r="P4337" s="23"/>
    </row>
    <row r="4338" spans="2:16" x14ac:dyDescent="0.25">
      <c r="B4338" s="23"/>
      <c r="E4338" s="23"/>
      <c r="G4338" s="23"/>
      <c r="H4338" s="23"/>
      <c r="J4338" s="23"/>
      <c r="K4338" s="23"/>
      <c r="M4338" s="23"/>
      <c r="N4338" s="23"/>
      <c r="P4338" s="23"/>
    </row>
    <row r="4339" spans="2:16" x14ac:dyDescent="0.25">
      <c r="B4339" s="23"/>
      <c r="E4339" s="23"/>
      <c r="G4339" s="23"/>
      <c r="H4339" s="23"/>
      <c r="J4339" s="23"/>
      <c r="K4339" s="23"/>
      <c r="M4339" s="23"/>
      <c r="N4339" s="23"/>
      <c r="P4339" s="23"/>
    </row>
    <row r="4340" spans="2:16" x14ac:dyDescent="0.25">
      <c r="B4340" s="23"/>
      <c r="E4340" s="23"/>
      <c r="G4340" s="23"/>
      <c r="H4340" s="23"/>
      <c r="J4340" s="23"/>
      <c r="K4340" s="23"/>
      <c r="M4340" s="23"/>
      <c r="N4340" s="23"/>
      <c r="P4340" s="23"/>
    </row>
    <row r="4341" spans="2:16" x14ac:dyDescent="0.25">
      <c r="B4341" s="23"/>
      <c r="E4341" s="23"/>
      <c r="G4341" s="23"/>
      <c r="H4341" s="23"/>
      <c r="J4341" s="23"/>
      <c r="K4341" s="23"/>
      <c r="M4341" s="23"/>
      <c r="N4341" s="23"/>
      <c r="P4341" s="23"/>
    </row>
    <row r="4342" spans="2:16" x14ac:dyDescent="0.25">
      <c r="B4342" s="23"/>
      <c r="E4342" s="23"/>
      <c r="G4342" s="23"/>
      <c r="H4342" s="23"/>
      <c r="J4342" s="23"/>
      <c r="K4342" s="23"/>
      <c r="M4342" s="23"/>
      <c r="N4342" s="23"/>
      <c r="P4342" s="23"/>
    </row>
    <row r="4343" spans="2:16" x14ac:dyDescent="0.25">
      <c r="B4343" s="23"/>
      <c r="E4343" s="23"/>
      <c r="G4343" s="23"/>
      <c r="H4343" s="23"/>
      <c r="J4343" s="23"/>
      <c r="K4343" s="23"/>
      <c r="M4343" s="23"/>
      <c r="N4343" s="23"/>
      <c r="P4343" s="23"/>
    </row>
    <row r="4344" spans="2:16" x14ac:dyDescent="0.25">
      <c r="B4344" s="23"/>
      <c r="E4344" s="23"/>
      <c r="G4344" s="23"/>
      <c r="H4344" s="23"/>
      <c r="J4344" s="23"/>
      <c r="K4344" s="23"/>
      <c r="M4344" s="23"/>
      <c r="N4344" s="23"/>
      <c r="P4344" s="23"/>
    </row>
    <row r="4345" spans="2:16" x14ac:dyDescent="0.25">
      <c r="B4345" s="23"/>
      <c r="E4345" s="23"/>
      <c r="G4345" s="23"/>
      <c r="H4345" s="23"/>
      <c r="J4345" s="23"/>
      <c r="K4345" s="23"/>
      <c r="M4345" s="23"/>
      <c r="N4345" s="23"/>
      <c r="P4345" s="23"/>
    </row>
    <row r="4346" spans="2:16" x14ac:dyDescent="0.25">
      <c r="B4346" s="23"/>
      <c r="E4346" s="23"/>
      <c r="G4346" s="23"/>
      <c r="H4346" s="23"/>
      <c r="J4346" s="23"/>
      <c r="K4346" s="23"/>
      <c r="M4346" s="23"/>
      <c r="N4346" s="23"/>
      <c r="P4346" s="23"/>
    </row>
    <row r="4347" spans="2:16" x14ac:dyDescent="0.25">
      <c r="B4347" s="23"/>
      <c r="E4347" s="23"/>
      <c r="G4347" s="23"/>
      <c r="H4347" s="23"/>
      <c r="J4347" s="23"/>
      <c r="K4347" s="23"/>
      <c r="M4347" s="23"/>
      <c r="N4347" s="23"/>
      <c r="P4347" s="23"/>
    </row>
    <row r="4348" spans="2:16" x14ac:dyDescent="0.25">
      <c r="B4348" s="23"/>
      <c r="E4348" s="23"/>
      <c r="G4348" s="23"/>
      <c r="H4348" s="23"/>
      <c r="J4348" s="23"/>
      <c r="K4348" s="23"/>
      <c r="M4348" s="23"/>
      <c r="N4348" s="23"/>
      <c r="P4348" s="23"/>
    </row>
    <row r="4349" spans="2:16" x14ac:dyDescent="0.25">
      <c r="B4349" s="23"/>
      <c r="E4349" s="23"/>
      <c r="G4349" s="23"/>
      <c r="H4349" s="23"/>
      <c r="J4349" s="23"/>
      <c r="K4349" s="23"/>
      <c r="M4349" s="23"/>
      <c r="N4349" s="23"/>
      <c r="P4349" s="23"/>
    </row>
    <row r="4350" spans="2:16" x14ac:dyDescent="0.25">
      <c r="B4350" s="23"/>
      <c r="E4350" s="23"/>
      <c r="G4350" s="23"/>
      <c r="H4350" s="23"/>
      <c r="J4350" s="23"/>
      <c r="K4350" s="23"/>
      <c r="M4350" s="23"/>
      <c r="N4350" s="23"/>
      <c r="P4350" s="23"/>
    </row>
    <row r="4351" spans="2:16" x14ac:dyDescent="0.25">
      <c r="B4351" s="23"/>
      <c r="E4351" s="23"/>
      <c r="G4351" s="23"/>
      <c r="H4351" s="23"/>
      <c r="J4351" s="23"/>
      <c r="K4351" s="23"/>
      <c r="M4351" s="23"/>
      <c r="N4351" s="23"/>
      <c r="P4351" s="23"/>
    </row>
    <row r="4352" spans="2:16" x14ac:dyDescent="0.25">
      <c r="B4352" s="23"/>
      <c r="E4352" s="23"/>
      <c r="G4352" s="23"/>
      <c r="H4352" s="23"/>
      <c r="J4352" s="23"/>
      <c r="K4352" s="23"/>
      <c r="M4352" s="23"/>
      <c r="N4352" s="23"/>
      <c r="P4352" s="23"/>
    </row>
    <row r="4353" spans="2:16" x14ac:dyDescent="0.25">
      <c r="B4353" s="23"/>
      <c r="E4353" s="23"/>
      <c r="G4353" s="23"/>
      <c r="H4353" s="23"/>
      <c r="J4353" s="23"/>
      <c r="K4353" s="23"/>
      <c r="M4353" s="23"/>
      <c r="N4353" s="23"/>
      <c r="P4353" s="23"/>
    </row>
    <row r="4354" spans="2:16" x14ac:dyDescent="0.25">
      <c r="B4354" s="23"/>
      <c r="E4354" s="23"/>
      <c r="G4354" s="23"/>
      <c r="H4354" s="23"/>
      <c r="J4354" s="23"/>
      <c r="K4354" s="23"/>
      <c r="M4354" s="23"/>
      <c r="N4354" s="23"/>
      <c r="P4354" s="23"/>
    </row>
    <row r="4355" spans="2:16" x14ac:dyDescent="0.25">
      <c r="B4355" s="23"/>
      <c r="E4355" s="23"/>
      <c r="G4355" s="23"/>
      <c r="H4355" s="23"/>
      <c r="J4355" s="23"/>
      <c r="K4355" s="23"/>
      <c r="M4355" s="23"/>
      <c r="N4355" s="23"/>
      <c r="P4355" s="23"/>
    </row>
    <row r="4356" spans="2:16" x14ac:dyDescent="0.25">
      <c r="B4356" s="23"/>
      <c r="E4356" s="23"/>
      <c r="G4356" s="23"/>
      <c r="H4356" s="23"/>
      <c r="J4356" s="23"/>
      <c r="K4356" s="23"/>
      <c r="M4356" s="23"/>
      <c r="N4356" s="23"/>
      <c r="P4356" s="23"/>
    </row>
    <row r="4357" spans="2:16" x14ac:dyDescent="0.25">
      <c r="B4357" s="23"/>
      <c r="E4357" s="23"/>
      <c r="G4357" s="23"/>
      <c r="H4357" s="23"/>
      <c r="J4357" s="23"/>
      <c r="K4357" s="23"/>
      <c r="M4357" s="23"/>
      <c r="N4357" s="23"/>
      <c r="P4357" s="23"/>
    </row>
    <row r="4358" spans="2:16" x14ac:dyDescent="0.25">
      <c r="B4358" s="23"/>
      <c r="E4358" s="23"/>
      <c r="G4358" s="23"/>
      <c r="H4358" s="23"/>
      <c r="J4358" s="23"/>
      <c r="K4358" s="23"/>
      <c r="M4358" s="23"/>
      <c r="N4358" s="23"/>
      <c r="P4358" s="23"/>
    </row>
    <row r="4359" spans="2:16" x14ac:dyDescent="0.25">
      <c r="B4359" s="23"/>
      <c r="E4359" s="23"/>
      <c r="G4359" s="23"/>
      <c r="H4359" s="23"/>
      <c r="J4359" s="23"/>
      <c r="K4359" s="23"/>
      <c r="M4359" s="23"/>
      <c r="N4359" s="23"/>
      <c r="P4359" s="23"/>
    </row>
    <row r="4360" spans="2:16" x14ac:dyDescent="0.25">
      <c r="B4360" s="23"/>
      <c r="E4360" s="23"/>
      <c r="G4360" s="23"/>
      <c r="H4360" s="23"/>
      <c r="J4360" s="23"/>
      <c r="K4360" s="23"/>
      <c r="M4360" s="23"/>
      <c r="N4360" s="23"/>
      <c r="P4360" s="23"/>
    </row>
    <row r="4361" spans="2:16" x14ac:dyDescent="0.25">
      <c r="B4361" s="23"/>
      <c r="E4361" s="23"/>
      <c r="G4361" s="23"/>
      <c r="H4361" s="23"/>
      <c r="J4361" s="23"/>
      <c r="K4361" s="23"/>
      <c r="M4361" s="23"/>
      <c r="N4361" s="23"/>
      <c r="P4361" s="23"/>
    </row>
    <row r="4362" spans="2:16" x14ac:dyDescent="0.25">
      <c r="B4362" s="23"/>
      <c r="E4362" s="23"/>
      <c r="G4362" s="23"/>
      <c r="H4362" s="23"/>
      <c r="J4362" s="23"/>
      <c r="K4362" s="23"/>
      <c r="M4362" s="23"/>
      <c r="N4362" s="23"/>
      <c r="P4362" s="23"/>
    </row>
    <row r="4363" spans="2:16" x14ac:dyDescent="0.25">
      <c r="B4363" s="23"/>
      <c r="E4363" s="23"/>
      <c r="G4363" s="23"/>
      <c r="H4363" s="23"/>
      <c r="J4363" s="23"/>
      <c r="K4363" s="23"/>
      <c r="M4363" s="23"/>
      <c r="N4363" s="23"/>
      <c r="P4363" s="23"/>
    </row>
    <row r="4364" spans="2:16" x14ac:dyDescent="0.25">
      <c r="B4364" s="23"/>
      <c r="E4364" s="23"/>
      <c r="G4364" s="23"/>
      <c r="H4364" s="23"/>
      <c r="J4364" s="23"/>
      <c r="K4364" s="23"/>
      <c r="M4364" s="23"/>
      <c r="N4364" s="23"/>
      <c r="P4364" s="23"/>
    </row>
    <row r="4365" spans="2:16" x14ac:dyDescent="0.25">
      <c r="B4365" s="23"/>
      <c r="E4365" s="23"/>
      <c r="G4365" s="23"/>
      <c r="H4365" s="23"/>
      <c r="J4365" s="23"/>
      <c r="K4365" s="23"/>
      <c r="M4365" s="23"/>
      <c r="N4365" s="23"/>
      <c r="P4365" s="23"/>
    </row>
    <row r="4366" spans="2:16" x14ac:dyDescent="0.25">
      <c r="B4366" s="23"/>
      <c r="E4366" s="23"/>
      <c r="G4366" s="23"/>
      <c r="H4366" s="23"/>
      <c r="J4366" s="23"/>
      <c r="K4366" s="23"/>
      <c r="M4366" s="23"/>
      <c r="N4366" s="23"/>
      <c r="P4366" s="23"/>
    </row>
    <row r="4367" spans="2:16" x14ac:dyDescent="0.25">
      <c r="B4367" s="23"/>
      <c r="E4367" s="23"/>
      <c r="G4367" s="23"/>
      <c r="H4367" s="23"/>
      <c r="J4367" s="23"/>
      <c r="K4367" s="23"/>
      <c r="M4367" s="23"/>
      <c r="N4367" s="23"/>
      <c r="P4367" s="23"/>
    </row>
    <row r="4368" spans="2:16" x14ac:dyDescent="0.25">
      <c r="B4368" s="23"/>
      <c r="E4368" s="23"/>
      <c r="G4368" s="23"/>
      <c r="H4368" s="23"/>
      <c r="J4368" s="23"/>
      <c r="K4368" s="23"/>
      <c r="M4368" s="23"/>
      <c r="N4368" s="23"/>
      <c r="P4368" s="23"/>
    </row>
    <row r="4369" spans="2:16" x14ac:dyDescent="0.25">
      <c r="B4369" s="23"/>
      <c r="E4369" s="23"/>
      <c r="G4369" s="23"/>
      <c r="H4369" s="23"/>
      <c r="J4369" s="23"/>
      <c r="K4369" s="23"/>
      <c r="M4369" s="23"/>
      <c r="N4369" s="23"/>
      <c r="P4369" s="23"/>
    </row>
    <row r="4370" spans="2:16" x14ac:dyDescent="0.25">
      <c r="B4370" s="23"/>
      <c r="E4370" s="23"/>
      <c r="G4370" s="23"/>
      <c r="H4370" s="23"/>
      <c r="J4370" s="23"/>
      <c r="K4370" s="23"/>
      <c r="M4370" s="23"/>
      <c r="N4370" s="23"/>
      <c r="P4370" s="23"/>
    </row>
    <row r="4371" spans="2:16" x14ac:dyDescent="0.25">
      <c r="B4371" s="23"/>
      <c r="E4371" s="23"/>
      <c r="G4371" s="23"/>
      <c r="H4371" s="23"/>
      <c r="J4371" s="23"/>
      <c r="K4371" s="23"/>
      <c r="M4371" s="23"/>
      <c r="N4371" s="23"/>
      <c r="P4371" s="23"/>
    </row>
    <row r="4372" spans="2:16" x14ac:dyDescent="0.25">
      <c r="B4372" s="23"/>
      <c r="E4372" s="23"/>
      <c r="G4372" s="23"/>
      <c r="H4372" s="23"/>
      <c r="J4372" s="23"/>
      <c r="K4372" s="23"/>
      <c r="M4372" s="23"/>
      <c r="N4372" s="23"/>
      <c r="P4372" s="23"/>
    </row>
    <row r="4373" spans="2:16" x14ac:dyDescent="0.25">
      <c r="B4373" s="23"/>
      <c r="E4373" s="23"/>
      <c r="G4373" s="23"/>
      <c r="H4373" s="23"/>
      <c r="J4373" s="23"/>
      <c r="K4373" s="23"/>
      <c r="M4373" s="23"/>
      <c r="N4373" s="23"/>
      <c r="P4373" s="23"/>
    </row>
    <row r="4374" spans="2:16" x14ac:dyDescent="0.25">
      <c r="B4374" s="23"/>
      <c r="E4374" s="23"/>
      <c r="G4374" s="23"/>
      <c r="H4374" s="23"/>
      <c r="J4374" s="23"/>
      <c r="K4374" s="23"/>
      <c r="M4374" s="23"/>
      <c r="N4374" s="23"/>
      <c r="P4374" s="23"/>
    </row>
    <row r="4375" spans="2:16" x14ac:dyDescent="0.25">
      <c r="B4375" s="23"/>
      <c r="E4375" s="23"/>
      <c r="G4375" s="23"/>
      <c r="H4375" s="23"/>
      <c r="J4375" s="23"/>
      <c r="K4375" s="23"/>
      <c r="M4375" s="23"/>
      <c r="N4375" s="23"/>
      <c r="P4375" s="23"/>
    </row>
    <row r="4376" spans="2:16" x14ac:dyDescent="0.25">
      <c r="B4376" s="23"/>
      <c r="E4376" s="23"/>
      <c r="G4376" s="23"/>
      <c r="H4376" s="23"/>
      <c r="J4376" s="23"/>
      <c r="K4376" s="23"/>
      <c r="M4376" s="23"/>
      <c r="N4376" s="23"/>
      <c r="P4376" s="23"/>
    </row>
    <row r="4377" spans="2:16" x14ac:dyDescent="0.25">
      <c r="B4377" s="23"/>
      <c r="E4377" s="23"/>
      <c r="G4377" s="23"/>
      <c r="H4377" s="23"/>
      <c r="J4377" s="23"/>
      <c r="K4377" s="23"/>
      <c r="M4377" s="23"/>
      <c r="N4377" s="23"/>
      <c r="P4377" s="23"/>
    </row>
    <row r="4378" spans="2:16" x14ac:dyDescent="0.25">
      <c r="B4378" s="23"/>
      <c r="E4378" s="23"/>
      <c r="G4378" s="23"/>
      <c r="H4378" s="23"/>
      <c r="J4378" s="23"/>
      <c r="K4378" s="23"/>
      <c r="M4378" s="23"/>
      <c r="N4378" s="23"/>
      <c r="P4378" s="23"/>
    </row>
    <row r="4379" spans="2:16" x14ac:dyDescent="0.25">
      <c r="B4379" s="23"/>
      <c r="E4379" s="23"/>
      <c r="G4379" s="23"/>
      <c r="H4379" s="23"/>
      <c r="J4379" s="23"/>
      <c r="K4379" s="23"/>
      <c r="M4379" s="23"/>
      <c r="N4379" s="23"/>
      <c r="P4379" s="23"/>
    </row>
    <row r="4380" spans="2:16" x14ac:dyDescent="0.25">
      <c r="B4380" s="23"/>
      <c r="E4380" s="23"/>
      <c r="G4380" s="23"/>
      <c r="H4380" s="23"/>
      <c r="J4380" s="23"/>
      <c r="K4380" s="23"/>
      <c r="M4380" s="23"/>
      <c r="N4380" s="23"/>
      <c r="P4380" s="23"/>
    </row>
    <row r="4381" spans="2:16" x14ac:dyDescent="0.25">
      <c r="B4381" s="23"/>
      <c r="E4381" s="23"/>
      <c r="G4381" s="23"/>
      <c r="H4381" s="23"/>
      <c r="J4381" s="23"/>
      <c r="K4381" s="23"/>
      <c r="M4381" s="23"/>
      <c r="N4381" s="23"/>
      <c r="P4381" s="23"/>
    </row>
    <row r="4382" spans="2:16" x14ac:dyDescent="0.25">
      <c r="B4382" s="23"/>
      <c r="E4382" s="23"/>
      <c r="G4382" s="23"/>
      <c r="H4382" s="23"/>
      <c r="J4382" s="23"/>
      <c r="K4382" s="23"/>
      <c r="M4382" s="23"/>
      <c r="N4382" s="23"/>
      <c r="P4382" s="23"/>
    </row>
    <row r="4383" spans="2:16" x14ac:dyDescent="0.25">
      <c r="B4383" s="23"/>
      <c r="E4383" s="23"/>
      <c r="G4383" s="23"/>
      <c r="H4383" s="23"/>
      <c r="J4383" s="23"/>
      <c r="K4383" s="23"/>
      <c r="M4383" s="23"/>
      <c r="N4383" s="23"/>
      <c r="P4383" s="23"/>
    </row>
    <row r="4384" spans="2:16" x14ac:dyDescent="0.25">
      <c r="B4384" s="23"/>
      <c r="E4384" s="23"/>
      <c r="G4384" s="23"/>
      <c r="H4384" s="23"/>
      <c r="J4384" s="23"/>
      <c r="K4384" s="23"/>
      <c r="M4384" s="23"/>
      <c r="N4384" s="23"/>
      <c r="P4384" s="23"/>
    </row>
    <row r="4385" spans="2:16" x14ac:dyDescent="0.25">
      <c r="B4385" s="23"/>
      <c r="E4385" s="23"/>
      <c r="G4385" s="23"/>
      <c r="H4385" s="23"/>
      <c r="J4385" s="23"/>
      <c r="K4385" s="23"/>
      <c r="M4385" s="23"/>
      <c r="N4385" s="23"/>
      <c r="P4385" s="23"/>
    </row>
    <row r="4386" spans="2:16" x14ac:dyDescent="0.25">
      <c r="B4386" s="23"/>
      <c r="E4386" s="23"/>
      <c r="G4386" s="23"/>
      <c r="H4386" s="23"/>
      <c r="J4386" s="23"/>
      <c r="K4386" s="23"/>
      <c r="M4386" s="23"/>
      <c r="N4386" s="23"/>
      <c r="P4386" s="23"/>
    </row>
    <row r="4387" spans="2:16" x14ac:dyDescent="0.25">
      <c r="B4387" s="23"/>
      <c r="E4387" s="23"/>
      <c r="G4387" s="23"/>
      <c r="H4387" s="23"/>
      <c r="J4387" s="23"/>
      <c r="K4387" s="23"/>
      <c r="M4387" s="23"/>
      <c r="N4387" s="23"/>
      <c r="P4387" s="23"/>
    </row>
    <row r="4388" spans="2:16" x14ac:dyDescent="0.25">
      <c r="B4388" s="23"/>
      <c r="E4388" s="23"/>
      <c r="G4388" s="23"/>
      <c r="H4388" s="23"/>
      <c r="J4388" s="23"/>
      <c r="K4388" s="23"/>
      <c r="M4388" s="23"/>
      <c r="N4388" s="23"/>
      <c r="P4388" s="23"/>
    </row>
    <row r="4389" spans="2:16" x14ac:dyDescent="0.25">
      <c r="B4389" s="23"/>
      <c r="E4389" s="23"/>
      <c r="G4389" s="23"/>
      <c r="H4389" s="23"/>
      <c r="J4389" s="23"/>
      <c r="K4389" s="23"/>
      <c r="M4389" s="23"/>
      <c r="N4389" s="23"/>
      <c r="P4389" s="23"/>
    </row>
    <row r="4390" spans="2:16" x14ac:dyDescent="0.25">
      <c r="B4390" s="23"/>
      <c r="E4390" s="23"/>
      <c r="G4390" s="23"/>
      <c r="H4390" s="23"/>
      <c r="J4390" s="23"/>
      <c r="K4390" s="23"/>
      <c r="M4390" s="23"/>
      <c r="N4390" s="23"/>
      <c r="P4390" s="23"/>
    </row>
    <row r="4391" spans="2:16" x14ac:dyDescent="0.25">
      <c r="B4391" s="23"/>
      <c r="E4391" s="23"/>
      <c r="G4391" s="23"/>
      <c r="H4391" s="23"/>
      <c r="J4391" s="23"/>
      <c r="K4391" s="23"/>
      <c r="M4391" s="23"/>
      <c r="N4391" s="23"/>
      <c r="P4391" s="23"/>
    </row>
    <row r="4392" spans="2:16" x14ac:dyDescent="0.25">
      <c r="B4392" s="23"/>
      <c r="E4392" s="23"/>
      <c r="G4392" s="23"/>
      <c r="H4392" s="23"/>
      <c r="J4392" s="23"/>
      <c r="K4392" s="23"/>
      <c r="M4392" s="23"/>
      <c r="N4392" s="23"/>
      <c r="P4392" s="23"/>
    </row>
    <row r="4393" spans="2:16" x14ac:dyDescent="0.25">
      <c r="B4393" s="23"/>
      <c r="E4393" s="23"/>
      <c r="G4393" s="23"/>
      <c r="H4393" s="23"/>
      <c r="J4393" s="23"/>
      <c r="K4393" s="23"/>
      <c r="M4393" s="23"/>
      <c r="N4393" s="23"/>
      <c r="P4393" s="23"/>
    </row>
    <row r="4394" spans="2:16" x14ac:dyDescent="0.25">
      <c r="B4394" s="23"/>
      <c r="E4394" s="23"/>
      <c r="G4394" s="23"/>
      <c r="H4394" s="23"/>
      <c r="J4394" s="23"/>
      <c r="K4394" s="23"/>
      <c r="M4394" s="23"/>
      <c r="N4394" s="23"/>
      <c r="P4394" s="23"/>
    </row>
    <row r="4395" spans="2:16" x14ac:dyDescent="0.25">
      <c r="B4395" s="23"/>
      <c r="E4395" s="23"/>
      <c r="G4395" s="23"/>
      <c r="H4395" s="23"/>
      <c r="J4395" s="23"/>
      <c r="K4395" s="23"/>
      <c r="M4395" s="23"/>
      <c r="N4395" s="23"/>
      <c r="P4395" s="23"/>
    </row>
    <row r="4396" spans="2:16" x14ac:dyDescent="0.25">
      <c r="B4396" s="23"/>
      <c r="E4396" s="23"/>
      <c r="G4396" s="23"/>
      <c r="H4396" s="23"/>
      <c r="J4396" s="23"/>
      <c r="K4396" s="23"/>
      <c r="M4396" s="23"/>
      <c r="N4396" s="23"/>
      <c r="P4396" s="23"/>
    </row>
    <row r="4397" spans="2:16" x14ac:dyDescent="0.25">
      <c r="B4397" s="23"/>
      <c r="E4397" s="23"/>
      <c r="G4397" s="23"/>
      <c r="H4397" s="23"/>
      <c r="J4397" s="23"/>
      <c r="K4397" s="23"/>
      <c r="M4397" s="23"/>
      <c r="N4397" s="23"/>
      <c r="P4397" s="23"/>
    </row>
    <row r="4398" spans="2:16" x14ac:dyDescent="0.25">
      <c r="B4398" s="23"/>
      <c r="E4398" s="23"/>
      <c r="G4398" s="23"/>
      <c r="H4398" s="23"/>
      <c r="J4398" s="23"/>
      <c r="K4398" s="23"/>
      <c r="M4398" s="23"/>
      <c r="N4398" s="23"/>
      <c r="P4398" s="23"/>
    </row>
    <row r="4399" spans="2:16" x14ac:dyDescent="0.25">
      <c r="B4399" s="23"/>
      <c r="E4399" s="23"/>
      <c r="G4399" s="23"/>
      <c r="H4399" s="23"/>
      <c r="J4399" s="23"/>
      <c r="K4399" s="23"/>
      <c r="M4399" s="23"/>
      <c r="N4399" s="23"/>
      <c r="P4399" s="23"/>
    </row>
    <row r="4400" spans="2:16" x14ac:dyDescent="0.25">
      <c r="B4400" s="23"/>
      <c r="E4400" s="23"/>
      <c r="G4400" s="23"/>
      <c r="H4400" s="23"/>
      <c r="J4400" s="23"/>
      <c r="K4400" s="23"/>
      <c r="M4400" s="23"/>
      <c r="N4400" s="23"/>
      <c r="P4400" s="23"/>
    </row>
    <row r="4401" spans="2:16" x14ac:dyDescent="0.25">
      <c r="B4401" s="23"/>
      <c r="E4401" s="23"/>
      <c r="G4401" s="23"/>
      <c r="H4401" s="23"/>
      <c r="J4401" s="23"/>
      <c r="K4401" s="23"/>
      <c r="M4401" s="23"/>
      <c r="N4401" s="23"/>
      <c r="P4401" s="23"/>
    </row>
    <row r="4402" spans="2:16" x14ac:dyDescent="0.25">
      <c r="B4402" s="23"/>
      <c r="E4402" s="23"/>
      <c r="G4402" s="23"/>
      <c r="H4402" s="23"/>
      <c r="J4402" s="23"/>
      <c r="K4402" s="23"/>
      <c r="M4402" s="23"/>
      <c r="N4402" s="23"/>
      <c r="P4402" s="23"/>
    </row>
    <row r="4403" spans="2:16" x14ac:dyDescent="0.25">
      <c r="B4403" s="23"/>
      <c r="E4403" s="23"/>
      <c r="G4403" s="23"/>
      <c r="H4403" s="23"/>
      <c r="J4403" s="23"/>
      <c r="K4403" s="23"/>
      <c r="M4403" s="23"/>
      <c r="N4403" s="23"/>
      <c r="P4403" s="23"/>
    </row>
    <row r="4404" spans="2:16" x14ac:dyDescent="0.25">
      <c r="B4404" s="23"/>
      <c r="E4404" s="23"/>
      <c r="G4404" s="23"/>
      <c r="H4404" s="23"/>
      <c r="J4404" s="23"/>
      <c r="K4404" s="23"/>
      <c r="M4404" s="23"/>
      <c r="N4404" s="23"/>
      <c r="P4404" s="23"/>
    </row>
    <row r="4405" spans="2:16" x14ac:dyDescent="0.25">
      <c r="B4405" s="23"/>
      <c r="E4405" s="23"/>
      <c r="G4405" s="23"/>
      <c r="H4405" s="23"/>
      <c r="J4405" s="23"/>
      <c r="K4405" s="23"/>
      <c r="M4405" s="23"/>
      <c r="N4405" s="23"/>
      <c r="P4405" s="23"/>
    </row>
    <row r="4406" spans="2:16" x14ac:dyDescent="0.25">
      <c r="B4406" s="23"/>
      <c r="E4406" s="23"/>
      <c r="G4406" s="23"/>
      <c r="H4406" s="23"/>
      <c r="J4406" s="23"/>
      <c r="K4406" s="23"/>
      <c r="M4406" s="23"/>
      <c r="N4406" s="23"/>
      <c r="P4406" s="23"/>
    </row>
    <row r="4407" spans="2:16" x14ac:dyDescent="0.25">
      <c r="B4407" s="23"/>
      <c r="E4407" s="23"/>
      <c r="G4407" s="23"/>
      <c r="H4407" s="23"/>
      <c r="J4407" s="23"/>
      <c r="K4407" s="23"/>
      <c r="M4407" s="23"/>
      <c r="N4407" s="23"/>
      <c r="P4407" s="23"/>
    </row>
    <row r="4408" spans="2:16" x14ac:dyDescent="0.25">
      <c r="B4408" s="23"/>
      <c r="E4408" s="23"/>
      <c r="G4408" s="23"/>
      <c r="H4408" s="23"/>
      <c r="J4408" s="23"/>
      <c r="K4408" s="23"/>
      <c r="M4408" s="23"/>
      <c r="N4408" s="23"/>
      <c r="P4408" s="23"/>
    </row>
    <row r="4409" spans="2:16" x14ac:dyDescent="0.25">
      <c r="B4409" s="23"/>
      <c r="E4409" s="23"/>
      <c r="G4409" s="23"/>
      <c r="H4409" s="23"/>
      <c r="J4409" s="23"/>
      <c r="K4409" s="23"/>
      <c r="M4409" s="23"/>
      <c r="N4409" s="23"/>
      <c r="P4409" s="23"/>
    </row>
    <row r="4410" spans="2:16" x14ac:dyDescent="0.25">
      <c r="B4410" s="23"/>
      <c r="E4410" s="23"/>
      <c r="G4410" s="23"/>
      <c r="H4410" s="23"/>
      <c r="J4410" s="23"/>
      <c r="K4410" s="23"/>
      <c r="M4410" s="23"/>
      <c r="N4410" s="23"/>
      <c r="P4410" s="23"/>
    </row>
    <row r="4411" spans="2:16" x14ac:dyDescent="0.25">
      <c r="B4411" s="23"/>
      <c r="E4411" s="23"/>
      <c r="G4411" s="23"/>
      <c r="H4411" s="23"/>
      <c r="J4411" s="23"/>
      <c r="K4411" s="23"/>
      <c r="M4411" s="23"/>
      <c r="N4411" s="23"/>
      <c r="P4411" s="23"/>
    </row>
    <row r="4412" spans="2:16" x14ac:dyDescent="0.25">
      <c r="B4412" s="23"/>
      <c r="E4412" s="23"/>
      <c r="G4412" s="23"/>
      <c r="H4412" s="23"/>
      <c r="J4412" s="23"/>
      <c r="K4412" s="23"/>
      <c r="M4412" s="23"/>
      <c r="N4412" s="23"/>
      <c r="P4412" s="23"/>
    </row>
    <row r="4413" spans="2:16" x14ac:dyDescent="0.25">
      <c r="B4413" s="23"/>
      <c r="E4413" s="23"/>
      <c r="G4413" s="23"/>
      <c r="H4413" s="23"/>
      <c r="J4413" s="23"/>
      <c r="K4413" s="23"/>
      <c r="M4413" s="23"/>
      <c r="N4413" s="23"/>
      <c r="P4413" s="23"/>
    </row>
    <row r="4414" spans="2:16" x14ac:dyDescent="0.25">
      <c r="B4414" s="23"/>
      <c r="E4414" s="23"/>
      <c r="G4414" s="23"/>
      <c r="H4414" s="23"/>
      <c r="J4414" s="23"/>
      <c r="K4414" s="23"/>
      <c r="M4414" s="23"/>
      <c r="N4414" s="23"/>
      <c r="P4414" s="23"/>
    </row>
    <row r="4415" spans="2:16" x14ac:dyDescent="0.25">
      <c r="B4415" s="23"/>
      <c r="E4415" s="23"/>
      <c r="G4415" s="23"/>
      <c r="H4415" s="23"/>
      <c r="J4415" s="23"/>
      <c r="K4415" s="23"/>
      <c r="M4415" s="23"/>
      <c r="N4415" s="23"/>
      <c r="P4415" s="23"/>
    </row>
    <row r="4416" spans="2:16" x14ac:dyDescent="0.25">
      <c r="B4416" s="23"/>
      <c r="E4416" s="23"/>
      <c r="G4416" s="23"/>
      <c r="H4416" s="23"/>
      <c r="J4416" s="23"/>
      <c r="K4416" s="23"/>
      <c r="M4416" s="23"/>
      <c r="N4416" s="23"/>
      <c r="P4416" s="23"/>
    </row>
    <row r="4417" spans="2:16" x14ac:dyDescent="0.25">
      <c r="B4417" s="23"/>
      <c r="E4417" s="23"/>
      <c r="G4417" s="23"/>
      <c r="H4417" s="23"/>
      <c r="J4417" s="23"/>
      <c r="K4417" s="23"/>
      <c r="M4417" s="23"/>
      <c r="N4417" s="23"/>
      <c r="P4417" s="23"/>
    </row>
    <row r="4418" spans="2:16" x14ac:dyDescent="0.25">
      <c r="B4418" s="23"/>
      <c r="E4418" s="23"/>
      <c r="G4418" s="23"/>
      <c r="H4418" s="23"/>
      <c r="J4418" s="23"/>
      <c r="K4418" s="23"/>
      <c r="M4418" s="23"/>
      <c r="N4418" s="23"/>
      <c r="P4418" s="23"/>
    </row>
    <row r="4419" spans="2:16" x14ac:dyDescent="0.25">
      <c r="B4419" s="23"/>
      <c r="E4419" s="23"/>
      <c r="G4419" s="23"/>
      <c r="H4419" s="23"/>
      <c r="J4419" s="23"/>
      <c r="K4419" s="23"/>
      <c r="M4419" s="23"/>
      <c r="N4419" s="23"/>
      <c r="P4419" s="23"/>
    </row>
    <row r="4420" spans="2:16" x14ac:dyDescent="0.25">
      <c r="B4420" s="23"/>
      <c r="E4420" s="23"/>
      <c r="G4420" s="23"/>
      <c r="H4420" s="23"/>
      <c r="J4420" s="23"/>
      <c r="K4420" s="23"/>
      <c r="M4420" s="23"/>
      <c r="N4420" s="23"/>
      <c r="P4420" s="23"/>
    </row>
    <row r="4421" spans="2:16" x14ac:dyDescent="0.25">
      <c r="B4421" s="23"/>
      <c r="E4421" s="23"/>
      <c r="G4421" s="23"/>
      <c r="H4421" s="23"/>
      <c r="J4421" s="23"/>
      <c r="K4421" s="23"/>
      <c r="M4421" s="23"/>
      <c r="N4421" s="23"/>
      <c r="P4421" s="23"/>
    </row>
    <row r="4422" spans="2:16" x14ac:dyDescent="0.25">
      <c r="B4422" s="23"/>
      <c r="E4422" s="23"/>
      <c r="G4422" s="23"/>
      <c r="H4422" s="23"/>
      <c r="J4422" s="23"/>
      <c r="K4422" s="23"/>
      <c r="M4422" s="23"/>
      <c r="N4422" s="23"/>
      <c r="P4422" s="23"/>
    </row>
    <row r="4423" spans="2:16" x14ac:dyDescent="0.25">
      <c r="B4423" s="23"/>
      <c r="E4423" s="23"/>
      <c r="G4423" s="23"/>
      <c r="H4423" s="23"/>
      <c r="J4423" s="23"/>
      <c r="K4423" s="23"/>
      <c r="M4423" s="23"/>
      <c r="N4423" s="23"/>
      <c r="P4423" s="23"/>
    </row>
    <row r="4424" spans="2:16" x14ac:dyDescent="0.25">
      <c r="B4424" s="23"/>
      <c r="E4424" s="23"/>
      <c r="G4424" s="23"/>
      <c r="H4424" s="23"/>
      <c r="J4424" s="23"/>
      <c r="K4424" s="23"/>
      <c r="M4424" s="23"/>
      <c r="N4424" s="23"/>
      <c r="P4424" s="23"/>
    </row>
    <row r="4425" spans="2:16" x14ac:dyDescent="0.25">
      <c r="B4425" s="23"/>
      <c r="E4425" s="23"/>
      <c r="G4425" s="23"/>
      <c r="H4425" s="23"/>
      <c r="J4425" s="23"/>
      <c r="K4425" s="23"/>
      <c r="M4425" s="23"/>
      <c r="N4425" s="23"/>
      <c r="P4425" s="23"/>
    </row>
    <row r="4426" spans="2:16" x14ac:dyDescent="0.25">
      <c r="B4426" s="23"/>
      <c r="E4426" s="23"/>
      <c r="G4426" s="23"/>
      <c r="H4426" s="23"/>
      <c r="J4426" s="23"/>
      <c r="K4426" s="23"/>
      <c r="M4426" s="23"/>
      <c r="N4426" s="23"/>
      <c r="P4426" s="23"/>
    </row>
    <row r="4427" spans="2:16" x14ac:dyDescent="0.25">
      <c r="B4427" s="23"/>
      <c r="E4427" s="23"/>
      <c r="G4427" s="23"/>
      <c r="H4427" s="23"/>
      <c r="J4427" s="23"/>
      <c r="K4427" s="23"/>
      <c r="M4427" s="23"/>
      <c r="N4427" s="23"/>
      <c r="P4427" s="23"/>
    </row>
    <row r="4428" spans="2:16" x14ac:dyDescent="0.25">
      <c r="B4428" s="23"/>
      <c r="E4428" s="23"/>
      <c r="G4428" s="23"/>
      <c r="H4428" s="23"/>
      <c r="J4428" s="23"/>
      <c r="K4428" s="23"/>
      <c r="M4428" s="23"/>
      <c r="N4428" s="23"/>
      <c r="P4428" s="23"/>
    </row>
    <row r="4429" spans="2:16" x14ac:dyDescent="0.25">
      <c r="B4429" s="23"/>
      <c r="E4429" s="23"/>
      <c r="G4429" s="23"/>
      <c r="H4429" s="23"/>
      <c r="J4429" s="23"/>
      <c r="K4429" s="23"/>
      <c r="M4429" s="23"/>
      <c r="N4429" s="23"/>
      <c r="P4429" s="23"/>
    </row>
    <row r="4430" spans="2:16" x14ac:dyDescent="0.25">
      <c r="B4430" s="23"/>
      <c r="E4430" s="23"/>
      <c r="G4430" s="23"/>
      <c r="H4430" s="23"/>
      <c r="J4430" s="23"/>
      <c r="K4430" s="23"/>
      <c r="M4430" s="23"/>
      <c r="N4430" s="23"/>
      <c r="P4430" s="23"/>
    </row>
    <row r="4431" spans="2:16" x14ac:dyDescent="0.25">
      <c r="B4431" s="23"/>
      <c r="E4431" s="23"/>
      <c r="G4431" s="23"/>
      <c r="H4431" s="23"/>
      <c r="J4431" s="23"/>
      <c r="K4431" s="23"/>
      <c r="M4431" s="23"/>
      <c r="N4431" s="23"/>
      <c r="P4431" s="23"/>
    </row>
    <row r="4432" spans="2:16" x14ac:dyDescent="0.25">
      <c r="B4432" s="23"/>
      <c r="E4432" s="23"/>
      <c r="G4432" s="23"/>
      <c r="H4432" s="23"/>
      <c r="J4432" s="23"/>
      <c r="K4432" s="23"/>
      <c r="M4432" s="23"/>
      <c r="N4432" s="23"/>
      <c r="P4432" s="23"/>
    </row>
    <row r="4433" spans="2:16" x14ac:dyDescent="0.25">
      <c r="B4433" s="23"/>
      <c r="E4433" s="23"/>
      <c r="G4433" s="23"/>
      <c r="H4433" s="23"/>
      <c r="J4433" s="23"/>
      <c r="K4433" s="23"/>
      <c r="M4433" s="23"/>
      <c r="N4433" s="23"/>
      <c r="P4433" s="23"/>
    </row>
    <row r="4434" spans="2:16" x14ac:dyDescent="0.25">
      <c r="B4434" s="23"/>
      <c r="E4434" s="23"/>
      <c r="G4434" s="23"/>
      <c r="H4434" s="23"/>
      <c r="J4434" s="23"/>
      <c r="K4434" s="23"/>
      <c r="M4434" s="23"/>
      <c r="N4434" s="23"/>
      <c r="P4434" s="23"/>
    </row>
    <row r="4435" spans="2:16" x14ac:dyDescent="0.25">
      <c r="B4435" s="23"/>
      <c r="E4435" s="23"/>
      <c r="G4435" s="23"/>
      <c r="H4435" s="23"/>
      <c r="J4435" s="23"/>
      <c r="K4435" s="23"/>
      <c r="M4435" s="23"/>
      <c r="N4435" s="23"/>
      <c r="P4435" s="23"/>
    </row>
    <row r="4436" spans="2:16" x14ac:dyDescent="0.25">
      <c r="B4436" s="23"/>
      <c r="E4436" s="23"/>
      <c r="G4436" s="23"/>
      <c r="H4436" s="23"/>
      <c r="J4436" s="23"/>
      <c r="K4436" s="23"/>
      <c r="M4436" s="23"/>
      <c r="N4436" s="23"/>
      <c r="P4436" s="23"/>
    </row>
    <row r="4437" spans="2:16" x14ac:dyDescent="0.25">
      <c r="B4437" s="23"/>
      <c r="E4437" s="23"/>
      <c r="G4437" s="23"/>
      <c r="H4437" s="23"/>
      <c r="J4437" s="23"/>
      <c r="K4437" s="23"/>
      <c r="M4437" s="23"/>
      <c r="N4437" s="23"/>
      <c r="P4437" s="23"/>
    </row>
    <row r="4438" spans="2:16" x14ac:dyDescent="0.25">
      <c r="B4438" s="23"/>
      <c r="E4438" s="23"/>
      <c r="G4438" s="23"/>
      <c r="H4438" s="23"/>
      <c r="J4438" s="23"/>
      <c r="K4438" s="23"/>
      <c r="M4438" s="23"/>
      <c r="N4438" s="23"/>
      <c r="P4438" s="23"/>
    </row>
    <row r="4439" spans="2:16" x14ac:dyDescent="0.25">
      <c r="B4439" s="23"/>
      <c r="E4439" s="23"/>
      <c r="G4439" s="23"/>
      <c r="H4439" s="23"/>
      <c r="J4439" s="23"/>
      <c r="K4439" s="23"/>
      <c r="M4439" s="23"/>
      <c r="N4439" s="23"/>
      <c r="P4439" s="23"/>
    </row>
    <row r="4440" spans="2:16" x14ac:dyDescent="0.25">
      <c r="B4440" s="23"/>
      <c r="E4440" s="23"/>
      <c r="G4440" s="23"/>
      <c r="H4440" s="23"/>
      <c r="J4440" s="23"/>
      <c r="K4440" s="23"/>
      <c r="M4440" s="23"/>
      <c r="N4440" s="23"/>
      <c r="P4440" s="23"/>
    </row>
    <row r="4441" spans="2:16" x14ac:dyDescent="0.25">
      <c r="B4441" s="23"/>
      <c r="E4441" s="23"/>
      <c r="G4441" s="23"/>
      <c r="H4441" s="23"/>
      <c r="J4441" s="23"/>
      <c r="K4441" s="23"/>
      <c r="M4441" s="23"/>
      <c r="N4441" s="23"/>
      <c r="P4441" s="23"/>
    </row>
    <row r="4442" spans="2:16" x14ac:dyDescent="0.25">
      <c r="B4442" s="23"/>
      <c r="E4442" s="23"/>
      <c r="G4442" s="23"/>
      <c r="H4442" s="23"/>
      <c r="J4442" s="23"/>
      <c r="K4442" s="23"/>
      <c r="M4442" s="23"/>
      <c r="N4442" s="23"/>
      <c r="P4442" s="23"/>
    </row>
    <row r="4443" spans="2:16" x14ac:dyDescent="0.25">
      <c r="B4443" s="23"/>
      <c r="E4443" s="23"/>
      <c r="G4443" s="23"/>
      <c r="H4443" s="23"/>
      <c r="J4443" s="23"/>
      <c r="K4443" s="23"/>
      <c r="M4443" s="23"/>
      <c r="N4443" s="23"/>
      <c r="P4443" s="23"/>
    </row>
    <row r="4444" spans="2:16" x14ac:dyDescent="0.25">
      <c r="B4444" s="23"/>
      <c r="E4444" s="23"/>
      <c r="G4444" s="23"/>
      <c r="H4444" s="23"/>
      <c r="J4444" s="23"/>
      <c r="K4444" s="23"/>
      <c r="M4444" s="23"/>
      <c r="N4444" s="23"/>
      <c r="P4444" s="23"/>
    </row>
    <row r="4445" spans="2:16" x14ac:dyDescent="0.25">
      <c r="B4445" s="23"/>
      <c r="E4445" s="23"/>
      <c r="G4445" s="23"/>
      <c r="H4445" s="23"/>
      <c r="J4445" s="23"/>
      <c r="K4445" s="23"/>
      <c r="M4445" s="23"/>
      <c r="N4445" s="23"/>
      <c r="P4445" s="23"/>
    </row>
    <row r="4446" spans="2:16" x14ac:dyDescent="0.25">
      <c r="B4446" s="23"/>
      <c r="E4446" s="23"/>
      <c r="G4446" s="23"/>
      <c r="H4446" s="23"/>
      <c r="J4446" s="23"/>
      <c r="K4446" s="23"/>
      <c r="M4446" s="23"/>
      <c r="N4446" s="23"/>
      <c r="P4446" s="23"/>
    </row>
    <row r="4447" spans="2:16" x14ac:dyDescent="0.25">
      <c r="B4447" s="23"/>
      <c r="E4447" s="23"/>
      <c r="G4447" s="23"/>
      <c r="H4447" s="23"/>
      <c r="J4447" s="23"/>
      <c r="K4447" s="23"/>
      <c r="M4447" s="23"/>
      <c r="N4447" s="23"/>
      <c r="P4447" s="23"/>
    </row>
    <row r="4448" spans="2:16" x14ac:dyDescent="0.25">
      <c r="B4448" s="23"/>
      <c r="E4448" s="23"/>
      <c r="G4448" s="23"/>
      <c r="H4448" s="23"/>
      <c r="J4448" s="23"/>
      <c r="K4448" s="23"/>
      <c r="M4448" s="23"/>
      <c r="N4448" s="23"/>
      <c r="P4448" s="23"/>
    </row>
    <row r="4449" spans="2:16" x14ac:dyDescent="0.25">
      <c r="B4449" s="23"/>
      <c r="E4449" s="23"/>
      <c r="G4449" s="23"/>
      <c r="H4449" s="23"/>
      <c r="J4449" s="23"/>
      <c r="K4449" s="23"/>
      <c r="M4449" s="23"/>
      <c r="N4449" s="23"/>
      <c r="P4449" s="23"/>
    </row>
    <row r="4450" spans="2:16" x14ac:dyDescent="0.25">
      <c r="B4450" s="23"/>
      <c r="E4450" s="23"/>
      <c r="G4450" s="23"/>
      <c r="H4450" s="23"/>
      <c r="J4450" s="23"/>
      <c r="K4450" s="23"/>
      <c r="M4450" s="23"/>
      <c r="N4450" s="23"/>
      <c r="P4450" s="23"/>
    </row>
    <row r="4451" spans="2:16" x14ac:dyDescent="0.25">
      <c r="B4451" s="23"/>
      <c r="E4451" s="23"/>
      <c r="G4451" s="23"/>
      <c r="H4451" s="23"/>
      <c r="J4451" s="23"/>
      <c r="K4451" s="23"/>
      <c r="M4451" s="23"/>
      <c r="N4451" s="23"/>
      <c r="P4451" s="23"/>
    </row>
    <row r="4452" spans="2:16" x14ac:dyDescent="0.25">
      <c r="B4452" s="23"/>
      <c r="E4452" s="23"/>
      <c r="G4452" s="23"/>
      <c r="H4452" s="23"/>
      <c r="J4452" s="23"/>
      <c r="K4452" s="23"/>
      <c r="M4452" s="23"/>
      <c r="N4452" s="23"/>
      <c r="P4452" s="23"/>
    </row>
    <row r="4453" spans="2:16" x14ac:dyDescent="0.25">
      <c r="B4453" s="23"/>
      <c r="E4453" s="23"/>
      <c r="G4453" s="23"/>
      <c r="H4453" s="23"/>
      <c r="J4453" s="23"/>
      <c r="K4453" s="23"/>
      <c r="M4453" s="23"/>
      <c r="N4453" s="23"/>
      <c r="P4453" s="23"/>
    </row>
    <row r="4454" spans="2:16" x14ac:dyDescent="0.25">
      <c r="B4454" s="23"/>
      <c r="E4454" s="23"/>
      <c r="G4454" s="23"/>
      <c r="H4454" s="23"/>
      <c r="J4454" s="23"/>
      <c r="K4454" s="23"/>
      <c r="M4454" s="23"/>
      <c r="N4454" s="23"/>
      <c r="P4454" s="23"/>
    </row>
    <row r="4455" spans="2:16" x14ac:dyDescent="0.25">
      <c r="B4455" s="23"/>
      <c r="E4455" s="23"/>
      <c r="G4455" s="23"/>
      <c r="H4455" s="23"/>
      <c r="J4455" s="23"/>
      <c r="K4455" s="23"/>
      <c r="M4455" s="23"/>
      <c r="N4455" s="23"/>
      <c r="P4455" s="23"/>
    </row>
    <row r="4456" spans="2:16" x14ac:dyDescent="0.25">
      <c r="B4456" s="23"/>
      <c r="E4456" s="23"/>
      <c r="G4456" s="23"/>
      <c r="H4456" s="23"/>
      <c r="J4456" s="23"/>
      <c r="K4456" s="23"/>
      <c r="M4456" s="23"/>
      <c r="N4456" s="23"/>
      <c r="P4456" s="23"/>
    </row>
    <row r="4457" spans="2:16" x14ac:dyDescent="0.25">
      <c r="B4457" s="23"/>
      <c r="E4457" s="23"/>
      <c r="G4457" s="23"/>
      <c r="H4457" s="23"/>
      <c r="J4457" s="23"/>
      <c r="K4457" s="23"/>
      <c r="M4457" s="23"/>
      <c r="N4457" s="23"/>
      <c r="P4457" s="23"/>
    </row>
    <row r="4458" spans="2:16" x14ac:dyDescent="0.25">
      <c r="B4458" s="23"/>
      <c r="E4458" s="23"/>
      <c r="G4458" s="23"/>
      <c r="H4458" s="23"/>
      <c r="J4458" s="23"/>
      <c r="K4458" s="23"/>
      <c r="M4458" s="23"/>
      <c r="N4458" s="23"/>
      <c r="P4458" s="23"/>
    </row>
    <row r="4459" spans="2:16" x14ac:dyDescent="0.25">
      <c r="B4459" s="23"/>
      <c r="E4459" s="23"/>
      <c r="G4459" s="23"/>
      <c r="H4459" s="23"/>
      <c r="J4459" s="23"/>
      <c r="K4459" s="23"/>
      <c r="M4459" s="23"/>
      <c r="N4459" s="23"/>
      <c r="P4459" s="23"/>
    </row>
    <row r="4460" spans="2:16" x14ac:dyDescent="0.25">
      <c r="B4460" s="23"/>
      <c r="E4460" s="23"/>
      <c r="G4460" s="23"/>
      <c r="H4460" s="23"/>
      <c r="J4460" s="23"/>
      <c r="K4460" s="23"/>
      <c r="M4460" s="23"/>
      <c r="N4460" s="23"/>
      <c r="P4460" s="23"/>
    </row>
    <row r="4461" spans="2:16" x14ac:dyDescent="0.25">
      <c r="B4461" s="23"/>
      <c r="E4461" s="23"/>
      <c r="G4461" s="23"/>
      <c r="H4461" s="23"/>
      <c r="J4461" s="23"/>
      <c r="K4461" s="23"/>
      <c r="M4461" s="23"/>
      <c r="N4461" s="23"/>
      <c r="P4461" s="23"/>
    </row>
    <row r="4462" spans="2:16" x14ac:dyDescent="0.25">
      <c r="B4462" s="23"/>
      <c r="E4462" s="23"/>
      <c r="G4462" s="23"/>
      <c r="H4462" s="23"/>
      <c r="J4462" s="23"/>
      <c r="K4462" s="23"/>
      <c r="M4462" s="23"/>
      <c r="N4462" s="23"/>
      <c r="P4462" s="23"/>
    </row>
    <row r="4463" spans="2:16" x14ac:dyDescent="0.25">
      <c r="B4463" s="23"/>
      <c r="E4463" s="23"/>
      <c r="G4463" s="23"/>
      <c r="H4463" s="23"/>
      <c r="J4463" s="23"/>
      <c r="K4463" s="23"/>
      <c r="M4463" s="23"/>
      <c r="N4463" s="23"/>
      <c r="P4463" s="23"/>
    </row>
    <row r="4464" spans="2:16" x14ac:dyDescent="0.25">
      <c r="B4464" s="23"/>
      <c r="E4464" s="23"/>
      <c r="G4464" s="23"/>
      <c r="H4464" s="23"/>
      <c r="J4464" s="23"/>
      <c r="K4464" s="23"/>
      <c r="M4464" s="23"/>
      <c r="N4464" s="23"/>
      <c r="P4464" s="23"/>
    </row>
    <row r="4465" spans="2:16" x14ac:dyDescent="0.25">
      <c r="B4465" s="23"/>
      <c r="E4465" s="23"/>
      <c r="G4465" s="23"/>
      <c r="H4465" s="23"/>
      <c r="J4465" s="23"/>
      <c r="K4465" s="23"/>
      <c r="M4465" s="23"/>
      <c r="N4465" s="23"/>
      <c r="P4465" s="23"/>
    </row>
    <row r="4466" spans="2:16" x14ac:dyDescent="0.25">
      <c r="B4466" s="23"/>
      <c r="E4466" s="23"/>
      <c r="G4466" s="23"/>
      <c r="H4466" s="23"/>
      <c r="J4466" s="23"/>
      <c r="K4466" s="23"/>
      <c r="M4466" s="23"/>
      <c r="N4466" s="23"/>
      <c r="P4466" s="23"/>
    </row>
    <row r="4467" spans="2:16" x14ac:dyDescent="0.25">
      <c r="B4467" s="23"/>
      <c r="E4467" s="23"/>
      <c r="G4467" s="23"/>
      <c r="H4467" s="23"/>
      <c r="J4467" s="23"/>
      <c r="K4467" s="23"/>
      <c r="M4467" s="23"/>
      <c r="N4467" s="23"/>
      <c r="P4467" s="23"/>
    </row>
    <row r="4468" spans="2:16" x14ac:dyDescent="0.25">
      <c r="B4468" s="23"/>
      <c r="E4468" s="23"/>
      <c r="G4468" s="23"/>
      <c r="H4468" s="23"/>
      <c r="J4468" s="23"/>
      <c r="K4468" s="23"/>
      <c r="M4468" s="23"/>
      <c r="N4468" s="23"/>
      <c r="P4468" s="23"/>
    </row>
    <row r="4469" spans="2:16" x14ac:dyDescent="0.25">
      <c r="B4469" s="23"/>
      <c r="E4469" s="23"/>
      <c r="G4469" s="23"/>
      <c r="H4469" s="23"/>
      <c r="J4469" s="23"/>
      <c r="K4469" s="23"/>
      <c r="M4469" s="23"/>
      <c r="N4469" s="23"/>
      <c r="P4469" s="23"/>
    </row>
    <row r="4470" spans="2:16" x14ac:dyDescent="0.25">
      <c r="B4470" s="23"/>
      <c r="E4470" s="23"/>
      <c r="G4470" s="23"/>
      <c r="H4470" s="23"/>
      <c r="J4470" s="23"/>
      <c r="K4470" s="23"/>
      <c r="M4470" s="23"/>
      <c r="N4470" s="23"/>
      <c r="P4470" s="23"/>
    </row>
    <row r="4471" spans="2:16" x14ac:dyDescent="0.25">
      <c r="B4471" s="23"/>
      <c r="E4471" s="23"/>
      <c r="G4471" s="23"/>
      <c r="H4471" s="23"/>
      <c r="J4471" s="23"/>
      <c r="K4471" s="23"/>
      <c r="M4471" s="23"/>
      <c r="N4471" s="23"/>
      <c r="P4471" s="23"/>
    </row>
    <row r="4472" spans="2:16" x14ac:dyDescent="0.25">
      <c r="B4472" s="23"/>
      <c r="E4472" s="23"/>
      <c r="G4472" s="23"/>
      <c r="H4472" s="23"/>
      <c r="J4472" s="23"/>
      <c r="K4472" s="23"/>
      <c r="M4472" s="23"/>
      <c r="N4472" s="23"/>
      <c r="P4472" s="23"/>
    </row>
    <row r="4473" spans="2:16" x14ac:dyDescent="0.25">
      <c r="B4473" s="23"/>
      <c r="E4473" s="23"/>
      <c r="G4473" s="23"/>
      <c r="H4473" s="23"/>
      <c r="J4473" s="23"/>
      <c r="K4473" s="23"/>
      <c r="M4473" s="23"/>
      <c r="N4473" s="23"/>
      <c r="P4473" s="23"/>
    </row>
    <row r="4474" spans="2:16" x14ac:dyDescent="0.25">
      <c r="B4474" s="23"/>
      <c r="E4474" s="23"/>
      <c r="G4474" s="23"/>
      <c r="H4474" s="23"/>
      <c r="J4474" s="23"/>
      <c r="K4474" s="23"/>
      <c r="M4474" s="23"/>
      <c r="N4474" s="23"/>
      <c r="P4474" s="23"/>
    </row>
    <row r="4475" spans="2:16" x14ac:dyDescent="0.25">
      <c r="B4475" s="23"/>
      <c r="E4475" s="23"/>
      <c r="G4475" s="23"/>
      <c r="H4475" s="23"/>
      <c r="J4475" s="23"/>
      <c r="K4475" s="23"/>
      <c r="M4475" s="23"/>
      <c r="N4475" s="23"/>
      <c r="P4475" s="23"/>
    </row>
    <row r="4476" spans="2:16" x14ac:dyDescent="0.25">
      <c r="B4476" s="23"/>
      <c r="E4476" s="23"/>
      <c r="G4476" s="23"/>
      <c r="H4476" s="23"/>
      <c r="J4476" s="23"/>
      <c r="K4476" s="23"/>
      <c r="M4476" s="23"/>
      <c r="N4476" s="23"/>
      <c r="P4476" s="23"/>
    </row>
    <row r="4477" spans="2:16" x14ac:dyDescent="0.25">
      <c r="B4477" s="23"/>
      <c r="E4477" s="23"/>
      <c r="G4477" s="23"/>
      <c r="H4477" s="23"/>
      <c r="J4477" s="23"/>
      <c r="K4477" s="23"/>
      <c r="M4477" s="23"/>
      <c r="N4477" s="23"/>
      <c r="P4477" s="23"/>
    </row>
    <row r="4478" spans="2:16" x14ac:dyDescent="0.25">
      <c r="B4478" s="23"/>
      <c r="E4478" s="23"/>
      <c r="G4478" s="23"/>
      <c r="H4478" s="23"/>
      <c r="J4478" s="23"/>
      <c r="K4478" s="23"/>
      <c r="M4478" s="23"/>
      <c r="N4478" s="23"/>
      <c r="P4478" s="23"/>
    </row>
    <row r="4479" spans="2:16" x14ac:dyDescent="0.25">
      <c r="B4479" s="23"/>
      <c r="E4479" s="23"/>
      <c r="G4479" s="23"/>
      <c r="H4479" s="23"/>
      <c r="J4479" s="23"/>
      <c r="K4479" s="23"/>
      <c r="M4479" s="23"/>
      <c r="N4479" s="23"/>
      <c r="P4479" s="23"/>
    </row>
    <row r="4480" spans="2:16" x14ac:dyDescent="0.25">
      <c r="B4480" s="23"/>
      <c r="E4480" s="23"/>
      <c r="G4480" s="23"/>
      <c r="H4480" s="23"/>
      <c r="J4480" s="23"/>
      <c r="K4480" s="23"/>
      <c r="M4480" s="23"/>
      <c r="N4480" s="23"/>
      <c r="P4480" s="23"/>
    </row>
    <row r="4481" spans="2:16" x14ac:dyDescent="0.25">
      <c r="B4481" s="23"/>
      <c r="E4481" s="23"/>
      <c r="G4481" s="23"/>
      <c r="H4481" s="23"/>
      <c r="J4481" s="23"/>
      <c r="K4481" s="23"/>
      <c r="M4481" s="23"/>
      <c r="N4481" s="23"/>
      <c r="P4481" s="23"/>
    </row>
    <row r="4482" spans="2:16" x14ac:dyDescent="0.25">
      <c r="B4482" s="23"/>
      <c r="E4482" s="23"/>
      <c r="G4482" s="23"/>
      <c r="H4482" s="23"/>
      <c r="J4482" s="23"/>
      <c r="K4482" s="23"/>
      <c r="M4482" s="23"/>
      <c r="N4482" s="23"/>
      <c r="P4482" s="23"/>
    </row>
    <row r="4483" spans="2:16" x14ac:dyDescent="0.25">
      <c r="B4483" s="23"/>
      <c r="E4483" s="23"/>
      <c r="G4483" s="23"/>
      <c r="H4483" s="23"/>
      <c r="J4483" s="23"/>
      <c r="K4483" s="23"/>
      <c r="M4483" s="23"/>
      <c r="N4483" s="23"/>
      <c r="P4483" s="23"/>
    </row>
    <row r="4484" spans="2:16" x14ac:dyDescent="0.25">
      <c r="B4484" s="23"/>
      <c r="E4484" s="23"/>
      <c r="G4484" s="23"/>
      <c r="H4484" s="23"/>
      <c r="J4484" s="23"/>
      <c r="K4484" s="23"/>
      <c r="M4484" s="23"/>
      <c r="N4484" s="23"/>
      <c r="P4484" s="23"/>
    </row>
    <row r="4485" spans="2:16" x14ac:dyDescent="0.25">
      <c r="B4485" s="23"/>
      <c r="E4485" s="23"/>
      <c r="G4485" s="23"/>
      <c r="H4485" s="23"/>
      <c r="J4485" s="23"/>
      <c r="K4485" s="23"/>
      <c r="M4485" s="23"/>
      <c r="N4485" s="23"/>
      <c r="P4485" s="23"/>
    </row>
    <row r="4486" spans="2:16" x14ac:dyDescent="0.25">
      <c r="B4486" s="23"/>
      <c r="E4486" s="23"/>
      <c r="G4486" s="23"/>
      <c r="H4486" s="23"/>
      <c r="J4486" s="23"/>
      <c r="K4486" s="23"/>
      <c r="M4486" s="23"/>
      <c r="N4486" s="23"/>
      <c r="P4486" s="23"/>
    </row>
    <row r="4487" spans="2:16" x14ac:dyDescent="0.25">
      <c r="B4487" s="23"/>
      <c r="E4487" s="23"/>
      <c r="G4487" s="23"/>
      <c r="H4487" s="23"/>
      <c r="J4487" s="23"/>
      <c r="K4487" s="23"/>
      <c r="M4487" s="23"/>
      <c r="N4487" s="23"/>
      <c r="P4487" s="23"/>
    </row>
    <row r="4488" spans="2:16" x14ac:dyDescent="0.25">
      <c r="B4488" s="23"/>
      <c r="E4488" s="23"/>
      <c r="G4488" s="23"/>
      <c r="H4488" s="23"/>
      <c r="J4488" s="23"/>
      <c r="K4488" s="23"/>
      <c r="M4488" s="23"/>
      <c r="N4488" s="23"/>
      <c r="P4488" s="23"/>
    </row>
    <row r="4489" spans="2:16" x14ac:dyDescent="0.25">
      <c r="B4489" s="23"/>
      <c r="E4489" s="23"/>
      <c r="G4489" s="23"/>
      <c r="H4489" s="23"/>
      <c r="J4489" s="23"/>
      <c r="K4489" s="23"/>
      <c r="M4489" s="23"/>
      <c r="N4489" s="23"/>
      <c r="P4489" s="23"/>
    </row>
    <row r="4490" spans="2:16" x14ac:dyDescent="0.25">
      <c r="B4490" s="23"/>
      <c r="E4490" s="23"/>
      <c r="G4490" s="23"/>
      <c r="H4490" s="23"/>
      <c r="J4490" s="23"/>
      <c r="K4490" s="23"/>
      <c r="M4490" s="23"/>
      <c r="N4490" s="23"/>
      <c r="P4490" s="23"/>
    </row>
    <row r="4491" spans="2:16" x14ac:dyDescent="0.25">
      <c r="B4491" s="23"/>
      <c r="E4491" s="23"/>
      <c r="G4491" s="23"/>
      <c r="H4491" s="23"/>
      <c r="J4491" s="23"/>
      <c r="K4491" s="23"/>
      <c r="M4491" s="23"/>
      <c r="N4491" s="23"/>
      <c r="P4491" s="23"/>
    </row>
    <row r="4492" spans="2:16" x14ac:dyDescent="0.25">
      <c r="B4492" s="23"/>
      <c r="E4492" s="23"/>
      <c r="G4492" s="23"/>
      <c r="H4492" s="23"/>
      <c r="J4492" s="23"/>
      <c r="K4492" s="23"/>
      <c r="M4492" s="23"/>
      <c r="N4492" s="23"/>
      <c r="P4492" s="23"/>
    </row>
    <row r="4493" spans="2:16" x14ac:dyDescent="0.25">
      <c r="B4493" s="23"/>
      <c r="E4493" s="23"/>
      <c r="G4493" s="23"/>
      <c r="H4493" s="23"/>
      <c r="J4493" s="23"/>
      <c r="K4493" s="23"/>
      <c r="M4493" s="23"/>
      <c r="N4493" s="23"/>
      <c r="P4493" s="23"/>
    </row>
    <row r="4494" spans="2:16" x14ac:dyDescent="0.25">
      <c r="B4494" s="23"/>
      <c r="E4494" s="23"/>
      <c r="G4494" s="23"/>
      <c r="H4494" s="23"/>
      <c r="J4494" s="23"/>
      <c r="K4494" s="23"/>
      <c r="M4494" s="23"/>
      <c r="N4494" s="23"/>
      <c r="P4494" s="23"/>
    </row>
    <row r="4495" spans="2:16" x14ac:dyDescent="0.25">
      <c r="B4495" s="23"/>
      <c r="E4495" s="23"/>
      <c r="G4495" s="23"/>
      <c r="H4495" s="23"/>
      <c r="J4495" s="23"/>
      <c r="K4495" s="23"/>
      <c r="M4495" s="23"/>
      <c r="N4495" s="23"/>
      <c r="P4495" s="23"/>
    </row>
    <row r="4496" spans="2:16" x14ac:dyDescent="0.25">
      <c r="B4496" s="23"/>
      <c r="E4496" s="23"/>
      <c r="G4496" s="23"/>
      <c r="H4496" s="23"/>
      <c r="J4496" s="23"/>
      <c r="K4496" s="23"/>
      <c r="M4496" s="23"/>
      <c r="N4496" s="23"/>
      <c r="P4496" s="23"/>
    </row>
    <row r="4497" spans="2:16" x14ac:dyDescent="0.25">
      <c r="B4497" s="23"/>
      <c r="E4497" s="23"/>
      <c r="G4497" s="23"/>
      <c r="H4497" s="23"/>
      <c r="J4497" s="23"/>
      <c r="K4497" s="23"/>
      <c r="M4497" s="23"/>
      <c r="N4497" s="23"/>
      <c r="P4497" s="23"/>
    </row>
    <row r="4498" spans="2:16" x14ac:dyDescent="0.25">
      <c r="B4498" s="23"/>
      <c r="E4498" s="23"/>
      <c r="G4498" s="23"/>
      <c r="H4498" s="23"/>
      <c r="J4498" s="23"/>
      <c r="K4498" s="23"/>
      <c r="M4498" s="23"/>
      <c r="N4498" s="23"/>
      <c r="P4498" s="23"/>
    </row>
    <row r="4499" spans="2:16" x14ac:dyDescent="0.25">
      <c r="B4499" s="23"/>
      <c r="E4499" s="23"/>
      <c r="G4499" s="23"/>
      <c r="H4499" s="23"/>
      <c r="J4499" s="23"/>
      <c r="K4499" s="23"/>
      <c r="M4499" s="23"/>
      <c r="N4499" s="23"/>
      <c r="P4499" s="23"/>
    </row>
    <row r="4500" spans="2:16" x14ac:dyDescent="0.25">
      <c r="B4500" s="23"/>
      <c r="E4500" s="23"/>
      <c r="G4500" s="23"/>
      <c r="H4500" s="23"/>
      <c r="J4500" s="23"/>
      <c r="K4500" s="23"/>
      <c r="M4500" s="23"/>
      <c r="N4500" s="23"/>
      <c r="P4500" s="23"/>
    </row>
    <row r="4501" spans="2:16" x14ac:dyDescent="0.25">
      <c r="B4501" s="23"/>
      <c r="E4501" s="23"/>
      <c r="G4501" s="23"/>
      <c r="H4501" s="23"/>
      <c r="J4501" s="23"/>
      <c r="K4501" s="23"/>
      <c r="M4501" s="23"/>
      <c r="N4501" s="23"/>
      <c r="P4501" s="23"/>
    </row>
    <row r="4502" spans="2:16" x14ac:dyDescent="0.25">
      <c r="B4502" s="23"/>
      <c r="E4502" s="23"/>
      <c r="G4502" s="23"/>
      <c r="H4502" s="23"/>
      <c r="J4502" s="23"/>
      <c r="K4502" s="23"/>
      <c r="M4502" s="23"/>
      <c r="N4502" s="23"/>
      <c r="P4502" s="23"/>
    </row>
    <row r="4503" spans="2:16" x14ac:dyDescent="0.25">
      <c r="B4503" s="23"/>
      <c r="E4503" s="23"/>
      <c r="G4503" s="23"/>
      <c r="H4503" s="23"/>
      <c r="J4503" s="23"/>
      <c r="K4503" s="23"/>
      <c r="M4503" s="23"/>
      <c r="N4503" s="23"/>
      <c r="P4503" s="23"/>
    </row>
    <row r="4504" spans="2:16" x14ac:dyDescent="0.25">
      <c r="B4504" s="23"/>
      <c r="E4504" s="23"/>
      <c r="G4504" s="23"/>
      <c r="H4504" s="23"/>
      <c r="J4504" s="23"/>
      <c r="K4504" s="23"/>
      <c r="M4504" s="23"/>
      <c r="N4504" s="23"/>
      <c r="P4504" s="23"/>
    </row>
    <row r="4505" spans="2:16" x14ac:dyDescent="0.25">
      <c r="B4505" s="23"/>
      <c r="E4505" s="23"/>
      <c r="G4505" s="23"/>
      <c r="H4505" s="23"/>
      <c r="J4505" s="23"/>
      <c r="K4505" s="23"/>
      <c r="M4505" s="23"/>
      <c r="N4505" s="23"/>
      <c r="P4505" s="23"/>
    </row>
    <row r="4506" spans="2:16" x14ac:dyDescent="0.25">
      <c r="B4506" s="23"/>
      <c r="E4506" s="23"/>
      <c r="G4506" s="23"/>
      <c r="H4506" s="23"/>
      <c r="J4506" s="23"/>
      <c r="K4506" s="23"/>
      <c r="M4506" s="23"/>
      <c r="N4506" s="23"/>
      <c r="P4506" s="23"/>
    </row>
    <row r="4507" spans="2:16" x14ac:dyDescent="0.25">
      <c r="B4507" s="23"/>
      <c r="E4507" s="23"/>
      <c r="G4507" s="23"/>
      <c r="H4507" s="23"/>
      <c r="J4507" s="23"/>
      <c r="K4507" s="23"/>
      <c r="M4507" s="23"/>
      <c r="N4507" s="23"/>
      <c r="P4507" s="23"/>
    </row>
    <row r="4508" spans="2:16" x14ac:dyDescent="0.25">
      <c r="B4508" s="23"/>
      <c r="E4508" s="23"/>
      <c r="G4508" s="23"/>
      <c r="H4508" s="23"/>
      <c r="J4508" s="23"/>
      <c r="K4508" s="23"/>
      <c r="M4508" s="23"/>
      <c r="N4508" s="23"/>
      <c r="P4508" s="23"/>
    </row>
    <row r="4509" spans="2:16" x14ac:dyDescent="0.25">
      <c r="B4509" s="23"/>
      <c r="E4509" s="23"/>
      <c r="G4509" s="23"/>
      <c r="H4509" s="23"/>
      <c r="J4509" s="23"/>
      <c r="K4509" s="23"/>
      <c r="M4509" s="23"/>
      <c r="N4509" s="23"/>
      <c r="P4509" s="23"/>
    </row>
    <row r="4510" spans="2:16" x14ac:dyDescent="0.25">
      <c r="B4510" s="23"/>
      <c r="E4510" s="23"/>
      <c r="G4510" s="23"/>
      <c r="H4510" s="23"/>
      <c r="J4510" s="23"/>
      <c r="K4510" s="23"/>
      <c r="M4510" s="23"/>
      <c r="N4510" s="23"/>
      <c r="P4510" s="23"/>
    </row>
    <row r="4511" spans="2:16" x14ac:dyDescent="0.25">
      <c r="B4511" s="23"/>
      <c r="E4511" s="23"/>
      <c r="G4511" s="23"/>
      <c r="H4511" s="23"/>
      <c r="J4511" s="23"/>
      <c r="K4511" s="23"/>
      <c r="M4511" s="23"/>
      <c r="N4511" s="23"/>
      <c r="P4511" s="23"/>
    </row>
    <row r="4512" spans="2:16" x14ac:dyDescent="0.25">
      <c r="B4512" s="23"/>
      <c r="E4512" s="23"/>
      <c r="G4512" s="23"/>
      <c r="H4512" s="23"/>
      <c r="J4512" s="23"/>
      <c r="K4512" s="23"/>
      <c r="M4512" s="23"/>
      <c r="N4512" s="23"/>
      <c r="P4512" s="23"/>
    </row>
    <row r="4513" spans="2:16" x14ac:dyDescent="0.25">
      <c r="B4513" s="23"/>
      <c r="E4513" s="23"/>
      <c r="G4513" s="23"/>
      <c r="H4513" s="23"/>
      <c r="J4513" s="23"/>
      <c r="K4513" s="23"/>
      <c r="M4513" s="23"/>
      <c r="N4513" s="23"/>
      <c r="P4513" s="23"/>
    </row>
    <row r="4514" spans="2:16" x14ac:dyDescent="0.25">
      <c r="B4514" s="23"/>
      <c r="E4514" s="23"/>
      <c r="G4514" s="23"/>
      <c r="H4514" s="23"/>
      <c r="J4514" s="23"/>
      <c r="K4514" s="23"/>
      <c r="M4514" s="23"/>
      <c r="N4514" s="23"/>
      <c r="P4514" s="23"/>
    </row>
    <row r="4515" spans="2:16" x14ac:dyDescent="0.25">
      <c r="B4515" s="23"/>
      <c r="E4515" s="23"/>
      <c r="G4515" s="23"/>
      <c r="H4515" s="23"/>
      <c r="J4515" s="23"/>
      <c r="K4515" s="23"/>
      <c r="M4515" s="23"/>
      <c r="N4515" s="23"/>
      <c r="P4515" s="23"/>
    </row>
    <row r="4516" spans="2:16" x14ac:dyDescent="0.25">
      <c r="B4516" s="23"/>
      <c r="E4516" s="23"/>
      <c r="G4516" s="23"/>
      <c r="H4516" s="23"/>
      <c r="J4516" s="23"/>
      <c r="K4516" s="23"/>
      <c r="M4516" s="23"/>
      <c r="N4516" s="23"/>
      <c r="P4516" s="23"/>
    </row>
    <row r="4517" spans="2:16" x14ac:dyDescent="0.25">
      <c r="B4517" s="23"/>
      <c r="E4517" s="23"/>
      <c r="G4517" s="23"/>
      <c r="H4517" s="23"/>
      <c r="J4517" s="23"/>
      <c r="K4517" s="23"/>
      <c r="M4517" s="23"/>
      <c r="N4517" s="23"/>
      <c r="P4517" s="23"/>
    </row>
    <row r="4518" spans="2:16" x14ac:dyDescent="0.25">
      <c r="B4518" s="23"/>
      <c r="E4518" s="23"/>
      <c r="G4518" s="23"/>
      <c r="H4518" s="23"/>
      <c r="J4518" s="23"/>
      <c r="K4518" s="23"/>
      <c r="M4518" s="23"/>
      <c r="N4518" s="23"/>
      <c r="P4518" s="23"/>
    </row>
    <row r="4519" spans="2:16" x14ac:dyDescent="0.25">
      <c r="B4519" s="23"/>
      <c r="E4519" s="23"/>
      <c r="G4519" s="23"/>
      <c r="H4519" s="23"/>
      <c r="J4519" s="23"/>
      <c r="K4519" s="23"/>
      <c r="M4519" s="23"/>
      <c r="N4519" s="23"/>
      <c r="P4519" s="23"/>
    </row>
    <row r="4520" spans="2:16" x14ac:dyDescent="0.25">
      <c r="B4520" s="23"/>
      <c r="E4520" s="23"/>
      <c r="G4520" s="23"/>
      <c r="H4520" s="23"/>
      <c r="J4520" s="23"/>
      <c r="K4520" s="23"/>
      <c r="M4520" s="23"/>
      <c r="N4520" s="23"/>
      <c r="P4520" s="23"/>
    </row>
    <row r="4521" spans="2:16" x14ac:dyDescent="0.25">
      <c r="B4521" s="23"/>
      <c r="E4521" s="23"/>
      <c r="G4521" s="23"/>
      <c r="H4521" s="23"/>
      <c r="J4521" s="23"/>
      <c r="K4521" s="23"/>
      <c r="M4521" s="23"/>
      <c r="N4521" s="23"/>
      <c r="P4521" s="23"/>
    </row>
    <row r="4522" spans="2:16" x14ac:dyDescent="0.25">
      <c r="B4522" s="23"/>
      <c r="E4522" s="23"/>
      <c r="G4522" s="23"/>
      <c r="H4522" s="23"/>
      <c r="J4522" s="23"/>
      <c r="K4522" s="23"/>
      <c r="M4522" s="23"/>
      <c r="N4522" s="23"/>
      <c r="P4522" s="23"/>
    </row>
    <row r="4523" spans="2:16" x14ac:dyDescent="0.25">
      <c r="B4523" s="23"/>
      <c r="E4523" s="23"/>
      <c r="G4523" s="23"/>
      <c r="H4523" s="23"/>
      <c r="J4523" s="23"/>
      <c r="K4523" s="23"/>
      <c r="M4523" s="23"/>
      <c r="N4523" s="23"/>
      <c r="P4523" s="23"/>
    </row>
    <row r="4524" spans="2:16" x14ac:dyDescent="0.25">
      <c r="B4524" s="23"/>
      <c r="E4524" s="23"/>
      <c r="G4524" s="23"/>
      <c r="H4524" s="23"/>
      <c r="J4524" s="23"/>
      <c r="K4524" s="23"/>
      <c r="M4524" s="23"/>
      <c r="N4524" s="23"/>
      <c r="P4524" s="23"/>
    </row>
    <row r="4525" spans="2:16" x14ac:dyDescent="0.25">
      <c r="B4525" s="23"/>
      <c r="E4525" s="23"/>
      <c r="G4525" s="23"/>
      <c r="H4525" s="23"/>
      <c r="J4525" s="23"/>
      <c r="K4525" s="23"/>
      <c r="M4525" s="23"/>
      <c r="N4525" s="23"/>
      <c r="P4525" s="23"/>
    </row>
    <row r="4526" spans="2:16" x14ac:dyDescent="0.25">
      <c r="B4526" s="23"/>
      <c r="E4526" s="23"/>
      <c r="G4526" s="23"/>
      <c r="H4526" s="23"/>
      <c r="J4526" s="23"/>
      <c r="K4526" s="23"/>
      <c r="M4526" s="23"/>
      <c r="N4526" s="23"/>
      <c r="P4526" s="23"/>
    </row>
    <row r="4527" spans="2:16" x14ac:dyDescent="0.25">
      <c r="B4527" s="23"/>
      <c r="E4527" s="23"/>
      <c r="G4527" s="23"/>
      <c r="H4527" s="23"/>
      <c r="J4527" s="23"/>
      <c r="K4527" s="23"/>
      <c r="M4527" s="23"/>
      <c r="N4527" s="23"/>
      <c r="P4527" s="23"/>
    </row>
    <row r="4528" spans="2:16" x14ac:dyDescent="0.25">
      <c r="B4528" s="23"/>
      <c r="E4528" s="23"/>
      <c r="G4528" s="23"/>
      <c r="H4528" s="23"/>
      <c r="J4528" s="23"/>
      <c r="K4528" s="23"/>
      <c r="M4528" s="23"/>
      <c r="N4528" s="23"/>
      <c r="P4528" s="23"/>
    </row>
    <row r="4529" spans="2:16" x14ac:dyDescent="0.25">
      <c r="B4529" s="23"/>
      <c r="E4529" s="23"/>
      <c r="G4529" s="23"/>
      <c r="H4529" s="23"/>
      <c r="J4529" s="23"/>
      <c r="K4529" s="23"/>
      <c r="M4529" s="23"/>
      <c r="N4529" s="23"/>
      <c r="P4529" s="23"/>
    </row>
    <row r="4530" spans="2:16" x14ac:dyDescent="0.25">
      <c r="B4530" s="23"/>
      <c r="E4530" s="23"/>
      <c r="G4530" s="23"/>
      <c r="H4530" s="23"/>
      <c r="J4530" s="23"/>
      <c r="K4530" s="23"/>
      <c r="M4530" s="23"/>
      <c r="N4530" s="23"/>
      <c r="P4530" s="23"/>
    </row>
    <row r="4531" spans="2:16" x14ac:dyDescent="0.25">
      <c r="B4531" s="23"/>
      <c r="E4531" s="23"/>
      <c r="G4531" s="23"/>
      <c r="H4531" s="23"/>
      <c r="J4531" s="23"/>
      <c r="K4531" s="23"/>
      <c r="M4531" s="23"/>
      <c r="N4531" s="23"/>
      <c r="P4531" s="23"/>
    </row>
    <row r="4532" spans="2:16" x14ac:dyDescent="0.25">
      <c r="B4532" s="23"/>
      <c r="E4532" s="23"/>
      <c r="G4532" s="23"/>
      <c r="H4532" s="23"/>
      <c r="J4532" s="23"/>
      <c r="K4532" s="23"/>
      <c r="M4532" s="23"/>
      <c r="N4532" s="23"/>
      <c r="P4532" s="23"/>
    </row>
    <row r="4533" spans="2:16" x14ac:dyDescent="0.25">
      <c r="B4533" s="23"/>
      <c r="E4533" s="23"/>
      <c r="G4533" s="23"/>
      <c r="H4533" s="23"/>
      <c r="J4533" s="23"/>
      <c r="K4533" s="23"/>
      <c r="M4533" s="23"/>
      <c r="N4533" s="23"/>
      <c r="P4533" s="23"/>
    </row>
    <row r="4534" spans="2:16" x14ac:dyDescent="0.25">
      <c r="B4534" s="23"/>
      <c r="E4534" s="23"/>
      <c r="G4534" s="23"/>
      <c r="H4534" s="23"/>
      <c r="J4534" s="23"/>
      <c r="K4534" s="23"/>
      <c r="M4534" s="23"/>
      <c r="N4534" s="23"/>
      <c r="P4534" s="23"/>
    </row>
    <row r="4535" spans="2:16" x14ac:dyDescent="0.25">
      <c r="B4535" s="23"/>
      <c r="E4535" s="23"/>
      <c r="G4535" s="23"/>
      <c r="H4535" s="23"/>
      <c r="J4535" s="23"/>
      <c r="K4535" s="23"/>
      <c r="M4535" s="23"/>
      <c r="N4535" s="23"/>
      <c r="P4535" s="23"/>
    </row>
    <row r="4536" spans="2:16" x14ac:dyDescent="0.25">
      <c r="B4536" s="23"/>
      <c r="E4536" s="23"/>
      <c r="G4536" s="23"/>
      <c r="H4536" s="23"/>
      <c r="J4536" s="23"/>
      <c r="K4536" s="23"/>
      <c r="M4536" s="23"/>
      <c r="N4536" s="23"/>
      <c r="P4536" s="23"/>
    </row>
    <row r="4537" spans="2:16" x14ac:dyDescent="0.25">
      <c r="B4537" s="23"/>
      <c r="E4537" s="23"/>
      <c r="G4537" s="23"/>
      <c r="H4537" s="23"/>
      <c r="J4537" s="23"/>
      <c r="K4537" s="23"/>
      <c r="M4537" s="23"/>
      <c r="N4537" s="23"/>
      <c r="P4537" s="23"/>
    </row>
    <row r="4538" spans="2:16" x14ac:dyDescent="0.25">
      <c r="B4538" s="23"/>
      <c r="E4538" s="23"/>
      <c r="G4538" s="23"/>
      <c r="H4538" s="23"/>
      <c r="J4538" s="23"/>
      <c r="K4538" s="23"/>
      <c r="M4538" s="23"/>
      <c r="N4538" s="23"/>
      <c r="P4538" s="23"/>
    </row>
    <row r="4539" spans="2:16" x14ac:dyDescent="0.25">
      <c r="B4539" s="23"/>
      <c r="E4539" s="23"/>
      <c r="G4539" s="23"/>
      <c r="H4539" s="23"/>
      <c r="J4539" s="23"/>
      <c r="K4539" s="23"/>
      <c r="M4539" s="23"/>
      <c r="N4539" s="23"/>
      <c r="P4539" s="23"/>
    </row>
    <row r="4540" spans="2:16" x14ac:dyDescent="0.25">
      <c r="B4540" s="23"/>
      <c r="E4540" s="23"/>
      <c r="G4540" s="23"/>
      <c r="H4540" s="23"/>
      <c r="J4540" s="23"/>
      <c r="K4540" s="23"/>
      <c r="M4540" s="23"/>
      <c r="N4540" s="23"/>
      <c r="P4540" s="23"/>
    </row>
    <row r="4541" spans="2:16" x14ac:dyDescent="0.25">
      <c r="B4541" s="23"/>
      <c r="E4541" s="23"/>
      <c r="G4541" s="23"/>
      <c r="H4541" s="23"/>
      <c r="J4541" s="23"/>
      <c r="K4541" s="23"/>
      <c r="M4541" s="23"/>
      <c r="N4541" s="23"/>
      <c r="P4541" s="23"/>
    </row>
    <row r="4542" spans="2:16" x14ac:dyDescent="0.25">
      <c r="B4542" s="23"/>
      <c r="E4542" s="23"/>
      <c r="G4542" s="23"/>
      <c r="H4542" s="23"/>
      <c r="J4542" s="23"/>
      <c r="K4542" s="23"/>
      <c r="M4542" s="23"/>
      <c r="N4542" s="23"/>
      <c r="P4542" s="23"/>
    </row>
    <row r="4543" spans="2:16" x14ac:dyDescent="0.25">
      <c r="B4543" s="23"/>
      <c r="E4543" s="23"/>
      <c r="G4543" s="23"/>
      <c r="H4543" s="23"/>
      <c r="J4543" s="23"/>
      <c r="K4543" s="23"/>
      <c r="M4543" s="23"/>
      <c r="N4543" s="23"/>
      <c r="P4543" s="23"/>
    </row>
    <row r="4544" spans="2:16" x14ac:dyDescent="0.25">
      <c r="B4544" s="23"/>
      <c r="E4544" s="23"/>
      <c r="G4544" s="23"/>
      <c r="H4544" s="23"/>
      <c r="J4544" s="23"/>
      <c r="K4544" s="23"/>
      <c r="M4544" s="23"/>
      <c r="N4544" s="23"/>
      <c r="P4544" s="23"/>
    </row>
    <row r="4545" spans="2:16" x14ac:dyDescent="0.25">
      <c r="B4545" s="23"/>
      <c r="E4545" s="23"/>
      <c r="G4545" s="23"/>
      <c r="H4545" s="23"/>
      <c r="J4545" s="23"/>
      <c r="K4545" s="23"/>
      <c r="M4545" s="23"/>
      <c r="N4545" s="23"/>
      <c r="P4545" s="23"/>
    </row>
    <row r="4546" spans="2:16" x14ac:dyDescent="0.25">
      <c r="B4546" s="23"/>
      <c r="E4546" s="23"/>
      <c r="G4546" s="23"/>
      <c r="H4546" s="23"/>
      <c r="J4546" s="23"/>
      <c r="K4546" s="23"/>
      <c r="M4546" s="23"/>
      <c r="N4546" s="23"/>
      <c r="P4546" s="23"/>
    </row>
    <row r="4547" spans="2:16" x14ac:dyDescent="0.25">
      <c r="B4547" s="23"/>
      <c r="E4547" s="23"/>
      <c r="G4547" s="23"/>
      <c r="H4547" s="23"/>
      <c r="J4547" s="23"/>
      <c r="K4547" s="23"/>
      <c r="M4547" s="23"/>
      <c r="N4547" s="23"/>
      <c r="P4547" s="23"/>
    </row>
    <row r="4548" spans="2:16" x14ac:dyDescent="0.25">
      <c r="B4548" s="23"/>
      <c r="E4548" s="23"/>
      <c r="G4548" s="23"/>
      <c r="H4548" s="23"/>
      <c r="J4548" s="23"/>
      <c r="K4548" s="23"/>
      <c r="M4548" s="23"/>
      <c r="N4548" s="23"/>
      <c r="P4548" s="23"/>
    </row>
    <row r="4549" spans="2:16" x14ac:dyDescent="0.25">
      <c r="B4549" s="23"/>
      <c r="E4549" s="23"/>
      <c r="G4549" s="23"/>
      <c r="H4549" s="23"/>
      <c r="J4549" s="23"/>
      <c r="K4549" s="23"/>
      <c r="M4549" s="23"/>
      <c r="N4549" s="23"/>
      <c r="P4549" s="23"/>
    </row>
    <row r="4550" spans="2:16" x14ac:dyDescent="0.25">
      <c r="B4550" s="23"/>
      <c r="E4550" s="23"/>
      <c r="G4550" s="23"/>
      <c r="H4550" s="23"/>
      <c r="J4550" s="23"/>
      <c r="K4550" s="23"/>
      <c r="M4550" s="23"/>
      <c r="N4550" s="23"/>
      <c r="P4550" s="23"/>
    </row>
    <row r="4551" spans="2:16" x14ac:dyDescent="0.25">
      <c r="B4551" s="23"/>
      <c r="E4551" s="23"/>
      <c r="G4551" s="23"/>
      <c r="H4551" s="23"/>
      <c r="J4551" s="23"/>
      <c r="K4551" s="23"/>
      <c r="M4551" s="23"/>
      <c r="N4551" s="23"/>
      <c r="P4551" s="23"/>
    </row>
    <row r="4552" spans="2:16" x14ac:dyDescent="0.25">
      <c r="B4552" s="23"/>
      <c r="E4552" s="23"/>
      <c r="G4552" s="23"/>
      <c r="H4552" s="23"/>
      <c r="J4552" s="23"/>
      <c r="K4552" s="23"/>
      <c r="M4552" s="23"/>
      <c r="N4552" s="23"/>
      <c r="P4552" s="23"/>
    </row>
    <row r="4553" spans="2:16" x14ac:dyDescent="0.25">
      <c r="B4553" s="23"/>
      <c r="E4553" s="23"/>
      <c r="G4553" s="23"/>
      <c r="H4553" s="23"/>
      <c r="J4553" s="23"/>
      <c r="K4553" s="23"/>
      <c r="M4553" s="23"/>
      <c r="N4553" s="23"/>
      <c r="P4553" s="23"/>
    </row>
    <row r="4554" spans="2:16" x14ac:dyDescent="0.25">
      <c r="B4554" s="23"/>
      <c r="E4554" s="23"/>
      <c r="G4554" s="23"/>
      <c r="H4554" s="23"/>
      <c r="J4554" s="23"/>
      <c r="K4554" s="23"/>
      <c r="M4554" s="23"/>
      <c r="N4554" s="23"/>
      <c r="P4554" s="23"/>
    </row>
    <row r="4555" spans="2:16" x14ac:dyDescent="0.25">
      <c r="B4555" s="23"/>
      <c r="E4555" s="23"/>
      <c r="G4555" s="23"/>
      <c r="H4555" s="23"/>
      <c r="J4555" s="23"/>
      <c r="K4555" s="23"/>
      <c r="M4555" s="23"/>
      <c r="N4555" s="23"/>
      <c r="P4555" s="23"/>
    </row>
    <row r="4556" spans="2:16" x14ac:dyDescent="0.25">
      <c r="B4556" s="23"/>
      <c r="E4556" s="23"/>
      <c r="G4556" s="23"/>
      <c r="H4556" s="23"/>
      <c r="J4556" s="23"/>
      <c r="K4556" s="23"/>
      <c r="M4556" s="23"/>
      <c r="N4556" s="23"/>
      <c r="P4556" s="23"/>
    </row>
    <row r="4557" spans="2:16" x14ac:dyDescent="0.25">
      <c r="B4557" s="23"/>
      <c r="E4557" s="23"/>
      <c r="G4557" s="23"/>
      <c r="H4557" s="23"/>
      <c r="J4557" s="23"/>
      <c r="K4557" s="23"/>
      <c r="M4557" s="23"/>
      <c r="N4557" s="23"/>
      <c r="P4557" s="23"/>
    </row>
    <row r="4558" spans="2:16" x14ac:dyDescent="0.25">
      <c r="B4558" s="23"/>
      <c r="E4558" s="23"/>
      <c r="G4558" s="23"/>
      <c r="H4558" s="23"/>
      <c r="J4558" s="23"/>
      <c r="K4558" s="23"/>
      <c r="M4558" s="23"/>
      <c r="N4558" s="23"/>
      <c r="P4558" s="23"/>
    </row>
    <row r="4559" spans="2:16" x14ac:dyDescent="0.25">
      <c r="B4559" s="23"/>
      <c r="E4559" s="23"/>
      <c r="G4559" s="23"/>
      <c r="H4559" s="23"/>
      <c r="J4559" s="23"/>
      <c r="K4559" s="23"/>
      <c r="M4559" s="23"/>
      <c r="N4559" s="23"/>
      <c r="P4559" s="23"/>
    </row>
    <row r="4560" spans="2:16" x14ac:dyDescent="0.25">
      <c r="B4560" s="23"/>
      <c r="E4560" s="23"/>
      <c r="G4560" s="23"/>
      <c r="H4560" s="23"/>
      <c r="J4560" s="23"/>
      <c r="K4560" s="23"/>
      <c r="M4560" s="23"/>
      <c r="N4560" s="23"/>
      <c r="P4560" s="23"/>
    </row>
    <row r="4561" spans="2:16" x14ac:dyDescent="0.25">
      <c r="B4561" s="23"/>
      <c r="E4561" s="23"/>
      <c r="G4561" s="23"/>
      <c r="H4561" s="23"/>
      <c r="J4561" s="23"/>
      <c r="K4561" s="23"/>
      <c r="M4561" s="23"/>
      <c r="N4561" s="23"/>
      <c r="P4561" s="23"/>
    </row>
    <row r="4562" spans="2:16" x14ac:dyDescent="0.25">
      <c r="B4562" s="23"/>
      <c r="E4562" s="23"/>
      <c r="G4562" s="23"/>
      <c r="H4562" s="23"/>
      <c r="J4562" s="23"/>
      <c r="K4562" s="23"/>
      <c r="M4562" s="23"/>
      <c r="N4562" s="23"/>
      <c r="P4562" s="23"/>
    </row>
    <row r="4563" spans="2:16" x14ac:dyDescent="0.25">
      <c r="B4563" s="23"/>
      <c r="E4563" s="23"/>
      <c r="G4563" s="23"/>
      <c r="H4563" s="23"/>
      <c r="J4563" s="23"/>
      <c r="K4563" s="23"/>
      <c r="M4563" s="23"/>
      <c r="N4563" s="23"/>
      <c r="P4563" s="23"/>
    </row>
    <row r="4564" spans="2:16" x14ac:dyDescent="0.25">
      <c r="B4564" s="23"/>
      <c r="E4564" s="23"/>
      <c r="G4564" s="23"/>
      <c r="H4564" s="23"/>
      <c r="J4564" s="23"/>
      <c r="K4564" s="23"/>
      <c r="M4564" s="23"/>
      <c r="N4564" s="23"/>
      <c r="P4564" s="23"/>
    </row>
    <row r="4565" spans="2:16" x14ac:dyDescent="0.25">
      <c r="B4565" s="23"/>
      <c r="E4565" s="23"/>
      <c r="G4565" s="23"/>
      <c r="H4565" s="23"/>
      <c r="J4565" s="23"/>
      <c r="K4565" s="23"/>
      <c r="M4565" s="23"/>
      <c r="N4565" s="23"/>
      <c r="P4565" s="23"/>
    </row>
    <row r="4566" spans="2:16" x14ac:dyDescent="0.25">
      <c r="B4566" s="23"/>
      <c r="E4566" s="23"/>
      <c r="G4566" s="23"/>
      <c r="H4566" s="23"/>
      <c r="J4566" s="23"/>
      <c r="K4566" s="23"/>
      <c r="M4566" s="23"/>
      <c r="N4566" s="23"/>
      <c r="P4566" s="23"/>
    </row>
    <row r="4567" spans="2:16" x14ac:dyDescent="0.25">
      <c r="B4567" s="23"/>
      <c r="E4567" s="23"/>
      <c r="G4567" s="23"/>
      <c r="H4567" s="23"/>
      <c r="J4567" s="23"/>
      <c r="K4567" s="23"/>
      <c r="M4567" s="23"/>
      <c r="N4567" s="23"/>
      <c r="P4567" s="23"/>
    </row>
    <row r="4568" spans="2:16" x14ac:dyDescent="0.25">
      <c r="B4568" s="23"/>
      <c r="E4568" s="23"/>
      <c r="G4568" s="23"/>
      <c r="H4568" s="23"/>
      <c r="J4568" s="23"/>
      <c r="K4568" s="23"/>
      <c r="M4568" s="23"/>
      <c r="N4568" s="23"/>
      <c r="P4568" s="23"/>
    </row>
    <row r="4569" spans="2:16" x14ac:dyDescent="0.25">
      <c r="B4569" s="23"/>
      <c r="E4569" s="23"/>
      <c r="G4569" s="23"/>
      <c r="H4569" s="23"/>
      <c r="J4569" s="23"/>
      <c r="K4569" s="23"/>
      <c r="M4569" s="23"/>
      <c r="N4569" s="23"/>
      <c r="P4569" s="23"/>
    </row>
    <row r="4570" spans="2:16" x14ac:dyDescent="0.25">
      <c r="B4570" s="23"/>
      <c r="E4570" s="23"/>
      <c r="G4570" s="23"/>
      <c r="H4570" s="23"/>
      <c r="J4570" s="23"/>
      <c r="K4570" s="23"/>
      <c r="M4570" s="23"/>
      <c r="N4570" s="23"/>
      <c r="P4570" s="23"/>
    </row>
    <row r="4571" spans="2:16" x14ac:dyDescent="0.25">
      <c r="B4571" s="23"/>
      <c r="E4571" s="23"/>
      <c r="G4571" s="23"/>
      <c r="H4571" s="23"/>
      <c r="J4571" s="23"/>
      <c r="K4571" s="23"/>
      <c r="M4571" s="23"/>
      <c r="N4571" s="23"/>
      <c r="P4571" s="23"/>
    </row>
    <row r="4572" spans="2:16" x14ac:dyDescent="0.25">
      <c r="B4572" s="23"/>
      <c r="E4572" s="23"/>
      <c r="G4572" s="23"/>
      <c r="H4572" s="23"/>
      <c r="J4572" s="23"/>
      <c r="K4572" s="23"/>
      <c r="M4572" s="23"/>
      <c r="N4572" s="23"/>
      <c r="P4572" s="23"/>
    </row>
    <row r="4573" spans="2:16" x14ac:dyDescent="0.25">
      <c r="B4573" s="23"/>
      <c r="E4573" s="23"/>
      <c r="G4573" s="23"/>
      <c r="H4573" s="23"/>
      <c r="J4573" s="23"/>
      <c r="K4573" s="23"/>
      <c r="M4573" s="23"/>
      <c r="N4573" s="23"/>
      <c r="P4573" s="23"/>
    </row>
    <row r="4574" spans="2:16" x14ac:dyDescent="0.25">
      <c r="B4574" s="23"/>
      <c r="E4574" s="23"/>
      <c r="G4574" s="23"/>
      <c r="H4574" s="23"/>
      <c r="J4574" s="23"/>
      <c r="K4574" s="23"/>
      <c r="M4574" s="23"/>
      <c r="N4574" s="23"/>
      <c r="P4574" s="23"/>
    </row>
    <row r="4575" spans="2:16" x14ac:dyDescent="0.25">
      <c r="B4575" s="23"/>
      <c r="E4575" s="23"/>
      <c r="G4575" s="23"/>
      <c r="H4575" s="23"/>
      <c r="J4575" s="23"/>
      <c r="K4575" s="23"/>
      <c r="M4575" s="23"/>
      <c r="N4575" s="23"/>
      <c r="P4575" s="23"/>
    </row>
    <row r="4576" spans="2:16" x14ac:dyDescent="0.25">
      <c r="B4576" s="23"/>
      <c r="E4576" s="23"/>
      <c r="G4576" s="23"/>
      <c r="H4576" s="23"/>
      <c r="J4576" s="23"/>
      <c r="K4576" s="23"/>
      <c r="M4576" s="23"/>
      <c r="N4576" s="23"/>
      <c r="P4576" s="23"/>
    </row>
    <row r="4577" spans="2:16" x14ac:dyDescent="0.25">
      <c r="B4577" s="23"/>
      <c r="E4577" s="23"/>
      <c r="G4577" s="23"/>
      <c r="H4577" s="23"/>
      <c r="J4577" s="23"/>
      <c r="K4577" s="23"/>
      <c r="M4577" s="23"/>
      <c r="N4577" s="23"/>
      <c r="P4577" s="23"/>
    </row>
    <row r="4578" spans="2:16" x14ac:dyDescent="0.25">
      <c r="B4578" s="23"/>
      <c r="E4578" s="23"/>
      <c r="G4578" s="23"/>
      <c r="H4578" s="23"/>
      <c r="J4578" s="23"/>
      <c r="K4578" s="23"/>
      <c r="M4578" s="23"/>
      <c r="N4578" s="23"/>
      <c r="P4578" s="23"/>
    </row>
    <row r="4579" spans="2:16" x14ac:dyDescent="0.25">
      <c r="B4579" s="23"/>
      <c r="E4579" s="23"/>
      <c r="G4579" s="23"/>
      <c r="H4579" s="23"/>
      <c r="J4579" s="23"/>
      <c r="K4579" s="23"/>
      <c r="M4579" s="23"/>
      <c r="N4579" s="23"/>
      <c r="P4579" s="23"/>
    </row>
    <row r="4580" spans="2:16" x14ac:dyDescent="0.25">
      <c r="B4580" s="23"/>
      <c r="E4580" s="23"/>
      <c r="G4580" s="23"/>
      <c r="H4580" s="23"/>
      <c r="J4580" s="23"/>
      <c r="K4580" s="23"/>
      <c r="M4580" s="23"/>
      <c r="N4580" s="23"/>
      <c r="P4580" s="23"/>
    </row>
    <row r="4581" spans="2:16" x14ac:dyDescent="0.25">
      <c r="B4581" s="23"/>
      <c r="E4581" s="23"/>
      <c r="G4581" s="23"/>
      <c r="H4581" s="23"/>
      <c r="J4581" s="23"/>
      <c r="K4581" s="23"/>
      <c r="M4581" s="23"/>
      <c r="N4581" s="23"/>
      <c r="P4581" s="23"/>
    </row>
    <row r="4582" spans="2:16" x14ac:dyDescent="0.25">
      <c r="B4582" s="23"/>
      <c r="E4582" s="23"/>
      <c r="G4582" s="23"/>
      <c r="H4582" s="23"/>
      <c r="J4582" s="23"/>
      <c r="K4582" s="23"/>
      <c r="M4582" s="23"/>
      <c r="N4582" s="23"/>
      <c r="P4582" s="23"/>
    </row>
    <row r="4583" spans="2:16" x14ac:dyDescent="0.25">
      <c r="B4583" s="23"/>
      <c r="E4583" s="23"/>
      <c r="G4583" s="23"/>
      <c r="H4583" s="23"/>
      <c r="J4583" s="23"/>
      <c r="K4583" s="23"/>
      <c r="M4583" s="23"/>
      <c r="N4583" s="23"/>
      <c r="P4583" s="23"/>
    </row>
    <row r="4584" spans="2:16" x14ac:dyDescent="0.25">
      <c r="B4584" s="23"/>
      <c r="E4584" s="23"/>
      <c r="G4584" s="23"/>
      <c r="H4584" s="23"/>
      <c r="J4584" s="23"/>
      <c r="K4584" s="23"/>
      <c r="M4584" s="23"/>
      <c r="N4584" s="23"/>
      <c r="P4584" s="23"/>
    </row>
    <row r="4585" spans="2:16" x14ac:dyDescent="0.25">
      <c r="B4585" s="23"/>
      <c r="E4585" s="23"/>
      <c r="G4585" s="23"/>
      <c r="H4585" s="23"/>
      <c r="J4585" s="23"/>
      <c r="K4585" s="23"/>
      <c r="M4585" s="23"/>
      <c r="N4585" s="23"/>
      <c r="P4585" s="23"/>
    </row>
    <row r="4586" spans="2:16" x14ac:dyDescent="0.25">
      <c r="B4586" s="23"/>
      <c r="E4586" s="23"/>
      <c r="G4586" s="23"/>
      <c r="H4586" s="23"/>
      <c r="J4586" s="23"/>
      <c r="K4586" s="23"/>
      <c r="M4586" s="23"/>
      <c r="N4586" s="23"/>
      <c r="P4586" s="23"/>
    </row>
    <row r="4587" spans="2:16" x14ac:dyDescent="0.25">
      <c r="B4587" s="23"/>
      <c r="E4587" s="23"/>
      <c r="G4587" s="23"/>
      <c r="H4587" s="23"/>
      <c r="J4587" s="23"/>
      <c r="K4587" s="23"/>
      <c r="M4587" s="23"/>
      <c r="N4587" s="23"/>
      <c r="P4587" s="23"/>
    </row>
    <row r="4588" spans="2:16" x14ac:dyDescent="0.25">
      <c r="B4588" s="23"/>
      <c r="E4588" s="23"/>
      <c r="G4588" s="23"/>
      <c r="H4588" s="23"/>
      <c r="J4588" s="23"/>
      <c r="K4588" s="23"/>
      <c r="M4588" s="23"/>
      <c r="N4588" s="23"/>
      <c r="P4588" s="23"/>
    </row>
    <row r="4589" spans="2:16" x14ac:dyDescent="0.25">
      <c r="B4589" s="23"/>
      <c r="E4589" s="23"/>
      <c r="G4589" s="23"/>
      <c r="H4589" s="23"/>
      <c r="J4589" s="23"/>
      <c r="K4589" s="23"/>
      <c r="M4589" s="23"/>
      <c r="N4589" s="23"/>
      <c r="P4589" s="23"/>
    </row>
    <row r="4590" spans="2:16" x14ac:dyDescent="0.25">
      <c r="B4590" s="23"/>
      <c r="E4590" s="23"/>
      <c r="G4590" s="23"/>
      <c r="H4590" s="23"/>
      <c r="J4590" s="23"/>
      <c r="K4590" s="23"/>
      <c r="M4590" s="23"/>
      <c r="N4590" s="23"/>
      <c r="P4590" s="23"/>
    </row>
    <row r="4591" spans="2:16" x14ac:dyDescent="0.25">
      <c r="B4591" s="23"/>
      <c r="E4591" s="23"/>
      <c r="G4591" s="23"/>
      <c r="H4591" s="23"/>
      <c r="J4591" s="23"/>
      <c r="K4591" s="23"/>
      <c r="M4591" s="23"/>
      <c r="N4591" s="23"/>
      <c r="P4591" s="23"/>
    </row>
    <row r="4592" spans="2:16" x14ac:dyDescent="0.25">
      <c r="B4592" s="23"/>
      <c r="E4592" s="23"/>
      <c r="G4592" s="23"/>
      <c r="H4592" s="23"/>
      <c r="J4592" s="23"/>
      <c r="K4592" s="23"/>
      <c r="M4592" s="23"/>
      <c r="N4592" s="23"/>
      <c r="P4592" s="23"/>
    </row>
    <row r="4593" spans="2:16" x14ac:dyDescent="0.25">
      <c r="B4593" s="23"/>
      <c r="E4593" s="23"/>
      <c r="G4593" s="23"/>
      <c r="H4593" s="23"/>
      <c r="J4593" s="23"/>
      <c r="K4593" s="23"/>
      <c r="M4593" s="23"/>
      <c r="N4593" s="23"/>
      <c r="P4593" s="23"/>
    </row>
    <row r="4594" spans="2:16" x14ac:dyDescent="0.25">
      <c r="B4594" s="23"/>
      <c r="E4594" s="23"/>
      <c r="G4594" s="23"/>
      <c r="H4594" s="23"/>
      <c r="J4594" s="23"/>
      <c r="K4594" s="23"/>
      <c r="M4594" s="23"/>
      <c r="N4594" s="23"/>
      <c r="P4594" s="23"/>
    </row>
    <row r="4595" spans="2:16" x14ac:dyDescent="0.25">
      <c r="B4595" s="23"/>
      <c r="E4595" s="23"/>
      <c r="G4595" s="23"/>
      <c r="H4595" s="23"/>
      <c r="J4595" s="23"/>
      <c r="K4595" s="23"/>
      <c r="M4595" s="23"/>
      <c r="N4595" s="23"/>
      <c r="P4595" s="23"/>
    </row>
    <row r="4596" spans="2:16" x14ac:dyDescent="0.25">
      <c r="B4596" s="23"/>
      <c r="E4596" s="23"/>
      <c r="G4596" s="23"/>
      <c r="H4596" s="23"/>
      <c r="J4596" s="23"/>
      <c r="K4596" s="23"/>
      <c r="M4596" s="23"/>
      <c r="N4596" s="23"/>
      <c r="P4596" s="23"/>
    </row>
    <row r="4597" spans="2:16" x14ac:dyDescent="0.25">
      <c r="B4597" s="23"/>
      <c r="E4597" s="23"/>
      <c r="G4597" s="23"/>
      <c r="H4597" s="23"/>
      <c r="J4597" s="23"/>
      <c r="K4597" s="23"/>
      <c r="M4597" s="23"/>
      <c r="N4597" s="23"/>
      <c r="P4597" s="23"/>
    </row>
    <row r="4598" spans="2:16" x14ac:dyDescent="0.25">
      <c r="B4598" s="23"/>
      <c r="E4598" s="23"/>
      <c r="G4598" s="23"/>
      <c r="H4598" s="23"/>
      <c r="J4598" s="23"/>
      <c r="K4598" s="23"/>
      <c r="M4598" s="23"/>
      <c r="N4598" s="23"/>
      <c r="P4598" s="23"/>
    </row>
    <row r="4599" spans="2:16" x14ac:dyDescent="0.25">
      <c r="B4599" s="23"/>
      <c r="E4599" s="23"/>
      <c r="G4599" s="23"/>
      <c r="H4599" s="23"/>
      <c r="J4599" s="23"/>
      <c r="K4599" s="23"/>
      <c r="M4599" s="23"/>
      <c r="N4599" s="23"/>
      <c r="P4599" s="23"/>
    </row>
    <row r="4600" spans="2:16" x14ac:dyDescent="0.25">
      <c r="B4600" s="23"/>
      <c r="E4600" s="23"/>
      <c r="G4600" s="23"/>
      <c r="H4600" s="23"/>
      <c r="J4600" s="23"/>
      <c r="K4600" s="23"/>
      <c r="M4600" s="23"/>
      <c r="N4600" s="23"/>
      <c r="P4600" s="23"/>
    </row>
    <row r="4601" spans="2:16" x14ac:dyDescent="0.25">
      <c r="B4601" s="23"/>
      <c r="E4601" s="23"/>
      <c r="G4601" s="23"/>
      <c r="H4601" s="23"/>
      <c r="J4601" s="23"/>
      <c r="K4601" s="23"/>
      <c r="M4601" s="23"/>
      <c r="N4601" s="23"/>
      <c r="P4601" s="23"/>
    </row>
    <row r="4602" spans="2:16" x14ac:dyDescent="0.25">
      <c r="B4602" s="23"/>
      <c r="E4602" s="23"/>
      <c r="G4602" s="23"/>
      <c r="H4602" s="23"/>
      <c r="J4602" s="23"/>
      <c r="K4602" s="23"/>
      <c r="M4602" s="23"/>
      <c r="N4602" s="23"/>
      <c r="P4602" s="23"/>
    </row>
    <row r="4603" spans="2:16" x14ac:dyDescent="0.25">
      <c r="B4603" s="23"/>
      <c r="E4603" s="23"/>
      <c r="G4603" s="23"/>
      <c r="H4603" s="23"/>
      <c r="J4603" s="23"/>
      <c r="K4603" s="23"/>
      <c r="M4603" s="23"/>
      <c r="N4603" s="23"/>
      <c r="P4603" s="23"/>
    </row>
    <row r="4604" spans="2:16" x14ac:dyDescent="0.25">
      <c r="B4604" s="23"/>
      <c r="E4604" s="23"/>
      <c r="G4604" s="23"/>
      <c r="H4604" s="23"/>
      <c r="J4604" s="23"/>
      <c r="K4604" s="23"/>
      <c r="M4604" s="23"/>
      <c r="N4604" s="23"/>
      <c r="P4604" s="23"/>
    </row>
    <row r="4605" spans="2:16" x14ac:dyDescent="0.25">
      <c r="B4605" s="23"/>
      <c r="E4605" s="23"/>
      <c r="G4605" s="23"/>
      <c r="H4605" s="23"/>
      <c r="J4605" s="23"/>
      <c r="K4605" s="23"/>
      <c r="M4605" s="23"/>
      <c r="N4605" s="23"/>
      <c r="P4605" s="23"/>
    </row>
    <row r="4606" spans="2:16" x14ac:dyDescent="0.25">
      <c r="B4606" s="23"/>
      <c r="E4606" s="23"/>
      <c r="G4606" s="23"/>
      <c r="H4606" s="23"/>
      <c r="J4606" s="23"/>
      <c r="K4606" s="23"/>
      <c r="M4606" s="23"/>
      <c r="N4606" s="23"/>
      <c r="P4606" s="23"/>
    </row>
    <row r="4607" spans="2:16" x14ac:dyDescent="0.25">
      <c r="B4607" s="23"/>
      <c r="E4607" s="23"/>
      <c r="G4607" s="23"/>
      <c r="H4607" s="23"/>
      <c r="J4607" s="23"/>
      <c r="K4607" s="23"/>
      <c r="M4607" s="23"/>
      <c r="N4607" s="23"/>
      <c r="P4607" s="23"/>
    </row>
    <row r="4608" spans="2:16" x14ac:dyDescent="0.25">
      <c r="B4608" s="23"/>
      <c r="E4608" s="23"/>
      <c r="G4608" s="23"/>
      <c r="H4608" s="23"/>
      <c r="J4608" s="23"/>
      <c r="K4608" s="23"/>
      <c r="M4608" s="23"/>
      <c r="N4608" s="23"/>
      <c r="P4608" s="23"/>
    </row>
    <row r="4609" spans="2:16" x14ac:dyDescent="0.25">
      <c r="B4609" s="23"/>
      <c r="E4609" s="23"/>
      <c r="G4609" s="23"/>
      <c r="H4609" s="23"/>
      <c r="J4609" s="23"/>
      <c r="K4609" s="23"/>
      <c r="M4609" s="23"/>
      <c r="N4609" s="23"/>
      <c r="P4609" s="23"/>
    </row>
    <row r="4610" spans="2:16" x14ac:dyDescent="0.25">
      <c r="B4610" s="23"/>
      <c r="E4610" s="23"/>
      <c r="G4610" s="23"/>
      <c r="H4610" s="23"/>
      <c r="J4610" s="23"/>
      <c r="K4610" s="23"/>
      <c r="M4610" s="23"/>
      <c r="N4610" s="23"/>
      <c r="P4610" s="23"/>
    </row>
    <row r="4611" spans="2:16" x14ac:dyDescent="0.25">
      <c r="B4611" s="23"/>
      <c r="E4611" s="23"/>
      <c r="G4611" s="23"/>
      <c r="H4611" s="23"/>
      <c r="J4611" s="23"/>
      <c r="K4611" s="23"/>
      <c r="M4611" s="23"/>
      <c r="N4611" s="23"/>
      <c r="P4611" s="23"/>
    </row>
    <row r="4612" spans="2:16" x14ac:dyDescent="0.25">
      <c r="B4612" s="23"/>
      <c r="E4612" s="23"/>
      <c r="G4612" s="23"/>
      <c r="H4612" s="23"/>
      <c r="J4612" s="23"/>
      <c r="K4612" s="23"/>
      <c r="M4612" s="23"/>
      <c r="N4612" s="23"/>
      <c r="P4612" s="23"/>
    </row>
    <row r="4613" spans="2:16" x14ac:dyDescent="0.25">
      <c r="B4613" s="23"/>
      <c r="E4613" s="23"/>
      <c r="G4613" s="23"/>
      <c r="H4613" s="23"/>
      <c r="J4613" s="23"/>
      <c r="K4613" s="23"/>
      <c r="M4613" s="23"/>
      <c r="N4613" s="23"/>
      <c r="P4613" s="23"/>
    </row>
    <row r="4614" spans="2:16" x14ac:dyDescent="0.25">
      <c r="B4614" s="23"/>
      <c r="E4614" s="23"/>
      <c r="G4614" s="23"/>
      <c r="H4614" s="23"/>
      <c r="J4614" s="23"/>
      <c r="K4614" s="23"/>
      <c r="M4614" s="23"/>
      <c r="N4614" s="23"/>
      <c r="P4614" s="23"/>
    </row>
    <row r="4615" spans="2:16" x14ac:dyDescent="0.25">
      <c r="B4615" s="23"/>
      <c r="E4615" s="23"/>
      <c r="G4615" s="23"/>
      <c r="H4615" s="23"/>
      <c r="J4615" s="23"/>
      <c r="K4615" s="23"/>
      <c r="M4615" s="23"/>
      <c r="N4615" s="23"/>
      <c r="P4615" s="23"/>
    </row>
    <row r="4616" spans="2:16" x14ac:dyDescent="0.25">
      <c r="B4616" s="23"/>
      <c r="E4616" s="23"/>
      <c r="G4616" s="23"/>
      <c r="H4616" s="23"/>
      <c r="J4616" s="23"/>
      <c r="K4616" s="23"/>
      <c r="M4616" s="23"/>
      <c r="N4616" s="23"/>
      <c r="P4616" s="23"/>
    </row>
    <row r="4617" spans="2:16" x14ac:dyDescent="0.25">
      <c r="B4617" s="23"/>
      <c r="E4617" s="23"/>
      <c r="G4617" s="23"/>
      <c r="H4617" s="23"/>
      <c r="J4617" s="23"/>
      <c r="K4617" s="23"/>
      <c r="M4617" s="23"/>
      <c r="N4617" s="23"/>
      <c r="P4617" s="23"/>
    </row>
    <row r="4618" spans="2:16" x14ac:dyDescent="0.25">
      <c r="B4618" s="23"/>
      <c r="E4618" s="23"/>
      <c r="G4618" s="23"/>
      <c r="H4618" s="23"/>
      <c r="J4618" s="23"/>
      <c r="K4618" s="23"/>
      <c r="M4618" s="23"/>
      <c r="N4618" s="23"/>
      <c r="P4618" s="23"/>
    </row>
    <row r="4619" spans="2:16" x14ac:dyDescent="0.25">
      <c r="B4619" s="23"/>
      <c r="E4619" s="23"/>
      <c r="G4619" s="23"/>
      <c r="H4619" s="23"/>
      <c r="J4619" s="23"/>
      <c r="K4619" s="23"/>
      <c r="M4619" s="23"/>
      <c r="N4619" s="23"/>
      <c r="P4619" s="23"/>
    </row>
    <row r="4620" spans="2:16" x14ac:dyDescent="0.25">
      <c r="B4620" s="23"/>
      <c r="E4620" s="23"/>
      <c r="G4620" s="23"/>
      <c r="H4620" s="23"/>
      <c r="J4620" s="23"/>
      <c r="K4620" s="23"/>
      <c r="M4620" s="23"/>
      <c r="N4620" s="23"/>
      <c r="P4620" s="23"/>
    </row>
    <row r="4621" spans="2:16" x14ac:dyDescent="0.25">
      <c r="B4621" s="23"/>
      <c r="E4621" s="23"/>
      <c r="G4621" s="23"/>
      <c r="H4621" s="23"/>
      <c r="J4621" s="23"/>
      <c r="K4621" s="23"/>
      <c r="M4621" s="23"/>
      <c r="N4621" s="23"/>
      <c r="P4621" s="23"/>
    </row>
    <row r="4622" spans="2:16" x14ac:dyDescent="0.25">
      <c r="B4622" s="23"/>
      <c r="E4622" s="23"/>
      <c r="G4622" s="23"/>
      <c r="H4622" s="23"/>
      <c r="J4622" s="23"/>
      <c r="K4622" s="23"/>
      <c r="M4622" s="23"/>
      <c r="N4622" s="23"/>
      <c r="P4622" s="23"/>
    </row>
    <row r="4623" spans="2:16" x14ac:dyDescent="0.25">
      <c r="B4623" s="23"/>
      <c r="E4623" s="23"/>
      <c r="G4623" s="23"/>
      <c r="H4623" s="23"/>
      <c r="J4623" s="23"/>
      <c r="K4623" s="23"/>
      <c r="M4623" s="23"/>
      <c r="N4623" s="23"/>
      <c r="P4623" s="23"/>
    </row>
    <row r="4624" spans="2:16" x14ac:dyDescent="0.25">
      <c r="B4624" s="23"/>
      <c r="E4624" s="23"/>
      <c r="G4624" s="23"/>
      <c r="H4624" s="23"/>
      <c r="J4624" s="23"/>
      <c r="K4624" s="23"/>
      <c r="M4624" s="23"/>
      <c r="N4624" s="23"/>
      <c r="P4624" s="23"/>
    </row>
    <row r="4625" spans="2:16" x14ac:dyDescent="0.25">
      <c r="B4625" s="23"/>
      <c r="E4625" s="23"/>
      <c r="G4625" s="23"/>
      <c r="H4625" s="23"/>
      <c r="J4625" s="23"/>
      <c r="K4625" s="23"/>
      <c r="M4625" s="23"/>
      <c r="N4625" s="23"/>
      <c r="P4625" s="23"/>
    </row>
    <row r="4626" spans="2:16" x14ac:dyDescent="0.25">
      <c r="B4626" s="23"/>
      <c r="E4626" s="23"/>
      <c r="G4626" s="23"/>
      <c r="H4626" s="23"/>
      <c r="J4626" s="23"/>
      <c r="K4626" s="23"/>
      <c r="M4626" s="23"/>
      <c r="N4626" s="23"/>
      <c r="P4626" s="23"/>
    </row>
    <row r="4627" spans="2:16" x14ac:dyDescent="0.25">
      <c r="B4627" s="23"/>
      <c r="E4627" s="23"/>
      <c r="G4627" s="23"/>
      <c r="H4627" s="23"/>
      <c r="J4627" s="23"/>
      <c r="K4627" s="23"/>
      <c r="M4627" s="23"/>
      <c r="N4627" s="23"/>
      <c r="P4627" s="23"/>
    </row>
    <row r="4628" spans="2:16" x14ac:dyDescent="0.25">
      <c r="B4628" s="23"/>
      <c r="E4628" s="23"/>
      <c r="G4628" s="23"/>
      <c r="H4628" s="23"/>
      <c r="J4628" s="23"/>
      <c r="K4628" s="23"/>
      <c r="M4628" s="23"/>
      <c r="N4628" s="23"/>
      <c r="P4628" s="23"/>
    </row>
    <row r="4629" spans="2:16" x14ac:dyDescent="0.25">
      <c r="B4629" s="23"/>
      <c r="E4629" s="23"/>
      <c r="G4629" s="23"/>
      <c r="H4629" s="23"/>
      <c r="J4629" s="23"/>
      <c r="K4629" s="23"/>
      <c r="M4629" s="23"/>
      <c r="N4629" s="23"/>
      <c r="P4629" s="23"/>
    </row>
    <row r="4630" spans="2:16" x14ac:dyDescent="0.25">
      <c r="B4630" s="23"/>
      <c r="E4630" s="23"/>
      <c r="G4630" s="23"/>
      <c r="H4630" s="23"/>
      <c r="J4630" s="23"/>
      <c r="K4630" s="23"/>
      <c r="M4630" s="23"/>
      <c r="N4630" s="23"/>
      <c r="P4630" s="23"/>
    </row>
    <row r="4631" spans="2:16" x14ac:dyDescent="0.25">
      <c r="B4631" s="23"/>
      <c r="E4631" s="23"/>
      <c r="G4631" s="23"/>
      <c r="H4631" s="23"/>
      <c r="J4631" s="23"/>
      <c r="K4631" s="23"/>
      <c r="M4631" s="23"/>
      <c r="N4631" s="23"/>
      <c r="P4631" s="23"/>
    </row>
    <row r="4632" spans="2:16" x14ac:dyDescent="0.25">
      <c r="B4632" s="23"/>
      <c r="E4632" s="23"/>
      <c r="G4632" s="23"/>
      <c r="H4632" s="23"/>
      <c r="J4632" s="23"/>
      <c r="K4632" s="23"/>
      <c r="M4632" s="23"/>
      <c r="N4632" s="23"/>
      <c r="P4632" s="23"/>
    </row>
    <row r="4633" spans="2:16" x14ac:dyDescent="0.25">
      <c r="B4633" s="23"/>
      <c r="E4633" s="23"/>
      <c r="G4633" s="23"/>
      <c r="H4633" s="23"/>
      <c r="J4633" s="23"/>
      <c r="K4633" s="23"/>
      <c r="M4633" s="23"/>
      <c r="N4633" s="23"/>
      <c r="P4633" s="23"/>
    </row>
    <row r="4634" spans="2:16" x14ac:dyDescent="0.25">
      <c r="B4634" s="23"/>
      <c r="E4634" s="23"/>
      <c r="G4634" s="23"/>
      <c r="H4634" s="23"/>
      <c r="J4634" s="23"/>
      <c r="K4634" s="23"/>
      <c r="M4634" s="23"/>
      <c r="N4634" s="23"/>
      <c r="P4634" s="23"/>
    </row>
    <row r="4635" spans="2:16" x14ac:dyDescent="0.25">
      <c r="B4635" s="23"/>
      <c r="E4635" s="23"/>
      <c r="G4635" s="23"/>
      <c r="H4635" s="23"/>
      <c r="J4635" s="23"/>
      <c r="K4635" s="23"/>
      <c r="M4635" s="23"/>
      <c r="N4635" s="23"/>
      <c r="P4635" s="23"/>
    </row>
    <row r="4636" spans="2:16" x14ac:dyDescent="0.25">
      <c r="B4636" s="23"/>
      <c r="E4636" s="23"/>
      <c r="G4636" s="23"/>
      <c r="H4636" s="23"/>
      <c r="J4636" s="23"/>
      <c r="K4636" s="23"/>
      <c r="M4636" s="23"/>
      <c r="N4636" s="23"/>
      <c r="P4636" s="23"/>
    </row>
    <row r="4637" spans="2:16" x14ac:dyDescent="0.25">
      <c r="B4637" s="23"/>
      <c r="E4637" s="23"/>
      <c r="G4637" s="23"/>
      <c r="H4637" s="23"/>
      <c r="J4637" s="23"/>
      <c r="K4637" s="23"/>
      <c r="M4637" s="23"/>
      <c r="N4637" s="23"/>
      <c r="P4637" s="23"/>
    </row>
    <row r="4638" spans="2:16" x14ac:dyDescent="0.25">
      <c r="B4638" s="23"/>
      <c r="E4638" s="23"/>
      <c r="G4638" s="23"/>
      <c r="H4638" s="23"/>
      <c r="J4638" s="23"/>
      <c r="K4638" s="23"/>
      <c r="M4638" s="23"/>
      <c r="N4638" s="23"/>
      <c r="P4638" s="23"/>
    </row>
    <row r="4639" spans="2:16" x14ac:dyDescent="0.25">
      <c r="B4639" s="23"/>
      <c r="E4639" s="23"/>
      <c r="G4639" s="23"/>
      <c r="H4639" s="23"/>
      <c r="J4639" s="23"/>
      <c r="K4639" s="23"/>
      <c r="M4639" s="23"/>
      <c r="N4639" s="23"/>
      <c r="P4639" s="23"/>
    </row>
    <row r="4640" spans="2:16" x14ac:dyDescent="0.25">
      <c r="B4640" s="23"/>
      <c r="E4640" s="23"/>
      <c r="G4640" s="23"/>
      <c r="H4640" s="23"/>
      <c r="J4640" s="23"/>
      <c r="K4640" s="23"/>
      <c r="M4640" s="23"/>
      <c r="N4640" s="23"/>
      <c r="P4640" s="23"/>
    </row>
    <row r="4641" spans="2:16" x14ac:dyDescent="0.25">
      <c r="B4641" s="23"/>
      <c r="E4641" s="23"/>
      <c r="G4641" s="23"/>
      <c r="H4641" s="23"/>
      <c r="J4641" s="23"/>
      <c r="K4641" s="23"/>
      <c r="M4641" s="23"/>
      <c r="N4641" s="23"/>
      <c r="P4641" s="23"/>
    </row>
    <row r="4642" spans="2:16" x14ac:dyDescent="0.25">
      <c r="B4642" s="23"/>
      <c r="E4642" s="23"/>
      <c r="G4642" s="23"/>
      <c r="H4642" s="23"/>
      <c r="J4642" s="23"/>
      <c r="K4642" s="23"/>
      <c r="M4642" s="23"/>
      <c r="N4642" s="23"/>
      <c r="P4642" s="23"/>
    </row>
    <row r="4643" spans="2:16" x14ac:dyDescent="0.25">
      <c r="B4643" s="23"/>
      <c r="E4643" s="23"/>
      <c r="G4643" s="23"/>
      <c r="H4643" s="23"/>
      <c r="J4643" s="23"/>
      <c r="K4643" s="23"/>
      <c r="M4643" s="23"/>
      <c r="N4643" s="23"/>
      <c r="P4643" s="23"/>
    </row>
    <row r="4644" spans="2:16" x14ac:dyDescent="0.25">
      <c r="B4644" s="23"/>
      <c r="E4644" s="23"/>
      <c r="G4644" s="23"/>
      <c r="H4644" s="23"/>
      <c r="J4644" s="23"/>
      <c r="K4644" s="23"/>
      <c r="M4644" s="23"/>
      <c r="N4644" s="23"/>
      <c r="P4644" s="23"/>
    </row>
    <row r="4645" spans="2:16" x14ac:dyDescent="0.25">
      <c r="B4645" s="23"/>
      <c r="E4645" s="23"/>
      <c r="G4645" s="23"/>
      <c r="H4645" s="23"/>
      <c r="J4645" s="23"/>
      <c r="K4645" s="23"/>
      <c r="M4645" s="23"/>
      <c r="N4645" s="23"/>
      <c r="P4645" s="23"/>
    </row>
    <row r="4646" spans="2:16" x14ac:dyDescent="0.25">
      <c r="B4646" s="23"/>
      <c r="E4646" s="23"/>
      <c r="G4646" s="23"/>
      <c r="H4646" s="23"/>
      <c r="J4646" s="23"/>
      <c r="K4646" s="23"/>
      <c r="M4646" s="23"/>
      <c r="N4646" s="23"/>
      <c r="P4646" s="23"/>
    </row>
    <row r="4647" spans="2:16" x14ac:dyDescent="0.25">
      <c r="B4647" s="23"/>
      <c r="E4647" s="23"/>
      <c r="G4647" s="23"/>
      <c r="H4647" s="23"/>
      <c r="J4647" s="23"/>
      <c r="K4647" s="23"/>
      <c r="M4647" s="23"/>
      <c r="N4647" s="23"/>
      <c r="P4647" s="23"/>
    </row>
    <row r="4648" spans="2:16" x14ac:dyDescent="0.25">
      <c r="B4648" s="23"/>
      <c r="E4648" s="23"/>
      <c r="G4648" s="23"/>
      <c r="H4648" s="23"/>
      <c r="J4648" s="23"/>
      <c r="K4648" s="23"/>
      <c r="M4648" s="23"/>
      <c r="N4648" s="23"/>
      <c r="P4648" s="23"/>
    </row>
    <row r="4649" spans="2:16" x14ac:dyDescent="0.25">
      <c r="B4649" s="23"/>
      <c r="E4649" s="23"/>
      <c r="G4649" s="23"/>
      <c r="H4649" s="23"/>
      <c r="J4649" s="23"/>
      <c r="K4649" s="23"/>
      <c r="M4649" s="23"/>
      <c r="N4649" s="23"/>
      <c r="P4649" s="23"/>
    </row>
    <row r="4650" spans="2:16" x14ac:dyDescent="0.25">
      <c r="B4650" s="23"/>
      <c r="E4650" s="23"/>
      <c r="G4650" s="23"/>
      <c r="H4650" s="23"/>
      <c r="J4650" s="23"/>
      <c r="K4650" s="23"/>
      <c r="M4650" s="23"/>
      <c r="N4650" s="23"/>
      <c r="P4650" s="23"/>
    </row>
    <row r="4651" spans="2:16" x14ac:dyDescent="0.25">
      <c r="B4651" s="23"/>
      <c r="E4651" s="23"/>
      <c r="G4651" s="23"/>
      <c r="H4651" s="23"/>
      <c r="J4651" s="23"/>
      <c r="K4651" s="23"/>
      <c r="M4651" s="23"/>
      <c r="N4651" s="23"/>
      <c r="P4651" s="23"/>
    </row>
    <row r="4652" spans="2:16" x14ac:dyDescent="0.25">
      <c r="B4652" s="23"/>
      <c r="E4652" s="23"/>
      <c r="G4652" s="23"/>
      <c r="H4652" s="23"/>
      <c r="J4652" s="23"/>
      <c r="K4652" s="23"/>
      <c r="M4652" s="23"/>
      <c r="N4652" s="23"/>
      <c r="P4652" s="23"/>
    </row>
    <row r="4653" spans="2:16" x14ac:dyDescent="0.25">
      <c r="B4653" s="23"/>
      <c r="E4653" s="23"/>
      <c r="G4653" s="23"/>
      <c r="H4653" s="23"/>
      <c r="J4653" s="23"/>
      <c r="K4653" s="23"/>
      <c r="M4653" s="23"/>
      <c r="N4653" s="23"/>
      <c r="P4653" s="23"/>
    </row>
    <row r="4654" spans="2:16" x14ac:dyDescent="0.25">
      <c r="B4654" s="23"/>
      <c r="E4654" s="23"/>
      <c r="G4654" s="23"/>
      <c r="H4654" s="23"/>
      <c r="J4654" s="23"/>
      <c r="K4654" s="23"/>
      <c r="M4654" s="23"/>
      <c r="N4654" s="23"/>
      <c r="P4654" s="23"/>
    </row>
    <row r="4655" spans="2:16" x14ac:dyDescent="0.25">
      <c r="B4655" s="23"/>
      <c r="E4655" s="23"/>
      <c r="G4655" s="23"/>
      <c r="H4655" s="23"/>
      <c r="J4655" s="23"/>
      <c r="K4655" s="23"/>
      <c r="M4655" s="23"/>
      <c r="N4655" s="23"/>
      <c r="P4655" s="23"/>
    </row>
    <row r="4656" spans="2:16" x14ac:dyDescent="0.25">
      <c r="B4656" s="23"/>
      <c r="E4656" s="23"/>
      <c r="G4656" s="23"/>
      <c r="H4656" s="23"/>
      <c r="J4656" s="23"/>
      <c r="K4656" s="23"/>
      <c r="M4656" s="23"/>
      <c r="N4656" s="23"/>
      <c r="P4656" s="23"/>
    </row>
    <row r="4657" spans="2:16" x14ac:dyDescent="0.25">
      <c r="B4657" s="23"/>
      <c r="E4657" s="23"/>
      <c r="G4657" s="23"/>
      <c r="H4657" s="23"/>
      <c r="J4657" s="23"/>
      <c r="K4657" s="23"/>
      <c r="M4657" s="23"/>
      <c r="N4657" s="23"/>
      <c r="P4657" s="23"/>
    </row>
    <row r="4658" spans="2:16" x14ac:dyDescent="0.25">
      <c r="B4658" s="23"/>
      <c r="E4658" s="23"/>
      <c r="G4658" s="23"/>
      <c r="H4658" s="23"/>
      <c r="J4658" s="23"/>
      <c r="K4658" s="23"/>
      <c r="M4658" s="23"/>
      <c r="N4658" s="23"/>
      <c r="P4658" s="23"/>
    </row>
    <row r="4659" spans="2:16" x14ac:dyDescent="0.25">
      <c r="B4659" s="23"/>
      <c r="E4659" s="23"/>
      <c r="G4659" s="23"/>
      <c r="H4659" s="23"/>
      <c r="J4659" s="23"/>
      <c r="K4659" s="23"/>
      <c r="M4659" s="23"/>
      <c r="N4659" s="23"/>
      <c r="P4659" s="23"/>
    </row>
    <row r="4660" spans="2:16" x14ac:dyDescent="0.25">
      <c r="B4660" s="23"/>
      <c r="E4660" s="23"/>
      <c r="G4660" s="23"/>
      <c r="H4660" s="23"/>
      <c r="J4660" s="23"/>
      <c r="K4660" s="23"/>
      <c r="M4660" s="23"/>
      <c r="N4660" s="23"/>
      <c r="P4660" s="23"/>
    </row>
    <row r="4661" spans="2:16" x14ac:dyDescent="0.25">
      <c r="B4661" s="23"/>
      <c r="E4661" s="23"/>
      <c r="G4661" s="23"/>
      <c r="H4661" s="23"/>
      <c r="J4661" s="23"/>
      <c r="K4661" s="23"/>
      <c r="M4661" s="23"/>
      <c r="N4661" s="23"/>
      <c r="P4661" s="23"/>
    </row>
    <row r="4662" spans="2:16" x14ac:dyDescent="0.25">
      <c r="B4662" s="23"/>
      <c r="E4662" s="23"/>
      <c r="G4662" s="23"/>
      <c r="H4662" s="23"/>
      <c r="J4662" s="23"/>
      <c r="K4662" s="23"/>
      <c r="M4662" s="23"/>
      <c r="N4662" s="23"/>
      <c r="P4662" s="23"/>
    </row>
    <row r="4663" spans="2:16" x14ac:dyDescent="0.25">
      <c r="B4663" s="23"/>
      <c r="E4663" s="23"/>
      <c r="G4663" s="23"/>
      <c r="H4663" s="23"/>
      <c r="J4663" s="23"/>
      <c r="K4663" s="23"/>
      <c r="M4663" s="23"/>
      <c r="N4663" s="23"/>
      <c r="P4663" s="23"/>
    </row>
    <row r="4664" spans="2:16" x14ac:dyDescent="0.25">
      <c r="B4664" s="23"/>
      <c r="E4664" s="23"/>
      <c r="G4664" s="23"/>
      <c r="H4664" s="23"/>
      <c r="J4664" s="23"/>
      <c r="K4664" s="23"/>
      <c r="M4664" s="23"/>
      <c r="N4664" s="23"/>
      <c r="P4664" s="23"/>
    </row>
    <row r="4665" spans="2:16" x14ac:dyDescent="0.25">
      <c r="B4665" s="23"/>
      <c r="E4665" s="23"/>
      <c r="G4665" s="23"/>
      <c r="H4665" s="23"/>
      <c r="J4665" s="23"/>
      <c r="K4665" s="23"/>
      <c r="M4665" s="23"/>
      <c r="N4665" s="23"/>
      <c r="P4665" s="23"/>
    </row>
    <row r="4666" spans="2:16" x14ac:dyDescent="0.25">
      <c r="B4666" s="23"/>
      <c r="E4666" s="23"/>
      <c r="G4666" s="23"/>
      <c r="H4666" s="23"/>
      <c r="J4666" s="23"/>
      <c r="K4666" s="23"/>
      <c r="M4666" s="23"/>
      <c r="N4666" s="23"/>
      <c r="P4666" s="23"/>
    </row>
    <row r="4667" spans="2:16" x14ac:dyDescent="0.25">
      <c r="B4667" s="23"/>
      <c r="E4667" s="23"/>
      <c r="G4667" s="23"/>
      <c r="H4667" s="23"/>
      <c r="J4667" s="23"/>
      <c r="K4667" s="23"/>
      <c r="M4667" s="23"/>
      <c r="N4667" s="23"/>
      <c r="P4667" s="23"/>
    </row>
    <row r="4668" spans="2:16" x14ac:dyDescent="0.25">
      <c r="B4668" s="23"/>
      <c r="E4668" s="23"/>
      <c r="G4668" s="23"/>
      <c r="H4668" s="23"/>
      <c r="J4668" s="23"/>
      <c r="K4668" s="23"/>
      <c r="M4668" s="23"/>
      <c r="N4668" s="23"/>
      <c r="P4668" s="23"/>
    </row>
    <row r="4669" spans="2:16" x14ac:dyDescent="0.25">
      <c r="B4669" s="23"/>
      <c r="E4669" s="23"/>
      <c r="G4669" s="23"/>
      <c r="H4669" s="23"/>
      <c r="J4669" s="23"/>
      <c r="K4669" s="23"/>
      <c r="M4669" s="23"/>
      <c r="N4669" s="23"/>
      <c r="P4669" s="23"/>
    </row>
    <row r="4670" spans="2:16" x14ac:dyDescent="0.25">
      <c r="B4670" s="23"/>
      <c r="E4670" s="23"/>
      <c r="G4670" s="23"/>
      <c r="H4670" s="23"/>
      <c r="J4670" s="23"/>
      <c r="K4670" s="23"/>
      <c r="M4670" s="23"/>
      <c r="N4670" s="23"/>
      <c r="P4670" s="23"/>
    </row>
    <row r="4671" spans="2:16" x14ac:dyDescent="0.25">
      <c r="B4671" s="23"/>
      <c r="E4671" s="23"/>
      <c r="G4671" s="23"/>
      <c r="H4671" s="23"/>
      <c r="J4671" s="23"/>
      <c r="K4671" s="23"/>
      <c r="M4671" s="23"/>
      <c r="N4671" s="23"/>
      <c r="P4671" s="23"/>
    </row>
    <row r="4672" spans="2:16" x14ac:dyDescent="0.25">
      <c r="B4672" s="23"/>
      <c r="E4672" s="23"/>
      <c r="G4672" s="23"/>
      <c r="H4672" s="23"/>
      <c r="J4672" s="23"/>
      <c r="K4672" s="23"/>
      <c r="M4672" s="23"/>
      <c r="N4672" s="23"/>
      <c r="P4672" s="23"/>
    </row>
    <row r="4673" spans="2:16" x14ac:dyDescent="0.25">
      <c r="B4673" s="23"/>
      <c r="E4673" s="23"/>
      <c r="G4673" s="23"/>
      <c r="H4673" s="23"/>
      <c r="J4673" s="23"/>
      <c r="K4673" s="23"/>
      <c r="M4673" s="23"/>
      <c r="N4673" s="23"/>
      <c r="P4673" s="23"/>
    </row>
    <row r="4674" spans="2:16" x14ac:dyDescent="0.25">
      <c r="B4674" s="23"/>
      <c r="E4674" s="23"/>
      <c r="G4674" s="23"/>
      <c r="H4674" s="23"/>
      <c r="J4674" s="23"/>
      <c r="K4674" s="23"/>
      <c r="M4674" s="23"/>
      <c r="N4674" s="23"/>
      <c r="P4674" s="23"/>
    </row>
    <row r="4675" spans="2:16" x14ac:dyDescent="0.25">
      <c r="B4675" s="23"/>
      <c r="E4675" s="23"/>
      <c r="G4675" s="23"/>
      <c r="H4675" s="23"/>
      <c r="J4675" s="23"/>
      <c r="K4675" s="23"/>
      <c r="M4675" s="23"/>
      <c r="N4675" s="23"/>
      <c r="P4675" s="23"/>
    </row>
    <row r="4676" spans="2:16" x14ac:dyDescent="0.25">
      <c r="B4676" s="23"/>
      <c r="E4676" s="23"/>
      <c r="G4676" s="23"/>
      <c r="H4676" s="23"/>
      <c r="J4676" s="23"/>
      <c r="K4676" s="23"/>
      <c r="M4676" s="23"/>
      <c r="N4676" s="23"/>
      <c r="P4676" s="23"/>
    </row>
    <row r="4677" spans="2:16" x14ac:dyDescent="0.25">
      <c r="B4677" s="23"/>
      <c r="E4677" s="23"/>
      <c r="G4677" s="23"/>
      <c r="H4677" s="23"/>
      <c r="J4677" s="23"/>
      <c r="K4677" s="23"/>
      <c r="M4677" s="23"/>
      <c r="N4677" s="23"/>
      <c r="P4677" s="23"/>
    </row>
    <row r="4678" spans="2:16" x14ac:dyDescent="0.25">
      <c r="B4678" s="23"/>
      <c r="E4678" s="23"/>
      <c r="G4678" s="23"/>
      <c r="H4678" s="23"/>
      <c r="J4678" s="23"/>
      <c r="K4678" s="23"/>
      <c r="M4678" s="23"/>
      <c r="N4678" s="23"/>
      <c r="P4678" s="23"/>
    </row>
    <row r="4679" spans="2:16" x14ac:dyDescent="0.25">
      <c r="B4679" s="23"/>
      <c r="E4679" s="23"/>
      <c r="G4679" s="23"/>
      <c r="H4679" s="23"/>
      <c r="J4679" s="23"/>
      <c r="K4679" s="23"/>
      <c r="M4679" s="23"/>
      <c r="N4679" s="23"/>
      <c r="P4679" s="23"/>
    </row>
    <row r="4680" spans="2:16" x14ac:dyDescent="0.25">
      <c r="B4680" s="23"/>
      <c r="E4680" s="23"/>
      <c r="G4680" s="23"/>
      <c r="H4680" s="23"/>
      <c r="J4680" s="23"/>
      <c r="K4680" s="23"/>
      <c r="M4680" s="23"/>
      <c r="N4680" s="23"/>
      <c r="P4680" s="23"/>
    </row>
    <row r="4681" spans="2:16" x14ac:dyDescent="0.25">
      <c r="B4681" s="23"/>
      <c r="E4681" s="23"/>
      <c r="G4681" s="23"/>
      <c r="H4681" s="23"/>
      <c r="J4681" s="23"/>
      <c r="K4681" s="23"/>
      <c r="M4681" s="23"/>
      <c r="N4681" s="23"/>
      <c r="P4681" s="23"/>
    </row>
    <row r="4682" spans="2:16" x14ac:dyDescent="0.25">
      <c r="B4682" s="23"/>
      <c r="E4682" s="23"/>
      <c r="G4682" s="23"/>
      <c r="H4682" s="23"/>
      <c r="J4682" s="23"/>
      <c r="K4682" s="23"/>
      <c r="M4682" s="23"/>
      <c r="N4682" s="23"/>
      <c r="P4682" s="23"/>
    </row>
    <row r="4683" spans="2:16" x14ac:dyDescent="0.25">
      <c r="B4683" s="23"/>
      <c r="E4683" s="23"/>
      <c r="G4683" s="23"/>
      <c r="H4683" s="23"/>
      <c r="J4683" s="23"/>
      <c r="K4683" s="23"/>
      <c r="M4683" s="23"/>
      <c r="N4683" s="23"/>
      <c r="P4683" s="23"/>
    </row>
    <row r="4684" spans="2:16" x14ac:dyDescent="0.25">
      <c r="B4684" s="23"/>
      <c r="E4684" s="23"/>
      <c r="G4684" s="23"/>
      <c r="H4684" s="23"/>
      <c r="J4684" s="23"/>
      <c r="K4684" s="23"/>
      <c r="M4684" s="23"/>
      <c r="N4684" s="23"/>
      <c r="P4684" s="23"/>
    </row>
    <row r="4685" spans="2:16" x14ac:dyDescent="0.25">
      <c r="B4685" s="23"/>
      <c r="E4685" s="23"/>
      <c r="G4685" s="23"/>
      <c r="H4685" s="23"/>
      <c r="J4685" s="23"/>
      <c r="K4685" s="23"/>
      <c r="M4685" s="23"/>
      <c r="N4685" s="23"/>
      <c r="P4685" s="23"/>
    </row>
    <row r="4686" spans="2:16" x14ac:dyDescent="0.25">
      <c r="B4686" s="23"/>
      <c r="E4686" s="23"/>
      <c r="G4686" s="23"/>
      <c r="H4686" s="23"/>
      <c r="J4686" s="23"/>
      <c r="K4686" s="23"/>
      <c r="M4686" s="23"/>
      <c r="N4686" s="23"/>
      <c r="P4686" s="23"/>
    </row>
    <row r="4687" spans="2:16" x14ac:dyDescent="0.25">
      <c r="B4687" s="23"/>
      <c r="E4687" s="23"/>
      <c r="G4687" s="23"/>
      <c r="H4687" s="23"/>
      <c r="J4687" s="23"/>
      <c r="K4687" s="23"/>
      <c r="M4687" s="23"/>
      <c r="N4687" s="23"/>
      <c r="P4687" s="23"/>
    </row>
    <row r="4688" spans="2:16" x14ac:dyDescent="0.25">
      <c r="B4688" s="23"/>
      <c r="E4688" s="23"/>
      <c r="G4688" s="23"/>
      <c r="H4688" s="23"/>
      <c r="J4688" s="23"/>
      <c r="K4688" s="23"/>
      <c r="M4688" s="23"/>
      <c r="N4688" s="23"/>
      <c r="P4688" s="23"/>
    </row>
    <row r="4689" spans="2:16" x14ac:dyDescent="0.25">
      <c r="B4689" s="23"/>
      <c r="E4689" s="23"/>
      <c r="G4689" s="23"/>
      <c r="H4689" s="23"/>
      <c r="J4689" s="23"/>
      <c r="K4689" s="23"/>
      <c r="M4689" s="23"/>
      <c r="N4689" s="23"/>
      <c r="P4689" s="23"/>
    </row>
    <row r="4690" spans="2:16" x14ac:dyDescent="0.25">
      <c r="B4690" s="23"/>
      <c r="E4690" s="23"/>
      <c r="G4690" s="23"/>
      <c r="H4690" s="23"/>
      <c r="J4690" s="23"/>
      <c r="K4690" s="23"/>
      <c r="M4690" s="23"/>
      <c r="N4690" s="23"/>
      <c r="P4690" s="23"/>
    </row>
    <row r="4691" spans="2:16" x14ac:dyDescent="0.25">
      <c r="B4691" s="23"/>
      <c r="E4691" s="23"/>
      <c r="G4691" s="23"/>
      <c r="H4691" s="23"/>
      <c r="J4691" s="23"/>
      <c r="K4691" s="23"/>
      <c r="M4691" s="23"/>
      <c r="N4691" s="23"/>
      <c r="P4691" s="23"/>
    </row>
    <row r="4692" spans="2:16" x14ac:dyDescent="0.25">
      <c r="B4692" s="23"/>
      <c r="E4692" s="23"/>
      <c r="G4692" s="23"/>
      <c r="H4692" s="23"/>
      <c r="J4692" s="23"/>
      <c r="K4692" s="23"/>
      <c r="M4692" s="23"/>
      <c r="N4692" s="23"/>
      <c r="P4692" s="23"/>
    </row>
    <row r="4693" spans="2:16" x14ac:dyDescent="0.25">
      <c r="B4693" s="23"/>
      <c r="E4693" s="23"/>
      <c r="G4693" s="23"/>
      <c r="H4693" s="23"/>
      <c r="J4693" s="23"/>
      <c r="K4693" s="23"/>
      <c r="M4693" s="23"/>
      <c r="N4693" s="23"/>
      <c r="P4693" s="23"/>
    </row>
    <row r="4694" spans="2:16" x14ac:dyDescent="0.25">
      <c r="B4694" s="23"/>
      <c r="E4694" s="23"/>
      <c r="G4694" s="23"/>
      <c r="H4694" s="23"/>
      <c r="J4694" s="23"/>
      <c r="K4694" s="23"/>
      <c r="M4694" s="23"/>
      <c r="N4694" s="23"/>
      <c r="P4694" s="23"/>
    </row>
    <row r="4695" spans="2:16" x14ac:dyDescent="0.25">
      <c r="B4695" s="23"/>
      <c r="E4695" s="23"/>
      <c r="G4695" s="23"/>
      <c r="H4695" s="23"/>
      <c r="J4695" s="23"/>
      <c r="K4695" s="23"/>
      <c r="M4695" s="23"/>
      <c r="N4695" s="23"/>
      <c r="P4695" s="23"/>
    </row>
    <row r="4696" spans="2:16" x14ac:dyDescent="0.25">
      <c r="B4696" s="23"/>
      <c r="E4696" s="23"/>
      <c r="G4696" s="23"/>
      <c r="H4696" s="23"/>
      <c r="J4696" s="23"/>
      <c r="K4696" s="23"/>
      <c r="M4696" s="23"/>
      <c r="N4696" s="23"/>
      <c r="P4696" s="23"/>
    </row>
    <row r="4697" spans="2:16" x14ac:dyDescent="0.25">
      <c r="B4697" s="23"/>
      <c r="E4697" s="23"/>
      <c r="G4697" s="23"/>
      <c r="H4697" s="23"/>
      <c r="J4697" s="23"/>
      <c r="K4697" s="23"/>
      <c r="M4697" s="23"/>
      <c r="N4697" s="23"/>
      <c r="P4697" s="23"/>
    </row>
    <row r="4698" spans="2:16" x14ac:dyDescent="0.25">
      <c r="B4698" s="23"/>
      <c r="E4698" s="23"/>
      <c r="G4698" s="23"/>
      <c r="H4698" s="23"/>
      <c r="J4698" s="23"/>
      <c r="K4698" s="23"/>
      <c r="M4698" s="23"/>
      <c r="N4698" s="23"/>
      <c r="P4698" s="23"/>
    </row>
    <row r="4699" spans="2:16" x14ac:dyDescent="0.25">
      <c r="B4699" s="23"/>
      <c r="E4699" s="23"/>
      <c r="G4699" s="23"/>
      <c r="H4699" s="23"/>
      <c r="J4699" s="23"/>
      <c r="K4699" s="23"/>
      <c r="M4699" s="23"/>
      <c r="N4699" s="23"/>
      <c r="P4699" s="23"/>
    </row>
    <row r="4700" spans="2:16" x14ac:dyDescent="0.25">
      <c r="B4700" s="23"/>
      <c r="E4700" s="23"/>
      <c r="G4700" s="23"/>
      <c r="H4700" s="23"/>
      <c r="J4700" s="23"/>
      <c r="K4700" s="23"/>
      <c r="M4700" s="23"/>
      <c r="N4700" s="23"/>
      <c r="P4700" s="23"/>
    </row>
    <row r="4701" spans="2:16" x14ac:dyDescent="0.25">
      <c r="B4701" s="23"/>
      <c r="E4701" s="23"/>
      <c r="G4701" s="23"/>
      <c r="H4701" s="23"/>
      <c r="J4701" s="23"/>
      <c r="K4701" s="23"/>
      <c r="M4701" s="23"/>
      <c r="N4701" s="23"/>
      <c r="P4701" s="23"/>
    </row>
    <row r="4702" spans="2:16" x14ac:dyDescent="0.25">
      <c r="B4702" s="23"/>
      <c r="E4702" s="23"/>
      <c r="G4702" s="23"/>
      <c r="H4702" s="23"/>
      <c r="J4702" s="23"/>
      <c r="K4702" s="23"/>
      <c r="M4702" s="23"/>
      <c r="N4702" s="23"/>
      <c r="P4702" s="23"/>
    </row>
    <row r="4703" spans="2:16" x14ac:dyDescent="0.25">
      <c r="B4703" s="23"/>
      <c r="E4703" s="23"/>
      <c r="G4703" s="23"/>
      <c r="H4703" s="23"/>
      <c r="J4703" s="23"/>
      <c r="K4703" s="23"/>
      <c r="M4703" s="23"/>
      <c r="N4703" s="23"/>
      <c r="P4703" s="23"/>
    </row>
    <row r="4704" spans="2:16" x14ac:dyDescent="0.25">
      <c r="B4704" s="23"/>
      <c r="E4704" s="23"/>
      <c r="G4704" s="23"/>
      <c r="H4704" s="23"/>
      <c r="J4704" s="23"/>
      <c r="K4704" s="23"/>
      <c r="M4704" s="23"/>
      <c r="N4704" s="23"/>
      <c r="P4704" s="23"/>
    </row>
    <row r="4705" spans="2:16" x14ac:dyDescent="0.25">
      <c r="B4705" s="23"/>
      <c r="E4705" s="23"/>
      <c r="G4705" s="23"/>
      <c r="H4705" s="23"/>
      <c r="J4705" s="23"/>
      <c r="K4705" s="23"/>
      <c r="M4705" s="23"/>
      <c r="N4705" s="23"/>
      <c r="P4705" s="23"/>
    </row>
    <row r="4706" spans="2:16" x14ac:dyDescent="0.25">
      <c r="B4706" s="23"/>
      <c r="E4706" s="23"/>
      <c r="G4706" s="23"/>
      <c r="H4706" s="23"/>
      <c r="J4706" s="23"/>
      <c r="K4706" s="23"/>
      <c r="M4706" s="23"/>
      <c r="N4706" s="23"/>
      <c r="P4706" s="23"/>
    </row>
    <row r="4707" spans="2:16" x14ac:dyDescent="0.25">
      <c r="B4707" s="23"/>
      <c r="E4707" s="23"/>
      <c r="G4707" s="23"/>
      <c r="H4707" s="23"/>
      <c r="J4707" s="23"/>
      <c r="K4707" s="23"/>
      <c r="M4707" s="23"/>
      <c r="N4707" s="23"/>
      <c r="P4707" s="23"/>
    </row>
    <row r="4708" spans="2:16" x14ac:dyDescent="0.25">
      <c r="B4708" s="23"/>
      <c r="E4708" s="23"/>
      <c r="G4708" s="23"/>
      <c r="H4708" s="23"/>
      <c r="J4708" s="23"/>
      <c r="K4708" s="23"/>
      <c r="M4708" s="23"/>
      <c r="N4708" s="23"/>
      <c r="P4708" s="23"/>
    </row>
    <row r="4709" spans="2:16" x14ac:dyDescent="0.25">
      <c r="B4709" s="23"/>
      <c r="E4709" s="23"/>
      <c r="G4709" s="23"/>
      <c r="H4709" s="23"/>
      <c r="J4709" s="23"/>
      <c r="K4709" s="23"/>
      <c r="M4709" s="23"/>
      <c r="N4709" s="23"/>
      <c r="P4709" s="23"/>
    </row>
    <row r="4710" spans="2:16" x14ac:dyDescent="0.25">
      <c r="B4710" s="23"/>
      <c r="E4710" s="23"/>
      <c r="G4710" s="23"/>
      <c r="H4710" s="23"/>
      <c r="J4710" s="23"/>
      <c r="K4710" s="23"/>
      <c r="M4710" s="23"/>
      <c r="N4710" s="23"/>
      <c r="P4710" s="23"/>
    </row>
    <row r="4711" spans="2:16" x14ac:dyDescent="0.25">
      <c r="B4711" s="23"/>
      <c r="E4711" s="23"/>
      <c r="G4711" s="23"/>
      <c r="H4711" s="23"/>
      <c r="J4711" s="23"/>
      <c r="K4711" s="23"/>
      <c r="M4711" s="23"/>
      <c r="N4711" s="23"/>
      <c r="P4711" s="23"/>
    </row>
    <row r="4712" spans="2:16" x14ac:dyDescent="0.25">
      <c r="B4712" s="23"/>
      <c r="E4712" s="23"/>
      <c r="G4712" s="23"/>
      <c r="H4712" s="23"/>
      <c r="J4712" s="23"/>
      <c r="K4712" s="23"/>
      <c r="M4712" s="23"/>
      <c r="N4712" s="23"/>
      <c r="P4712" s="23"/>
    </row>
    <row r="4713" spans="2:16" x14ac:dyDescent="0.25">
      <c r="B4713" s="23"/>
      <c r="E4713" s="23"/>
      <c r="G4713" s="23"/>
      <c r="H4713" s="23"/>
      <c r="J4713" s="23"/>
      <c r="K4713" s="23"/>
      <c r="M4713" s="23"/>
      <c r="N4713" s="23"/>
      <c r="P4713" s="23"/>
    </row>
    <row r="4714" spans="2:16" x14ac:dyDescent="0.25">
      <c r="B4714" s="23"/>
      <c r="E4714" s="23"/>
      <c r="G4714" s="23"/>
      <c r="H4714" s="23"/>
      <c r="J4714" s="23"/>
      <c r="K4714" s="23"/>
      <c r="M4714" s="23"/>
      <c r="N4714" s="23"/>
      <c r="P4714" s="23"/>
    </row>
    <row r="4715" spans="2:16" x14ac:dyDescent="0.25">
      <c r="B4715" s="23"/>
      <c r="E4715" s="23"/>
      <c r="G4715" s="23"/>
      <c r="H4715" s="23"/>
      <c r="J4715" s="23"/>
      <c r="K4715" s="23"/>
      <c r="M4715" s="23"/>
      <c r="N4715" s="23"/>
      <c r="P4715" s="23"/>
    </row>
    <row r="4716" spans="2:16" x14ac:dyDescent="0.25">
      <c r="B4716" s="23"/>
      <c r="E4716" s="23"/>
      <c r="G4716" s="23"/>
      <c r="H4716" s="23"/>
      <c r="J4716" s="23"/>
      <c r="K4716" s="23"/>
      <c r="M4716" s="23"/>
      <c r="N4716" s="23"/>
      <c r="P4716" s="23"/>
    </row>
    <row r="4717" spans="2:16" x14ac:dyDescent="0.25">
      <c r="B4717" s="23"/>
      <c r="E4717" s="23"/>
      <c r="G4717" s="23"/>
      <c r="H4717" s="23"/>
      <c r="J4717" s="23"/>
      <c r="K4717" s="23"/>
      <c r="M4717" s="23"/>
      <c r="N4717" s="23"/>
      <c r="P4717" s="23"/>
    </row>
    <row r="4718" spans="2:16" x14ac:dyDescent="0.25">
      <c r="B4718" s="23"/>
      <c r="E4718" s="23"/>
      <c r="G4718" s="23"/>
      <c r="H4718" s="23"/>
      <c r="J4718" s="23"/>
      <c r="K4718" s="23"/>
      <c r="M4718" s="23"/>
      <c r="N4718" s="23"/>
      <c r="P4718" s="23"/>
    </row>
    <row r="4719" spans="2:16" x14ac:dyDescent="0.25">
      <c r="B4719" s="23"/>
      <c r="E4719" s="23"/>
      <c r="G4719" s="23"/>
      <c r="H4719" s="23"/>
      <c r="J4719" s="23"/>
      <c r="K4719" s="23"/>
      <c r="M4719" s="23"/>
      <c r="N4719" s="23"/>
      <c r="P4719" s="23"/>
    </row>
    <row r="4720" spans="2:16" x14ac:dyDescent="0.25">
      <c r="B4720" s="23"/>
      <c r="E4720" s="23"/>
      <c r="G4720" s="23"/>
      <c r="H4720" s="23"/>
      <c r="J4720" s="23"/>
      <c r="K4720" s="23"/>
      <c r="M4720" s="23"/>
      <c r="N4720" s="23"/>
      <c r="P4720" s="23"/>
    </row>
    <row r="4721" spans="2:16" x14ac:dyDescent="0.25">
      <c r="B4721" s="23"/>
      <c r="E4721" s="23"/>
      <c r="G4721" s="23"/>
      <c r="H4721" s="23"/>
      <c r="J4721" s="23"/>
      <c r="K4721" s="23"/>
      <c r="M4721" s="23"/>
      <c r="N4721" s="23"/>
      <c r="P4721" s="23"/>
    </row>
    <row r="4722" spans="2:16" x14ac:dyDescent="0.25">
      <c r="B4722" s="23"/>
      <c r="E4722" s="23"/>
      <c r="G4722" s="23"/>
      <c r="H4722" s="23"/>
      <c r="J4722" s="23"/>
      <c r="K4722" s="23"/>
      <c r="M4722" s="23"/>
      <c r="N4722" s="23"/>
      <c r="P4722" s="23"/>
    </row>
    <row r="4723" spans="2:16" x14ac:dyDescent="0.25">
      <c r="B4723" s="23"/>
      <c r="E4723" s="23"/>
      <c r="G4723" s="23"/>
      <c r="H4723" s="23"/>
      <c r="J4723" s="23"/>
      <c r="K4723" s="23"/>
      <c r="M4723" s="23"/>
      <c r="N4723" s="23"/>
      <c r="P4723" s="23"/>
    </row>
    <row r="4724" spans="2:16" x14ac:dyDescent="0.25">
      <c r="B4724" s="23"/>
      <c r="E4724" s="23"/>
      <c r="G4724" s="23"/>
      <c r="H4724" s="23"/>
      <c r="J4724" s="23"/>
      <c r="K4724" s="23"/>
      <c r="M4724" s="23"/>
      <c r="N4724" s="23"/>
      <c r="P4724" s="23"/>
    </row>
    <row r="4725" spans="2:16" x14ac:dyDescent="0.25">
      <c r="B4725" s="23"/>
      <c r="E4725" s="23"/>
      <c r="G4725" s="23"/>
      <c r="H4725" s="23"/>
      <c r="J4725" s="23"/>
      <c r="K4725" s="23"/>
      <c r="M4725" s="23"/>
      <c r="N4725" s="23"/>
      <c r="P4725" s="23"/>
    </row>
    <row r="4726" spans="2:16" x14ac:dyDescent="0.25">
      <c r="B4726" s="23"/>
      <c r="E4726" s="23"/>
      <c r="G4726" s="23"/>
      <c r="H4726" s="23"/>
      <c r="J4726" s="23"/>
      <c r="K4726" s="23"/>
      <c r="M4726" s="23"/>
      <c r="N4726" s="23"/>
      <c r="P4726" s="23"/>
    </row>
    <row r="4727" spans="2:16" x14ac:dyDescent="0.25">
      <c r="B4727" s="23"/>
      <c r="E4727" s="23"/>
      <c r="G4727" s="23"/>
      <c r="H4727" s="23"/>
      <c r="J4727" s="23"/>
      <c r="K4727" s="23"/>
      <c r="M4727" s="23"/>
      <c r="N4727" s="23"/>
      <c r="P4727" s="23"/>
    </row>
    <row r="4728" spans="2:16" x14ac:dyDescent="0.25">
      <c r="B4728" s="23"/>
      <c r="E4728" s="23"/>
      <c r="G4728" s="23"/>
      <c r="H4728" s="23"/>
      <c r="J4728" s="23"/>
      <c r="K4728" s="23"/>
      <c r="M4728" s="23"/>
      <c r="N4728" s="23"/>
      <c r="P4728" s="23"/>
    </row>
    <row r="4729" spans="2:16" x14ac:dyDescent="0.25">
      <c r="B4729" s="23"/>
      <c r="E4729" s="23"/>
      <c r="G4729" s="23"/>
      <c r="H4729" s="23"/>
      <c r="J4729" s="23"/>
      <c r="K4729" s="23"/>
      <c r="M4729" s="23"/>
      <c r="N4729" s="23"/>
      <c r="P4729" s="23"/>
    </row>
    <row r="4730" spans="2:16" x14ac:dyDescent="0.25">
      <c r="B4730" s="23"/>
      <c r="E4730" s="23"/>
      <c r="G4730" s="23"/>
      <c r="H4730" s="23"/>
      <c r="J4730" s="23"/>
      <c r="K4730" s="23"/>
      <c r="M4730" s="23"/>
      <c r="N4730" s="23"/>
      <c r="P4730" s="23"/>
    </row>
    <row r="4731" spans="2:16" x14ac:dyDescent="0.25">
      <c r="B4731" s="23"/>
      <c r="E4731" s="23"/>
      <c r="G4731" s="23"/>
      <c r="H4731" s="23"/>
      <c r="J4731" s="23"/>
      <c r="K4731" s="23"/>
      <c r="M4731" s="23"/>
      <c r="N4731" s="23"/>
      <c r="P4731" s="23"/>
    </row>
    <row r="4732" spans="2:16" x14ac:dyDescent="0.25">
      <c r="B4732" s="23"/>
      <c r="E4732" s="23"/>
      <c r="G4732" s="23"/>
      <c r="H4732" s="23"/>
      <c r="J4732" s="23"/>
      <c r="K4732" s="23"/>
      <c r="M4732" s="23"/>
      <c r="N4732" s="23"/>
      <c r="P4732" s="23"/>
    </row>
    <row r="4733" spans="2:16" x14ac:dyDescent="0.25">
      <c r="B4733" s="23"/>
      <c r="E4733" s="23"/>
      <c r="G4733" s="23"/>
      <c r="H4733" s="23"/>
      <c r="J4733" s="23"/>
      <c r="K4733" s="23"/>
      <c r="M4733" s="23"/>
      <c r="N4733" s="23"/>
      <c r="P4733" s="23"/>
    </row>
    <row r="4734" spans="2:16" x14ac:dyDescent="0.25">
      <c r="B4734" s="23"/>
      <c r="E4734" s="23"/>
      <c r="G4734" s="23"/>
      <c r="H4734" s="23"/>
      <c r="J4734" s="23"/>
      <c r="K4734" s="23"/>
      <c r="M4734" s="23"/>
      <c r="N4734" s="23"/>
      <c r="P4734" s="23"/>
    </row>
    <row r="4735" spans="2:16" x14ac:dyDescent="0.25">
      <c r="B4735" s="23"/>
      <c r="E4735" s="23"/>
      <c r="G4735" s="23"/>
      <c r="H4735" s="23"/>
      <c r="J4735" s="23"/>
      <c r="K4735" s="23"/>
      <c r="M4735" s="23"/>
      <c r="N4735" s="23"/>
      <c r="P4735" s="23"/>
    </row>
    <row r="4736" spans="2:16" x14ac:dyDescent="0.25">
      <c r="B4736" s="23"/>
      <c r="E4736" s="23"/>
      <c r="G4736" s="23"/>
      <c r="H4736" s="23"/>
      <c r="J4736" s="23"/>
      <c r="K4736" s="23"/>
      <c r="M4736" s="23"/>
      <c r="N4736" s="23"/>
      <c r="P4736" s="23"/>
    </row>
    <row r="4737" spans="2:16" x14ac:dyDescent="0.25">
      <c r="B4737" s="23"/>
      <c r="E4737" s="23"/>
      <c r="G4737" s="23"/>
      <c r="H4737" s="23"/>
      <c r="J4737" s="23"/>
      <c r="K4737" s="23"/>
      <c r="M4737" s="23"/>
      <c r="N4737" s="23"/>
      <c r="P4737" s="23"/>
    </row>
    <row r="4738" spans="2:16" x14ac:dyDescent="0.25">
      <c r="B4738" s="23"/>
      <c r="E4738" s="23"/>
      <c r="G4738" s="23"/>
      <c r="H4738" s="23"/>
      <c r="J4738" s="23"/>
      <c r="K4738" s="23"/>
      <c r="M4738" s="23"/>
      <c r="N4738" s="23"/>
      <c r="P4738" s="23"/>
    </row>
    <row r="4739" spans="2:16" x14ac:dyDescent="0.25">
      <c r="B4739" s="23"/>
      <c r="E4739" s="23"/>
      <c r="G4739" s="23"/>
      <c r="H4739" s="23"/>
      <c r="J4739" s="23"/>
      <c r="K4739" s="23"/>
      <c r="M4739" s="23"/>
      <c r="N4739" s="23"/>
      <c r="P4739" s="23"/>
    </row>
    <row r="4740" spans="2:16" x14ac:dyDescent="0.25">
      <c r="B4740" s="23"/>
      <c r="E4740" s="23"/>
      <c r="G4740" s="23"/>
      <c r="H4740" s="23"/>
      <c r="J4740" s="23"/>
      <c r="K4740" s="23"/>
      <c r="M4740" s="23"/>
      <c r="N4740" s="23"/>
      <c r="P4740" s="23"/>
    </row>
    <row r="4741" spans="2:16" x14ac:dyDescent="0.25">
      <c r="B4741" s="23"/>
      <c r="E4741" s="23"/>
      <c r="G4741" s="23"/>
      <c r="H4741" s="23"/>
      <c r="J4741" s="23"/>
      <c r="K4741" s="23"/>
      <c r="M4741" s="23"/>
      <c r="N4741" s="23"/>
      <c r="P4741" s="23"/>
    </row>
    <row r="4742" spans="2:16" x14ac:dyDescent="0.25">
      <c r="B4742" s="23"/>
      <c r="E4742" s="23"/>
      <c r="G4742" s="23"/>
      <c r="H4742" s="23"/>
      <c r="J4742" s="23"/>
      <c r="K4742" s="23"/>
      <c r="M4742" s="23"/>
      <c r="N4742" s="23"/>
      <c r="P4742" s="23"/>
    </row>
    <row r="4743" spans="2:16" x14ac:dyDescent="0.25">
      <c r="B4743" s="23"/>
      <c r="E4743" s="23"/>
      <c r="G4743" s="23"/>
      <c r="H4743" s="23"/>
      <c r="J4743" s="23"/>
      <c r="K4743" s="23"/>
      <c r="M4743" s="23"/>
      <c r="N4743" s="23"/>
      <c r="P4743" s="23"/>
    </row>
    <row r="4744" spans="2:16" x14ac:dyDescent="0.25">
      <c r="B4744" s="23"/>
      <c r="E4744" s="23"/>
      <c r="G4744" s="23"/>
      <c r="H4744" s="23"/>
      <c r="J4744" s="23"/>
      <c r="K4744" s="23"/>
      <c r="M4744" s="23"/>
      <c r="N4744" s="23"/>
      <c r="P4744" s="23"/>
    </row>
    <row r="4745" spans="2:16" x14ac:dyDescent="0.25">
      <c r="B4745" s="23"/>
      <c r="E4745" s="23"/>
      <c r="G4745" s="23"/>
      <c r="H4745" s="23"/>
      <c r="J4745" s="23"/>
      <c r="K4745" s="23"/>
      <c r="M4745" s="23"/>
      <c r="N4745" s="23"/>
      <c r="P4745" s="23"/>
    </row>
    <row r="4746" spans="2:16" x14ac:dyDescent="0.25">
      <c r="B4746" s="23"/>
      <c r="E4746" s="23"/>
      <c r="G4746" s="23"/>
      <c r="H4746" s="23"/>
      <c r="J4746" s="23"/>
      <c r="K4746" s="23"/>
      <c r="M4746" s="23"/>
      <c r="N4746" s="23"/>
      <c r="P4746" s="23"/>
    </row>
    <row r="4747" spans="2:16" x14ac:dyDescent="0.25">
      <c r="B4747" s="23"/>
      <c r="E4747" s="23"/>
      <c r="G4747" s="23"/>
      <c r="H4747" s="23"/>
      <c r="J4747" s="23"/>
      <c r="K4747" s="23"/>
      <c r="M4747" s="23"/>
      <c r="N4747" s="23"/>
      <c r="P4747" s="23"/>
    </row>
    <row r="4748" spans="2:16" x14ac:dyDescent="0.25">
      <c r="B4748" s="23"/>
      <c r="E4748" s="23"/>
      <c r="G4748" s="23"/>
      <c r="H4748" s="23"/>
      <c r="J4748" s="23"/>
      <c r="K4748" s="23"/>
      <c r="M4748" s="23"/>
      <c r="N4748" s="23"/>
      <c r="P4748" s="23"/>
    </row>
    <row r="4749" spans="2:16" x14ac:dyDescent="0.25">
      <c r="B4749" s="23"/>
      <c r="E4749" s="23"/>
      <c r="G4749" s="23"/>
      <c r="H4749" s="23"/>
      <c r="J4749" s="23"/>
      <c r="K4749" s="23"/>
      <c r="M4749" s="23"/>
      <c r="N4749" s="23"/>
      <c r="P4749" s="23"/>
    </row>
    <row r="4750" spans="2:16" x14ac:dyDescent="0.25">
      <c r="B4750" s="23"/>
      <c r="E4750" s="23"/>
      <c r="G4750" s="23"/>
      <c r="H4750" s="23"/>
      <c r="J4750" s="23"/>
      <c r="K4750" s="23"/>
      <c r="M4750" s="23"/>
      <c r="N4750" s="23"/>
      <c r="P4750" s="23"/>
    </row>
    <row r="4751" spans="2:16" x14ac:dyDescent="0.25">
      <c r="B4751" s="23"/>
      <c r="E4751" s="23"/>
      <c r="G4751" s="23"/>
      <c r="H4751" s="23"/>
      <c r="J4751" s="23"/>
      <c r="K4751" s="23"/>
      <c r="M4751" s="23"/>
      <c r="N4751" s="23"/>
      <c r="P4751" s="23"/>
    </row>
    <row r="4752" spans="2:16" x14ac:dyDescent="0.25">
      <c r="B4752" s="23"/>
      <c r="E4752" s="23"/>
      <c r="G4752" s="23"/>
      <c r="H4752" s="23"/>
      <c r="J4752" s="23"/>
      <c r="K4752" s="23"/>
      <c r="M4752" s="23"/>
      <c r="N4752" s="23"/>
      <c r="P4752" s="23"/>
    </row>
    <row r="4753" spans="2:16" x14ac:dyDescent="0.25">
      <c r="B4753" s="23"/>
      <c r="E4753" s="23"/>
      <c r="G4753" s="23"/>
      <c r="H4753" s="23"/>
      <c r="J4753" s="23"/>
      <c r="K4753" s="23"/>
      <c r="M4753" s="23"/>
      <c r="N4753" s="23"/>
      <c r="P4753" s="23"/>
    </row>
    <row r="4754" spans="2:16" x14ac:dyDescent="0.25">
      <c r="B4754" s="23"/>
      <c r="E4754" s="23"/>
      <c r="G4754" s="23"/>
      <c r="H4754" s="23"/>
      <c r="J4754" s="23"/>
      <c r="K4754" s="23"/>
      <c r="M4754" s="23"/>
      <c r="N4754" s="23"/>
      <c r="P4754" s="23"/>
    </row>
    <row r="4755" spans="2:16" x14ac:dyDescent="0.25">
      <c r="B4755" s="23"/>
      <c r="E4755" s="23"/>
      <c r="G4755" s="23"/>
      <c r="H4755" s="23"/>
      <c r="J4755" s="23"/>
      <c r="K4755" s="23"/>
      <c r="M4755" s="23"/>
      <c r="N4755" s="23"/>
      <c r="P4755" s="23"/>
    </row>
    <row r="4756" spans="2:16" x14ac:dyDescent="0.25">
      <c r="B4756" s="23"/>
      <c r="E4756" s="23"/>
      <c r="G4756" s="23"/>
      <c r="H4756" s="23"/>
      <c r="J4756" s="23"/>
      <c r="K4756" s="23"/>
      <c r="M4756" s="23"/>
      <c r="N4756" s="23"/>
      <c r="P4756" s="23"/>
    </row>
    <row r="4757" spans="2:16" x14ac:dyDescent="0.25">
      <c r="B4757" s="23"/>
      <c r="E4757" s="23"/>
      <c r="G4757" s="23"/>
      <c r="H4757" s="23"/>
      <c r="J4757" s="23"/>
      <c r="K4757" s="23"/>
      <c r="M4757" s="23"/>
      <c r="N4757" s="23"/>
      <c r="P4757" s="23"/>
    </row>
    <row r="4758" spans="2:16" x14ac:dyDescent="0.25">
      <c r="B4758" s="23"/>
      <c r="E4758" s="23"/>
      <c r="G4758" s="23"/>
      <c r="H4758" s="23"/>
      <c r="J4758" s="23"/>
      <c r="K4758" s="23"/>
      <c r="M4758" s="23"/>
      <c r="N4758" s="23"/>
      <c r="P4758" s="23"/>
    </row>
    <row r="4759" spans="2:16" x14ac:dyDescent="0.25">
      <c r="B4759" s="23"/>
      <c r="E4759" s="23"/>
      <c r="G4759" s="23"/>
      <c r="H4759" s="23"/>
      <c r="J4759" s="23"/>
      <c r="K4759" s="23"/>
      <c r="M4759" s="23"/>
      <c r="N4759" s="23"/>
      <c r="P4759" s="23"/>
    </row>
    <row r="4760" spans="2:16" x14ac:dyDescent="0.25">
      <c r="B4760" s="23"/>
      <c r="E4760" s="23"/>
      <c r="G4760" s="23"/>
      <c r="H4760" s="23"/>
      <c r="J4760" s="23"/>
      <c r="K4760" s="23"/>
      <c r="M4760" s="23"/>
      <c r="N4760" s="23"/>
      <c r="P4760" s="23"/>
    </row>
    <row r="4761" spans="2:16" x14ac:dyDescent="0.25">
      <c r="B4761" s="23"/>
      <c r="E4761" s="23"/>
      <c r="G4761" s="23"/>
      <c r="H4761" s="23"/>
      <c r="J4761" s="23"/>
      <c r="K4761" s="23"/>
      <c r="M4761" s="23"/>
      <c r="N4761" s="23"/>
      <c r="P4761" s="23"/>
    </row>
    <row r="4762" spans="2:16" x14ac:dyDescent="0.25">
      <c r="B4762" s="23"/>
      <c r="E4762" s="23"/>
      <c r="G4762" s="23"/>
      <c r="H4762" s="23"/>
      <c r="J4762" s="23"/>
      <c r="K4762" s="23"/>
      <c r="M4762" s="23"/>
      <c r="N4762" s="23"/>
      <c r="P4762" s="23"/>
    </row>
    <row r="4763" spans="2:16" x14ac:dyDescent="0.25">
      <c r="B4763" s="23"/>
      <c r="E4763" s="23"/>
      <c r="G4763" s="23"/>
      <c r="H4763" s="23"/>
      <c r="J4763" s="23"/>
      <c r="K4763" s="23"/>
      <c r="M4763" s="23"/>
      <c r="N4763" s="23"/>
      <c r="P4763" s="23"/>
    </row>
    <row r="4764" spans="2:16" x14ac:dyDescent="0.25">
      <c r="B4764" s="23"/>
      <c r="E4764" s="23"/>
      <c r="G4764" s="23"/>
      <c r="H4764" s="23"/>
      <c r="J4764" s="23"/>
      <c r="K4764" s="23"/>
      <c r="M4764" s="23"/>
      <c r="N4764" s="23"/>
      <c r="P4764" s="23"/>
    </row>
    <row r="4765" spans="2:16" x14ac:dyDescent="0.25">
      <c r="B4765" s="23"/>
      <c r="E4765" s="23"/>
      <c r="G4765" s="23"/>
      <c r="H4765" s="23"/>
      <c r="J4765" s="23"/>
      <c r="K4765" s="23"/>
      <c r="M4765" s="23"/>
      <c r="N4765" s="23"/>
      <c r="P4765" s="23"/>
    </row>
    <row r="4766" spans="2:16" x14ac:dyDescent="0.25">
      <c r="B4766" s="23"/>
      <c r="E4766" s="23"/>
      <c r="G4766" s="23"/>
      <c r="H4766" s="23"/>
      <c r="J4766" s="23"/>
      <c r="K4766" s="23"/>
      <c r="M4766" s="23"/>
      <c r="N4766" s="23"/>
      <c r="P4766" s="23"/>
    </row>
    <row r="4767" spans="2:16" x14ac:dyDescent="0.25">
      <c r="B4767" s="23"/>
      <c r="E4767" s="23"/>
      <c r="G4767" s="23"/>
      <c r="H4767" s="23"/>
      <c r="J4767" s="23"/>
      <c r="K4767" s="23"/>
      <c r="M4767" s="23"/>
      <c r="N4767" s="23"/>
      <c r="P4767" s="23"/>
    </row>
    <row r="4768" spans="2:16" x14ac:dyDescent="0.25">
      <c r="B4768" s="23"/>
      <c r="E4768" s="23"/>
      <c r="G4768" s="23"/>
      <c r="H4768" s="23"/>
      <c r="J4768" s="23"/>
      <c r="K4768" s="23"/>
      <c r="M4768" s="23"/>
      <c r="N4768" s="23"/>
      <c r="P4768" s="23"/>
    </row>
    <row r="4769" spans="2:16" x14ac:dyDescent="0.25">
      <c r="B4769" s="23"/>
      <c r="E4769" s="23"/>
      <c r="G4769" s="23"/>
      <c r="H4769" s="23"/>
      <c r="J4769" s="23"/>
      <c r="K4769" s="23"/>
      <c r="M4769" s="23"/>
      <c r="N4769" s="23"/>
      <c r="P4769" s="23"/>
    </row>
    <row r="4770" spans="2:16" x14ac:dyDescent="0.25">
      <c r="B4770" s="23"/>
      <c r="E4770" s="23"/>
      <c r="G4770" s="23"/>
      <c r="H4770" s="23"/>
      <c r="J4770" s="23"/>
      <c r="K4770" s="23"/>
      <c r="M4770" s="23"/>
      <c r="N4770" s="23"/>
      <c r="P4770" s="23"/>
    </row>
    <row r="4771" spans="2:16" x14ac:dyDescent="0.25">
      <c r="B4771" s="23"/>
      <c r="E4771" s="23"/>
      <c r="G4771" s="23"/>
      <c r="H4771" s="23"/>
      <c r="J4771" s="23"/>
      <c r="K4771" s="23"/>
      <c r="M4771" s="23"/>
      <c r="N4771" s="23"/>
      <c r="P4771" s="23"/>
    </row>
    <row r="4772" spans="2:16" x14ac:dyDescent="0.25">
      <c r="B4772" s="23"/>
      <c r="E4772" s="23"/>
      <c r="G4772" s="23"/>
      <c r="H4772" s="23"/>
      <c r="J4772" s="23"/>
      <c r="K4772" s="23"/>
      <c r="M4772" s="23"/>
      <c r="N4772" s="23"/>
      <c r="P4772" s="23"/>
    </row>
    <row r="4773" spans="2:16" x14ac:dyDescent="0.25">
      <c r="B4773" s="23"/>
      <c r="E4773" s="23"/>
      <c r="G4773" s="23"/>
      <c r="H4773" s="23"/>
      <c r="J4773" s="23"/>
      <c r="K4773" s="23"/>
      <c r="M4773" s="23"/>
      <c r="N4773" s="23"/>
      <c r="P4773" s="23"/>
    </row>
    <row r="4774" spans="2:16" x14ac:dyDescent="0.25">
      <c r="B4774" s="23"/>
      <c r="E4774" s="23"/>
      <c r="G4774" s="23"/>
      <c r="H4774" s="23"/>
      <c r="J4774" s="23"/>
      <c r="K4774" s="23"/>
      <c r="M4774" s="23"/>
      <c r="N4774" s="23"/>
      <c r="P4774" s="23"/>
    </row>
    <row r="4775" spans="2:16" x14ac:dyDescent="0.25">
      <c r="B4775" s="23"/>
      <c r="E4775" s="23"/>
      <c r="G4775" s="23"/>
      <c r="H4775" s="23"/>
      <c r="J4775" s="23"/>
      <c r="K4775" s="23"/>
      <c r="M4775" s="23"/>
      <c r="N4775" s="23"/>
      <c r="P4775" s="23"/>
    </row>
    <row r="4776" spans="2:16" x14ac:dyDescent="0.25">
      <c r="B4776" s="23"/>
      <c r="E4776" s="23"/>
      <c r="G4776" s="23"/>
      <c r="H4776" s="23"/>
      <c r="J4776" s="23"/>
      <c r="K4776" s="23"/>
      <c r="M4776" s="23"/>
      <c r="N4776" s="23"/>
      <c r="P4776" s="23"/>
    </row>
    <row r="4777" spans="2:16" x14ac:dyDescent="0.25">
      <c r="B4777" s="23"/>
      <c r="E4777" s="23"/>
      <c r="G4777" s="23"/>
      <c r="H4777" s="23"/>
      <c r="J4777" s="23"/>
      <c r="K4777" s="23"/>
      <c r="M4777" s="23"/>
      <c r="N4777" s="23"/>
      <c r="P4777" s="23"/>
    </row>
    <row r="4778" spans="2:16" x14ac:dyDescent="0.25">
      <c r="B4778" s="23"/>
      <c r="E4778" s="23"/>
      <c r="G4778" s="23"/>
      <c r="H4778" s="23"/>
      <c r="J4778" s="23"/>
      <c r="K4778" s="23"/>
      <c r="M4778" s="23"/>
      <c r="N4778" s="23"/>
      <c r="P4778" s="23"/>
    </row>
    <row r="4779" spans="2:16" x14ac:dyDescent="0.25">
      <c r="B4779" s="23"/>
      <c r="E4779" s="23"/>
      <c r="G4779" s="23"/>
      <c r="H4779" s="23"/>
      <c r="J4779" s="23"/>
      <c r="K4779" s="23"/>
      <c r="M4779" s="23"/>
      <c r="N4779" s="23"/>
      <c r="P4779" s="23"/>
    </row>
    <row r="4780" spans="2:16" x14ac:dyDescent="0.25">
      <c r="B4780" s="23"/>
      <c r="E4780" s="23"/>
      <c r="G4780" s="23"/>
      <c r="H4780" s="23"/>
      <c r="J4780" s="23"/>
      <c r="K4780" s="23"/>
      <c r="M4780" s="23"/>
      <c r="N4780" s="23"/>
      <c r="P4780" s="23"/>
    </row>
    <row r="4781" spans="2:16" x14ac:dyDescent="0.25">
      <c r="B4781" s="23"/>
      <c r="E4781" s="23"/>
      <c r="G4781" s="23"/>
      <c r="H4781" s="23"/>
      <c r="J4781" s="23"/>
      <c r="K4781" s="23"/>
      <c r="M4781" s="23"/>
      <c r="N4781" s="23"/>
      <c r="P4781" s="23"/>
    </row>
    <row r="4782" spans="2:16" x14ac:dyDescent="0.25">
      <c r="B4782" s="23"/>
      <c r="E4782" s="23"/>
      <c r="G4782" s="23"/>
      <c r="H4782" s="23"/>
      <c r="J4782" s="23"/>
      <c r="K4782" s="23"/>
      <c r="M4782" s="23"/>
      <c r="N4782" s="23"/>
      <c r="P4782" s="23"/>
    </row>
    <row r="4783" spans="2:16" x14ac:dyDescent="0.25">
      <c r="B4783" s="23"/>
      <c r="E4783" s="23"/>
      <c r="G4783" s="23"/>
      <c r="H4783" s="23"/>
      <c r="J4783" s="23"/>
      <c r="K4783" s="23"/>
      <c r="M4783" s="23"/>
      <c r="N4783" s="23"/>
      <c r="P4783" s="23"/>
    </row>
    <row r="4784" spans="2:16" x14ac:dyDescent="0.25">
      <c r="B4784" s="23"/>
      <c r="E4784" s="23"/>
      <c r="G4784" s="23"/>
      <c r="H4784" s="23"/>
      <c r="J4784" s="23"/>
      <c r="K4784" s="23"/>
      <c r="M4784" s="23"/>
      <c r="N4784" s="23"/>
      <c r="P4784" s="23"/>
    </row>
    <row r="4785" spans="2:16" x14ac:dyDescent="0.25">
      <c r="B4785" s="23"/>
      <c r="E4785" s="23"/>
      <c r="G4785" s="23"/>
      <c r="H4785" s="23"/>
      <c r="J4785" s="23"/>
      <c r="K4785" s="23"/>
      <c r="M4785" s="23"/>
      <c r="N4785" s="23"/>
      <c r="P4785" s="23"/>
    </row>
    <row r="4786" spans="2:16" x14ac:dyDescent="0.25">
      <c r="B4786" s="23"/>
      <c r="E4786" s="23"/>
      <c r="G4786" s="23"/>
      <c r="H4786" s="23"/>
      <c r="J4786" s="23"/>
      <c r="K4786" s="23"/>
      <c r="M4786" s="23"/>
      <c r="N4786" s="23"/>
      <c r="P4786" s="23"/>
    </row>
    <row r="4787" spans="2:16" x14ac:dyDescent="0.25">
      <c r="B4787" s="23"/>
      <c r="E4787" s="23"/>
      <c r="G4787" s="23"/>
      <c r="H4787" s="23"/>
      <c r="J4787" s="23"/>
      <c r="K4787" s="23"/>
      <c r="M4787" s="23"/>
      <c r="N4787" s="23"/>
      <c r="P4787" s="23"/>
    </row>
    <row r="4788" spans="2:16" x14ac:dyDescent="0.25">
      <c r="B4788" s="23"/>
      <c r="E4788" s="23"/>
      <c r="G4788" s="23"/>
      <c r="H4788" s="23"/>
      <c r="J4788" s="23"/>
      <c r="K4788" s="23"/>
      <c r="M4788" s="23"/>
      <c r="N4788" s="23"/>
      <c r="P4788" s="23"/>
    </row>
    <row r="4789" spans="2:16" x14ac:dyDescent="0.25">
      <c r="B4789" s="23"/>
      <c r="E4789" s="23"/>
      <c r="G4789" s="23"/>
      <c r="H4789" s="23"/>
      <c r="J4789" s="23"/>
      <c r="K4789" s="23"/>
      <c r="M4789" s="23"/>
      <c r="N4789" s="23"/>
      <c r="P4789" s="23"/>
    </row>
    <row r="4790" spans="2:16" x14ac:dyDescent="0.25">
      <c r="B4790" s="23"/>
      <c r="E4790" s="23"/>
      <c r="G4790" s="23"/>
      <c r="H4790" s="23"/>
      <c r="J4790" s="23"/>
      <c r="K4790" s="23"/>
      <c r="M4790" s="23"/>
      <c r="N4790" s="23"/>
      <c r="P4790" s="23"/>
    </row>
    <row r="4791" spans="2:16" x14ac:dyDescent="0.25">
      <c r="B4791" s="23"/>
      <c r="E4791" s="23"/>
      <c r="G4791" s="23"/>
      <c r="H4791" s="23"/>
      <c r="J4791" s="23"/>
      <c r="K4791" s="23"/>
      <c r="M4791" s="23"/>
      <c r="N4791" s="23"/>
      <c r="P4791" s="23"/>
    </row>
    <row r="4792" spans="2:16" x14ac:dyDescent="0.25">
      <c r="B4792" s="23"/>
      <c r="E4792" s="23"/>
      <c r="G4792" s="23"/>
      <c r="H4792" s="23"/>
      <c r="J4792" s="23"/>
      <c r="K4792" s="23"/>
      <c r="M4792" s="23"/>
      <c r="N4792" s="23"/>
      <c r="P4792" s="23"/>
    </row>
    <row r="4793" spans="2:16" x14ac:dyDescent="0.25">
      <c r="B4793" s="23"/>
      <c r="E4793" s="23"/>
      <c r="G4793" s="23"/>
      <c r="H4793" s="23"/>
      <c r="J4793" s="23"/>
      <c r="K4793" s="23"/>
      <c r="M4793" s="23"/>
      <c r="N4793" s="23"/>
      <c r="P4793" s="23"/>
    </row>
    <row r="4794" spans="2:16" x14ac:dyDescent="0.25">
      <c r="B4794" s="23"/>
      <c r="E4794" s="23"/>
      <c r="G4794" s="23"/>
      <c r="H4794" s="23"/>
      <c r="J4794" s="23"/>
      <c r="K4794" s="23"/>
      <c r="M4794" s="23"/>
      <c r="N4794" s="23"/>
      <c r="P4794" s="23"/>
    </row>
    <row r="4795" spans="2:16" x14ac:dyDescent="0.25">
      <c r="B4795" s="23"/>
      <c r="E4795" s="23"/>
      <c r="G4795" s="23"/>
      <c r="H4795" s="23"/>
      <c r="J4795" s="23"/>
      <c r="K4795" s="23"/>
      <c r="M4795" s="23"/>
      <c r="N4795" s="23"/>
      <c r="P4795" s="23"/>
    </row>
    <row r="4796" spans="2:16" x14ac:dyDescent="0.25">
      <c r="B4796" s="23"/>
      <c r="E4796" s="23"/>
      <c r="G4796" s="23"/>
      <c r="H4796" s="23"/>
      <c r="J4796" s="23"/>
      <c r="K4796" s="23"/>
      <c r="M4796" s="23"/>
      <c r="N4796" s="23"/>
      <c r="P4796" s="23"/>
    </row>
    <row r="4797" spans="2:16" x14ac:dyDescent="0.25">
      <c r="B4797" s="23"/>
      <c r="E4797" s="23"/>
      <c r="G4797" s="23"/>
      <c r="H4797" s="23"/>
      <c r="J4797" s="23"/>
      <c r="K4797" s="23"/>
      <c r="M4797" s="23"/>
      <c r="N4797" s="23"/>
      <c r="P4797" s="23"/>
    </row>
    <row r="4798" spans="2:16" x14ac:dyDescent="0.25">
      <c r="B4798" s="23"/>
      <c r="E4798" s="23"/>
      <c r="G4798" s="23"/>
      <c r="H4798" s="23"/>
      <c r="J4798" s="23"/>
      <c r="K4798" s="23"/>
      <c r="M4798" s="23"/>
      <c r="N4798" s="23"/>
      <c r="P4798" s="23"/>
    </row>
    <row r="4799" spans="2:16" x14ac:dyDescent="0.25">
      <c r="B4799" s="23"/>
      <c r="E4799" s="23"/>
      <c r="G4799" s="23"/>
      <c r="H4799" s="23"/>
      <c r="J4799" s="23"/>
      <c r="K4799" s="23"/>
      <c r="M4799" s="23"/>
      <c r="N4799" s="23"/>
      <c r="P4799" s="23"/>
    </row>
    <row r="4800" spans="2:16" x14ac:dyDescent="0.25">
      <c r="B4800" s="23"/>
      <c r="E4800" s="23"/>
      <c r="G4800" s="23"/>
      <c r="H4800" s="23"/>
      <c r="J4800" s="23"/>
      <c r="K4800" s="23"/>
      <c r="M4800" s="23"/>
      <c r="N4800" s="23"/>
      <c r="P4800" s="23"/>
    </row>
    <row r="4801" spans="2:16" x14ac:dyDescent="0.25">
      <c r="B4801" s="23"/>
      <c r="E4801" s="23"/>
      <c r="G4801" s="23"/>
      <c r="H4801" s="23"/>
      <c r="J4801" s="23"/>
      <c r="K4801" s="23"/>
      <c r="M4801" s="23"/>
      <c r="N4801" s="23"/>
      <c r="P4801" s="23"/>
    </row>
    <row r="4802" spans="2:16" x14ac:dyDescent="0.25">
      <c r="B4802" s="23"/>
      <c r="E4802" s="23"/>
      <c r="G4802" s="23"/>
      <c r="H4802" s="23"/>
      <c r="J4802" s="23"/>
      <c r="K4802" s="23"/>
      <c r="M4802" s="23"/>
      <c r="N4802" s="23"/>
      <c r="P4802" s="23"/>
    </row>
    <row r="4803" spans="2:16" x14ac:dyDescent="0.25">
      <c r="B4803" s="23"/>
      <c r="E4803" s="23"/>
      <c r="G4803" s="23"/>
      <c r="H4803" s="23"/>
      <c r="J4803" s="23"/>
      <c r="K4803" s="23"/>
      <c r="M4803" s="23"/>
      <c r="N4803" s="23"/>
      <c r="P4803" s="23"/>
    </row>
    <row r="4804" spans="2:16" x14ac:dyDescent="0.25">
      <c r="B4804" s="23"/>
      <c r="E4804" s="23"/>
      <c r="G4804" s="23"/>
      <c r="H4804" s="23"/>
      <c r="J4804" s="23"/>
      <c r="K4804" s="23"/>
      <c r="M4804" s="23"/>
      <c r="N4804" s="23"/>
      <c r="P4804" s="23"/>
    </row>
    <row r="4805" spans="2:16" x14ac:dyDescent="0.25">
      <c r="B4805" s="23"/>
      <c r="E4805" s="23"/>
      <c r="G4805" s="23"/>
      <c r="H4805" s="23"/>
      <c r="J4805" s="23"/>
      <c r="K4805" s="23"/>
      <c r="M4805" s="23"/>
      <c r="N4805" s="23"/>
      <c r="P4805" s="23"/>
    </row>
    <row r="4806" spans="2:16" x14ac:dyDescent="0.25">
      <c r="B4806" s="23"/>
      <c r="E4806" s="23"/>
      <c r="G4806" s="23"/>
      <c r="H4806" s="23"/>
      <c r="J4806" s="23"/>
      <c r="K4806" s="23"/>
      <c r="M4806" s="23"/>
      <c r="N4806" s="23"/>
      <c r="P4806" s="23"/>
    </row>
    <row r="4807" spans="2:16" x14ac:dyDescent="0.25">
      <c r="B4807" s="23"/>
      <c r="E4807" s="23"/>
      <c r="G4807" s="23"/>
      <c r="H4807" s="23"/>
      <c r="J4807" s="23"/>
      <c r="K4807" s="23"/>
      <c r="M4807" s="23"/>
      <c r="N4807" s="23"/>
      <c r="P4807" s="23"/>
    </row>
    <row r="4808" spans="2:16" x14ac:dyDescent="0.25">
      <c r="B4808" s="23"/>
      <c r="E4808" s="23"/>
      <c r="G4808" s="23"/>
      <c r="H4808" s="23"/>
      <c r="J4808" s="23"/>
      <c r="K4808" s="23"/>
      <c r="M4808" s="23"/>
      <c r="N4808" s="23"/>
      <c r="P4808" s="23"/>
    </row>
    <row r="4809" spans="2:16" x14ac:dyDescent="0.25">
      <c r="B4809" s="23"/>
      <c r="E4809" s="23"/>
      <c r="G4809" s="23"/>
      <c r="H4809" s="23"/>
      <c r="J4809" s="23"/>
      <c r="K4809" s="23"/>
      <c r="M4809" s="23"/>
      <c r="N4809" s="23"/>
      <c r="P4809" s="23"/>
    </row>
    <row r="4810" spans="2:16" x14ac:dyDescent="0.25">
      <c r="B4810" s="23"/>
      <c r="E4810" s="23"/>
      <c r="G4810" s="23"/>
      <c r="H4810" s="23"/>
      <c r="J4810" s="23"/>
      <c r="K4810" s="23"/>
      <c r="M4810" s="23"/>
      <c r="N4810" s="23"/>
      <c r="P4810" s="23"/>
    </row>
    <row r="4811" spans="2:16" x14ac:dyDescent="0.25">
      <c r="B4811" s="23"/>
      <c r="E4811" s="23"/>
      <c r="G4811" s="23"/>
      <c r="H4811" s="23"/>
      <c r="J4811" s="23"/>
      <c r="K4811" s="23"/>
      <c r="M4811" s="23"/>
      <c r="N4811" s="23"/>
      <c r="P4811" s="23"/>
    </row>
    <row r="4812" spans="2:16" x14ac:dyDescent="0.25">
      <c r="B4812" s="23"/>
      <c r="E4812" s="23"/>
      <c r="G4812" s="23"/>
      <c r="H4812" s="23"/>
      <c r="J4812" s="23"/>
      <c r="K4812" s="23"/>
      <c r="M4812" s="23"/>
      <c r="N4812" s="23"/>
      <c r="P4812" s="23"/>
    </row>
    <row r="4813" spans="2:16" x14ac:dyDescent="0.25">
      <c r="B4813" s="23"/>
      <c r="E4813" s="23"/>
      <c r="G4813" s="23"/>
      <c r="H4813" s="23"/>
      <c r="J4813" s="23"/>
      <c r="K4813" s="23"/>
      <c r="M4813" s="23"/>
      <c r="N4813" s="23"/>
      <c r="P4813" s="23"/>
    </row>
    <row r="4814" spans="2:16" x14ac:dyDescent="0.25">
      <c r="B4814" s="23"/>
      <c r="E4814" s="23"/>
      <c r="G4814" s="23"/>
      <c r="H4814" s="23"/>
      <c r="J4814" s="23"/>
      <c r="K4814" s="23"/>
      <c r="M4814" s="23"/>
      <c r="N4814" s="23"/>
      <c r="P4814" s="23"/>
    </row>
    <row r="4815" spans="2:16" x14ac:dyDescent="0.25">
      <c r="B4815" s="23"/>
      <c r="E4815" s="23"/>
      <c r="G4815" s="23"/>
      <c r="H4815" s="23"/>
      <c r="J4815" s="23"/>
      <c r="K4815" s="23"/>
      <c r="M4815" s="23"/>
      <c r="N4815" s="23"/>
      <c r="P4815" s="23"/>
    </row>
    <row r="4816" spans="2:16" x14ac:dyDescent="0.25">
      <c r="B4816" s="23"/>
      <c r="E4816" s="23"/>
      <c r="G4816" s="23"/>
      <c r="H4816" s="23"/>
      <c r="J4816" s="23"/>
      <c r="K4816" s="23"/>
      <c r="M4816" s="23"/>
      <c r="N4816" s="23"/>
      <c r="P4816" s="23"/>
    </row>
    <row r="4817" spans="2:16" x14ac:dyDescent="0.25">
      <c r="B4817" s="23"/>
      <c r="E4817" s="23"/>
      <c r="G4817" s="23"/>
      <c r="H4817" s="23"/>
      <c r="J4817" s="23"/>
      <c r="K4817" s="23"/>
      <c r="M4817" s="23"/>
      <c r="N4817" s="23"/>
      <c r="P4817" s="23"/>
    </row>
    <row r="4818" spans="2:16" x14ac:dyDescent="0.25">
      <c r="B4818" s="23"/>
      <c r="E4818" s="23"/>
      <c r="G4818" s="23"/>
      <c r="H4818" s="23"/>
      <c r="J4818" s="23"/>
      <c r="K4818" s="23"/>
      <c r="M4818" s="23"/>
      <c r="N4818" s="23"/>
      <c r="P4818" s="23"/>
    </row>
    <row r="4819" spans="2:16" x14ac:dyDescent="0.25">
      <c r="B4819" s="23"/>
      <c r="E4819" s="23"/>
      <c r="G4819" s="23"/>
      <c r="H4819" s="23"/>
      <c r="J4819" s="23"/>
      <c r="K4819" s="23"/>
      <c r="M4819" s="23"/>
      <c r="N4819" s="23"/>
      <c r="P4819" s="23"/>
    </row>
    <row r="4820" spans="2:16" x14ac:dyDescent="0.25">
      <c r="B4820" s="23"/>
      <c r="E4820" s="23"/>
      <c r="G4820" s="23"/>
      <c r="H4820" s="23"/>
      <c r="J4820" s="23"/>
      <c r="K4820" s="23"/>
      <c r="M4820" s="23"/>
      <c r="N4820" s="23"/>
      <c r="P4820" s="23"/>
    </row>
    <row r="4821" spans="2:16" x14ac:dyDescent="0.25">
      <c r="B4821" s="23"/>
      <c r="E4821" s="23"/>
      <c r="G4821" s="23"/>
      <c r="H4821" s="23"/>
      <c r="J4821" s="23"/>
      <c r="K4821" s="23"/>
      <c r="M4821" s="23"/>
      <c r="N4821" s="23"/>
      <c r="P4821" s="23"/>
    </row>
    <row r="4822" spans="2:16" x14ac:dyDescent="0.25">
      <c r="B4822" s="23"/>
      <c r="E4822" s="23"/>
      <c r="G4822" s="23"/>
      <c r="H4822" s="23"/>
      <c r="J4822" s="23"/>
      <c r="K4822" s="23"/>
      <c r="M4822" s="23"/>
      <c r="N4822" s="23"/>
      <c r="P4822" s="23"/>
    </row>
    <row r="4823" spans="2:16" x14ac:dyDescent="0.25">
      <c r="B4823" s="23"/>
      <c r="E4823" s="23"/>
      <c r="G4823" s="23"/>
      <c r="H4823" s="23"/>
      <c r="J4823" s="23"/>
      <c r="K4823" s="23"/>
      <c r="M4823" s="23"/>
      <c r="N4823" s="23"/>
      <c r="P4823" s="23"/>
    </row>
    <row r="4824" spans="2:16" x14ac:dyDescent="0.25">
      <c r="B4824" s="23"/>
      <c r="E4824" s="23"/>
      <c r="G4824" s="23"/>
      <c r="H4824" s="23"/>
      <c r="J4824" s="23"/>
      <c r="K4824" s="23"/>
      <c r="M4824" s="23"/>
      <c r="N4824" s="23"/>
      <c r="P4824" s="23"/>
    </row>
    <row r="4825" spans="2:16" x14ac:dyDescent="0.25">
      <c r="B4825" s="23"/>
      <c r="E4825" s="23"/>
      <c r="G4825" s="23"/>
      <c r="H4825" s="23"/>
      <c r="J4825" s="23"/>
      <c r="K4825" s="23"/>
      <c r="M4825" s="23"/>
      <c r="N4825" s="23"/>
      <c r="P4825" s="23"/>
    </row>
    <row r="4826" spans="2:16" x14ac:dyDescent="0.25">
      <c r="B4826" s="23"/>
      <c r="E4826" s="23"/>
      <c r="G4826" s="23"/>
      <c r="H4826" s="23"/>
      <c r="J4826" s="23"/>
      <c r="K4826" s="23"/>
      <c r="M4826" s="23"/>
      <c r="N4826" s="23"/>
      <c r="P4826" s="23"/>
    </row>
    <row r="4827" spans="2:16" x14ac:dyDescent="0.25">
      <c r="B4827" s="23"/>
      <c r="E4827" s="23"/>
      <c r="G4827" s="23"/>
      <c r="H4827" s="23"/>
      <c r="J4827" s="23"/>
      <c r="K4827" s="23"/>
      <c r="M4827" s="23"/>
      <c r="N4827" s="23"/>
      <c r="P4827" s="23"/>
    </row>
    <row r="4828" spans="2:16" x14ac:dyDescent="0.25">
      <c r="B4828" s="23"/>
      <c r="E4828" s="23"/>
      <c r="G4828" s="23"/>
      <c r="H4828" s="23"/>
      <c r="J4828" s="23"/>
      <c r="K4828" s="23"/>
      <c r="M4828" s="23"/>
      <c r="N4828" s="23"/>
      <c r="P4828" s="23"/>
    </row>
    <row r="4829" spans="2:16" x14ac:dyDescent="0.25">
      <c r="B4829" s="23"/>
      <c r="E4829" s="23"/>
      <c r="G4829" s="23"/>
      <c r="H4829" s="23"/>
      <c r="J4829" s="23"/>
      <c r="K4829" s="23"/>
      <c r="M4829" s="23"/>
      <c r="N4829" s="23"/>
      <c r="P4829" s="23"/>
    </row>
    <row r="4830" spans="2:16" x14ac:dyDescent="0.25">
      <c r="B4830" s="23"/>
      <c r="E4830" s="23"/>
      <c r="G4830" s="23"/>
      <c r="H4830" s="23"/>
      <c r="J4830" s="23"/>
      <c r="K4830" s="23"/>
      <c r="M4830" s="23"/>
      <c r="N4830" s="23"/>
      <c r="P4830" s="23"/>
    </row>
    <row r="4831" spans="2:16" x14ac:dyDescent="0.25">
      <c r="B4831" s="23"/>
      <c r="E4831" s="23"/>
      <c r="G4831" s="23"/>
      <c r="H4831" s="23"/>
      <c r="J4831" s="23"/>
      <c r="K4831" s="23"/>
      <c r="M4831" s="23"/>
      <c r="N4831" s="23"/>
      <c r="P4831" s="23"/>
    </row>
    <row r="4832" spans="2:16" x14ac:dyDescent="0.25">
      <c r="B4832" s="23"/>
      <c r="E4832" s="23"/>
      <c r="G4832" s="23"/>
      <c r="H4832" s="23"/>
      <c r="J4832" s="23"/>
      <c r="K4832" s="23"/>
      <c r="M4832" s="23"/>
      <c r="N4832" s="23"/>
      <c r="P4832" s="23"/>
    </row>
    <row r="4833" spans="2:16" x14ac:dyDescent="0.25">
      <c r="B4833" s="23"/>
      <c r="E4833" s="23"/>
      <c r="G4833" s="23"/>
      <c r="H4833" s="23"/>
      <c r="J4833" s="23"/>
      <c r="K4833" s="23"/>
      <c r="M4833" s="23"/>
      <c r="N4833" s="23"/>
      <c r="P4833" s="23"/>
    </row>
    <row r="4834" spans="2:16" x14ac:dyDescent="0.25">
      <c r="B4834" s="23"/>
      <c r="E4834" s="23"/>
      <c r="G4834" s="23"/>
      <c r="H4834" s="23"/>
      <c r="J4834" s="23"/>
      <c r="K4834" s="23"/>
      <c r="M4834" s="23"/>
      <c r="N4834" s="23"/>
      <c r="P4834" s="23"/>
    </row>
    <row r="4835" spans="2:16" x14ac:dyDescent="0.25">
      <c r="B4835" s="23"/>
      <c r="E4835" s="23"/>
      <c r="G4835" s="23"/>
      <c r="H4835" s="23"/>
      <c r="J4835" s="23"/>
      <c r="K4835" s="23"/>
      <c r="M4835" s="23"/>
      <c r="N4835" s="23"/>
      <c r="P4835" s="23"/>
    </row>
    <row r="4836" spans="2:16" x14ac:dyDescent="0.25">
      <c r="B4836" s="23"/>
      <c r="E4836" s="23"/>
      <c r="G4836" s="23"/>
      <c r="H4836" s="23"/>
      <c r="J4836" s="23"/>
      <c r="K4836" s="23"/>
      <c r="M4836" s="23"/>
      <c r="N4836" s="23"/>
      <c r="P4836" s="23"/>
    </row>
    <row r="4837" spans="2:16" x14ac:dyDescent="0.25">
      <c r="B4837" s="23"/>
      <c r="E4837" s="23"/>
      <c r="G4837" s="23"/>
      <c r="H4837" s="23"/>
      <c r="J4837" s="23"/>
      <c r="K4837" s="23"/>
      <c r="M4837" s="23"/>
      <c r="N4837" s="23"/>
      <c r="P4837" s="23"/>
    </row>
    <row r="4838" spans="2:16" x14ac:dyDescent="0.25">
      <c r="B4838" s="23"/>
      <c r="E4838" s="23"/>
      <c r="G4838" s="23"/>
      <c r="H4838" s="23"/>
      <c r="J4838" s="23"/>
      <c r="K4838" s="23"/>
      <c r="M4838" s="23"/>
      <c r="N4838" s="23"/>
      <c r="P4838" s="23"/>
    </row>
    <row r="4839" spans="2:16" x14ac:dyDescent="0.25">
      <c r="B4839" s="23"/>
      <c r="E4839" s="23"/>
      <c r="G4839" s="23"/>
      <c r="H4839" s="23"/>
      <c r="J4839" s="23"/>
      <c r="K4839" s="23"/>
      <c r="M4839" s="23"/>
      <c r="N4839" s="23"/>
      <c r="P4839" s="23"/>
    </row>
    <row r="4840" spans="2:16" x14ac:dyDescent="0.25">
      <c r="B4840" s="23"/>
      <c r="E4840" s="23"/>
      <c r="G4840" s="23"/>
      <c r="H4840" s="23"/>
      <c r="J4840" s="23"/>
      <c r="K4840" s="23"/>
      <c r="M4840" s="23"/>
      <c r="N4840" s="23"/>
      <c r="P4840" s="23"/>
    </row>
    <row r="4841" spans="2:16" x14ac:dyDescent="0.25">
      <c r="B4841" s="23"/>
      <c r="E4841" s="23"/>
      <c r="G4841" s="23"/>
      <c r="H4841" s="23"/>
      <c r="J4841" s="23"/>
      <c r="K4841" s="23"/>
      <c r="M4841" s="23"/>
      <c r="N4841" s="23"/>
      <c r="P4841" s="23"/>
    </row>
    <row r="4842" spans="2:16" x14ac:dyDescent="0.25">
      <c r="B4842" s="23"/>
      <c r="E4842" s="23"/>
      <c r="G4842" s="23"/>
      <c r="H4842" s="23"/>
      <c r="J4842" s="23"/>
      <c r="K4842" s="23"/>
      <c r="M4842" s="23"/>
      <c r="N4842" s="23"/>
      <c r="P4842" s="23"/>
    </row>
    <row r="4843" spans="2:16" x14ac:dyDescent="0.25">
      <c r="B4843" s="23"/>
      <c r="E4843" s="23"/>
      <c r="G4843" s="23"/>
      <c r="H4843" s="23"/>
      <c r="J4843" s="23"/>
      <c r="K4843" s="23"/>
      <c r="M4843" s="23"/>
      <c r="N4843" s="23"/>
      <c r="P4843" s="23"/>
    </row>
    <row r="4844" spans="2:16" x14ac:dyDescent="0.25">
      <c r="B4844" s="23"/>
      <c r="E4844" s="23"/>
      <c r="G4844" s="23"/>
      <c r="H4844" s="23"/>
      <c r="J4844" s="23"/>
      <c r="K4844" s="23"/>
      <c r="M4844" s="23"/>
      <c r="N4844" s="23"/>
      <c r="P4844" s="23"/>
    </row>
    <row r="4845" spans="2:16" x14ac:dyDescent="0.25">
      <c r="B4845" s="23"/>
      <c r="E4845" s="23"/>
      <c r="G4845" s="23"/>
      <c r="H4845" s="23"/>
      <c r="J4845" s="23"/>
      <c r="K4845" s="23"/>
      <c r="M4845" s="23"/>
      <c r="N4845" s="23"/>
      <c r="P4845" s="23"/>
    </row>
    <row r="4846" spans="2:16" x14ac:dyDescent="0.25">
      <c r="B4846" s="23"/>
      <c r="E4846" s="23"/>
      <c r="G4846" s="23"/>
      <c r="H4846" s="23"/>
      <c r="J4846" s="23"/>
      <c r="K4846" s="23"/>
      <c r="M4846" s="23"/>
      <c r="N4846" s="23"/>
      <c r="P4846" s="23"/>
    </row>
    <row r="4847" spans="2:16" x14ac:dyDescent="0.25">
      <c r="B4847" s="23"/>
      <c r="E4847" s="23"/>
      <c r="G4847" s="23"/>
      <c r="H4847" s="23"/>
      <c r="J4847" s="23"/>
      <c r="K4847" s="23"/>
      <c r="M4847" s="23"/>
      <c r="N4847" s="23"/>
      <c r="P4847" s="23"/>
    </row>
    <row r="4848" spans="2:16" x14ac:dyDescent="0.25">
      <c r="B4848" s="23"/>
      <c r="E4848" s="23"/>
      <c r="G4848" s="23"/>
      <c r="H4848" s="23"/>
      <c r="J4848" s="23"/>
      <c r="K4848" s="23"/>
      <c r="M4848" s="23"/>
      <c r="N4848" s="23"/>
      <c r="P4848" s="23"/>
    </row>
    <row r="4849" spans="2:16" x14ac:dyDescent="0.25">
      <c r="B4849" s="23"/>
      <c r="E4849" s="23"/>
      <c r="G4849" s="23"/>
      <c r="H4849" s="23"/>
      <c r="J4849" s="23"/>
      <c r="K4849" s="23"/>
      <c r="M4849" s="23"/>
      <c r="N4849" s="23"/>
      <c r="P4849" s="23"/>
    </row>
    <row r="4850" spans="2:16" x14ac:dyDescent="0.25">
      <c r="B4850" s="23"/>
      <c r="E4850" s="23"/>
      <c r="G4850" s="23"/>
      <c r="H4850" s="23"/>
      <c r="J4850" s="23"/>
      <c r="K4850" s="23"/>
      <c r="M4850" s="23"/>
      <c r="N4850" s="23"/>
      <c r="P4850" s="23"/>
    </row>
    <row r="4851" spans="2:16" x14ac:dyDescent="0.25">
      <c r="B4851" s="23"/>
      <c r="E4851" s="23"/>
      <c r="G4851" s="23"/>
      <c r="H4851" s="23"/>
      <c r="J4851" s="23"/>
      <c r="K4851" s="23"/>
      <c r="M4851" s="23"/>
      <c r="N4851" s="23"/>
      <c r="P4851" s="23"/>
    </row>
    <row r="4852" spans="2:16" x14ac:dyDescent="0.25">
      <c r="B4852" s="23"/>
      <c r="E4852" s="23"/>
      <c r="G4852" s="23"/>
      <c r="H4852" s="23"/>
      <c r="J4852" s="23"/>
      <c r="K4852" s="23"/>
      <c r="M4852" s="23"/>
      <c r="N4852" s="23"/>
      <c r="P4852" s="23"/>
    </row>
    <row r="4853" spans="2:16" x14ac:dyDescent="0.25">
      <c r="B4853" s="23"/>
      <c r="E4853" s="23"/>
      <c r="G4853" s="23"/>
      <c r="H4853" s="23"/>
      <c r="J4853" s="23"/>
      <c r="K4853" s="23"/>
      <c r="M4853" s="23"/>
      <c r="N4853" s="23"/>
      <c r="P4853" s="23"/>
    </row>
    <row r="4854" spans="2:16" x14ac:dyDescent="0.25">
      <c r="B4854" s="23"/>
      <c r="E4854" s="23"/>
      <c r="G4854" s="23"/>
      <c r="H4854" s="23"/>
      <c r="J4854" s="23"/>
      <c r="K4854" s="23"/>
      <c r="M4854" s="23"/>
      <c r="N4854" s="23"/>
      <c r="P4854" s="23"/>
    </row>
    <row r="4855" spans="2:16" x14ac:dyDescent="0.25">
      <c r="B4855" s="23"/>
      <c r="E4855" s="23"/>
      <c r="G4855" s="23"/>
      <c r="H4855" s="23"/>
      <c r="J4855" s="23"/>
      <c r="K4855" s="23"/>
      <c r="M4855" s="23"/>
      <c r="N4855" s="23"/>
      <c r="P4855" s="23"/>
    </row>
    <row r="4856" spans="2:16" x14ac:dyDescent="0.25">
      <c r="B4856" s="23"/>
      <c r="E4856" s="23"/>
      <c r="G4856" s="23"/>
      <c r="H4856" s="23"/>
      <c r="J4856" s="23"/>
      <c r="K4856" s="23"/>
      <c r="M4856" s="23"/>
      <c r="N4856" s="23"/>
      <c r="P4856" s="23"/>
    </row>
    <row r="4857" spans="2:16" x14ac:dyDescent="0.25">
      <c r="B4857" s="23"/>
      <c r="E4857" s="23"/>
      <c r="G4857" s="23"/>
      <c r="H4857" s="23"/>
      <c r="J4857" s="23"/>
      <c r="K4857" s="23"/>
      <c r="M4857" s="23"/>
      <c r="N4857" s="23"/>
      <c r="P4857" s="23"/>
    </row>
    <row r="4858" spans="2:16" x14ac:dyDescent="0.25">
      <c r="B4858" s="23"/>
      <c r="E4858" s="23"/>
      <c r="G4858" s="23"/>
      <c r="H4858" s="23"/>
      <c r="J4858" s="23"/>
      <c r="K4858" s="23"/>
      <c r="M4858" s="23"/>
      <c r="N4858" s="23"/>
      <c r="P4858" s="23"/>
    </row>
    <row r="4859" spans="2:16" x14ac:dyDescent="0.25">
      <c r="B4859" s="23"/>
      <c r="E4859" s="23"/>
      <c r="G4859" s="23"/>
      <c r="H4859" s="23"/>
      <c r="J4859" s="23"/>
      <c r="K4859" s="23"/>
      <c r="M4859" s="23"/>
      <c r="N4859" s="23"/>
      <c r="P4859" s="23"/>
    </row>
    <row r="4860" spans="2:16" x14ac:dyDescent="0.25">
      <c r="B4860" s="23"/>
      <c r="E4860" s="23"/>
      <c r="G4860" s="23"/>
      <c r="H4860" s="23"/>
      <c r="J4860" s="23"/>
      <c r="K4860" s="23"/>
      <c r="M4860" s="23"/>
      <c r="N4860" s="23"/>
      <c r="P4860" s="23"/>
    </row>
    <row r="4861" spans="2:16" x14ac:dyDescent="0.25">
      <c r="B4861" s="23"/>
      <c r="E4861" s="23"/>
      <c r="G4861" s="23"/>
      <c r="H4861" s="23"/>
      <c r="J4861" s="23"/>
      <c r="K4861" s="23"/>
      <c r="M4861" s="23"/>
      <c r="N4861" s="23"/>
      <c r="P4861" s="23"/>
    </row>
    <row r="4862" spans="2:16" x14ac:dyDescent="0.25">
      <c r="B4862" s="23"/>
      <c r="E4862" s="23"/>
      <c r="G4862" s="23"/>
      <c r="H4862" s="23"/>
      <c r="J4862" s="23"/>
      <c r="K4862" s="23"/>
      <c r="M4862" s="23"/>
      <c r="N4862" s="23"/>
      <c r="P4862" s="23"/>
    </row>
    <row r="4863" spans="2:16" x14ac:dyDescent="0.25">
      <c r="B4863" s="23"/>
      <c r="E4863" s="23"/>
      <c r="G4863" s="23"/>
      <c r="H4863" s="23"/>
      <c r="J4863" s="23"/>
      <c r="K4863" s="23"/>
      <c r="M4863" s="23"/>
      <c r="N4863" s="23"/>
      <c r="P4863" s="23"/>
    </row>
    <row r="4864" spans="2:16" x14ac:dyDescent="0.25">
      <c r="B4864" s="23"/>
      <c r="E4864" s="23"/>
      <c r="G4864" s="23"/>
      <c r="H4864" s="23"/>
      <c r="J4864" s="23"/>
      <c r="K4864" s="23"/>
      <c r="M4864" s="23"/>
      <c r="N4864" s="23"/>
      <c r="P4864" s="23"/>
    </row>
    <row r="4865" spans="2:16" x14ac:dyDescent="0.25">
      <c r="B4865" s="23"/>
      <c r="E4865" s="23"/>
      <c r="G4865" s="23"/>
      <c r="H4865" s="23"/>
      <c r="J4865" s="23"/>
      <c r="K4865" s="23"/>
      <c r="M4865" s="23"/>
      <c r="N4865" s="23"/>
      <c r="P4865" s="23"/>
    </row>
    <row r="4866" spans="2:16" x14ac:dyDescent="0.25">
      <c r="B4866" s="23"/>
      <c r="E4866" s="23"/>
      <c r="G4866" s="23"/>
      <c r="H4866" s="23"/>
      <c r="J4866" s="23"/>
      <c r="K4866" s="23"/>
      <c r="M4866" s="23"/>
      <c r="N4866" s="23"/>
      <c r="P4866" s="23"/>
    </row>
    <row r="4867" spans="2:16" x14ac:dyDescent="0.25">
      <c r="B4867" s="23"/>
      <c r="E4867" s="23"/>
      <c r="G4867" s="23"/>
      <c r="H4867" s="23"/>
      <c r="J4867" s="23"/>
      <c r="K4867" s="23"/>
      <c r="M4867" s="23"/>
      <c r="N4867" s="23"/>
      <c r="P4867" s="23"/>
    </row>
    <row r="4868" spans="2:16" x14ac:dyDescent="0.25">
      <c r="B4868" s="23"/>
      <c r="E4868" s="23"/>
      <c r="G4868" s="23"/>
      <c r="H4868" s="23"/>
      <c r="J4868" s="23"/>
      <c r="K4868" s="23"/>
      <c r="M4868" s="23"/>
      <c r="N4868" s="23"/>
      <c r="P4868" s="23"/>
    </row>
    <row r="4869" spans="2:16" x14ac:dyDescent="0.25">
      <c r="B4869" s="23"/>
      <c r="E4869" s="23"/>
      <c r="G4869" s="23"/>
      <c r="H4869" s="23"/>
      <c r="J4869" s="23"/>
      <c r="K4869" s="23"/>
      <c r="M4869" s="23"/>
      <c r="N4869" s="23"/>
      <c r="P4869" s="23"/>
    </row>
    <row r="4870" spans="2:16" x14ac:dyDescent="0.25">
      <c r="B4870" s="23"/>
      <c r="E4870" s="23"/>
      <c r="G4870" s="23"/>
      <c r="H4870" s="23"/>
      <c r="J4870" s="23"/>
      <c r="K4870" s="23"/>
      <c r="M4870" s="23"/>
      <c r="N4870" s="23"/>
      <c r="P4870" s="23"/>
    </row>
    <row r="4871" spans="2:16" x14ac:dyDescent="0.25">
      <c r="B4871" s="23"/>
      <c r="E4871" s="23"/>
      <c r="G4871" s="23"/>
      <c r="H4871" s="23"/>
      <c r="J4871" s="23"/>
      <c r="K4871" s="23"/>
      <c r="M4871" s="23"/>
      <c r="N4871" s="23"/>
      <c r="P4871" s="23"/>
    </row>
    <row r="4872" spans="2:16" x14ac:dyDescent="0.25">
      <c r="B4872" s="23"/>
      <c r="E4872" s="23"/>
      <c r="G4872" s="23"/>
      <c r="H4872" s="23"/>
      <c r="J4872" s="23"/>
      <c r="K4872" s="23"/>
      <c r="M4872" s="23"/>
      <c r="N4872" s="23"/>
      <c r="P4872" s="23"/>
    </row>
    <row r="4873" spans="2:16" x14ac:dyDescent="0.25">
      <c r="B4873" s="23"/>
      <c r="E4873" s="23"/>
      <c r="G4873" s="23"/>
      <c r="H4873" s="23"/>
      <c r="J4873" s="23"/>
      <c r="K4873" s="23"/>
      <c r="M4873" s="23"/>
      <c r="N4873" s="23"/>
      <c r="P4873" s="23"/>
    </row>
    <row r="4874" spans="2:16" x14ac:dyDescent="0.25">
      <c r="B4874" s="23"/>
      <c r="E4874" s="23"/>
      <c r="G4874" s="23"/>
      <c r="H4874" s="23"/>
      <c r="J4874" s="23"/>
      <c r="K4874" s="23"/>
      <c r="M4874" s="23"/>
      <c r="N4874" s="23"/>
      <c r="P4874" s="23"/>
    </row>
    <row r="4875" spans="2:16" x14ac:dyDescent="0.25">
      <c r="B4875" s="23"/>
      <c r="E4875" s="23"/>
      <c r="G4875" s="23"/>
      <c r="H4875" s="23"/>
      <c r="J4875" s="23"/>
      <c r="K4875" s="23"/>
      <c r="M4875" s="23"/>
      <c r="N4875" s="23"/>
      <c r="P4875" s="23"/>
    </row>
    <row r="4876" spans="2:16" x14ac:dyDescent="0.25">
      <c r="B4876" s="23"/>
      <c r="E4876" s="23"/>
      <c r="G4876" s="23"/>
      <c r="H4876" s="23"/>
      <c r="J4876" s="23"/>
      <c r="K4876" s="23"/>
      <c r="M4876" s="23"/>
      <c r="N4876" s="23"/>
      <c r="P4876" s="23"/>
    </row>
    <row r="4877" spans="2:16" x14ac:dyDescent="0.25">
      <c r="B4877" s="23"/>
      <c r="E4877" s="23"/>
      <c r="G4877" s="23"/>
      <c r="H4877" s="23"/>
      <c r="J4877" s="23"/>
      <c r="K4877" s="23"/>
      <c r="M4877" s="23"/>
      <c r="N4877" s="23"/>
      <c r="P4877" s="23"/>
    </row>
    <row r="4878" spans="2:16" x14ac:dyDescent="0.25">
      <c r="B4878" s="23"/>
      <c r="E4878" s="23"/>
      <c r="G4878" s="23"/>
      <c r="H4878" s="23"/>
      <c r="J4878" s="23"/>
      <c r="K4878" s="23"/>
      <c r="M4878" s="23"/>
      <c r="N4878" s="23"/>
      <c r="P4878" s="23"/>
    </row>
    <row r="4879" spans="2:16" x14ac:dyDescent="0.25">
      <c r="B4879" s="23"/>
      <c r="E4879" s="23"/>
      <c r="G4879" s="23"/>
      <c r="H4879" s="23"/>
      <c r="J4879" s="23"/>
      <c r="K4879" s="23"/>
      <c r="M4879" s="23"/>
      <c r="N4879" s="23"/>
      <c r="P4879" s="23"/>
    </row>
    <row r="4880" spans="2:16" x14ac:dyDescent="0.25">
      <c r="B4880" s="23"/>
      <c r="E4880" s="23"/>
      <c r="G4880" s="23"/>
      <c r="H4880" s="23"/>
      <c r="J4880" s="23"/>
      <c r="K4880" s="23"/>
      <c r="M4880" s="23"/>
      <c r="N4880" s="23"/>
      <c r="P4880" s="23"/>
    </row>
    <row r="4881" spans="2:16" x14ac:dyDescent="0.25">
      <c r="B4881" s="23"/>
      <c r="E4881" s="23"/>
      <c r="G4881" s="23"/>
      <c r="H4881" s="23"/>
      <c r="J4881" s="23"/>
      <c r="K4881" s="23"/>
      <c r="M4881" s="23"/>
      <c r="N4881" s="23"/>
      <c r="P4881" s="23"/>
    </row>
    <row r="4882" spans="2:16" x14ac:dyDescent="0.25">
      <c r="B4882" s="23"/>
      <c r="E4882" s="23"/>
      <c r="G4882" s="23"/>
      <c r="H4882" s="23"/>
      <c r="J4882" s="23"/>
      <c r="K4882" s="23"/>
      <c r="M4882" s="23"/>
      <c r="N4882" s="23"/>
      <c r="P4882" s="23"/>
    </row>
    <row r="4883" spans="2:16" x14ac:dyDescent="0.25">
      <c r="B4883" s="23"/>
      <c r="E4883" s="23"/>
      <c r="G4883" s="23"/>
      <c r="H4883" s="23"/>
      <c r="J4883" s="23"/>
      <c r="K4883" s="23"/>
      <c r="M4883" s="23"/>
      <c r="N4883" s="23"/>
      <c r="P4883" s="23"/>
    </row>
    <row r="4884" spans="2:16" x14ac:dyDescent="0.25">
      <c r="B4884" s="23"/>
      <c r="E4884" s="23"/>
      <c r="G4884" s="23"/>
      <c r="H4884" s="23"/>
      <c r="J4884" s="23"/>
      <c r="K4884" s="23"/>
      <c r="M4884" s="23"/>
      <c r="N4884" s="23"/>
      <c r="P4884" s="23"/>
    </row>
    <row r="4885" spans="2:16" x14ac:dyDescent="0.25">
      <c r="B4885" s="23"/>
      <c r="E4885" s="23"/>
      <c r="G4885" s="23"/>
      <c r="H4885" s="23"/>
      <c r="J4885" s="23"/>
      <c r="K4885" s="23"/>
      <c r="M4885" s="23"/>
      <c r="N4885" s="23"/>
      <c r="P4885" s="23"/>
    </row>
    <row r="4886" spans="2:16" x14ac:dyDescent="0.25">
      <c r="B4886" s="23"/>
      <c r="E4886" s="23"/>
      <c r="G4886" s="23"/>
      <c r="H4886" s="23"/>
      <c r="J4886" s="23"/>
      <c r="K4886" s="23"/>
      <c r="M4886" s="23"/>
      <c r="N4886" s="23"/>
      <c r="P4886" s="23"/>
    </row>
    <row r="4887" spans="2:16" x14ac:dyDescent="0.25">
      <c r="B4887" s="23"/>
      <c r="E4887" s="23"/>
      <c r="G4887" s="23"/>
      <c r="H4887" s="23"/>
      <c r="J4887" s="23"/>
      <c r="K4887" s="23"/>
      <c r="M4887" s="23"/>
      <c r="N4887" s="23"/>
      <c r="P4887" s="23"/>
    </row>
    <row r="4888" spans="2:16" x14ac:dyDescent="0.25">
      <c r="B4888" s="23"/>
      <c r="E4888" s="23"/>
      <c r="G4888" s="23"/>
      <c r="H4888" s="23"/>
      <c r="J4888" s="23"/>
      <c r="K4888" s="23"/>
      <c r="M4888" s="23"/>
      <c r="N4888" s="23"/>
      <c r="P4888" s="23"/>
    </row>
    <row r="4889" spans="2:16" x14ac:dyDescent="0.25">
      <c r="B4889" s="23"/>
      <c r="E4889" s="23"/>
      <c r="G4889" s="23"/>
      <c r="H4889" s="23"/>
      <c r="J4889" s="23"/>
      <c r="K4889" s="23"/>
      <c r="M4889" s="23"/>
      <c r="N4889" s="23"/>
      <c r="P4889" s="23"/>
    </row>
    <row r="4890" spans="2:16" x14ac:dyDescent="0.25">
      <c r="B4890" s="23"/>
      <c r="E4890" s="23"/>
      <c r="G4890" s="23"/>
      <c r="H4890" s="23"/>
      <c r="J4890" s="23"/>
      <c r="K4890" s="23"/>
      <c r="M4890" s="23"/>
      <c r="N4890" s="23"/>
      <c r="P4890" s="23"/>
    </row>
    <row r="4891" spans="2:16" x14ac:dyDescent="0.25">
      <c r="B4891" s="23"/>
      <c r="E4891" s="23"/>
      <c r="G4891" s="23"/>
      <c r="H4891" s="23"/>
      <c r="J4891" s="23"/>
      <c r="K4891" s="23"/>
      <c r="M4891" s="23"/>
      <c r="N4891" s="23"/>
      <c r="P4891" s="23"/>
    </row>
    <row r="4892" spans="2:16" x14ac:dyDescent="0.25">
      <c r="B4892" s="23"/>
      <c r="E4892" s="23"/>
      <c r="G4892" s="23"/>
      <c r="H4892" s="23"/>
      <c r="J4892" s="23"/>
      <c r="K4892" s="23"/>
      <c r="M4892" s="23"/>
      <c r="N4892" s="23"/>
      <c r="P4892" s="23"/>
    </row>
    <row r="4893" spans="2:16" x14ac:dyDescent="0.25">
      <c r="B4893" s="23"/>
      <c r="E4893" s="23"/>
      <c r="G4893" s="23"/>
      <c r="H4893" s="23"/>
      <c r="J4893" s="23"/>
      <c r="K4893" s="23"/>
      <c r="M4893" s="23"/>
      <c r="N4893" s="23"/>
      <c r="P4893" s="23"/>
    </row>
    <row r="4894" spans="2:16" x14ac:dyDescent="0.25">
      <c r="B4894" s="23"/>
      <c r="E4894" s="23"/>
      <c r="G4894" s="23"/>
      <c r="H4894" s="23"/>
      <c r="J4894" s="23"/>
      <c r="K4894" s="23"/>
      <c r="M4894" s="23"/>
      <c r="N4894" s="23"/>
      <c r="P4894" s="23"/>
    </row>
    <row r="4895" spans="2:16" x14ac:dyDescent="0.25">
      <c r="B4895" s="23"/>
      <c r="E4895" s="23"/>
      <c r="G4895" s="23"/>
      <c r="H4895" s="23"/>
      <c r="J4895" s="23"/>
      <c r="K4895" s="23"/>
      <c r="M4895" s="23"/>
      <c r="N4895" s="23"/>
      <c r="P4895" s="23"/>
    </row>
    <row r="4896" spans="2:16" x14ac:dyDescent="0.25">
      <c r="B4896" s="23"/>
      <c r="E4896" s="23"/>
      <c r="G4896" s="23"/>
      <c r="H4896" s="23"/>
      <c r="J4896" s="23"/>
      <c r="K4896" s="23"/>
      <c r="M4896" s="23"/>
      <c r="N4896" s="23"/>
      <c r="P4896" s="23"/>
    </row>
    <row r="4897" spans="2:16" x14ac:dyDescent="0.25">
      <c r="B4897" s="23"/>
      <c r="E4897" s="23"/>
      <c r="G4897" s="23"/>
      <c r="H4897" s="23"/>
      <c r="J4897" s="23"/>
      <c r="K4897" s="23"/>
      <c r="M4897" s="23"/>
      <c r="N4897" s="23"/>
      <c r="P4897" s="23"/>
    </row>
    <row r="4898" spans="2:16" x14ac:dyDescent="0.25">
      <c r="B4898" s="23"/>
      <c r="E4898" s="23"/>
      <c r="G4898" s="23"/>
      <c r="H4898" s="23"/>
      <c r="J4898" s="23"/>
      <c r="K4898" s="23"/>
      <c r="M4898" s="23"/>
      <c r="N4898" s="23"/>
      <c r="P4898" s="23"/>
    </row>
    <row r="4899" spans="2:16" x14ac:dyDescent="0.25">
      <c r="B4899" s="23"/>
      <c r="E4899" s="23"/>
      <c r="G4899" s="23"/>
      <c r="H4899" s="23"/>
      <c r="J4899" s="23"/>
      <c r="K4899" s="23"/>
      <c r="M4899" s="23"/>
      <c r="N4899" s="23"/>
      <c r="P4899" s="23"/>
    </row>
    <row r="4900" spans="2:16" x14ac:dyDescent="0.25">
      <c r="B4900" s="23"/>
      <c r="E4900" s="23"/>
      <c r="G4900" s="23"/>
      <c r="H4900" s="23"/>
      <c r="J4900" s="23"/>
      <c r="K4900" s="23"/>
      <c r="M4900" s="23"/>
      <c r="N4900" s="23"/>
      <c r="P4900" s="23"/>
    </row>
    <row r="4901" spans="2:16" x14ac:dyDescent="0.25">
      <c r="B4901" s="23"/>
      <c r="E4901" s="23"/>
      <c r="G4901" s="23"/>
      <c r="H4901" s="23"/>
      <c r="J4901" s="23"/>
      <c r="K4901" s="23"/>
      <c r="M4901" s="23"/>
      <c r="N4901" s="23"/>
      <c r="P4901" s="23"/>
    </row>
    <row r="4902" spans="2:16" x14ac:dyDescent="0.25">
      <c r="B4902" s="23"/>
      <c r="E4902" s="23"/>
      <c r="G4902" s="23"/>
      <c r="H4902" s="23"/>
      <c r="J4902" s="23"/>
      <c r="K4902" s="23"/>
      <c r="M4902" s="23"/>
      <c r="N4902" s="23"/>
      <c r="P4902" s="23"/>
    </row>
    <row r="4903" spans="2:16" x14ac:dyDescent="0.25">
      <c r="B4903" s="23"/>
      <c r="E4903" s="23"/>
      <c r="G4903" s="23"/>
      <c r="H4903" s="23"/>
      <c r="J4903" s="23"/>
      <c r="K4903" s="23"/>
      <c r="M4903" s="23"/>
      <c r="N4903" s="23"/>
      <c r="P4903" s="23"/>
    </row>
    <row r="4904" spans="2:16" x14ac:dyDescent="0.25">
      <c r="B4904" s="23"/>
      <c r="E4904" s="23"/>
      <c r="G4904" s="23"/>
      <c r="H4904" s="23"/>
      <c r="J4904" s="23"/>
      <c r="K4904" s="23"/>
      <c r="M4904" s="23"/>
      <c r="N4904" s="23"/>
      <c r="P4904" s="23"/>
    </row>
    <row r="4905" spans="2:16" x14ac:dyDescent="0.25">
      <c r="B4905" s="23"/>
      <c r="E4905" s="23"/>
      <c r="G4905" s="23"/>
      <c r="H4905" s="23"/>
      <c r="J4905" s="23"/>
      <c r="K4905" s="23"/>
      <c r="M4905" s="23"/>
      <c r="N4905" s="23"/>
      <c r="P4905" s="23"/>
    </row>
    <row r="4906" spans="2:16" x14ac:dyDescent="0.25">
      <c r="B4906" s="23"/>
      <c r="E4906" s="23"/>
      <c r="G4906" s="23"/>
      <c r="H4906" s="23"/>
      <c r="J4906" s="23"/>
      <c r="K4906" s="23"/>
      <c r="M4906" s="23"/>
      <c r="N4906" s="23"/>
      <c r="P4906" s="23"/>
    </row>
    <row r="4907" spans="2:16" x14ac:dyDescent="0.25">
      <c r="B4907" s="23"/>
      <c r="E4907" s="23"/>
      <c r="G4907" s="23"/>
      <c r="H4907" s="23"/>
      <c r="J4907" s="23"/>
      <c r="K4907" s="23"/>
      <c r="M4907" s="23"/>
      <c r="N4907" s="23"/>
      <c r="P4907" s="23"/>
    </row>
    <row r="4908" spans="2:16" x14ac:dyDescent="0.25">
      <c r="B4908" s="23"/>
      <c r="E4908" s="23"/>
      <c r="G4908" s="23"/>
      <c r="H4908" s="23"/>
      <c r="J4908" s="23"/>
      <c r="K4908" s="23"/>
      <c r="M4908" s="23"/>
      <c r="N4908" s="23"/>
      <c r="P4908" s="23"/>
    </row>
    <row r="4909" spans="2:16" x14ac:dyDescent="0.25">
      <c r="B4909" s="23"/>
      <c r="E4909" s="23"/>
      <c r="G4909" s="23"/>
      <c r="H4909" s="23"/>
      <c r="J4909" s="23"/>
      <c r="K4909" s="23"/>
      <c r="M4909" s="23"/>
      <c r="N4909" s="23"/>
      <c r="P4909" s="23"/>
    </row>
    <row r="4910" spans="2:16" x14ac:dyDescent="0.25">
      <c r="B4910" s="23"/>
      <c r="E4910" s="23"/>
      <c r="G4910" s="23"/>
      <c r="H4910" s="23"/>
      <c r="J4910" s="23"/>
      <c r="K4910" s="23"/>
      <c r="M4910" s="23"/>
      <c r="N4910" s="23"/>
      <c r="P4910" s="23"/>
    </row>
    <row r="4911" spans="2:16" x14ac:dyDescent="0.25">
      <c r="B4911" s="23"/>
      <c r="E4911" s="23"/>
      <c r="G4911" s="23"/>
      <c r="H4911" s="23"/>
      <c r="J4911" s="23"/>
      <c r="K4911" s="23"/>
      <c r="M4911" s="23"/>
      <c r="N4911" s="23"/>
      <c r="P4911" s="23"/>
    </row>
    <row r="4912" spans="2:16" x14ac:dyDescent="0.25">
      <c r="B4912" s="23"/>
      <c r="E4912" s="23"/>
      <c r="G4912" s="23"/>
      <c r="H4912" s="23"/>
      <c r="J4912" s="23"/>
      <c r="K4912" s="23"/>
      <c r="M4912" s="23"/>
      <c r="N4912" s="23"/>
      <c r="P4912" s="23"/>
    </row>
    <row r="4913" spans="2:16" x14ac:dyDescent="0.25">
      <c r="B4913" s="23"/>
      <c r="E4913" s="23"/>
      <c r="G4913" s="23"/>
      <c r="H4913" s="23"/>
      <c r="J4913" s="23"/>
      <c r="K4913" s="23"/>
      <c r="M4913" s="23"/>
      <c r="N4913" s="23"/>
      <c r="P4913" s="23"/>
    </row>
    <row r="4914" spans="2:16" x14ac:dyDescent="0.25">
      <c r="B4914" s="23"/>
      <c r="E4914" s="23"/>
      <c r="G4914" s="23"/>
      <c r="H4914" s="23"/>
      <c r="J4914" s="23"/>
      <c r="K4914" s="23"/>
      <c r="M4914" s="23"/>
      <c r="N4914" s="23"/>
      <c r="P4914" s="23"/>
    </row>
    <row r="4915" spans="2:16" x14ac:dyDescent="0.25">
      <c r="B4915" s="23"/>
      <c r="E4915" s="23"/>
      <c r="G4915" s="23"/>
      <c r="H4915" s="23"/>
      <c r="J4915" s="23"/>
      <c r="K4915" s="23"/>
      <c r="M4915" s="23"/>
      <c r="N4915" s="23"/>
      <c r="P4915" s="23"/>
    </row>
    <row r="4916" spans="2:16" x14ac:dyDescent="0.25">
      <c r="B4916" s="23"/>
      <c r="E4916" s="23"/>
      <c r="G4916" s="23"/>
      <c r="H4916" s="23"/>
      <c r="J4916" s="23"/>
      <c r="K4916" s="23"/>
      <c r="M4916" s="23"/>
      <c r="N4916" s="23"/>
      <c r="P4916" s="23"/>
    </row>
    <row r="4917" spans="2:16" x14ac:dyDescent="0.25">
      <c r="B4917" s="23"/>
      <c r="E4917" s="23"/>
      <c r="G4917" s="23"/>
      <c r="H4917" s="23"/>
      <c r="J4917" s="23"/>
      <c r="K4917" s="23"/>
      <c r="M4917" s="23"/>
      <c r="N4917" s="23"/>
      <c r="P4917" s="23"/>
    </row>
    <row r="4918" spans="2:16" x14ac:dyDescent="0.25">
      <c r="B4918" s="23"/>
      <c r="E4918" s="23"/>
      <c r="G4918" s="23"/>
      <c r="H4918" s="23"/>
      <c r="J4918" s="23"/>
      <c r="K4918" s="23"/>
      <c r="M4918" s="23"/>
      <c r="N4918" s="23"/>
      <c r="P4918" s="23"/>
    </row>
    <row r="4919" spans="2:16" x14ac:dyDescent="0.25">
      <c r="B4919" s="23"/>
      <c r="E4919" s="23"/>
      <c r="G4919" s="23"/>
      <c r="H4919" s="23"/>
      <c r="J4919" s="23"/>
      <c r="K4919" s="23"/>
      <c r="M4919" s="23"/>
      <c r="N4919" s="23"/>
      <c r="P4919" s="23"/>
    </row>
    <row r="4920" spans="2:16" x14ac:dyDescent="0.25">
      <c r="B4920" s="23"/>
      <c r="E4920" s="23"/>
      <c r="G4920" s="23"/>
      <c r="H4920" s="23"/>
      <c r="J4920" s="23"/>
      <c r="K4920" s="23"/>
      <c r="M4920" s="23"/>
      <c r="N4920" s="23"/>
      <c r="P4920" s="23"/>
    </row>
    <row r="4921" spans="2:16" x14ac:dyDescent="0.25">
      <c r="B4921" s="23"/>
      <c r="E4921" s="23"/>
      <c r="G4921" s="23"/>
      <c r="H4921" s="23"/>
      <c r="J4921" s="23"/>
      <c r="K4921" s="23"/>
      <c r="M4921" s="23"/>
      <c r="N4921" s="23"/>
      <c r="P4921" s="23"/>
    </row>
    <row r="4922" spans="2:16" x14ac:dyDescent="0.25">
      <c r="B4922" s="23"/>
      <c r="E4922" s="23"/>
      <c r="G4922" s="23"/>
      <c r="H4922" s="23"/>
      <c r="J4922" s="23"/>
      <c r="K4922" s="23"/>
      <c r="M4922" s="23"/>
      <c r="N4922" s="23"/>
      <c r="P4922" s="23"/>
    </row>
    <row r="4923" spans="2:16" x14ac:dyDescent="0.25">
      <c r="B4923" s="23"/>
      <c r="E4923" s="23"/>
      <c r="G4923" s="23"/>
      <c r="H4923" s="23"/>
      <c r="J4923" s="23"/>
      <c r="K4923" s="23"/>
      <c r="M4923" s="23"/>
      <c r="N4923" s="23"/>
      <c r="P4923" s="23"/>
    </row>
    <row r="4924" spans="2:16" x14ac:dyDescent="0.25">
      <c r="B4924" s="23"/>
      <c r="E4924" s="23"/>
      <c r="G4924" s="23"/>
      <c r="H4924" s="23"/>
      <c r="J4924" s="23"/>
      <c r="K4924" s="23"/>
      <c r="M4924" s="23"/>
      <c r="N4924" s="23"/>
      <c r="P4924" s="23"/>
    </row>
    <row r="4925" spans="2:16" x14ac:dyDescent="0.25">
      <c r="B4925" s="23"/>
      <c r="E4925" s="23"/>
      <c r="G4925" s="23"/>
      <c r="H4925" s="23"/>
      <c r="J4925" s="23"/>
      <c r="K4925" s="23"/>
      <c r="M4925" s="23"/>
      <c r="N4925" s="23"/>
      <c r="P4925" s="23"/>
    </row>
    <row r="4926" spans="2:16" x14ac:dyDescent="0.25">
      <c r="B4926" s="23"/>
      <c r="E4926" s="23"/>
      <c r="G4926" s="23"/>
      <c r="H4926" s="23"/>
      <c r="J4926" s="23"/>
      <c r="K4926" s="23"/>
      <c r="M4926" s="23"/>
      <c r="N4926" s="23"/>
      <c r="P4926" s="23"/>
    </row>
    <row r="4927" spans="2:16" x14ac:dyDescent="0.25">
      <c r="B4927" s="23"/>
      <c r="E4927" s="23"/>
      <c r="G4927" s="23"/>
      <c r="H4927" s="23"/>
      <c r="J4927" s="23"/>
      <c r="K4927" s="23"/>
      <c r="M4927" s="23"/>
      <c r="N4927" s="23"/>
      <c r="P4927" s="23"/>
    </row>
    <row r="4928" spans="2:16" x14ac:dyDescent="0.25">
      <c r="B4928" s="23"/>
      <c r="E4928" s="23"/>
      <c r="G4928" s="23"/>
      <c r="H4928" s="23"/>
      <c r="J4928" s="23"/>
      <c r="K4928" s="23"/>
      <c r="M4928" s="23"/>
      <c r="N4928" s="23"/>
      <c r="P4928" s="23"/>
    </row>
    <row r="4929" spans="2:16" x14ac:dyDescent="0.25">
      <c r="B4929" s="23"/>
      <c r="E4929" s="23"/>
      <c r="G4929" s="23"/>
      <c r="H4929" s="23"/>
      <c r="J4929" s="23"/>
      <c r="K4929" s="23"/>
      <c r="M4929" s="23"/>
      <c r="N4929" s="23"/>
      <c r="P4929" s="23"/>
    </row>
    <row r="4930" spans="2:16" x14ac:dyDescent="0.25">
      <c r="B4930" s="23"/>
      <c r="E4930" s="23"/>
      <c r="G4930" s="23"/>
      <c r="H4930" s="23"/>
      <c r="J4930" s="23"/>
      <c r="K4930" s="23"/>
      <c r="M4930" s="23"/>
      <c r="N4930" s="23"/>
      <c r="P4930" s="23"/>
    </row>
    <row r="4931" spans="2:16" x14ac:dyDescent="0.25">
      <c r="B4931" s="23"/>
      <c r="E4931" s="23"/>
      <c r="G4931" s="23"/>
      <c r="H4931" s="23"/>
      <c r="J4931" s="23"/>
      <c r="K4931" s="23"/>
      <c r="M4931" s="23"/>
      <c r="N4931" s="23"/>
      <c r="P4931" s="23"/>
    </row>
    <row r="4932" spans="2:16" x14ac:dyDescent="0.25">
      <c r="B4932" s="23"/>
      <c r="E4932" s="23"/>
      <c r="G4932" s="23"/>
      <c r="H4932" s="23"/>
      <c r="J4932" s="23"/>
      <c r="K4932" s="23"/>
      <c r="M4932" s="23"/>
      <c r="N4932" s="23"/>
      <c r="P4932" s="23"/>
    </row>
    <row r="4933" spans="2:16" x14ac:dyDescent="0.25">
      <c r="B4933" s="23"/>
      <c r="E4933" s="23"/>
      <c r="G4933" s="23"/>
      <c r="H4933" s="23"/>
      <c r="J4933" s="23"/>
      <c r="K4933" s="23"/>
      <c r="M4933" s="23"/>
      <c r="N4933" s="23"/>
      <c r="P4933" s="23"/>
    </row>
    <row r="4934" spans="2:16" x14ac:dyDescent="0.25">
      <c r="B4934" s="23"/>
      <c r="E4934" s="23"/>
      <c r="G4934" s="23"/>
      <c r="H4934" s="23"/>
      <c r="J4934" s="23"/>
      <c r="K4934" s="23"/>
      <c r="M4934" s="23"/>
      <c r="N4934" s="23"/>
      <c r="P4934" s="23"/>
    </row>
    <row r="4935" spans="2:16" x14ac:dyDescent="0.25">
      <c r="B4935" s="23"/>
      <c r="E4935" s="23"/>
      <c r="G4935" s="23"/>
      <c r="H4935" s="23"/>
      <c r="J4935" s="23"/>
      <c r="K4935" s="23"/>
      <c r="M4935" s="23"/>
      <c r="N4935" s="23"/>
      <c r="P4935" s="23"/>
    </row>
    <row r="4936" spans="2:16" x14ac:dyDescent="0.25">
      <c r="B4936" s="23"/>
      <c r="E4936" s="23"/>
      <c r="G4936" s="23"/>
      <c r="H4936" s="23"/>
      <c r="J4936" s="23"/>
      <c r="K4936" s="23"/>
      <c r="M4936" s="23"/>
      <c r="N4936" s="23"/>
      <c r="P4936" s="23"/>
    </row>
    <row r="4937" spans="2:16" x14ac:dyDescent="0.25">
      <c r="B4937" s="23"/>
      <c r="E4937" s="23"/>
      <c r="G4937" s="23"/>
      <c r="H4937" s="23"/>
      <c r="J4937" s="23"/>
      <c r="K4937" s="23"/>
      <c r="M4937" s="23"/>
      <c r="N4937" s="23"/>
      <c r="P4937" s="23"/>
    </row>
    <row r="4938" spans="2:16" x14ac:dyDescent="0.25">
      <c r="B4938" s="23"/>
      <c r="E4938" s="23"/>
      <c r="G4938" s="23"/>
      <c r="H4938" s="23"/>
      <c r="J4938" s="23"/>
      <c r="K4938" s="23"/>
      <c r="M4938" s="23"/>
      <c r="N4938" s="23"/>
      <c r="P4938" s="23"/>
    </row>
    <row r="4939" spans="2:16" x14ac:dyDescent="0.25">
      <c r="B4939" s="23"/>
      <c r="E4939" s="23"/>
      <c r="G4939" s="23"/>
      <c r="H4939" s="23"/>
      <c r="J4939" s="23"/>
      <c r="K4939" s="23"/>
      <c r="M4939" s="23"/>
      <c r="N4939" s="23"/>
      <c r="P4939" s="23"/>
    </row>
    <row r="4940" spans="2:16" x14ac:dyDescent="0.25">
      <c r="B4940" s="23"/>
      <c r="E4940" s="23"/>
      <c r="G4940" s="23"/>
      <c r="H4940" s="23"/>
      <c r="J4940" s="23"/>
      <c r="K4940" s="23"/>
      <c r="M4940" s="23"/>
      <c r="N4940" s="23"/>
      <c r="P4940" s="23"/>
    </row>
    <row r="4941" spans="2:16" x14ac:dyDescent="0.25">
      <c r="B4941" s="23"/>
      <c r="E4941" s="23"/>
      <c r="G4941" s="23"/>
      <c r="H4941" s="23"/>
      <c r="J4941" s="23"/>
      <c r="K4941" s="23"/>
      <c r="M4941" s="23"/>
      <c r="N4941" s="23"/>
      <c r="P4941" s="23"/>
    </row>
    <row r="4942" spans="2:16" x14ac:dyDescent="0.25">
      <c r="B4942" s="23"/>
      <c r="E4942" s="23"/>
      <c r="G4942" s="23"/>
      <c r="H4942" s="23"/>
      <c r="J4942" s="23"/>
      <c r="K4942" s="23"/>
      <c r="M4942" s="23"/>
      <c r="N4942" s="23"/>
      <c r="P4942" s="23"/>
    </row>
    <row r="4943" spans="2:16" x14ac:dyDescent="0.25">
      <c r="B4943" s="23"/>
      <c r="E4943" s="23"/>
      <c r="G4943" s="23"/>
      <c r="H4943" s="23"/>
      <c r="J4943" s="23"/>
      <c r="K4943" s="23"/>
      <c r="M4943" s="23"/>
      <c r="N4943" s="23"/>
      <c r="P4943" s="23"/>
    </row>
    <row r="4944" spans="2:16" x14ac:dyDescent="0.25">
      <c r="B4944" s="23"/>
      <c r="E4944" s="23"/>
      <c r="G4944" s="23"/>
      <c r="H4944" s="23"/>
      <c r="J4944" s="23"/>
      <c r="K4944" s="23"/>
      <c r="M4944" s="23"/>
      <c r="N4944" s="23"/>
      <c r="P4944" s="23"/>
    </row>
    <row r="4945" spans="2:16" x14ac:dyDescent="0.25">
      <c r="B4945" s="23"/>
      <c r="E4945" s="23"/>
      <c r="G4945" s="23"/>
      <c r="H4945" s="23"/>
      <c r="J4945" s="23"/>
      <c r="K4945" s="23"/>
      <c r="M4945" s="23"/>
      <c r="N4945" s="23"/>
      <c r="P4945" s="23"/>
    </row>
    <row r="4946" spans="2:16" x14ac:dyDescent="0.25">
      <c r="B4946" s="23"/>
      <c r="E4946" s="23"/>
      <c r="G4946" s="23"/>
      <c r="H4946" s="23"/>
      <c r="J4946" s="23"/>
      <c r="K4946" s="23"/>
      <c r="M4946" s="23"/>
      <c r="N4946" s="23"/>
      <c r="P4946" s="23"/>
    </row>
    <row r="4947" spans="2:16" x14ac:dyDescent="0.25">
      <c r="B4947" s="23"/>
      <c r="E4947" s="23"/>
      <c r="G4947" s="23"/>
      <c r="H4947" s="23"/>
      <c r="J4947" s="23"/>
      <c r="K4947" s="23"/>
      <c r="M4947" s="23"/>
      <c r="N4947" s="23"/>
      <c r="P4947" s="23"/>
    </row>
    <row r="4948" spans="2:16" x14ac:dyDescent="0.25">
      <c r="B4948" s="23"/>
      <c r="E4948" s="23"/>
      <c r="G4948" s="23"/>
      <c r="H4948" s="23"/>
      <c r="J4948" s="23"/>
      <c r="K4948" s="23"/>
      <c r="M4948" s="23"/>
      <c r="N4948" s="23"/>
      <c r="P4948" s="23"/>
    </row>
    <row r="4949" spans="2:16" x14ac:dyDescent="0.25">
      <c r="B4949" s="23"/>
      <c r="E4949" s="23"/>
      <c r="G4949" s="23"/>
      <c r="H4949" s="23"/>
      <c r="J4949" s="23"/>
      <c r="K4949" s="23"/>
      <c r="M4949" s="23"/>
      <c r="N4949" s="23"/>
      <c r="P4949" s="23"/>
    </row>
    <row r="4950" spans="2:16" x14ac:dyDescent="0.25">
      <c r="B4950" s="23"/>
      <c r="E4950" s="23"/>
      <c r="G4950" s="23"/>
      <c r="H4950" s="23"/>
      <c r="J4950" s="23"/>
      <c r="K4950" s="23"/>
      <c r="M4950" s="23"/>
      <c r="N4950" s="23"/>
      <c r="P4950" s="23"/>
    </row>
    <row r="4951" spans="2:16" x14ac:dyDescent="0.25">
      <c r="B4951" s="23"/>
      <c r="E4951" s="23"/>
      <c r="G4951" s="23"/>
      <c r="H4951" s="23"/>
      <c r="J4951" s="23"/>
      <c r="K4951" s="23"/>
      <c r="M4951" s="23"/>
      <c r="N4951" s="23"/>
      <c r="P4951" s="23"/>
    </row>
    <row r="4952" spans="2:16" x14ac:dyDescent="0.25">
      <c r="B4952" s="23"/>
      <c r="E4952" s="23"/>
      <c r="G4952" s="23"/>
      <c r="H4952" s="23"/>
      <c r="J4952" s="23"/>
      <c r="K4952" s="23"/>
      <c r="M4952" s="23"/>
      <c r="N4952" s="23"/>
      <c r="P4952" s="23"/>
    </row>
    <row r="4953" spans="2:16" x14ac:dyDescent="0.25">
      <c r="B4953" s="23"/>
      <c r="E4953" s="23"/>
      <c r="G4953" s="23"/>
      <c r="H4953" s="23"/>
      <c r="J4953" s="23"/>
      <c r="K4953" s="23"/>
      <c r="M4953" s="23"/>
      <c r="N4953" s="23"/>
      <c r="P4953" s="23"/>
    </row>
    <row r="4954" spans="2:16" x14ac:dyDescent="0.25">
      <c r="B4954" s="23"/>
      <c r="E4954" s="23"/>
      <c r="G4954" s="23"/>
      <c r="H4954" s="23"/>
      <c r="J4954" s="23"/>
      <c r="K4954" s="23"/>
      <c r="M4954" s="23"/>
      <c r="N4954" s="23"/>
      <c r="P4954" s="23"/>
    </row>
    <row r="4955" spans="2:16" x14ac:dyDescent="0.25">
      <c r="B4955" s="23"/>
      <c r="E4955" s="23"/>
      <c r="G4955" s="23"/>
      <c r="H4955" s="23"/>
      <c r="J4955" s="23"/>
      <c r="K4955" s="23"/>
      <c r="M4955" s="23"/>
      <c r="N4955" s="23"/>
      <c r="P4955" s="23"/>
    </row>
    <row r="4956" spans="2:16" x14ac:dyDescent="0.25">
      <c r="B4956" s="23"/>
      <c r="E4956" s="23"/>
      <c r="G4956" s="23"/>
      <c r="H4956" s="23"/>
      <c r="J4956" s="23"/>
      <c r="K4956" s="23"/>
      <c r="M4956" s="23"/>
      <c r="N4956" s="23"/>
      <c r="P4956" s="23"/>
    </row>
    <row r="4957" spans="2:16" x14ac:dyDescent="0.25">
      <c r="B4957" s="23"/>
      <c r="E4957" s="23"/>
      <c r="G4957" s="23"/>
      <c r="H4957" s="23"/>
      <c r="J4957" s="23"/>
      <c r="K4957" s="23"/>
      <c r="M4957" s="23"/>
      <c r="N4957" s="23"/>
      <c r="P4957" s="23"/>
    </row>
    <row r="4958" spans="2:16" x14ac:dyDescent="0.25">
      <c r="B4958" s="23"/>
      <c r="E4958" s="23"/>
      <c r="G4958" s="23"/>
      <c r="H4958" s="23"/>
      <c r="J4958" s="23"/>
      <c r="K4958" s="23"/>
      <c r="M4958" s="23"/>
      <c r="N4958" s="23"/>
      <c r="P4958" s="23"/>
    </row>
    <row r="4959" spans="2:16" x14ac:dyDescent="0.25">
      <c r="B4959" s="23"/>
      <c r="E4959" s="23"/>
      <c r="G4959" s="23"/>
      <c r="H4959" s="23"/>
      <c r="J4959" s="23"/>
      <c r="K4959" s="23"/>
      <c r="M4959" s="23"/>
      <c r="N4959" s="23"/>
      <c r="P4959" s="23"/>
    </row>
    <row r="4960" spans="2:16" x14ac:dyDescent="0.25">
      <c r="B4960" s="23"/>
      <c r="E4960" s="23"/>
      <c r="G4960" s="23"/>
      <c r="H4960" s="23"/>
      <c r="J4960" s="23"/>
      <c r="K4960" s="23"/>
      <c r="M4960" s="23"/>
      <c r="N4960" s="23"/>
      <c r="P4960" s="23"/>
    </row>
    <row r="4961" spans="2:16" x14ac:dyDescent="0.25">
      <c r="B4961" s="23"/>
      <c r="E4961" s="23"/>
      <c r="G4961" s="23"/>
      <c r="H4961" s="23"/>
      <c r="J4961" s="23"/>
      <c r="K4961" s="23"/>
      <c r="M4961" s="23"/>
      <c r="N4961" s="23"/>
      <c r="P4961" s="23"/>
    </row>
    <row r="4962" spans="2:16" x14ac:dyDescent="0.25">
      <c r="B4962" s="23"/>
      <c r="E4962" s="23"/>
      <c r="G4962" s="23"/>
      <c r="H4962" s="23"/>
      <c r="J4962" s="23"/>
      <c r="K4962" s="23"/>
      <c r="M4962" s="23"/>
      <c r="N4962" s="23"/>
      <c r="P4962" s="23"/>
    </row>
    <row r="4963" spans="2:16" x14ac:dyDescent="0.25">
      <c r="B4963" s="23"/>
      <c r="E4963" s="23"/>
      <c r="G4963" s="23"/>
      <c r="H4963" s="23"/>
      <c r="J4963" s="23"/>
      <c r="K4963" s="23"/>
      <c r="M4963" s="23"/>
      <c r="N4963" s="23"/>
      <c r="P4963" s="23"/>
    </row>
    <row r="4964" spans="2:16" x14ac:dyDescent="0.25">
      <c r="B4964" s="23"/>
      <c r="E4964" s="23"/>
      <c r="G4964" s="23"/>
      <c r="H4964" s="23"/>
      <c r="J4964" s="23"/>
      <c r="K4964" s="23"/>
      <c r="M4964" s="23"/>
      <c r="N4964" s="23"/>
      <c r="P4964" s="23"/>
    </row>
    <row r="4965" spans="2:16" x14ac:dyDescent="0.25">
      <c r="B4965" s="23"/>
      <c r="E4965" s="23"/>
      <c r="G4965" s="23"/>
      <c r="H4965" s="23"/>
      <c r="J4965" s="23"/>
      <c r="K4965" s="23"/>
      <c r="M4965" s="23"/>
      <c r="N4965" s="23"/>
      <c r="P4965" s="23"/>
    </row>
    <row r="4966" spans="2:16" x14ac:dyDescent="0.25">
      <c r="B4966" s="23"/>
      <c r="E4966" s="23"/>
      <c r="G4966" s="23"/>
      <c r="H4966" s="23"/>
      <c r="J4966" s="23"/>
      <c r="K4966" s="23"/>
      <c r="M4966" s="23"/>
      <c r="N4966" s="23"/>
      <c r="P4966" s="23"/>
    </row>
    <row r="4967" spans="2:16" x14ac:dyDescent="0.25">
      <c r="B4967" s="23"/>
      <c r="E4967" s="23"/>
      <c r="G4967" s="23"/>
      <c r="H4967" s="23"/>
      <c r="J4967" s="23"/>
      <c r="K4967" s="23"/>
      <c r="M4967" s="23"/>
      <c r="N4967" s="23"/>
      <c r="P4967" s="23"/>
    </row>
    <row r="4968" spans="2:16" x14ac:dyDescent="0.25">
      <c r="B4968" s="23"/>
      <c r="E4968" s="23"/>
      <c r="G4968" s="23"/>
      <c r="H4968" s="23"/>
      <c r="J4968" s="23"/>
      <c r="K4968" s="23"/>
      <c r="M4968" s="23"/>
      <c r="N4968" s="23"/>
      <c r="P4968" s="23"/>
    </row>
    <row r="4969" spans="2:16" x14ac:dyDescent="0.25">
      <c r="B4969" s="23"/>
      <c r="E4969" s="23"/>
      <c r="G4969" s="23"/>
      <c r="H4969" s="23"/>
      <c r="J4969" s="23"/>
      <c r="K4969" s="23"/>
      <c r="M4969" s="23"/>
      <c r="N4969" s="23"/>
      <c r="P4969" s="23"/>
    </row>
    <row r="4970" spans="2:16" x14ac:dyDescent="0.25">
      <c r="B4970" s="23"/>
      <c r="E4970" s="23"/>
      <c r="G4970" s="23"/>
      <c r="H4970" s="23"/>
      <c r="J4970" s="23"/>
      <c r="K4970" s="23"/>
      <c r="M4970" s="23"/>
      <c r="N4970" s="23"/>
      <c r="P4970" s="23"/>
    </row>
    <row r="4971" spans="2:16" x14ac:dyDescent="0.25">
      <c r="B4971" s="23"/>
      <c r="E4971" s="23"/>
      <c r="G4971" s="23"/>
      <c r="H4971" s="23"/>
      <c r="J4971" s="23"/>
      <c r="K4971" s="23"/>
      <c r="M4971" s="23"/>
      <c r="N4971" s="23"/>
      <c r="P4971" s="23"/>
    </row>
    <row r="4972" spans="2:16" x14ac:dyDescent="0.25">
      <c r="B4972" s="23"/>
      <c r="E4972" s="23"/>
      <c r="G4972" s="23"/>
      <c r="H4972" s="23"/>
      <c r="J4972" s="23"/>
      <c r="K4972" s="23"/>
      <c r="M4972" s="23"/>
      <c r="N4972" s="23"/>
      <c r="P4972" s="23"/>
    </row>
    <row r="4973" spans="2:16" x14ac:dyDescent="0.25">
      <c r="B4973" s="23"/>
      <c r="E4973" s="23"/>
      <c r="G4973" s="23"/>
      <c r="H4973" s="23"/>
      <c r="J4973" s="23"/>
      <c r="K4973" s="23"/>
      <c r="M4973" s="23"/>
      <c r="N4973" s="23"/>
      <c r="P4973" s="23"/>
    </row>
    <row r="4974" spans="2:16" x14ac:dyDescent="0.25">
      <c r="B4974" s="23"/>
      <c r="E4974" s="23"/>
      <c r="G4974" s="23"/>
      <c r="H4974" s="23"/>
      <c r="J4974" s="23"/>
      <c r="K4974" s="23"/>
      <c r="M4974" s="23"/>
      <c r="N4974" s="23"/>
      <c r="P4974" s="23"/>
    </row>
    <row r="4975" spans="2:16" x14ac:dyDescent="0.25">
      <c r="B4975" s="23"/>
      <c r="E4975" s="23"/>
      <c r="G4975" s="23"/>
      <c r="H4975" s="23"/>
      <c r="J4975" s="23"/>
      <c r="K4975" s="23"/>
      <c r="M4975" s="23"/>
      <c r="N4975" s="23"/>
      <c r="P4975" s="23"/>
    </row>
    <row r="4976" spans="2:16" x14ac:dyDescent="0.25">
      <c r="B4976" s="23"/>
      <c r="E4976" s="23"/>
      <c r="G4976" s="23"/>
      <c r="H4976" s="23"/>
      <c r="J4976" s="23"/>
      <c r="K4976" s="23"/>
      <c r="M4976" s="23"/>
      <c r="N4976" s="23"/>
      <c r="P4976" s="23"/>
    </row>
    <row r="4977" spans="2:16" x14ac:dyDescent="0.25">
      <c r="B4977" s="23"/>
      <c r="E4977" s="23"/>
      <c r="G4977" s="23"/>
      <c r="H4977" s="23"/>
      <c r="J4977" s="23"/>
      <c r="K4977" s="23"/>
      <c r="M4977" s="23"/>
      <c r="N4977" s="23"/>
      <c r="P4977" s="23"/>
    </row>
    <row r="4978" spans="2:16" x14ac:dyDescent="0.25">
      <c r="B4978" s="23"/>
      <c r="E4978" s="23"/>
      <c r="G4978" s="23"/>
      <c r="H4978" s="23"/>
      <c r="J4978" s="23"/>
      <c r="K4978" s="23"/>
      <c r="M4978" s="23"/>
      <c r="N4978" s="23"/>
      <c r="P4978" s="23"/>
    </row>
    <row r="4979" spans="2:16" x14ac:dyDescent="0.25">
      <c r="B4979" s="23"/>
      <c r="E4979" s="23"/>
      <c r="G4979" s="23"/>
      <c r="H4979" s="23"/>
      <c r="J4979" s="23"/>
      <c r="K4979" s="23"/>
      <c r="M4979" s="23"/>
      <c r="N4979" s="23"/>
      <c r="P4979" s="23"/>
    </row>
    <row r="4980" spans="2:16" x14ac:dyDescent="0.25">
      <c r="B4980" s="23"/>
      <c r="E4980" s="23"/>
      <c r="G4980" s="23"/>
      <c r="H4980" s="23"/>
      <c r="J4980" s="23"/>
      <c r="K4980" s="23"/>
      <c r="M4980" s="23"/>
      <c r="N4980" s="23"/>
      <c r="P4980" s="23"/>
    </row>
    <row r="4981" spans="2:16" x14ac:dyDescent="0.25">
      <c r="B4981" s="23"/>
      <c r="E4981" s="23"/>
      <c r="G4981" s="23"/>
      <c r="H4981" s="23"/>
      <c r="J4981" s="23"/>
      <c r="K4981" s="23"/>
      <c r="M4981" s="23"/>
      <c r="N4981" s="23"/>
      <c r="P4981" s="23"/>
    </row>
    <row r="4982" spans="2:16" x14ac:dyDescent="0.25">
      <c r="B4982" s="23"/>
      <c r="E4982" s="23"/>
      <c r="G4982" s="23"/>
      <c r="H4982" s="23"/>
      <c r="J4982" s="23"/>
      <c r="K4982" s="23"/>
      <c r="M4982" s="23"/>
      <c r="N4982" s="23"/>
      <c r="P4982" s="23"/>
    </row>
    <row r="4983" spans="2:16" x14ac:dyDescent="0.25">
      <c r="B4983" s="23"/>
      <c r="E4983" s="23"/>
      <c r="G4983" s="23"/>
      <c r="H4983" s="23"/>
      <c r="J4983" s="23"/>
      <c r="K4983" s="23"/>
      <c r="M4983" s="23"/>
      <c r="N4983" s="23"/>
      <c r="P4983" s="23"/>
    </row>
    <row r="4984" spans="2:16" x14ac:dyDescent="0.25">
      <c r="B4984" s="23"/>
      <c r="E4984" s="23"/>
      <c r="G4984" s="23"/>
      <c r="H4984" s="23"/>
      <c r="J4984" s="23"/>
      <c r="K4984" s="23"/>
      <c r="M4984" s="23"/>
      <c r="N4984" s="23"/>
      <c r="P4984" s="23"/>
    </row>
    <row r="4985" spans="2:16" x14ac:dyDescent="0.25">
      <c r="B4985" s="23"/>
      <c r="E4985" s="23"/>
      <c r="G4985" s="23"/>
      <c r="H4985" s="23"/>
      <c r="J4985" s="23"/>
      <c r="K4985" s="23"/>
      <c r="M4985" s="23"/>
      <c r="N4985" s="23"/>
      <c r="P4985" s="23"/>
    </row>
    <row r="4986" spans="2:16" x14ac:dyDescent="0.25">
      <c r="B4986" s="23"/>
      <c r="E4986" s="23"/>
      <c r="G4986" s="23"/>
      <c r="H4986" s="23"/>
      <c r="J4986" s="23"/>
      <c r="K4986" s="23"/>
      <c r="M4986" s="23"/>
      <c r="N4986" s="23"/>
      <c r="P4986" s="23"/>
    </row>
    <row r="4987" spans="2:16" x14ac:dyDescent="0.25">
      <c r="B4987" s="23"/>
      <c r="E4987" s="23"/>
      <c r="G4987" s="23"/>
      <c r="H4987" s="23"/>
      <c r="J4987" s="23"/>
      <c r="K4987" s="23"/>
      <c r="M4987" s="23"/>
      <c r="N4987" s="23"/>
      <c r="P4987" s="23"/>
    </row>
    <row r="4988" spans="2:16" x14ac:dyDescent="0.25">
      <c r="B4988" s="23"/>
      <c r="E4988" s="23"/>
      <c r="G4988" s="23"/>
      <c r="H4988" s="23"/>
      <c r="J4988" s="23"/>
      <c r="K4988" s="23"/>
      <c r="M4988" s="23"/>
      <c r="N4988" s="23"/>
      <c r="P4988" s="23"/>
    </row>
    <row r="4989" spans="2:16" x14ac:dyDescent="0.25">
      <c r="B4989" s="23"/>
      <c r="E4989" s="23"/>
      <c r="G4989" s="23"/>
      <c r="H4989" s="23"/>
      <c r="J4989" s="23"/>
      <c r="K4989" s="23"/>
      <c r="M4989" s="23"/>
      <c r="N4989" s="23"/>
      <c r="P4989" s="23"/>
    </row>
    <row r="4990" spans="2:16" x14ac:dyDescent="0.25">
      <c r="B4990" s="23"/>
      <c r="E4990" s="23"/>
      <c r="G4990" s="23"/>
      <c r="H4990" s="23"/>
      <c r="J4990" s="23"/>
      <c r="K4990" s="23"/>
      <c r="M4990" s="23"/>
      <c r="N4990" s="23"/>
      <c r="P4990" s="23"/>
    </row>
    <row r="4991" spans="2:16" x14ac:dyDescent="0.25">
      <c r="B4991" s="23"/>
      <c r="E4991" s="23"/>
      <c r="G4991" s="23"/>
      <c r="H4991" s="23"/>
      <c r="J4991" s="23"/>
      <c r="K4991" s="23"/>
      <c r="M4991" s="23"/>
      <c r="N4991" s="23"/>
      <c r="P4991" s="23"/>
    </row>
    <row r="4992" spans="2:16" x14ac:dyDescent="0.25">
      <c r="B4992" s="23"/>
      <c r="E4992" s="23"/>
      <c r="G4992" s="23"/>
      <c r="H4992" s="23"/>
      <c r="J4992" s="23"/>
      <c r="K4992" s="23"/>
      <c r="M4992" s="23"/>
      <c r="N4992" s="23"/>
      <c r="P4992" s="23"/>
    </row>
    <row r="4993" spans="2:16" x14ac:dyDescent="0.25">
      <c r="B4993" s="23"/>
      <c r="E4993" s="23"/>
      <c r="G4993" s="23"/>
      <c r="H4993" s="23"/>
      <c r="J4993" s="23"/>
      <c r="K4993" s="23"/>
      <c r="M4993" s="23"/>
      <c r="N4993" s="23"/>
      <c r="P4993" s="23"/>
    </row>
    <row r="4994" spans="2:16" x14ac:dyDescent="0.25">
      <c r="B4994" s="23"/>
      <c r="E4994" s="23"/>
      <c r="G4994" s="23"/>
      <c r="H4994" s="23"/>
      <c r="J4994" s="23"/>
      <c r="K4994" s="23"/>
      <c r="M4994" s="23"/>
      <c r="N4994" s="23"/>
      <c r="P4994" s="23"/>
    </row>
    <row r="4995" spans="2:16" x14ac:dyDescent="0.25">
      <c r="B4995" s="23"/>
      <c r="E4995" s="23"/>
      <c r="G4995" s="23"/>
      <c r="H4995" s="23"/>
      <c r="J4995" s="23"/>
      <c r="K4995" s="23"/>
      <c r="M4995" s="23"/>
      <c r="N4995" s="23"/>
      <c r="P4995" s="23"/>
    </row>
    <row r="4996" spans="2:16" x14ac:dyDescent="0.25">
      <c r="B4996" s="23"/>
      <c r="E4996" s="23"/>
      <c r="G4996" s="23"/>
      <c r="H4996" s="23"/>
      <c r="J4996" s="23"/>
      <c r="K4996" s="23"/>
      <c r="M4996" s="23"/>
      <c r="N4996" s="23"/>
      <c r="P4996" s="23"/>
    </row>
    <row r="4997" spans="2:16" x14ac:dyDescent="0.25">
      <c r="B4997" s="23"/>
      <c r="E4997" s="23"/>
      <c r="G4997" s="23"/>
      <c r="H4997" s="23"/>
      <c r="J4997" s="23"/>
      <c r="K4997" s="23"/>
      <c r="M4997" s="23"/>
      <c r="N4997" s="23"/>
      <c r="P4997" s="23"/>
    </row>
    <row r="4998" spans="2:16" x14ac:dyDescent="0.25">
      <c r="B4998" s="23"/>
      <c r="E4998" s="23"/>
      <c r="G4998" s="23"/>
      <c r="H4998" s="23"/>
      <c r="J4998" s="23"/>
      <c r="K4998" s="23"/>
      <c r="M4998" s="23"/>
      <c r="N4998" s="23"/>
      <c r="P4998" s="23"/>
    </row>
    <row r="4999" spans="2:16" x14ac:dyDescent="0.25">
      <c r="B4999" s="23"/>
      <c r="E4999" s="23"/>
      <c r="G4999" s="23"/>
      <c r="H4999" s="23"/>
      <c r="J4999" s="23"/>
      <c r="K4999" s="23"/>
      <c r="M4999" s="23"/>
      <c r="N4999" s="23"/>
      <c r="P4999" s="23"/>
    </row>
    <row r="5000" spans="2:16" x14ac:dyDescent="0.25">
      <c r="B5000" s="23"/>
      <c r="E5000" s="23"/>
      <c r="G5000" s="23"/>
      <c r="H5000" s="23"/>
      <c r="J5000" s="23"/>
      <c r="K5000" s="23"/>
      <c r="M5000" s="23"/>
      <c r="N5000" s="23"/>
      <c r="P5000" s="23"/>
    </row>
    <row r="5001" spans="2:16" x14ac:dyDescent="0.25">
      <c r="B5001" s="23"/>
      <c r="E5001" s="23"/>
      <c r="G5001" s="23"/>
      <c r="H5001" s="23"/>
      <c r="J5001" s="23"/>
      <c r="K5001" s="23"/>
      <c r="M5001" s="23"/>
      <c r="N5001" s="23"/>
      <c r="P5001" s="23"/>
    </row>
    <row r="5002" spans="2:16" x14ac:dyDescent="0.25">
      <c r="B5002" s="23"/>
      <c r="E5002" s="23"/>
      <c r="G5002" s="23"/>
      <c r="H5002" s="23"/>
      <c r="J5002" s="23"/>
      <c r="K5002" s="23"/>
      <c r="M5002" s="23"/>
      <c r="N5002" s="23"/>
      <c r="P5002" s="23"/>
    </row>
    <row r="5003" spans="2:16" x14ac:dyDescent="0.25">
      <c r="B5003" s="23"/>
      <c r="E5003" s="23"/>
      <c r="G5003" s="23"/>
      <c r="H5003" s="23"/>
      <c r="J5003" s="23"/>
      <c r="K5003" s="23"/>
      <c r="M5003" s="23"/>
      <c r="N5003" s="23"/>
      <c r="P5003" s="23"/>
    </row>
    <row r="5004" spans="2:16" x14ac:dyDescent="0.25">
      <c r="B5004" s="23"/>
      <c r="E5004" s="23"/>
      <c r="G5004" s="23"/>
      <c r="H5004" s="23"/>
      <c r="J5004" s="23"/>
      <c r="K5004" s="23"/>
      <c r="M5004" s="23"/>
      <c r="N5004" s="23"/>
      <c r="P5004" s="23"/>
    </row>
    <row r="5005" spans="2:16" x14ac:dyDescent="0.25">
      <c r="B5005" s="23"/>
      <c r="E5005" s="23"/>
      <c r="G5005" s="23"/>
      <c r="H5005" s="23"/>
      <c r="J5005" s="23"/>
      <c r="K5005" s="23"/>
      <c r="M5005" s="23"/>
      <c r="N5005" s="23"/>
      <c r="P5005" s="23"/>
    </row>
    <row r="5006" spans="2:16" x14ac:dyDescent="0.25">
      <c r="B5006" s="23"/>
      <c r="E5006" s="23"/>
      <c r="G5006" s="23"/>
      <c r="H5006" s="23"/>
      <c r="J5006" s="23"/>
      <c r="K5006" s="23"/>
      <c r="M5006" s="23"/>
      <c r="N5006" s="23"/>
      <c r="P5006" s="23"/>
    </row>
    <row r="5007" spans="2:16" x14ac:dyDescent="0.25">
      <c r="B5007" s="23"/>
      <c r="E5007" s="23"/>
      <c r="G5007" s="23"/>
      <c r="H5007" s="23"/>
      <c r="J5007" s="23"/>
      <c r="K5007" s="23"/>
      <c r="M5007" s="23"/>
      <c r="N5007" s="23"/>
      <c r="P5007" s="23"/>
    </row>
    <row r="5008" spans="2:16" x14ac:dyDescent="0.25">
      <c r="B5008" s="23"/>
      <c r="E5008" s="23"/>
      <c r="G5008" s="23"/>
      <c r="H5008" s="23"/>
      <c r="J5008" s="23"/>
      <c r="K5008" s="23"/>
      <c r="M5008" s="23"/>
      <c r="N5008" s="23"/>
      <c r="P5008" s="23"/>
    </row>
    <row r="5009" spans="2:16" x14ac:dyDescent="0.25">
      <c r="B5009" s="23"/>
      <c r="E5009" s="23"/>
      <c r="G5009" s="23"/>
      <c r="H5009" s="23"/>
      <c r="J5009" s="23"/>
      <c r="K5009" s="23"/>
      <c r="M5009" s="23"/>
      <c r="N5009" s="23"/>
      <c r="P5009" s="23"/>
    </row>
    <row r="5010" spans="2:16" x14ac:dyDescent="0.25">
      <c r="B5010" s="23"/>
      <c r="E5010" s="23"/>
      <c r="G5010" s="23"/>
      <c r="H5010" s="23"/>
      <c r="J5010" s="23"/>
      <c r="K5010" s="23"/>
      <c r="M5010" s="23"/>
      <c r="N5010" s="23"/>
      <c r="P5010" s="23"/>
    </row>
    <row r="5011" spans="2:16" x14ac:dyDescent="0.25">
      <c r="B5011" s="23"/>
      <c r="E5011" s="23"/>
      <c r="G5011" s="23"/>
      <c r="H5011" s="23"/>
      <c r="J5011" s="23"/>
      <c r="K5011" s="23"/>
      <c r="M5011" s="23"/>
      <c r="N5011" s="23"/>
      <c r="P5011" s="23"/>
    </row>
    <row r="5012" spans="2:16" x14ac:dyDescent="0.25">
      <c r="B5012" s="23"/>
      <c r="E5012" s="23"/>
      <c r="G5012" s="23"/>
      <c r="H5012" s="23"/>
      <c r="J5012" s="23"/>
      <c r="K5012" s="23"/>
      <c r="M5012" s="23"/>
      <c r="N5012" s="23"/>
      <c r="P5012" s="23"/>
    </row>
    <row r="5013" spans="2:16" x14ac:dyDescent="0.25">
      <c r="B5013" s="23"/>
      <c r="E5013" s="23"/>
      <c r="G5013" s="23"/>
      <c r="H5013" s="23"/>
      <c r="J5013" s="23"/>
      <c r="K5013" s="23"/>
      <c r="M5013" s="23"/>
      <c r="N5013" s="23"/>
      <c r="P5013" s="23"/>
    </row>
    <row r="5014" spans="2:16" x14ac:dyDescent="0.25">
      <c r="B5014" s="23"/>
      <c r="E5014" s="23"/>
      <c r="G5014" s="23"/>
      <c r="H5014" s="23"/>
      <c r="J5014" s="23"/>
      <c r="K5014" s="23"/>
      <c r="M5014" s="23"/>
      <c r="N5014" s="23"/>
      <c r="P5014" s="23"/>
    </row>
    <row r="5015" spans="2:16" x14ac:dyDescent="0.25">
      <c r="B5015" s="23"/>
      <c r="E5015" s="23"/>
      <c r="G5015" s="23"/>
      <c r="H5015" s="23"/>
      <c r="J5015" s="23"/>
      <c r="K5015" s="23"/>
      <c r="M5015" s="23"/>
      <c r="N5015" s="23"/>
      <c r="P5015" s="23"/>
    </row>
    <row r="5016" spans="2:16" x14ac:dyDescent="0.25">
      <c r="B5016" s="23"/>
      <c r="E5016" s="23"/>
      <c r="G5016" s="23"/>
      <c r="H5016" s="23"/>
      <c r="J5016" s="23"/>
      <c r="K5016" s="23"/>
      <c r="M5016" s="23"/>
      <c r="N5016" s="23"/>
      <c r="P5016" s="23"/>
    </row>
    <row r="5017" spans="2:16" x14ac:dyDescent="0.25">
      <c r="B5017" s="23"/>
      <c r="E5017" s="23"/>
      <c r="G5017" s="23"/>
      <c r="H5017" s="23"/>
      <c r="J5017" s="23"/>
      <c r="K5017" s="23"/>
      <c r="M5017" s="23"/>
      <c r="N5017" s="23"/>
      <c r="P5017" s="23"/>
    </row>
    <row r="5018" spans="2:16" x14ac:dyDescent="0.25">
      <c r="B5018" s="23"/>
      <c r="E5018" s="23"/>
      <c r="G5018" s="23"/>
      <c r="H5018" s="23"/>
      <c r="J5018" s="23"/>
      <c r="K5018" s="23"/>
      <c r="M5018" s="23"/>
      <c r="N5018" s="23"/>
      <c r="P5018" s="23"/>
    </row>
    <row r="5019" spans="2:16" x14ac:dyDescent="0.25">
      <c r="B5019" s="23"/>
      <c r="E5019" s="23"/>
      <c r="G5019" s="23"/>
      <c r="H5019" s="23"/>
      <c r="J5019" s="23"/>
      <c r="K5019" s="23"/>
      <c r="M5019" s="23"/>
      <c r="N5019" s="23"/>
      <c r="P5019" s="23"/>
    </row>
    <row r="5020" spans="2:16" x14ac:dyDescent="0.25">
      <c r="B5020" s="23"/>
      <c r="E5020" s="23"/>
      <c r="G5020" s="23"/>
      <c r="H5020" s="23"/>
      <c r="J5020" s="23"/>
      <c r="K5020" s="23"/>
      <c r="M5020" s="23"/>
      <c r="N5020" s="23"/>
      <c r="P5020" s="23"/>
    </row>
    <row r="5021" spans="2:16" x14ac:dyDescent="0.25">
      <c r="B5021" s="23"/>
      <c r="E5021" s="23"/>
      <c r="G5021" s="23"/>
      <c r="H5021" s="23"/>
      <c r="J5021" s="23"/>
      <c r="K5021" s="23"/>
      <c r="M5021" s="23"/>
      <c r="N5021" s="23"/>
      <c r="P5021" s="23"/>
    </row>
    <row r="5022" spans="2:16" x14ac:dyDescent="0.25">
      <c r="B5022" s="23"/>
      <c r="E5022" s="23"/>
      <c r="G5022" s="23"/>
      <c r="H5022" s="23"/>
      <c r="J5022" s="23"/>
      <c r="K5022" s="23"/>
      <c r="M5022" s="23"/>
      <c r="N5022" s="23"/>
      <c r="P5022" s="23"/>
    </row>
    <row r="5023" spans="2:16" x14ac:dyDescent="0.25">
      <c r="B5023" s="23"/>
      <c r="E5023" s="23"/>
      <c r="G5023" s="23"/>
      <c r="H5023" s="23"/>
      <c r="J5023" s="23"/>
      <c r="K5023" s="23"/>
      <c r="M5023" s="23"/>
      <c r="N5023" s="23"/>
      <c r="P5023" s="23"/>
    </row>
    <row r="5024" spans="2:16" x14ac:dyDescent="0.25">
      <c r="B5024" s="23"/>
      <c r="E5024" s="23"/>
      <c r="G5024" s="23"/>
      <c r="H5024" s="23"/>
      <c r="J5024" s="23"/>
      <c r="K5024" s="23"/>
      <c r="M5024" s="23"/>
      <c r="N5024" s="23"/>
      <c r="P5024" s="23"/>
    </row>
    <row r="5025" spans="2:16" x14ac:dyDescent="0.25">
      <c r="B5025" s="23"/>
      <c r="E5025" s="23"/>
      <c r="G5025" s="23"/>
      <c r="H5025" s="23"/>
      <c r="J5025" s="23"/>
      <c r="K5025" s="23"/>
      <c r="M5025" s="23"/>
      <c r="N5025" s="23"/>
      <c r="P5025" s="23"/>
    </row>
    <row r="5026" spans="2:16" x14ac:dyDescent="0.25">
      <c r="B5026" s="23"/>
      <c r="E5026" s="23"/>
      <c r="G5026" s="23"/>
      <c r="H5026" s="23"/>
      <c r="J5026" s="23"/>
      <c r="K5026" s="23"/>
      <c r="M5026" s="23"/>
      <c r="N5026" s="23"/>
      <c r="P5026" s="23"/>
    </row>
    <row r="5027" spans="2:16" x14ac:dyDescent="0.25">
      <c r="B5027" s="23"/>
      <c r="E5027" s="23"/>
      <c r="G5027" s="23"/>
      <c r="H5027" s="23"/>
      <c r="J5027" s="23"/>
      <c r="K5027" s="23"/>
      <c r="M5027" s="23"/>
      <c r="N5027" s="23"/>
      <c r="P5027" s="23"/>
    </row>
    <row r="5028" spans="2:16" x14ac:dyDescent="0.25">
      <c r="B5028" s="23"/>
      <c r="E5028" s="23"/>
      <c r="G5028" s="23"/>
      <c r="H5028" s="23"/>
      <c r="J5028" s="23"/>
      <c r="K5028" s="23"/>
      <c r="M5028" s="23"/>
      <c r="N5028" s="23"/>
      <c r="P5028" s="23"/>
    </row>
    <row r="5029" spans="2:16" x14ac:dyDescent="0.25">
      <c r="B5029" s="23"/>
      <c r="E5029" s="23"/>
      <c r="G5029" s="23"/>
      <c r="H5029" s="23"/>
      <c r="J5029" s="23"/>
      <c r="K5029" s="23"/>
      <c r="M5029" s="23"/>
      <c r="N5029" s="23"/>
      <c r="P5029" s="23"/>
    </row>
    <row r="5030" spans="2:16" x14ac:dyDescent="0.25">
      <c r="B5030" s="23"/>
      <c r="E5030" s="23"/>
      <c r="G5030" s="23"/>
      <c r="H5030" s="23"/>
      <c r="J5030" s="23"/>
      <c r="K5030" s="23"/>
      <c r="M5030" s="23"/>
      <c r="N5030" s="23"/>
      <c r="P5030" s="23"/>
    </row>
    <row r="5031" spans="2:16" x14ac:dyDescent="0.25">
      <c r="B5031" s="23"/>
      <c r="E5031" s="23"/>
      <c r="G5031" s="23"/>
      <c r="H5031" s="23"/>
      <c r="J5031" s="23"/>
      <c r="K5031" s="23"/>
      <c r="M5031" s="23"/>
      <c r="N5031" s="23"/>
      <c r="P5031" s="23"/>
    </row>
    <row r="5032" spans="2:16" x14ac:dyDescent="0.25">
      <c r="B5032" s="23"/>
      <c r="E5032" s="23"/>
      <c r="G5032" s="23"/>
      <c r="H5032" s="23"/>
      <c r="J5032" s="23"/>
      <c r="K5032" s="23"/>
      <c r="M5032" s="23"/>
      <c r="N5032" s="23"/>
      <c r="P5032" s="23"/>
    </row>
    <row r="5033" spans="2:16" x14ac:dyDescent="0.25">
      <c r="B5033" s="23"/>
      <c r="E5033" s="23"/>
      <c r="G5033" s="23"/>
      <c r="H5033" s="23"/>
      <c r="J5033" s="23"/>
      <c r="K5033" s="23"/>
      <c r="M5033" s="23"/>
      <c r="N5033" s="23"/>
      <c r="P5033" s="23"/>
    </row>
    <row r="5034" spans="2:16" x14ac:dyDescent="0.25">
      <c r="B5034" s="23"/>
      <c r="E5034" s="23"/>
      <c r="G5034" s="23"/>
      <c r="H5034" s="23"/>
      <c r="J5034" s="23"/>
      <c r="K5034" s="23"/>
      <c r="M5034" s="23"/>
      <c r="N5034" s="23"/>
      <c r="P5034" s="23"/>
    </row>
    <row r="5035" spans="2:16" x14ac:dyDescent="0.25">
      <c r="B5035" s="23"/>
      <c r="E5035" s="23"/>
      <c r="G5035" s="23"/>
      <c r="H5035" s="23"/>
      <c r="J5035" s="23"/>
      <c r="K5035" s="23"/>
      <c r="M5035" s="23"/>
      <c r="N5035" s="23"/>
      <c r="P5035" s="23"/>
    </row>
    <row r="5036" spans="2:16" x14ac:dyDescent="0.25">
      <c r="B5036" s="23"/>
      <c r="E5036" s="23"/>
      <c r="G5036" s="23"/>
      <c r="H5036" s="23"/>
      <c r="J5036" s="23"/>
      <c r="K5036" s="23"/>
      <c r="M5036" s="23"/>
      <c r="N5036" s="23"/>
      <c r="P5036" s="23"/>
    </row>
    <row r="5037" spans="2:16" x14ac:dyDescent="0.25">
      <c r="B5037" s="23"/>
      <c r="E5037" s="23"/>
      <c r="G5037" s="23"/>
      <c r="H5037" s="23"/>
      <c r="J5037" s="23"/>
      <c r="K5037" s="23"/>
      <c r="M5037" s="23"/>
      <c r="N5037" s="23"/>
      <c r="P5037" s="23"/>
    </row>
    <row r="5038" spans="2:16" x14ac:dyDescent="0.25">
      <c r="B5038" s="23"/>
      <c r="E5038" s="23"/>
      <c r="G5038" s="23"/>
      <c r="H5038" s="23"/>
      <c r="J5038" s="23"/>
      <c r="K5038" s="23"/>
      <c r="M5038" s="23"/>
      <c r="N5038" s="23"/>
      <c r="P5038" s="23"/>
    </row>
    <row r="5039" spans="2:16" x14ac:dyDescent="0.25">
      <c r="B5039" s="23"/>
      <c r="E5039" s="23"/>
      <c r="G5039" s="23"/>
      <c r="H5039" s="23"/>
      <c r="J5039" s="23"/>
      <c r="K5039" s="23"/>
      <c r="M5039" s="23"/>
      <c r="N5039" s="23"/>
      <c r="P5039" s="23"/>
    </row>
    <row r="5040" spans="2:16" x14ac:dyDescent="0.25">
      <c r="B5040" s="23"/>
      <c r="E5040" s="23"/>
      <c r="G5040" s="23"/>
      <c r="H5040" s="23"/>
      <c r="J5040" s="23"/>
      <c r="K5040" s="23"/>
      <c r="M5040" s="23"/>
      <c r="N5040" s="23"/>
      <c r="P5040" s="23"/>
    </row>
    <row r="5041" spans="2:16" x14ac:dyDescent="0.25">
      <c r="B5041" s="23"/>
      <c r="E5041" s="23"/>
      <c r="G5041" s="23"/>
      <c r="H5041" s="23"/>
      <c r="J5041" s="23"/>
      <c r="K5041" s="23"/>
      <c r="M5041" s="23"/>
      <c r="N5041" s="23"/>
      <c r="P5041" s="23"/>
    </row>
    <row r="5042" spans="2:16" x14ac:dyDescent="0.25">
      <c r="B5042" s="23"/>
      <c r="E5042" s="23"/>
      <c r="G5042" s="23"/>
      <c r="H5042" s="23"/>
      <c r="J5042" s="23"/>
      <c r="K5042" s="23"/>
      <c r="M5042" s="23"/>
      <c r="N5042" s="23"/>
      <c r="P5042" s="23"/>
    </row>
    <row r="5043" spans="2:16" x14ac:dyDescent="0.25">
      <c r="B5043" s="23"/>
      <c r="E5043" s="23"/>
      <c r="G5043" s="23"/>
      <c r="H5043" s="23"/>
      <c r="J5043" s="23"/>
      <c r="K5043" s="23"/>
      <c r="M5043" s="23"/>
      <c r="N5043" s="23"/>
      <c r="P5043" s="23"/>
    </row>
    <row r="5044" spans="2:16" x14ac:dyDescent="0.25">
      <c r="B5044" s="23"/>
      <c r="E5044" s="23"/>
      <c r="G5044" s="23"/>
      <c r="H5044" s="23"/>
      <c r="J5044" s="23"/>
      <c r="K5044" s="23"/>
      <c r="M5044" s="23"/>
      <c r="N5044" s="23"/>
      <c r="P5044" s="23"/>
    </row>
    <row r="5045" spans="2:16" x14ac:dyDescent="0.25">
      <c r="B5045" s="23"/>
      <c r="E5045" s="23"/>
      <c r="G5045" s="23"/>
      <c r="H5045" s="23"/>
      <c r="J5045" s="23"/>
      <c r="K5045" s="23"/>
      <c r="M5045" s="23"/>
      <c r="N5045" s="23"/>
      <c r="P5045" s="23"/>
    </row>
    <row r="5046" spans="2:16" x14ac:dyDescent="0.25">
      <c r="B5046" s="23"/>
      <c r="E5046" s="23"/>
      <c r="G5046" s="23"/>
      <c r="H5046" s="23"/>
      <c r="J5046" s="23"/>
      <c r="K5046" s="23"/>
      <c r="M5046" s="23"/>
      <c r="N5046" s="23"/>
      <c r="P5046" s="23"/>
    </row>
    <row r="5047" spans="2:16" x14ac:dyDescent="0.25">
      <c r="B5047" s="23"/>
      <c r="E5047" s="23"/>
      <c r="G5047" s="23"/>
      <c r="H5047" s="23"/>
      <c r="J5047" s="23"/>
      <c r="K5047" s="23"/>
      <c r="M5047" s="23"/>
      <c r="N5047" s="23"/>
      <c r="P5047" s="23"/>
    </row>
    <row r="5048" spans="2:16" x14ac:dyDescent="0.25">
      <c r="B5048" s="23"/>
      <c r="E5048" s="23"/>
      <c r="G5048" s="23"/>
      <c r="H5048" s="23"/>
      <c r="J5048" s="23"/>
      <c r="K5048" s="23"/>
      <c r="M5048" s="23"/>
      <c r="N5048" s="23"/>
      <c r="P5048" s="23"/>
    </row>
    <row r="5049" spans="2:16" x14ac:dyDescent="0.25">
      <c r="B5049" s="23"/>
      <c r="E5049" s="23"/>
      <c r="G5049" s="23"/>
      <c r="H5049" s="23"/>
      <c r="J5049" s="23"/>
      <c r="K5049" s="23"/>
      <c r="M5049" s="23"/>
      <c r="N5049" s="23"/>
      <c r="P5049" s="23"/>
    </row>
    <row r="5050" spans="2:16" x14ac:dyDescent="0.25">
      <c r="B5050" s="23"/>
      <c r="E5050" s="23"/>
      <c r="G5050" s="23"/>
      <c r="H5050" s="23"/>
      <c r="J5050" s="23"/>
      <c r="K5050" s="23"/>
      <c r="M5050" s="23"/>
      <c r="N5050" s="23"/>
      <c r="P5050" s="23"/>
    </row>
    <row r="5051" spans="2:16" x14ac:dyDescent="0.25">
      <c r="B5051" s="23"/>
      <c r="E5051" s="23"/>
      <c r="G5051" s="23"/>
      <c r="H5051" s="23"/>
      <c r="J5051" s="23"/>
      <c r="K5051" s="23"/>
      <c r="M5051" s="23"/>
      <c r="N5051" s="23"/>
      <c r="P5051" s="23"/>
    </row>
    <row r="5052" spans="2:16" x14ac:dyDescent="0.25">
      <c r="B5052" s="23"/>
      <c r="E5052" s="23"/>
      <c r="G5052" s="23"/>
      <c r="H5052" s="23"/>
      <c r="J5052" s="23"/>
      <c r="K5052" s="23"/>
      <c r="M5052" s="23"/>
      <c r="N5052" s="23"/>
      <c r="P5052" s="23"/>
    </row>
    <row r="5053" spans="2:16" x14ac:dyDescent="0.25">
      <c r="B5053" s="23"/>
      <c r="E5053" s="23"/>
      <c r="G5053" s="23"/>
      <c r="H5053" s="23"/>
      <c r="J5053" s="23"/>
      <c r="K5053" s="23"/>
      <c r="M5053" s="23"/>
      <c r="N5053" s="23"/>
      <c r="P5053" s="23"/>
    </row>
    <row r="5054" spans="2:16" x14ac:dyDescent="0.25">
      <c r="B5054" s="23"/>
      <c r="E5054" s="23"/>
      <c r="G5054" s="23"/>
      <c r="H5054" s="23"/>
      <c r="J5054" s="23"/>
      <c r="K5054" s="23"/>
      <c r="M5054" s="23"/>
      <c r="N5054" s="23"/>
      <c r="P5054" s="23"/>
    </row>
    <row r="5055" spans="2:16" x14ac:dyDescent="0.25">
      <c r="B5055" s="23"/>
      <c r="E5055" s="23"/>
      <c r="G5055" s="23"/>
      <c r="H5055" s="23"/>
      <c r="J5055" s="23"/>
      <c r="K5055" s="23"/>
      <c r="M5055" s="23"/>
      <c r="N5055" s="23"/>
      <c r="P5055" s="23"/>
    </row>
    <row r="5056" spans="2:16" x14ac:dyDescent="0.25">
      <c r="B5056" s="23"/>
      <c r="E5056" s="23"/>
      <c r="G5056" s="23"/>
      <c r="H5056" s="23"/>
      <c r="J5056" s="23"/>
      <c r="K5056" s="23"/>
      <c r="M5056" s="23"/>
      <c r="N5056" s="23"/>
      <c r="P5056" s="23"/>
    </row>
    <row r="5057" spans="2:16" x14ac:dyDescent="0.25">
      <c r="B5057" s="23"/>
      <c r="E5057" s="23"/>
      <c r="G5057" s="23"/>
      <c r="H5057" s="23"/>
      <c r="J5057" s="23"/>
      <c r="K5057" s="23"/>
      <c r="M5057" s="23"/>
      <c r="N5057" s="23"/>
      <c r="P5057" s="23"/>
    </row>
    <row r="5058" spans="2:16" x14ac:dyDescent="0.25">
      <c r="B5058" s="23"/>
      <c r="E5058" s="23"/>
      <c r="G5058" s="23"/>
      <c r="H5058" s="23"/>
      <c r="J5058" s="23"/>
      <c r="K5058" s="23"/>
      <c r="M5058" s="23"/>
      <c r="N5058" s="23"/>
      <c r="P5058" s="23"/>
    </row>
    <row r="5059" spans="2:16" x14ac:dyDescent="0.25">
      <c r="B5059" s="23"/>
      <c r="E5059" s="23"/>
      <c r="G5059" s="23"/>
      <c r="H5059" s="23"/>
      <c r="J5059" s="23"/>
      <c r="K5059" s="23"/>
      <c r="M5059" s="23"/>
      <c r="N5059" s="23"/>
      <c r="P5059" s="23"/>
    </row>
    <row r="5060" spans="2:16" x14ac:dyDescent="0.25">
      <c r="B5060" s="23"/>
      <c r="E5060" s="23"/>
      <c r="G5060" s="23"/>
      <c r="H5060" s="23"/>
      <c r="J5060" s="23"/>
      <c r="K5060" s="23"/>
      <c r="M5060" s="23"/>
      <c r="N5060" s="23"/>
      <c r="P5060" s="23"/>
    </row>
    <row r="5061" spans="2:16" x14ac:dyDescent="0.25">
      <c r="B5061" s="23"/>
      <c r="E5061" s="23"/>
      <c r="G5061" s="23"/>
      <c r="H5061" s="23"/>
      <c r="J5061" s="23"/>
      <c r="K5061" s="23"/>
      <c r="M5061" s="23"/>
      <c r="N5061" s="23"/>
      <c r="P5061" s="23"/>
    </row>
    <row r="5062" spans="2:16" x14ac:dyDescent="0.25">
      <c r="B5062" s="23"/>
      <c r="E5062" s="23"/>
      <c r="G5062" s="23"/>
      <c r="H5062" s="23"/>
      <c r="J5062" s="23"/>
      <c r="K5062" s="23"/>
      <c r="M5062" s="23"/>
      <c r="N5062" s="23"/>
      <c r="P5062" s="23"/>
    </row>
    <row r="5063" spans="2:16" x14ac:dyDescent="0.25">
      <c r="B5063" s="23"/>
      <c r="E5063" s="23"/>
      <c r="G5063" s="23"/>
      <c r="H5063" s="23"/>
      <c r="J5063" s="23"/>
      <c r="K5063" s="23"/>
      <c r="M5063" s="23"/>
      <c r="N5063" s="23"/>
      <c r="P5063" s="23"/>
    </row>
    <row r="5064" spans="2:16" x14ac:dyDescent="0.25">
      <c r="B5064" s="23"/>
      <c r="E5064" s="23"/>
      <c r="G5064" s="23"/>
      <c r="H5064" s="23"/>
      <c r="J5064" s="23"/>
      <c r="K5064" s="23"/>
      <c r="M5064" s="23"/>
      <c r="N5064" s="23"/>
      <c r="P5064" s="23"/>
    </row>
    <row r="5065" spans="2:16" x14ac:dyDescent="0.25">
      <c r="B5065" s="23"/>
      <c r="E5065" s="23"/>
      <c r="G5065" s="23"/>
      <c r="H5065" s="23"/>
      <c r="J5065" s="23"/>
      <c r="K5065" s="23"/>
      <c r="M5065" s="23"/>
      <c r="N5065" s="23"/>
      <c r="P5065" s="23"/>
    </row>
    <row r="5066" spans="2:16" x14ac:dyDescent="0.25">
      <c r="B5066" s="23"/>
      <c r="E5066" s="23"/>
      <c r="G5066" s="23"/>
      <c r="H5066" s="23"/>
      <c r="J5066" s="23"/>
      <c r="K5066" s="23"/>
      <c r="M5066" s="23"/>
      <c r="N5066" s="23"/>
      <c r="P5066" s="23"/>
    </row>
    <row r="5067" spans="2:16" x14ac:dyDescent="0.25">
      <c r="B5067" s="23"/>
      <c r="E5067" s="23"/>
      <c r="G5067" s="23"/>
      <c r="H5067" s="23"/>
      <c r="J5067" s="23"/>
      <c r="K5067" s="23"/>
      <c r="M5067" s="23"/>
      <c r="N5067" s="23"/>
      <c r="P5067" s="23"/>
    </row>
    <row r="5068" spans="2:16" x14ac:dyDescent="0.25">
      <c r="B5068" s="23"/>
      <c r="E5068" s="23"/>
      <c r="G5068" s="23"/>
      <c r="H5068" s="23"/>
      <c r="J5068" s="23"/>
      <c r="K5068" s="23"/>
      <c r="M5068" s="23"/>
      <c r="N5068" s="23"/>
      <c r="P5068" s="23"/>
    </row>
    <row r="5069" spans="2:16" x14ac:dyDescent="0.25">
      <c r="B5069" s="23"/>
      <c r="E5069" s="23"/>
      <c r="G5069" s="23"/>
      <c r="H5069" s="23"/>
      <c r="J5069" s="23"/>
      <c r="K5069" s="23"/>
      <c r="M5069" s="23"/>
      <c r="N5069" s="23"/>
      <c r="P5069" s="23"/>
    </row>
    <row r="5070" spans="2:16" x14ac:dyDescent="0.25">
      <c r="B5070" s="23"/>
      <c r="E5070" s="23"/>
      <c r="G5070" s="23"/>
      <c r="H5070" s="23"/>
      <c r="J5070" s="23"/>
      <c r="K5070" s="23"/>
      <c r="M5070" s="23"/>
      <c r="N5070" s="23"/>
      <c r="P5070" s="23"/>
    </row>
    <row r="5071" spans="2:16" x14ac:dyDescent="0.25">
      <c r="B5071" s="23"/>
      <c r="E5071" s="23"/>
      <c r="G5071" s="23"/>
      <c r="H5071" s="23"/>
      <c r="J5071" s="23"/>
      <c r="K5071" s="23"/>
      <c r="M5071" s="23"/>
      <c r="N5071" s="23"/>
      <c r="P5071" s="23"/>
    </row>
    <row r="5072" spans="2:16" x14ac:dyDescent="0.25">
      <c r="B5072" s="23"/>
      <c r="E5072" s="23"/>
      <c r="G5072" s="23"/>
      <c r="H5072" s="23"/>
      <c r="J5072" s="23"/>
      <c r="K5072" s="23"/>
      <c r="M5072" s="23"/>
      <c r="N5072" s="23"/>
      <c r="P5072" s="23"/>
    </row>
    <row r="5073" spans="2:16" x14ac:dyDescent="0.25">
      <c r="B5073" s="23"/>
      <c r="E5073" s="23"/>
      <c r="G5073" s="23"/>
      <c r="H5073" s="23"/>
      <c r="J5073" s="23"/>
      <c r="K5073" s="23"/>
      <c r="M5073" s="23"/>
      <c r="N5073" s="23"/>
      <c r="P5073" s="23"/>
    </row>
    <row r="5074" spans="2:16" x14ac:dyDescent="0.25">
      <c r="B5074" s="23"/>
      <c r="E5074" s="23"/>
      <c r="G5074" s="23"/>
      <c r="H5074" s="23"/>
      <c r="J5074" s="23"/>
      <c r="K5074" s="23"/>
      <c r="M5074" s="23"/>
      <c r="N5074" s="23"/>
      <c r="P5074" s="23"/>
    </row>
    <row r="5075" spans="2:16" x14ac:dyDescent="0.25">
      <c r="B5075" s="23"/>
      <c r="E5075" s="23"/>
      <c r="G5075" s="23"/>
      <c r="H5075" s="23"/>
      <c r="J5075" s="23"/>
      <c r="K5075" s="23"/>
      <c r="M5075" s="23"/>
      <c r="N5075" s="23"/>
      <c r="P5075" s="23"/>
    </row>
    <row r="5076" spans="2:16" x14ac:dyDescent="0.25">
      <c r="B5076" s="23"/>
      <c r="E5076" s="23"/>
      <c r="G5076" s="23"/>
      <c r="H5076" s="23"/>
      <c r="J5076" s="23"/>
      <c r="K5076" s="23"/>
      <c r="M5076" s="23"/>
      <c r="N5076" s="23"/>
      <c r="P5076" s="23"/>
    </row>
    <row r="5077" spans="2:16" x14ac:dyDescent="0.25">
      <c r="B5077" s="23"/>
      <c r="E5077" s="23"/>
      <c r="G5077" s="23"/>
      <c r="H5077" s="23"/>
      <c r="J5077" s="23"/>
      <c r="K5077" s="23"/>
      <c r="M5077" s="23"/>
      <c r="N5077" s="23"/>
      <c r="P5077" s="23"/>
    </row>
    <row r="5078" spans="2:16" x14ac:dyDescent="0.25">
      <c r="B5078" s="23"/>
      <c r="E5078" s="23"/>
      <c r="G5078" s="23"/>
      <c r="H5078" s="23"/>
      <c r="J5078" s="23"/>
      <c r="K5078" s="23"/>
      <c r="M5078" s="23"/>
      <c r="N5078" s="23"/>
      <c r="P5078" s="23"/>
    </row>
    <row r="5079" spans="2:16" x14ac:dyDescent="0.25">
      <c r="B5079" s="23"/>
      <c r="E5079" s="23"/>
      <c r="G5079" s="23"/>
      <c r="H5079" s="23"/>
      <c r="J5079" s="23"/>
      <c r="K5079" s="23"/>
      <c r="M5079" s="23"/>
      <c r="N5079" s="23"/>
      <c r="P5079" s="23"/>
    </row>
    <row r="5080" spans="2:16" x14ac:dyDescent="0.25">
      <c r="B5080" s="23"/>
      <c r="E5080" s="23"/>
      <c r="G5080" s="23"/>
      <c r="H5080" s="23"/>
      <c r="J5080" s="23"/>
      <c r="K5080" s="23"/>
      <c r="M5080" s="23"/>
      <c r="N5080" s="23"/>
      <c r="P5080" s="23"/>
    </row>
    <row r="5081" spans="2:16" x14ac:dyDescent="0.25">
      <c r="B5081" s="23"/>
      <c r="E5081" s="23"/>
      <c r="G5081" s="23"/>
      <c r="H5081" s="23"/>
      <c r="J5081" s="23"/>
      <c r="K5081" s="23"/>
      <c r="M5081" s="23"/>
      <c r="N5081" s="23"/>
      <c r="P5081" s="23"/>
    </row>
    <row r="5082" spans="2:16" x14ac:dyDescent="0.25">
      <c r="B5082" s="23"/>
      <c r="E5082" s="23"/>
      <c r="G5082" s="23"/>
      <c r="H5082" s="23"/>
      <c r="J5082" s="23"/>
      <c r="K5082" s="23"/>
      <c r="M5082" s="23"/>
      <c r="N5082" s="23"/>
      <c r="P5082" s="23"/>
    </row>
    <row r="5083" spans="2:16" x14ac:dyDescent="0.25">
      <c r="B5083" s="23"/>
      <c r="E5083" s="23"/>
      <c r="G5083" s="23"/>
      <c r="H5083" s="23"/>
      <c r="J5083" s="23"/>
      <c r="K5083" s="23"/>
      <c r="M5083" s="23"/>
      <c r="N5083" s="23"/>
      <c r="P5083" s="23"/>
    </row>
    <row r="5084" spans="2:16" x14ac:dyDescent="0.25">
      <c r="B5084" s="23"/>
      <c r="E5084" s="23"/>
      <c r="G5084" s="23"/>
      <c r="H5084" s="23"/>
      <c r="J5084" s="23"/>
      <c r="K5084" s="23"/>
      <c r="M5084" s="23"/>
      <c r="N5084" s="23"/>
      <c r="P5084" s="23"/>
    </row>
    <row r="5085" spans="2:16" x14ac:dyDescent="0.25">
      <c r="B5085" s="23"/>
      <c r="E5085" s="23"/>
      <c r="G5085" s="23"/>
      <c r="H5085" s="23"/>
      <c r="J5085" s="23"/>
      <c r="K5085" s="23"/>
      <c r="M5085" s="23"/>
      <c r="N5085" s="23"/>
      <c r="P5085" s="23"/>
    </row>
    <row r="5086" spans="2:16" x14ac:dyDescent="0.25">
      <c r="B5086" s="23"/>
      <c r="E5086" s="23"/>
      <c r="G5086" s="23"/>
      <c r="H5086" s="23"/>
      <c r="J5086" s="23"/>
      <c r="K5086" s="23"/>
      <c r="M5086" s="23"/>
      <c r="N5086" s="23"/>
      <c r="P5086" s="23"/>
    </row>
    <row r="5087" spans="2:16" x14ac:dyDescent="0.25">
      <c r="B5087" s="23"/>
      <c r="E5087" s="23"/>
      <c r="G5087" s="23"/>
      <c r="H5087" s="23"/>
      <c r="J5087" s="23"/>
      <c r="K5087" s="23"/>
      <c r="M5087" s="23"/>
      <c r="N5087" s="23"/>
      <c r="P5087" s="23"/>
    </row>
    <row r="5088" spans="2:16" x14ac:dyDescent="0.25">
      <c r="B5088" s="23"/>
      <c r="E5088" s="23"/>
      <c r="G5088" s="23"/>
      <c r="H5088" s="23"/>
      <c r="J5088" s="23"/>
      <c r="K5088" s="23"/>
      <c r="M5088" s="23"/>
      <c r="N5088" s="23"/>
      <c r="P5088" s="23"/>
    </row>
    <row r="5089" spans="2:16" x14ac:dyDescent="0.25">
      <c r="B5089" s="23"/>
      <c r="E5089" s="23"/>
      <c r="G5089" s="23"/>
      <c r="H5089" s="23"/>
      <c r="J5089" s="23"/>
      <c r="K5089" s="23"/>
      <c r="M5089" s="23"/>
      <c r="N5089" s="23"/>
      <c r="P5089" s="23"/>
    </row>
    <row r="5090" spans="2:16" x14ac:dyDescent="0.25">
      <c r="B5090" s="23"/>
      <c r="E5090" s="23"/>
      <c r="G5090" s="23"/>
      <c r="H5090" s="23"/>
      <c r="J5090" s="23"/>
      <c r="K5090" s="23"/>
      <c r="M5090" s="23"/>
      <c r="N5090" s="23"/>
      <c r="P5090" s="23"/>
    </row>
    <row r="5091" spans="2:16" x14ac:dyDescent="0.25">
      <c r="B5091" s="23"/>
      <c r="E5091" s="23"/>
      <c r="G5091" s="23"/>
      <c r="H5091" s="23"/>
      <c r="J5091" s="23"/>
      <c r="K5091" s="23"/>
      <c r="M5091" s="23"/>
      <c r="N5091" s="23"/>
      <c r="P5091" s="23"/>
    </row>
    <row r="5092" spans="2:16" x14ac:dyDescent="0.25">
      <c r="B5092" s="23"/>
      <c r="E5092" s="23"/>
      <c r="G5092" s="23"/>
      <c r="H5092" s="23"/>
      <c r="J5092" s="23"/>
      <c r="K5092" s="23"/>
      <c r="M5092" s="23"/>
      <c r="N5092" s="23"/>
      <c r="P5092" s="23"/>
    </row>
    <row r="5093" spans="2:16" x14ac:dyDescent="0.25">
      <c r="B5093" s="23"/>
      <c r="E5093" s="23"/>
      <c r="G5093" s="23"/>
      <c r="H5093" s="23"/>
      <c r="J5093" s="23"/>
      <c r="K5093" s="23"/>
      <c r="M5093" s="23"/>
      <c r="N5093" s="23"/>
      <c r="P5093" s="23"/>
    </row>
    <row r="5094" spans="2:16" x14ac:dyDescent="0.25">
      <c r="B5094" s="23"/>
      <c r="E5094" s="23"/>
      <c r="G5094" s="23"/>
      <c r="H5094" s="23"/>
      <c r="J5094" s="23"/>
      <c r="K5094" s="23"/>
      <c r="M5094" s="23"/>
      <c r="N5094" s="23"/>
      <c r="P5094" s="23"/>
    </row>
    <row r="5095" spans="2:16" x14ac:dyDescent="0.25">
      <c r="B5095" s="23"/>
      <c r="E5095" s="23"/>
      <c r="G5095" s="23"/>
      <c r="H5095" s="23"/>
      <c r="J5095" s="23"/>
      <c r="K5095" s="23"/>
      <c r="M5095" s="23"/>
      <c r="N5095" s="23"/>
      <c r="P5095" s="23"/>
    </row>
    <row r="5096" spans="2:16" x14ac:dyDescent="0.25">
      <c r="B5096" s="23"/>
      <c r="E5096" s="23"/>
      <c r="G5096" s="23"/>
      <c r="H5096" s="23"/>
      <c r="J5096" s="23"/>
      <c r="K5096" s="23"/>
      <c r="M5096" s="23"/>
      <c r="N5096" s="23"/>
      <c r="P5096" s="23"/>
    </row>
    <row r="5097" spans="2:16" x14ac:dyDescent="0.25">
      <c r="B5097" s="23"/>
      <c r="E5097" s="23"/>
      <c r="G5097" s="23"/>
      <c r="H5097" s="23"/>
      <c r="J5097" s="23"/>
      <c r="K5097" s="23"/>
      <c r="M5097" s="23"/>
      <c r="N5097" s="23"/>
      <c r="P5097" s="23"/>
    </row>
    <row r="5098" spans="2:16" x14ac:dyDescent="0.25">
      <c r="B5098" s="23"/>
      <c r="E5098" s="23"/>
      <c r="G5098" s="23"/>
      <c r="H5098" s="23"/>
      <c r="J5098" s="23"/>
      <c r="K5098" s="23"/>
      <c r="M5098" s="23"/>
      <c r="N5098" s="23"/>
      <c r="P5098" s="23"/>
    </row>
    <row r="5099" spans="2:16" x14ac:dyDescent="0.25">
      <c r="B5099" s="23"/>
      <c r="E5099" s="23"/>
      <c r="G5099" s="23"/>
      <c r="H5099" s="23"/>
      <c r="J5099" s="23"/>
      <c r="K5099" s="23"/>
      <c r="M5099" s="23"/>
      <c r="N5099" s="23"/>
      <c r="P5099" s="23"/>
    </row>
    <row r="5100" spans="2:16" x14ac:dyDescent="0.25">
      <c r="B5100" s="23"/>
      <c r="E5100" s="23"/>
      <c r="G5100" s="23"/>
      <c r="H5100" s="23"/>
      <c r="J5100" s="23"/>
      <c r="K5100" s="23"/>
      <c r="M5100" s="23"/>
      <c r="N5100" s="23"/>
      <c r="P5100" s="23"/>
    </row>
    <row r="5101" spans="2:16" x14ac:dyDescent="0.25">
      <c r="B5101" s="23"/>
      <c r="E5101" s="23"/>
      <c r="G5101" s="23"/>
      <c r="H5101" s="23"/>
      <c r="J5101" s="23"/>
      <c r="K5101" s="23"/>
      <c r="M5101" s="23"/>
      <c r="N5101" s="23"/>
      <c r="P5101" s="23"/>
    </row>
    <row r="5102" spans="2:16" x14ac:dyDescent="0.25">
      <c r="B5102" s="23"/>
      <c r="E5102" s="23"/>
      <c r="G5102" s="23"/>
      <c r="H5102" s="23"/>
      <c r="J5102" s="23"/>
      <c r="K5102" s="23"/>
      <c r="M5102" s="23"/>
      <c r="N5102" s="23"/>
      <c r="P5102" s="23"/>
    </row>
    <row r="5103" spans="2:16" x14ac:dyDescent="0.25">
      <c r="B5103" s="23"/>
      <c r="E5103" s="23"/>
      <c r="G5103" s="23"/>
      <c r="H5103" s="23"/>
      <c r="J5103" s="23"/>
      <c r="K5103" s="23"/>
      <c r="M5103" s="23"/>
      <c r="N5103" s="23"/>
      <c r="P5103" s="23"/>
    </row>
    <row r="5104" spans="2:16" x14ac:dyDescent="0.25">
      <c r="B5104" s="23"/>
      <c r="E5104" s="23"/>
      <c r="G5104" s="23"/>
      <c r="H5104" s="23"/>
      <c r="J5104" s="23"/>
      <c r="K5104" s="23"/>
      <c r="M5104" s="23"/>
      <c r="N5104" s="23"/>
      <c r="P5104" s="23"/>
    </row>
    <row r="5105" spans="2:16" x14ac:dyDescent="0.25">
      <c r="B5105" s="23"/>
      <c r="E5105" s="23"/>
      <c r="G5105" s="23"/>
      <c r="H5105" s="23"/>
      <c r="J5105" s="23"/>
      <c r="K5105" s="23"/>
      <c r="M5105" s="23"/>
      <c r="N5105" s="23"/>
      <c r="P5105" s="23"/>
    </row>
    <row r="5106" spans="2:16" x14ac:dyDescent="0.25">
      <c r="B5106" s="23"/>
      <c r="E5106" s="23"/>
      <c r="G5106" s="23"/>
      <c r="H5106" s="23"/>
      <c r="J5106" s="23"/>
      <c r="K5106" s="23"/>
      <c r="M5106" s="23"/>
      <c r="N5106" s="23"/>
      <c r="P5106" s="23"/>
    </row>
    <row r="5107" spans="2:16" x14ac:dyDescent="0.25">
      <c r="B5107" s="23"/>
      <c r="E5107" s="23"/>
      <c r="G5107" s="23"/>
      <c r="H5107" s="23"/>
      <c r="J5107" s="23"/>
      <c r="K5107" s="23"/>
      <c r="M5107" s="23"/>
      <c r="N5107" s="23"/>
      <c r="P5107" s="23"/>
    </row>
    <row r="5108" spans="2:16" x14ac:dyDescent="0.25">
      <c r="B5108" s="23"/>
      <c r="E5108" s="23"/>
      <c r="G5108" s="23"/>
      <c r="H5108" s="23"/>
      <c r="J5108" s="23"/>
      <c r="K5108" s="23"/>
      <c r="M5108" s="23"/>
      <c r="N5108" s="23"/>
      <c r="P5108" s="23"/>
    </row>
    <row r="5109" spans="2:16" x14ac:dyDescent="0.25">
      <c r="B5109" s="23"/>
      <c r="E5109" s="23"/>
      <c r="G5109" s="23"/>
      <c r="H5109" s="23"/>
      <c r="J5109" s="23"/>
      <c r="K5109" s="23"/>
      <c r="M5109" s="23"/>
      <c r="N5109" s="23"/>
      <c r="P5109" s="23"/>
    </row>
    <row r="5110" spans="2:16" x14ac:dyDescent="0.25">
      <c r="B5110" s="23"/>
      <c r="E5110" s="23"/>
      <c r="G5110" s="23"/>
      <c r="H5110" s="23"/>
      <c r="J5110" s="23"/>
      <c r="K5110" s="23"/>
      <c r="M5110" s="23"/>
      <c r="N5110" s="23"/>
      <c r="P5110" s="23"/>
    </row>
    <row r="5111" spans="2:16" x14ac:dyDescent="0.25">
      <c r="B5111" s="23"/>
      <c r="E5111" s="23"/>
      <c r="G5111" s="23"/>
      <c r="H5111" s="23"/>
      <c r="J5111" s="23"/>
      <c r="K5111" s="23"/>
      <c r="M5111" s="23"/>
      <c r="N5111" s="23"/>
      <c r="P5111" s="23"/>
    </row>
    <row r="5112" spans="2:16" x14ac:dyDescent="0.25">
      <c r="B5112" s="23"/>
      <c r="E5112" s="23"/>
      <c r="G5112" s="23"/>
      <c r="H5112" s="23"/>
      <c r="J5112" s="23"/>
      <c r="K5112" s="23"/>
      <c r="M5112" s="23"/>
      <c r="N5112" s="23"/>
      <c r="P5112" s="23"/>
    </row>
    <row r="5113" spans="2:16" x14ac:dyDescent="0.25">
      <c r="B5113" s="23"/>
      <c r="E5113" s="23"/>
      <c r="G5113" s="23"/>
      <c r="H5113" s="23"/>
      <c r="J5113" s="23"/>
      <c r="K5113" s="23"/>
      <c r="M5113" s="23"/>
      <c r="N5113" s="23"/>
      <c r="P5113" s="23"/>
    </row>
    <row r="5114" spans="2:16" x14ac:dyDescent="0.25">
      <c r="B5114" s="23"/>
      <c r="E5114" s="23"/>
      <c r="G5114" s="23"/>
      <c r="H5114" s="23"/>
      <c r="J5114" s="23"/>
      <c r="K5114" s="23"/>
      <c r="M5114" s="23"/>
      <c r="N5114" s="23"/>
      <c r="P5114" s="23"/>
    </row>
    <row r="5115" spans="2:16" x14ac:dyDescent="0.25">
      <c r="B5115" s="23"/>
      <c r="E5115" s="23"/>
      <c r="G5115" s="23"/>
      <c r="H5115" s="23"/>
      <c r="J5115" s="23"/>
      <c r="K5115" s="23"/>
      <c r="M5115" s="23"/>
      <c r="N5115" s="23"/>
      <c r="P5115" s="23"/>
    </row>
    <row r="5116" spans="2:16" x14ac:dyDescent="0.25">
      <c r="B5116" s="23"/>
      <c r="E5116" s="23"/>
      <c r="G5116" s="23"/>
      <c r="H5116" s="23"/>
      <c r="J5116" s="23"/>
      <c r="K5116" s="23"/>
      <c r="M5116" s="23"/>
      <c r="N5116" s="23"/>
      <c r="P5116" s="23"/>
    </row>
    <row r="5117" spans="2:16" x14ac:dyDescent="0.25">
      <c r="B5117" s="23"/>
      <c r="E5117" s="23"/>
      <c r="G5117" s="23"/>
      <c r="H5117" s="23"/>
      <c r="J5117" s="23"/>
      <c r="K5117" s="23"/>
      <c r="M5117" s="23"/>
      <c r="N5117" s="23"/>
      <c r="P5117" s="23"/>
    </row>
    <row r="5118" spans="2:16" x14ac:dyDescent="0.25">
      <c r="B5118" s="23"/>
      <c r="E5118" s="23"/>
      <c r="G5118" s="23"/>
      <c r="H5118" s="23"/>
      <c r="J5118" s="23"/>
      <c r="K5118" s="23"/>
      <c r="M5118" s="23"/>
      <c r="N5118" s="23"/>
      <c r="P5118" s="23"/>
    </row>
    <row r="5119" spans="2:16" x14ac:dyDescent="0.25">
      <c r="B5119" s="23"/>
      <c r="E5119" s="23"/>
      <c r="G5119" s="23"/>
      <c r="H5119" s="23"/>
      <c r="J5119" s="23"/>
      <c r="K5119" s="23"/>
      <c r="M5119" s="23"/>
      <c r="N5119" s="23"/>
      <c r="P5119" s="23"/>
    </row>
    <row r="5120" spans="2:16" x14ac:dyDescent="0.25">
      <c r="B5120" s="23"/>
      <c r="E5120" s="23"/>
      <c r="G5120" s="23"/>
      <c r="H5120" s="23"/>
      <c r="J5120" s="23"/>
      <c r="K5120" s="23"/>
      <c r="M5120" s="23"/>
      <c r="N5120" s="23"/>
      <c r="P5120" s="23"/>
    </row>
    <row r="5121" spans="2:16" x14ac:dyDescent="0.25">
      <c r="B5121" s="23"/>
      <c r="E5121" s="23"/>
      <c r="G5121" s="23"/>
      <c r="H5121" s="23"/>
      <c r="J5121" s="23"/>
      <c r="K5121" s="23"/>
      <c r="M5121" s="23"/>
      <c r="N5121" s="23"/>
      <c r="P5121" s="23"/>
    </row>
    <row r="5122" spans="2:16" x14ac:dyDescent="0.25">
      <c r="B5122" s="23"/>
      <c r="E5122" s="23"/>
      <c r="G5122" s="23"/>
      <c r="H5122" s="23"/>
      <c r="J5122" s="23"/>
      <c r="K5122" s="23"/>
      <c r="M5122" s="23"/>
      <c r="N5122" s="23"/>
      <c r="P5122" s="23"/>
    </row>
    <row r="5123" spans="2:16" x14ac:dyDescent="0.25">
      <c r="B5123" s="23"/>
      <c r="E5123" s="23"/>
      <c r="G5123" s="23"/>
      <c r="H5123" s="23"/>
      <c r="J5123" s="23"/>
      <c r="K5123" s="23"/>
      <c r="M5123" s="23"/>
      <c r="N5123" s="23"/>
      <c r="P5123" s="23"/>
    </row>
    <row r="5124" spans="2:16" x14ac:dyDescent="0.25">
      <c r="B5124" s="23"/>
      <c r="E5124" s="23"/>
      <c r="G5124" s="23"/>
      <c r="H5124" s="23"/>
      <c r="J5124" s="23"/>
      <c r="K5124" s="23"/>
      <c r="M5124" s="23"/>
      <c r="N5124" s="23"/>
      <c r="P5124" s="23"/>
    </row>
    <row r="5125" spans="2:16" x14ac:dyDescent="0.25">
      <c r="B5125" s="23"/>
      <c r="E5125" s="23"/>
      <c r="G5125" s="23"/>
      <c r="H5125" s="23"/>
      <c r="J5125" s="23"/>
      <c r="K5125" s="23"/>
      <c r="M5125" s="23"/>
      <c r="N5125" s="23"/>
      <c r="P5125" s="23"/>
    </row>
    <row r="5126" spans="2:16" x14ac:dyDescent="0.25">
      <c r="B5126" s="23"/>
      <c r="E5126" s="23"/>
      <c r="G5126" s="23"/>
      <c r="H5126" s="23"/>
      <c r="J5126" s="23"/>
      <c r="K5126" s="23"/>
      <c r="M5126" s="23"/>
      <c r="N5126" s="23"/>
      <c r="P5126" s="23"/>
    </row>
    <row r="5127" spans="2:16" x14ac:dyDescent="0.25">
      <c r="B5127" s="23"/>
      <c r="E5127" s="23"/>
      <c r="G5127" s="23"/>
      <c r="H5127" s="23"/>
      <c r="J5127" s="23"/>
      <c r="K5127" s="23"/>
      <c r="M5127" s="23"/>
      <c r="N5127" s="23"/>
      <c r="P5127" s="23"/>
    </row>
    <row r="5128" spans="2:16" x14ac:dyDescent="0.25">
      <c r="B5128" s="23"/>
      <c r="E5128" s="23"/>
      <c r="G5128" s="23"/>
      <c r="H5128" s="23"/>
      <c r="J5128" s="23"/>
      <c r="K5128" s="23"/>
      <c r="M5128" s="23"/>
      <c r="N5128" s="23"/>
      <c r="P5128" s="23"/>
    </row>
    <row r="5129" spans="2:16" x14ac:dyDescent="0.25">
      <c r="B5129" s="23"/>
      <c r="E5129" s="23"/>
      <c r="G5129" s="23"/>
      <c r="H5129" s="23"/>
      <c r="J5129" s="23"/>
      <c r="K5129" s="23"/>
      <c r="M5129" s="23"/>
      <c r="N5129" s="23"/>
      <c r="P5129" s="23"/>
    </row>
    <row r="5130" spans="2:16" x14ac:dyDescent="0.25">
      <c r="B5130" s="23"/>
      <c r="E5130" s="23"/>
      <c r="G5130" s="23"/>
      <c r="H5130" s="23"/>
      <c r="J5130" s="23"/>
      <c r="K5130" s="23"/>
      <c r="M5130" s="23"/>
      <c r="N5130" s="23"/>
      <c r="P5130" s="23"/>
    </row>
    <row r="5131" spans="2:16" x14ac:dyDescent="0.25">
      <c r="B5131" s="23"/>
      <c r="E5131" s="23"/>
      <c r="G5131" s="23"/>
      <c r="H5131" s="23"/>
      <c r="J5131" s="23"/>
      <c r="K5131" s="23"/>
      <c r="M5131" s="23"/>
      <c r="N5131" s="23"/>
      <c r="P5131" s="23"/>
    </row>
    <row r="5132" spans="2:16" x14ac:dyDescent="0.25">
      <c r="B5132" s="23"/>
      <c r="E5132" s="23"/>
      <c r="G5132" s="23"/>
      <c r="H5132" s="23"/>
      <c r="J5132" s="23"/>
      <c r="K5132" s="23"/>
      <c r="M5132" s="23"/>
      <c r="N5132" s="23"/>
      <c r="P5132" s="23"/>
    </row>
    <row r="5133" spans="2:16" x14ac:dyDescent="0.25">
      <c r="B5133" s="23"/>
      <c r="E5133" s="23"/>
      <c r="G5133" s="23"/>
      <c r="H5133" s="23"/>
      <c r="J5133" s="23"/>
      <c r="K5133" s="23"/>
      <c r="M5133" s="23"/>
      <c r="N5133" s="23"/>
      <c r="P5133" s="23"/>
    </row>
    <row r="5134" spans="2:16" x14ac:dyDescent="0.25">
      <c r="B5134" s="23"/>
      <c r="E5134" s="23"/>
      <c r="G5134" s="23"/>
      <c r="H5134" s="23"/>
      <c r="J5134" s="23"/>
      <c r="K5134" s="23"/>
      <c r="M5134" s="23"/>
      <c r="N5134" s="23"/>
      <c r="P5134" s="23"/>
    </row>
    <row r="5135" spans="2:16" x14ac:dyDescent="0.25">
      <c r="B5135" s="23"/>
      <c r="E5135" s="23"/>
      <c r="G5135" s="23"/>
      <c r="H5135" s="23"/>
      <c r="J5135" s="23"/>
      <c r="K5135" s="23"/>
      <c r="M5135" s="23"/>
      <c r="N5135" s="23"/>
      <c r="P5135" s="23"/>
    </row>
    <row r="5136" spans="2:16" x14ac:dyDescent="0.25">
      <c r="B5136" s="23"/>
      <c r="E5136" s="23"/>
      <c r="G5136" s="23"/>
      <c r="H5136" s="23"/>
      <c r="J5136" s="23"/>
      <c r="K5136" s="23"/>
      <c r="M5136" s="23"/>
      <c r="N5136" s="23"/>
      <c r="P5136" s="23"/>
    </row>
    <row r="5137" spans="2:16" x14ac:dyDescent="0.25">
      <c r="B5137" s="23"/>
      <c r="E5137" s="23"/>
      <c r="G5137" s="23"/>
      <c r="H5137" s="23"/>
      <c r="J5137" s="23"/>
      <c r="K5137" s="23"/>
      <c r="M5137" s="23"/>
      <c r="N5137" s="23"/>
      <c r="P5137" s="23"/>
    </row>
    <row r="5138" spans="2:16" x14ac:dyDescent="0.25">
      <c r="B5138" s="23"/>
      <c r="E5138" s="23"/>
      <c r="G5138" s="23"/>
      <c r="H5138" s="23"/>
      <c r="J5138" s="23"/>
      <c r="K5138" s="23"/>
      <c r="M5138" s="23"/>
      <c r="N5138" s="23"/>
      <c r="P5138" s="23"/>
    </row>
    <row r="5139" spans="2:16" x14ac:dyDescent="0.25">
      <c r="B5139" s="23"/>
      <c r="E5139" s="23"/>
      <c r="G5139" s="23"/>
      <c r="H5139" s="23"/>
      <c r="J5139" s="23"/>
      <c r="K5139" s="23"/>
      <c r="M5139" s="23"/>
      <c r="N5139" s="23"/>
      <c r="P5139" s="23"/>
    </row>
    <row r="5140" spans="2:16" x14ac:dyDescent="0.25">
      <c r="B5140" s="23"/>
      <c r="E5140" s="23"/>
      <c r="G5140" s="23"/>
      <c r="H5140" s="23"/>
      <c r="J5140" s="23"/>
      <c r="K5140" s="23"/>
      <c r="M5140" s="23"/>
      <c r="N5140" s="23"/>
      <c r="P5140" s="23"/>
    </row>
    <row r="5141" spans="2:16" x14ac:dyDescent="0.25">
      <c r="B5141" s="23"/>
      <c r="E5141" s="23"/>
      <c r="G5141" s="23"/>
      <c r="H5141" s="23"/>
      <c r="J5141" s="23"/>
      <c r="K5141" s="23"/>
      <c r="M5141" s="23"/>
      <c r="N5141" s="23"/>
      <c r="P5141" s="23"/>
    </row>
    <row r="5142" spans="2:16" x14ac:dyDescent="0.25">
      <c r="B5142" s="23"/>
      <c r="E5142" s="23"/>
      <c r="G5142" s="23"/>
      <c r="H5142" s="23"/>
      <c r="J5142" s="23"/>
      <c r="K5142" s="23"/>
      <c r="M5142" s="23"/>
      <c r="N5142" s="23"/>
      <c r="P5142" s="23"/>
    </row>
    <row r="5143" spans="2:16" x14ac:dyDescent="0.25">
      <c r="B5143" s="23"/>
      <c r="E5143" s="23"/>
      <c r="G5143" s="23"/>
      <c r="H5143" s="23"/>
      <c r="J5143" s="23"/>
      <c r="K5143" s="23"/>
      <c r="M5143" s="23"/>
      <c r="N5143" s="23"/>
      <c r="P5143" s="23"/>
    </row>
    <row r="5144" spans="2:16" x14ac:dyDescent="0.25">
      <c r="B5144" s="23"/>
      <c r="E5144" s="23"/>
      <c r="G5144" s="23"/>
      <c r="H5144" s="23"/>
      <c r="J5144" s="23"/>
      <c r="K5144" s="23"/>
      <c r="M5144" s="23"/>
      <c r="N5144" s="23"/>
      <c r="P5144" s="23"/>
    </row>
    <row r="5145" spans="2:16" x14ac:dyDescent="0.25">
      <c r="B5145" s="23"/>
      <c r="E5145" s="23"/>
      <c r="G5145" s="23"/>
      <c r="H5145" s="23"/>
      <c r="J5145" s="23"/>
      <c r="K5145" s="23"/>
      <c r="M5145" s="23"/>
      <c r="N5145" s="23"/>
      <c r="P5145" s="23"/>
    </row>
    <row r="5146" spans="2:16" x14ac:dyDescent="0.25">
      <c r="B5146" s="23"/>
      <c r="E5146" s="23"/>
      <c r="G5146" s="23"/>
      <c r="H5146" s="23"/>
      <c r="J5146" s="23"/>
      <c r="K5146" s="23"/>
      <c r="M5146" s="23"/>
      <c r="N5146" s="23"/>
      <c r="P5146" s="23"/>
    </row>
    <row r="5147" spans="2:16" x14ac:dyDescent="0.25">
      <c r="B5147" s="23"/>
      <c r="E5147" s="23"/>
      <c r="G5147" s="23"/>
      <c r="H5147" s="23"/>
      <c r="J5147" s="23"/>
      <c r="K5147" s="23"/>
      <c r="M5147" s="23"/>
      <c r="N5147" s="23"/>
      <c r="P5147" s="23"/>
    </row>
    <row r="5148" spans="2:16" x14ac:dyDescent="0.25">
      <c r="B5148" s="23"/>
      <c r="E5148" s="23"/>
      <c r="G5148" s="23"/>
      <c r="H5148" s="23"/>
      <c r="J5148" s="23"/>
      <c r="K5148" s="23"/>
      <c r="M5148" s="23"/>
      <c r="N5148" s="23"/>
      <c r="P5148" s="23"/>
    </row>
    <row r="5149" spans="2:16" x14ac:dyDescent="0.25">
      <c r="B5149" s="23"/>
      <c r="E5149" s="23"/>
      <c r="G5149" s="23"/>
      <c r="H5149" s="23"/>
      <c r="J5149" s="23"/>
      <c r="K5149" s="23"/>
      <c r="M5149" s="23"/>
      <c r="N5149" s="23"/>
      <c r="P5149" s="23"/>
    </row>
    <row r="5150" spans="2:16" x14ac:dyDescent="0.25">
      <c r="B5150" s="23"/>
      <c r="E5150" s="23"/>
      <c r="G5150" s="23"/>
      <c r="H5150" s="23"/>
      <c r="J5150" s="23"/>
      <c r="K5150" s="23"/>
      <c r="M5150" s="23"/>
      <c r="N5150" s="23"/>
      <c r="P5150" s="23"/>
    </row>
    <row r="5151" spans="2:16" x14ac:dyDescent="0.25">
      <c r="B5151" s="23"/>
      <c r="E5151" s="23"/>
      <c r="G5151" s="23"/>
      <c r="H5151" s="23"/>
      <c r="J5151" s="23"/>
      <c r="K5151" s="23"/>
      <c r="M5151" s="23"/>
      <c r="N5151" s="23"/>
      <c r="P5151" s="23"/>
    </row>
    <row r="5152" spans="2:16" x14ac:dyDescent="0.25">
      <c r="B5152" s="23"/>
      <c r="E5152" s="23"/>
      <c r="G5152" s="23"/>
      <c r="H5152" s="23"/>
      <c r="J5152" s="23"/>
      <c r="K5152" s="23"/>
      <c r="M5152" s="23"/>
      <c r="N5152" s="23"/>
      <c r="P5152" s="23"/>
    </row>
    <row r="5153" spans="2:16" x14ac:dyDescent="0.25">
      <c r="B5153" s="23"/>
      <c r="E5153" s="23"/>
      <c r="G5153" s="23"/>
      <c r="H5153" s="23"/>
      <c r="J5153" s="23"/>
      <c r="K5153" s="23"/>
      <c r="M5153" s="23"/>
      <c r="N5153" s="23"/>
      <c r="P5153" s="23"/>
    </row>
    <row r="5154" spans="2:16" x14ac:dyDescent="0.25">
      <c r="B5154" s="23"/>
      <c r="E5154" s="23"/>
      <c r="G5154" s="23"/>
      <c r="H5154" s="23"/>
      <c r="J5154" s="23"/>
      <c r="K5154" s="23"/>
      <c r="M5154" s="23"/>
      <c r="N5154" s="23"/>
      <c r="P5154" s="23"/>
    </row>
    <row r="5155" spans="2:16" x14ac:dyDescent="0.25">
      <c r="B5155" s="23"/>
      <c r="E5155" s="23"/>
      <c r="G5155" s="23"/>
      <c r="H5155" s="23"/>
      <c r="J5155" s="23"/>
      <c r="K5155" s="23"/>
      <c r="M5155" s="23"/>
      <c r="N5155" s="23"/>
      <c r="P5155" s="23"/>
    </row>
    <row r="5156" spans="2:16" x14ac:dyDescent="0.25">
      <c r="B5156" s="23"/>
      <c r="E5156" s="23"/>
      <c r="G5156" s="23"/>
      <c r="H5156" s="23"/>
      <c r="J5156" s="23"/>
      <c r="K5156" s="23"/>
      <c r="M5156" s="23"/>
      <c r="N5156" s="23"/>
      <c r="P5156" s="23"/>
    </row>
    <row r="5157" spans="2:16" x14ac:dyDescent="0.25">
      <c r="B5157" s="23"/>
      <c r="E5157" s="23"/>
      <c r="G5157" s="23"/>
      <c r="H5157" s="23"/>
      <c r="J5157" s="23"/>
      <c r="K5157" s="23"/>
      <c r="M5157" s="23"/>
      <c r="N5157" s="23"/>
      <c r="P5157" s="23"/>
    </row>
    <row r="5158" spans="2:16" x14ac:dyDescent="0.25">
      <c r="B5158" s="23"/>
      <c r="E5158" s="23"/>
      <c r="G5158" s="23"/>
      <c r="H5158" s="23"/>
      <c r="J5158" s="23"/>
      <c r="K5158" s="23"/>
      <c r="M5158" s="23"/>
      <c r="N5158" s="23"/>
      <c r="P5158" s="23"/>
    </row>
    <row r="5159" spans="2:16" x14ac:dyDescent="0.25">
      <c r="B5159" s="23"/>
      <c r="E5159" s="23"/>
      <c r="G5159" s="23"/>
      <c r="H5159" s="23"/>
      <c r="J5159" s="23"/>
      <c r="K5159" s="23"/>
      <c r="M5159" s="23"/>
      <c r="N5159" s="23"/>
      <c r="P5159" s="23"/>
    </row>
    <row r="5160" spans="2:16" x14ac:dyDescent="0.25">
      <c r="B5160" s="23"/>
      <c r="E5160" s="23"/>
      <c r="G5160" s="23"/>
      <c r="H5160" s="23"/>
      <c r="J5160" s="23"/>
      <c r="K5160" s="23"/>
      <c r="M5160" s="23"/>
      <c r="N5160" s="23"/>
      <c r="P5160" s="23"/>
    </row>
    <row r="5161" spans="2:16" x14ac:dyDescent="0.25">
      <c r="B5161" s="23"/>
      <c r="E5161" s="23"/>
      <c r="G5161" s="23"/>
      <c r="H5161" s="23"/>
      <c r="J5161" s="23"/>
      <c r="K5161" s="23"/>
      <c r="M5161" s="23"/>
      <c r="N5161" s="23"/>
      <c r="P5161" s="23"/>
    </row>
    <row r="5162" spans="2:16" x14ac:dyDescent="0.25">
      <c r="B5162" s="23"/>
      <c r="E5162" s="23"/>
      <c r="G5162" s="23"/>
      <c r="H5162" s="23"/>
      <c r="J5162" s="23"/>
      <c r="K5162" s="23"/>
      <c r="M5162" s="23"/>
      <c r="N5162" s="23"/>
      <c r="P5162" s="23"/>
    </row>
    <row r="5163" spans="2:16" x14ac:dyDescent="0.25">
      <c r="B5163" s="23"/>
      <c r="E5163" s="23"/>
      <c r="G5163" s="23"/>
      <c r="H5163" s="23"/>
      <c r="J5163" s="23"/>
      <c r="K5163" s="23"/>
      <c r="M5163" s="23"/>
      <c r="N5163" s="23"/>
      <c r="P5163" s="23"/>
    </row>
    <row r="5164" spans="2:16" x14ac:dyDescent="0.25">
      <c r="B5164" s="23"/>
      <c r="E5164" s="23"/>
      <c r="G5164" s="23"/>
      <c r="H5164" s="23"/>
      <c r="J5164" s="23"/>
      <c r="K5164" s="23"/>
      <c r="M5164" s="23"/>
      <c r="N5164" s="23"/>
      <c r="P5164" s="23"/>
    </row>
    <row r="5165" spans="2:16" x14ac:dyDescent="0.25">
      <c r="B5165" s="23"/>
      <c r="E5165" s="23"/>
      <c r="G5165" s="23"/>
      <c r="H5165" s="23"/>
      <c r="J5165" s="23"/>
      <c r="K5165" s="23"/>
      <c r="M5165" s="23"/>
      <c r="N5165" s="23"/>
      <c r="P5165" s="23"/>
    </row>
    <row r="5166" spans="2:16" x14ac:dyDescent="0.25">
      <c r="B5166" s="23"/>
      <c r="E5166" s="23"/>
      <c r="G5166" s="23"/>
      <c r="H5166" s="23"/>
      <c r="J5166" s="23"/>
      <c r="K5166" s="23"/>
      <c r="M5166" s="23"/>
      <c r="N5166" s="23"/>
      <c r="P5166" s="23"/>
    </row>
    <row r="5167" spans="2:16" x14ac:dyDescent="0.25">
      <c r="B5167" s="23"/>
      <c r="E5167" s="23"/>
      <c r="G5167" s="23"/>
      <c r="H5167" s="23"/>
      <c r="J5167" s="23"/>
      <c r="K5167" s="23"/>
      <c r="M5167" s="23"/>
      <c r="N5167" s="23"/>
      <c r="P5167" s="23"/>
    </row>
    <row r="5168" spans="2:16" x14ac:dyDescent="0.25">
      <c r="B5168" s="23"/>
      <c r="E5168" s="23"/>
      <c r="G5168" s="23"/>
      <c r="H5168" s="23"/>
      <c r="J5168" s="23"/>
      <c r="K5168" s="23"/>
      <c r="M5168" s="23"/>
      <c r="N5168" s="23"/>
      <c r="P5168" s="23"/>
    </row>
    <row r="5169" spans="2:16" x14ac:dyDescent="0.25">
      <c r="B5169" s="23"/>
      <c r="E5169" s="23"/>
      <c r="G5169" s="23"/>
      <c r="H5169" s="23"/>
      <c r="J5169" s="23"/>
      <c r="K5169" s="23"/>
      <c r="M5169" s="23"/>
      <c r="N5169" s="23"/>
      <c r="P5169" s="23"/>
    </row>
    <row r="5170" spans="2:16" x14ac:dyDescent="0.25">
      <c r="B5170" s="23"/>
      <c r="E5170" s="23"/>
      <c r="G5170" s="23"/>
      <c r="H5170" s="23"/>
      <c r="J5170" s="23"/>
      <c r="K5170" s="23"/>
      <c r="M5170" s="23"/>
      <c r="N5170" s="23"/>
      <c r="P5170" s="23"/>
    </row>
    <row r="5171" spans="2:16" x14ac:dyDescent="0.25">
      <c r="B5171" s="23"/>
      <c r="E5171" s="23"/>
      <c r="G5171" s="23"/>
      <c r="H5171" s="23"/>
      <c r="J5171" s="23"/>
      <c r="K5171" s="23"/>
      <c r="M5171" s="23"/>
      <c r="N5171" s="23"/>
      <c r="P5171" s="23"/>
    </row>
    <row r="5172" spans="2:16" x14ac:dyDescent="0.25">
      <c r="B5172" s="23"/>
      <c r="E5172" s="23"/>
      <c r="G5172" s="23"/>
      <c r="H5172" s="23"/>
      <c r="J5172" s="23"/>
      <c r="K5172" s="23"/>
      <c r="M5172" s="23"/>
      <c r="N5172" s="23"/>
      <c r="P5172" s="23"/>
    </row>
    <row r="5173" spans="2:16" x14ac:dyDescent="0.25">
      <c r="B5173" s="23"/>
      <c r="E5173" s="23"/>
      <c r="G5173" s="23"/>
      <c r="H5173" s="23"/>
      <c r="J5173" s="23"/>
      <c r="K5173" s="23"/>
      <c r="M5173" s="23"/>
      <c r="N5173" s="23"/>
      <c r="P5173" s="23"/>
    </row>
    <row r="5174" spans="2:16" x14ac:dyDescent="0.25">
      <c r="B5174" s="23"/>
      <c r="E5174" s="23"/>
      <c r="G5174" s="23"/>
      <c r="H5174" s="23"/>
      <c r="J5174" s="23"/>
      <c r="K5174" s="23"/>
      <c r="M5174" s="23"/>
      <c r="N5174" s="23"/>
      <c r="P5174" s="23"/>
    </row>
    <row r="5175" spans="2:16" x14ac:dyDescent="0.25">
      <c r="B5175" s="23"/>
      <c r="E5175" s="23"/>
      <c r="G5175" s="23"/>
      <c r="H5175" s="23"/>
      <c r="J5175" s="23"/>
      <c r="K5175" s="23"/>
      <c r="M5175" s="23"/>
      <c r="N5175" s="23"/>
      <c r="P5175" s="23"/>
    </row>
    <row r="5176" spans="2:16" x14ac:dyDescent="0.25">
      <c r="B5176" s="23"/>
      <c r="E5176" s="23"/>
      <c r="G5176" s="23"/>
      <c r="H5176" s="23"/>
      <c r="J5176" s="23"/>
      <c r="K5176" s="23"/>
      <c r="M5176" s="23"/>
      <c r="N5176" s="23"/>
      <c r="P5176" s="23"/>
    </row>
    <row r="5177" spans="2:16" x14ac:dyDescent="0.25">
      <c r="B5177" s="23"/>
      <c r="E5177" s="23"/>
      <c r="G5177" s="23"/>
      <c r="H5177" s="23"/>
      <c r="J5177" s="23"/>
      <c r="K5177" s="23"/>
      <c r="M5177" s="23"/>
      <c r="N5177" s="23"/>
      <c r="P5177" s="23"/>
    </row>
    <row r="5178" spans="2:16" x14ac:dyDescent="0.25">
      <c r="B5178" s="23"/>
      <c r="E5178" s="23"/>
      <c r="G5178" s="23"/>
      <c r="H5178" s="23"/>
      <c r="J5178" s="23"/>
      <c r="K5178" s="23"/>
      <c r="M5178" s="23"/>
      <c r="N5178" s="23"/>
      <c r="P5178" s="23"/>
    </row>
    <row r="5179" spans="2:16" x14ac:dyDescent="0.25">
      <c r="B5179" s="23"/>
      <c r="E5179" s="23"/>
      <c r="G5179" s="23"/>
      <c r="H5179" s="23"/>
      <c r="J5179" s="23"/>
      <c r="K5179" s="23"/>
      <c r="M5179" s="23"/>
      <c r="N5179" s="23"/>
      <c r="P5179" s="23"/>
    </row>
    <row r="5180" spans="2:16" x14ac:dyDescent="0.25">
      <c r="B5180" s="23"/>
      <c r="E5180" s="23"/>
      <c r="G5180" s="23"/>
      <c r="H5180" s="23"/>
      <c r="J5180" s="23"/>
      <c r="K5180" s="23"/>
      <c r="M5180" s="23"/>
      <c r="N5180" s="23"/>
      <c r="P5180" s="23"/>
    </row>
    <row r="5181" spans="2:16" x14ac:dyDescent="0.25">
      <c r="B5181" s="23"/>
      <c r="E5181" s="23"/>
      <c r="G5181" s="23"/>
      <c r="H5181" s="23"/>
      <c r="J5181" s="23"/>
      <c r="K5181" s="23"/>
      <c r="M5181" s="23"/>
      <c r="N5181" s="23"/>
      <c r="P5181" s="23"/>
    </row>
    <row r="5182" spans="2:16" x14ac:dyDescent="0.25">
      <c r="B5182" s="23"/>
      <c r="E5182" s="23"/>
      <c r="G5182" s="23"/>
      <c r="H5182" s="23"/>
      <c r="J5182" s="23"/>
      <c r="K5182" s="23"/>
      <c r="M5182" s="23"/>
      <c r="N5182" s="23"/>
      <c r="P5182" s="23"/>
    </row>
    <row r="5183" spans="2:16" x14ac:dyDescent="0.25">
      <c r="B5183" s="23"/>
      <c r="E5183" s="23"/>
      <c r="G5183" s="23"/>
      <c r="H5183" s="23"/>
      <c r="J5183" s="23"/>
      <c r="K5183" s="23"/>
      <c r="M5183" s="23"/>
      <c r="N5183" s="23"/>
      <c r="P5183" s="23"/>
    </row>
    <row r="5184" spans="2:16" x14ac:dyDescent="0.25">
      <c r="B5184" s="23"/>
      <c r="E5184" s="23"/>
      <c r="G5184" s="23"/>
      <c r="H5184" s="23"/>
      <c r="J5184" s="23"/>
      <c r="K5184" s="23"/>
      <c r="M5184" s="23"/>
      <c r="N5184" s="23"/>
      <c r="P5184" s="23"/>
    </row>
    <row r="5185" spans="2:16" x14ac:dyDescent="0.25">
      <c r="B5185" s="23"/>
      <c r="E5185" s="23"/>
      <c r="G5185" s="23"/>
      <c r="H5185" s="23"/>
      <c r="J5185" s="23"/>
      <c r="K5185" s="23"/>
      <c r="M5185" s="23"/>
      <c r="N5185" s="23"/>
      <c r="P5185" s="23"/>
    </row>
    <row r="5186" spans="2:16" x14ac:dyDescent="0.25">
      <c r="B5186" s="23"/>
      <c r="E5186" s="23"/>
      <c r="G5186" s="23"/>
      <c r="H5186" s="23"/>
      <c r="J5186" s="23"/>
      <c r="K5186" s="23"/>
      <c r="M5186" s="23"/>
      <c r="N5186" s="23"/>
      <c r="P5186" s="23"/>
    </row>
    <row r="5187" spans="2:16" x14ac:dyDescent="0.25">
      <c r="B5187" s="23"/>
      <c r="E5187" s="23"/>
      <c r="G5187" s="23"/>
      <c r="H5187" s="23"/>
      <c r="J5187" s="23"/>
      <c r="K5187" s="23"/>
      <c r="M5187" s="23"/>
      <c r="N5187" s="23"/>
      <c r="P5187" s="23"/>
    </row>
    <row r="5188" spans="2:16" x14ac:dyDescent="0.25">
      <c r="B5188" s="23"/>
      <c r="E5188" s="23"/>
      <c r="G5188" s="23"/>
      <c r="H5188" s="23"/>
      <c r="J5188" s="23"/>
      <c r="K5188" s="23"/>
      <c r="M5188" s="23"/>
      <c r="N5188" s="23"/>
      <c r="P5188" s="23"/>
    </row>
    <row r="5189" spans="2:16" x14ac:dyDescent="0.25">
      <c r="B5189" s="23"/>
      <c r="E5189" s="23"/>
      <c r="G5189" s="23"/>
      <c r="H5189" s="23"/>
      <c r="J5189" s="23"/>
      <c r="K5189" s="23"/>
      <c r="M5189" s="23"/>
      <c r="N5189" s="23"/>
      <c r="P5189" s="23"/>
    </row>
    <row r="5190" spans="2:16" x14ac:dyDescent="0.25">
      <c r="B5190" s="23"/>
      <c r="E5190" s="23"/>
      <c r="G5190" s="23"/>
      <c r="H5190" s="23"/>
      <c r="J5190" s="23"/>
      <c r="K5190" s="23"/>
      <c r="M5190" s="23"/>
      <c r="N5190" s="23"/>
      <c r="P5190" s="23"/>
    </row>
    <row r="5191" spans="2:16" x14ac:dyDescent="0.25">
      <c r="B5191" s="23"/>
      <c r="E5191" s="23"/>
      <c r="G5191" s="23"/>
      <c r="H5191" s="23"/>
      <c r="J5191" s="23"/>
      <c r="K5191" s="23"/>
      <c r="M5191" s="23"/>
      <c r="N5191" s="23"/>
      <c r="P5191" s="23"/>
    </row>
    <row r="5192" spans="2:16" x14ac:dyDescent="0.25">
      <c r="B5192" s="23"/>
      <c r="E5192" s="23"/>
      <c r="G5192" s="23"/>
      <c r="H5192" s="23"/>
      <c r="J5192" s="23"/>
      <c r="K5192" s="23"/>
      <c r="M5192" s="23"/>
      <c r="N5192" s="23"/>
      <c r="P5192" s="23"/>
    </row>
    <row r="5193" spans="2:16" x14ac:dyDescent="0.25">
      <c r="B5193" s="23"/>
      <c r="E5193" s="23"/>
      <c r="G5193" s="23"/>
      <c r="H5193" s="23"/>
      <c r="J5193" s="23"/>
      <c r="K5193" s="23"/>
      <c r="M5193" s="23"/>
      <c r="N5193" s="23"/>
      <c r="P5193" s="23"/>
    </row>
    <row r="5194" spans="2:16" x14ac:dyDescent="0.25">
      <c r="B5194" s="23"/>
      <c r="E5194" s="23"/>
      <c r="G5194" s="23"/>
      <c r="H5194" s="23"/>
      <c r="J5194" s="23"/>
      <c r="K5194" s="23"/>
      <c r="M5194" s="23"/>
      <c r="N5194" s="23"/>
      <c r="P5194" s="23"/>
    </row>
    <row r="5195" spans="2:16" x14ac:dyDescent="0.25">
      <c r="B5195" s="23"/>
      <c r="E5195" s="23"/>
      <c r="G5195" s="23"/>
      <c r="H5195" s="23"/>
      <c r="J5195" s="23"/>
      <c r="K5195" s="23"/>
      <c r="M5195" s="23"/>
      <c r="N5195" s="23"/>
      <c r="P5195" s="23"/>
    </row>
    <row r="5196" spans="2:16" x14ac:dyDescent="0.25">
      <c r="B5196" s="23"/>
      <c r="E5196" s="23"/>
      <c r="G5196" s="23"/>
      <c r="H5196" s="23"/>
      <c r="J5196" s="23"/>
      <c r="K5196" s="23"/>
      <c r="M5196" s="23"/>
      <c r="N5196" s="23"/>
      <c r="P5196" s="23"/>
    </row>
    <row r="5197" spans="2:16" x14ac:dyDescent="0.25">
      <c r="B5197" s="23"/>
      <c r="E5197" s="23"/>
      <c r="G5197" s="23"/>
      <c r="H5197" s="23"/>
      <c r="J5197" s="23"/>
      <c r="K5197" s="23"/>
      <c r="M5197" s="23"/>
      <c r="N5197" s="23"/>
      <c r="P5197" s="23"/>
    </row>
    <row r="5198" spans="2:16" x14ac:dyDescent="0.25">
      <c r="B5198" s="23"/>
      <c r="E5198" s="23"/>
      <c r="G5198" s="23"/>
      <c r="H5198" s="23"/>
      <c r="J5198" s="23"/>
      <c r="K5198" s="23"/>
      <c r="M5198" s="23"/>
      <c r="N5198" s="23"/>
      <c r="P5198" s="23"/>
    </row>
    <row r="5199" spans="2:16" x14ac:dyDescent="0.25">
      <c r="B5199" s="23"/>
      <c r="E5199" s="23"/>
      <c r="G5199" s="23"/>
      <c r="H5199" s="23"/>
      <c r="J5199" s="23"/>
      <c r="K5199" s="23"/>
      <c r="M5199" s="23"/>
      <c r="N5199" s="23"/>
      <c r="P5199" s="23"/>
    </row>
    <row r="5200" spans="2:16" x14ac:dyDescent="0.25">
      <c r="B5200" s="23"/>
      <c r="E5200" s="23"/>
      <c r="G5200" s="23"/>
      <c r="H5200" s="23"/>
      <c r="J5200" s="23"/>
      <c r="K5200" s="23"/>
      <c r="M5200" s="23"/>
      <c r="N5200" s="23"/>
      <c r="P5200" s="23"/>
    </row>
    <row r="5201" spans="2:16" x14ac:dyDescent="0.25">
      <c r="B5201" s="23"/>
      <c r="E5201" s="23"/>
      <c r="G5201" s="23"/>
      <c r="H5201" s="23"/>
      <c r="J5201" s="23"/>
      <c r="K5201" s="23"/>
      <c r="M5201" s="23"/>
      <c r="N5201" s="23"/>
      <c r="P5201" s="23"/>
    </row>
    <row r="5202" spans="2:16" x14ac:dyDescent="0.25">
      <c r="B5202" s="23"/>
      <c r="E5202" s="23"/>
      <c r="G5202" s="23"/>
      <c r="H5202" s="23"/>
      <c r="J5202" s="23"/>
      <c r="K5202" s="23"/>
      <c r="M5202" s="23"/>
      <c r="N5202" s="23"/>
      <c r="P5202" s="23"/>
    </row>
    <row r="5203" spans="2:16" x14ac:dyDescent="0.25">
      <c r="B5203" s="23"/>
      <c r="E5203" s="23"/>
      <c r="G5203" s="23"/>
      <c r="H5203" s="23"/>
      <c r="J5203" s="23"/>
      <c r="K5203" s="23"/>
      <c r="M5203" s="23"/>
      <c r="N5203" s="23"/>
      <c r="P5203" s="23"/>
    </row>
    <row r="5204" spans="2:16" x14ac:dyDescent="0.25">
      <c r="B5204" s="23"/>
      <c r="E5204" s="23"/>
      <c r="G5204" s="23"/>
      <c r="H5204" s="23"/>
      <c r="J5204" s="23"/>
      <c r="K5204" s="23"/>
      <c r="M5204" s="23"/>
      <c r="N5204" s="23"/>
      <c r="P5204" s="23"/>
    </row>
    <row r="5205" spans="2:16" x14ac:dyDescent="0.25">
      <c r="B5205" s="23"/>
      <c r="E5205" s="23"/>
      <c r="G5205" s="23"/>
      <c r="H5205" s="23"/>
      <c r="J5205" s="23"/>
      <c r="K5205" s="23"/>
      <c r="M5205" s="23"/>
      <c r="N5205" s="23"/>
      <c r="P5205" s="23"/>
    </row>
    <row r="5206" spans="2:16" x14ac:dyDescent="0.25">
      <c r="B5206" s="23"/>
      <c r="E5206" s="23"/>
      <c r="G5206" s="23"/>
      <c r="H5206" s="23"/>
      <c r="J5206" s="23"/>
      <c r="K5206" s="23"/>
      <c r="M5206" s="23"/>
      <c r="N5206" s="23"/>
      <c r="P5206" s="23"/>
    </row>
    <row r="5207" spans="2:16" x14ac:dyDescent="0.25">
      <c r="B5207" s="23"/>
      <c r="E5207" s="23"/>
      <c r="G5207" s="23"/>
      <c r="H5207" s="23"/>
      <c r="J5207" s="23"/>
      <c r="K5207" s="23"/>
      <c r="M5207" s="23"/>
      <c r="N5207" s="23"/>
      <c r="P5207" s="23"/>
    </row>
    <row r="5208" spans="2:16" x14ac:dyDescent="0.25">
      <c r="B5208" s="23"/>
      <c r="E5208" s="23"/>
      <c r="G5208" s="23"/>
      <c r="H5208" s="23"/>
      <c r="J5208" s="23"/>
      <c r="K5208" s="23"/>
      <c r="M5208" s="23"/>
      <c r="N5208" s="23"/>
      <c r="P5208" s="23"/>
    </row>
    <row r="5209" spans="2:16" x14ac:dyDescent="0.25">
      <c r="B5209" s="23"/>
      <c r="E5209" s="23"/>
      <c r="G5209" s="23"/>
      <c r="H5209" s="23"/>
      <c r="J5209" s="23"/>
      <c r="K5209" s="23"/>
      <c r="M5209" s="23"/>
      <c r="N5209" s="23"/>
      <c r="P5209" s="23"/>
    </row>
    <row r="5210" spans="2:16" x14ac:dyDescent="0.25">
      <c r="B5210" s="23"/>
      <c r="E5210" s="23"/>
      <c r="G5210" s="23"/>
      <c r="H5210" s="23"/>
      <c r="J5210" s="23"/>
      <c r="K5210" s="23"/>
      <c r="M5210" s="23"/>
      <c r="N5210" s="23"/>
      <c r="P5210" s="23"/>
    </row>
    <row r="5211" spans="2:16" x14ac:dyDescent="0.25">
      <c r="B5211" s="23"/>
      <c r="E5211" s="23"/>
      <c r="G5211" s="23"/>
      <c r="H5211" s="23"/>
      <c r="J5211" s="23"/>
      <c r="K5211" s="23"/>
      <c r="M5211" s="23"/>
      <c r="N5211" s="23"/>
      <c r="P5211" s="23"/>
    </row>
    <row r="5212" spans="2:16" x14ac:dyDescent="0.25">
      <c r="B5212" s="23"/>
      <c r="E5212" s="23"/>
      <c r="G5212" s="23"/>
      <c r="H5212" s="23"/>
      <c r="J5212" s="23"/>
      <c r="K5212" s="23"/>
      <c r="M5212" s="23"/>
      <c r="N5212" s="23"/>
      <c r="P5212" s="23"/>
    </row>
    <row r="5213" spans="2:16" x14ac:dyDescent="0.25">
      <c r="B5213" s="23"/>
      <c r="E5213" s="23"/>
      <c r="G5213" s="23"/>
      <c r="H5213" s="23"/>
      <c r="J5213" s="23"/>
      <c r="K5213" s="23"/>
      <c r="M5213" s="23"/>
      <c r="N5213" s="23"/>
      <c r="P5213" s="23"/>
    </row>
    <row r="5214" spans="2:16" x14ac:dyDescent="0.25">
      <c r="B5214" s="23"/>
      <c r="E5214" s="23"/>
      <c r="G5214" s="23"/>
      <c r="H5214" s="23"/>
      <c r="J5214" s="23"/>
      <c r="K5214" s="23"/>
      <c r="M5214" s="23"/>
      <c r="N5214" s="23"/>
      <c r="P5214" s="23"/>
    </row>
    <row r="5215" spans="2:16" x14ac:dyDescent="0.25">
      <c r="B5215" s="23"/>
      <c r="E5215" s="23"/>
      <c r="G5215" s="23"/>
      <c r="H5215" s="23"/>
      <c r="J5215" s="23"/>
      <c r="K5215" s="23"/>
      <c r="M5215" s="23"/>
      <c r="N5215" s="23"/>
      <c r="P5215" s="23"/>
    </row>
    <row r="5216" spans="2:16" x14ac:dyDescent="0.25">
      <c r="B5216" s="23"/>
      <c r="E5216" s="23"/>
      <c r="G5216" s="23"/>
      <c r="H5216" s="23"/>
      <c r="J5216" s="23"/>
      <c r="K5216" s="23"/>
      <c r="M5216" s="23"/>
      <c r="N5216" s="23"/>
      <c r="P5216" s="23"/>
    </row>
    <row r="5217" spans="2:16" x14ac:dyDescent="0.25">
      <c r="B5217" s="23"/>
      <c r="E5217" s="23"/>
      <c r="G5217" s="23"/>
      <c r="H5217" s="23"/>
      <c r="J5217" s="23"/>
      <c r="K5217" s="23"/>
      <c r="M5217" s="23"/>
      <c r="N5217" s="23"/>
      <c r="P5217" s="23"/>
    </row>
    <row r="5218" spans="2:16" x14ac:dyDescent="0.25">
      <c r="B5218" s="23"/>
      <c r="E5218" s="23"/>
      <c r="G5218" s="23"/>
      <c r="H5218" s="23"/>
      <c r="J5218" s="23"/>
      <c r="K5218" s="23"/>
      <c r="M5218" s="23"/>
      <c r="N5218" s="23"/>
      <c r="P5218" s="23"/>
    </row>
    <row r="5219" spans="2:16" x14ac:dyDescent="0.25">
      <c r="B5219" s="23"/>
      <c r="E5219" s="23"/>
      <c r="G5219" s="23"/>
      <c r="H5219" s="23"/>
      <c r="J5219" s="23"/>
      <c r="K5219" s="23"/>
      <c r="M5219" s="23"/>
      <c r="N5219" s="23"/>
      <c r="P5219" s="23"/>
    </row>
    <row r="5220" spans="2:16" x14ac:dyDescent="0.25">
      <c r="B5220" s="23"/>
      <c r="E5220" s="23"/>
      <c r="G5220" s="23"/>
      <c r="H5220" s="23"/>
      <c r="J5220" s="23"/>
      <c r="K5220" s="23"/>
      <c r="M5220" s="23"/>
      <c r="N5220" s="23"/>
      <c r="P5220" s="23"/>
    </row>
    <row r="5221" spans="2:16" x14ac:dyDescent="0.25">
      <c r="B5221" s="23"/>
      <c r="E5221" s="23"/>
      <c r="G5221" s="23"/>
      <c r="H5221" s="23"/>
      <c r="J5221" s="23"/>
      <c r="K5221" s="23"/>
      <c r="M5221" s="23"/>
      <c r="N5221" s="23"/>
      <c r="P5221" s="23"/>
    </row>
    <row r="5222" spans="2:16" x14ac:dyDescent="0.25">
      <c r="B5222" s="23"/>
      <c r="E5222" s="23"/>
      <c r="G5222" s="23"/>
      <c r="H5222" s="23"/>
      <c r="J5222" s="23"/>
      <c r="K5222" s="23"/>
      <c r="M5222" s="23"/>
      <c r="N5222" s="23"/>
      <c r="P5222" s="23"/>
    </row>
    <row r="5223" spans="2:16" x14ac:dyDescent="0.25">
      <c r="B5223" s="23"/>
      <c r="E5223" s="23"/>
      <c r="G5223" s="23"/>
      <c r="H5223" s="23"/>
      <c r="J5223" s="23"/>
      <c r="K5223" s="23"/>
      <c r="M5223" s="23"/>
      <c r="N5223" s="23"/>
      <c r="P5223" s="23"/>
    </row>
    <row r="5224" spans="2:16" x14ac:dyDescent="0.25">
      <c r="B5224" s="23"/>
      <c r="E5224" s="23"/>
      <c r="G5224" s="23"/>
      <c r="H5224" s="23"/>
      <c r="J5224" s="23"/>
      <c r="K5224" s="23"/>
      <c r="M5224" s="23"/>
      <c r="N5224" s="23"/>
      <c r="P5224" s="23"/>
    </row>
    <row r="5225" spans="2:16" x14ac:dyDescent="0.25">
      <c r="B5225" s="23"/>
      <c r="E5225" s="23"/>
      <c r="G5225" s="23"/>
      <c r="H5225" s="23"/>
      <c r="J5225" s="23"/>
      <c r="K5225" s="23"/>
      <c r="M5225" s="23"/>
      <c r="N5225" s="23"/>
      <c r="P5225" s="23"/>
    </row>
    <row r="5226" spans="2:16" x14ac:dyDescent="0.25">
      <c r="B5226" s="23"/>
      <c r="E5226" s="23"/>
      <c r="G5226" s="23"/>
      <c r="H5226" s="23"/>
      <c r="J5226" s="23"/>
      <c r="K5226" s="23"/>
      <c r="M5226" s="23"/>
      <c r="N5226" s="23"/>
      <c r="P5226" s="23"/>
    </row>
    <row r="5227" spans="2:16" x14ac:dyDescent="0.25">
      <c r="B5227" s="23"/>
      <c r="E5227" s="23"/>
      <c r="G5227" s="23"/>
      <c r="H5227" s="23"/>
      <c r="J5227" s="23"/>
      <c r="K5227" s="23"/>
      <c r="M5227" s="23"/>
      <c r="N5227" s="23"/>
      <c r="P5227" s="23"/>
    </row>
    <row r="5228" spans="2:16" x14ac:dyDescent="0.25">
      <c r="B5228" s="23"/>
      <c r="E5228" s="23"/>
      <c r="G5228" s="23"/>
      <c r="H5228" s="23"/>
      <c r="J5228" s="23"/>
      <c r="K5228" s="23"/>
      <c r="M5228" s="23"/>
      <c r="N5228" s="23"/>
      <c r="P5228" s="23"/>
    </row>
    <row r="5229" spans="2:16" x14ac:dyDescent="0.25">
      <c r="B5229" s="23"/>
      <c r="E5229" s="23"/>
      <c r="G5229" s="23"/>
      <c r="H5229" s="23"/>
      <c r="J5229" s="23"/>
      <c r="K5229" s="23"/>
      <c r="M5229" s="23"/>
      <c r="N5229" s="23"/>
      <c r="P5229" s="23"/>
    </row>
    <row r="5230" spans="2:16" x14ac:dyDescent="0.25">
      <c r="B5230" s="23"/>
      <c r="E5230" s="23"/>
      <c r="G5230" s="23"/>
      <c r="H5230" s="23"/>
      <c r="J5230" s="23"/>
      <c r="K5230" s="23"/>
      <c r="M5230" s="23"/>
      <c r="N5230" s="23"/>
      <c r="P5230" s="23"/>
    </row>
    <row r="5231" spans="2:16" x14ac:dyDescent="0.25">
      <c r="B5231" s="23"/>
      <c r="E5231" s="23"/>
      <c r="G5231" s="23"/>
      <c r="H5231" s="23"/>
      <c r="J5231" s="23"/>
      <c r="K5231" s="23"/>
      <c r="M5231" s="23"/>
      <c r="N5231" s="23"/>
      <c r="P5231" s="23"/>
    </row>
    <row r="5232" spans="2:16" x14ac:dyDescent="0.25">
      <c r="B5232" s="23"/>
      <c r="E5232" s="23"/>
      <c r="G5232" s="23"/>
      <c r="H5232" s="23"/>
      <c r="J5232" s="23"/>
      <c r="K5232" s="23"/>
      <c r="M5232" s="23"/>
      <c r="N5232" s="23"/>
      <c r="P5232" s="23"/>
    </row>
    <row r="5233" spans="2:16" x14ac:dyDescent="0.25">
      <c r="B5233" s="23"/>
      <c r="E5233" s="23"/>
      <c r="G5233" s="23"/>
      <c r="H5233" s="23"/>
      <c r="J5233" s="23"/>
      <c r="K5233" s="23"/>
      <c r="M5233" s="23"/>
      <c r="N5233" s="23"/>
      <c r="P5233" s="23"/>
    </row>
    <row r="5234" spans="2:16" x14ac:dyDescent="0.25">
      <c r="B5234" s="23"/>
      <c r="E5234" s="23"/>
      <c r="G5234" s="23"/>
      <c r="H5234" s="23"/>
      <c r="J5234" s="23"/>
      <c r="K5234" s="23"/>
      <c r="M5234" s="23"/>
      <c r="N5234" s="23"/>
      <c r="P5234" s="23"/>
    </row>
    <row r="5235" spans="2:16" x14ac:dyDescent="0.25">
      <c r="B5235" s="23"/>
      <c r="E5235" s="23"/>
      <c r="G5235" s="23"/>
      <c r="H5235" s="23"/>
      <c r="J5235" s="23"/>
      <c r="K5235" s="23"/>
      <c r="M5235" s="23"/>
      <c r="N5235" s="23"/>
      <c r="P5235" s="23"/>
    </row>
    <row r="5236" spans="2:16" x14ac:dyDescent="0.25">
      <c r="B5236" s="23"/>
      <c r="E5236" s="23"/>
      <c r="G5236" s="23"/>
      <c r="H5236" s="23"/>
      <c r="J5236" s="23"/>
      <c r="K5236" s="23"/>
      <c r="M5236" s="23"/>
      <c r="N5236" s="23"/>
      <c r="P5236" s="23"/>
    </row>
    <row r="5237" spans="2:16" x14ac:dyDescent="0.25">
      <c r="B5237" s="23"/>
      <c r="E5237" s="23"/>
      <c r="G5237" s="23"/>
      <c r="H5237" s="23"/>
      <c r="J5237" s="23"/>
      <c r="K5237" s="23"/>
      <c r="M5237" s="23"/>
      <c r="N5237" s="23"/>
      <c r="P5237" s="23"/>
    </row>
    <row r="5238" spans="2:16" x14ac:dyDescent="0.25">
      <c r="B5238" s="23"/>
      <c r="E5238" s="23"/>
      <c r="G5238" s="23"/>
      <c r="H5238" s="23"/>
      <c r="J5238" s="23"/>
      <c r="K5238" s="23"/>
      <c r="M5238" s="23"/>
      <c r="N5238" s="23"/>
      <c r="P5238" s="23"/>
    </row>
    <row r="5239" spans="2:16" x14ac:dyDescent="0.25">
      <c r="B5239" s="23"/>
      <c r="E5239" s="23"/>
      <c r="G5239" s="23"/>
      <c r="H5239" s="23"/>
      <c r="J5239" s="23"/>
      <c r="K5239" s="23"/>
      <c r="M5239" s="23"/>
      <c r="N5239" s="23"/>
      <c r="P5239" s="23"/>
    </row>
    <row r="5240" spans="2:16" x14ac:dyDescent="0.25">
      <c r="B5240" s="23"/>
      <c r="E5240" s="23"/>
      <c r="G5240" s="23"/>
      <c r="H5240" s="23"/>
      <c r="J5240" s="23"/>
      <c r="K5240" s="23"/>
      <c r="M5240" s="23"/>
      <c r="N5240" s="23"/>
      <c r="P5240" s="23"/>
    </row>
    <row r="5241" spans="2:16" x14ac:dyDescent="0.25">
      <c r="B5241" s="23"/>
      <c r="E5241" s="23"/>
      <c r="G5241" s="23"/>
      <c r="H5241" s="23"/>
      <c r="J5241" s="23"/>
      <c r="K5241" s="23"/>
      <c r="M5241" s="23"/>
      <c r="N5241" s="23"/>
      <c r="P5241" s="23"/>
    </row>
    <row r="5242" spans="2:16" x14ac:dyDescent="0.25">
      <c r="B5242" s="23"/>
      <c r="E5242" s="23"/>
      <c r="G5242" s="23"/>
      <c r="H5242" s="23"/>
      <c r="J5242" s="23"/>
      <c r="K5242" s="23"/>
      <c r="M5242" s="23"/>
      <c r="N5242" s="23"/>
      <c r="P5242" s="23"/>
    </row>
    <row r="5243" spans="2:16" x14ac:dyDescent="0.25">
      <c r="B5243" s="23"/>
      <c r="E5243" s="23"/>
      <c r="G5243" s="23"/>
      <c r="H5243" s="23"/>
      <c r="J5243" s="23"/>
      <c r="K5243" s="23"/>
      <c r="M5243" s="23"/>
      <c r="N5243" s="23"/>
      <c r="P5243" s="23"/>
    </row>
    <row r="5244" spans="2:16" x14ac:dyDescent="0.25">
      <c r="B5244" s="23"/>
      <c r="E5244" s="23"/>
      <c r="G5244" s="23"/>
      <c r="H5244" s="23"/>
      <c r="J5244" s="23"/>
      <c r="K5244" s="23"/>
      <c r="M5244" s="23"/>
      <c r="N5244" s="23"/>
      <c r="P5244" s="23"/>
    </row>
    <row r="5245" spans="2:16" x14ac:dyDescent="0.25">
      <c r="B5245" s="23"/>
      <c r="E5245" s="23"/>
      <c r="G5245" s="23"/>
      <c r="H5245" s="23"/>
      <c r="J5245" s="23"/>
      <c r="K5245" s="23"/>
      <c r="M5245" s="23"/>
      <c r="N5245" s="23"/>
      <c r="P5245" s="23"/>
    </row>
    <row r="5246" spans="2:16" x14ac:dyDescent="0.25">
      <c r="B5246" s="23"/>
      <c r="E5246" s="23"/>
      <c r="G5246" s="23"/>
      <c r="H5246" s="23"/>
      <c r="J5246" s="23"/>
      <c r="K5246" s="23"/>
      <c r="M5246" s="23"/>
      <c r="N5246" s="23"/>
      <c r="P5246" s="23"/>
    </row>
    <row r="5247" spans="2:16" x14ac:dyDescent="0.25">
      <c r="B5247" s="23"/>
      <c r="E5247" s="23"/>
      <c r="G5247" s="23"/>
      <c r="H5247" s="23"/>
      <c r="J5247" s="23"/>
      <c r="K5247" s="23"/>
      <c r="M5247" s="23"/>
      <c r="N5247" s="23"/>
      <c r="P5247" s="23"/>
    </row>
    <row r="5248" spans="2:16" x14ac:dyDescent="0.25">
      <c r="B5248" s="23"/>
      <c r="E5248" s="23"/>
      <c r="G5248" s="23"/>
      <c r="H5248" s="23"/>
      <c r="J5248" s="23"/>
      <c r="K5248" s="23"/>
      <c r="M5248" s="23"/>
      <c r="N5248" s="23"/>
      <c r="P5248" s="23"/>
    </row>
    <row r="5249" spans="2:16" x14ac:dyDescent="0.25">
      <c r="B5249" s="23"/>
      <c r="E5249" s="23"/>
      <c r="G5249" s="23"/>
      <c r="H5249" s="23"/>
      <c r="J5249" s="23"/>
      <c r="K5249" s="23"/>
      <c r="M5249" s="23"/>
      <c r="N5249" s="23"/>
      <c r="P5249" s="23"/>
    </row>
    <row r="5250" spans="2:16" x14ac:dyDescent="0.25">
      <c r="B5250" s="23"/>
      <c r="E5250" s="23"/>
      <c r="G5250" s="23"/>
      <c r="H5250" s="23"/>
      <c r="J5250" s="23"/>
      <c r="K5250" s="23"/>
      <c r="M5250" s="23"/>
      <c r="N5250" s="23"/>
      <c r="P5250" s="23"/>
    </row>
    <row r="5251" spans="2:16" x14ac:dyDescent="0.25">
      <c r="B5251" s="23"/>
      <c r="E5251" s="23"/>
      <c r="G5251" s="23"/>
      <c r="H5251" s="23"/>
      <c r="J5251" s="23"/>
      <c r="K5251" s="23"/>
      <c r="M5251" s="23"/>
      <c r="N5251" s="23"/>
      <c r="P5251" s="23"/>
    </row>
    <row r="5252" spans="2:16" x14ac:dyDescent="0.25">
      <c r="B5252" s="23"/>
      <c r="E5252" s="23"/>
      <c r="G5252" s="23"/>
      <c r="H5252" s="23"/>
      <c r="J5252" s="23"/>
      <c r="K5252" s="23"/>
      <c r="M5252" s="23"/>
      <c r="N5252" s="23"/>
      <c r="P5252" s="23"/>
    </row>
    <row r="5253" spans="2:16" x14ac:dyDescent="0.25">
      <c r="B5253" s="23"/>
      <c r="E5253" s="23"/>
      <c r="G5253" s="23"/>
      <c r="H5253" s="23"/>
      <c r="J5253" s="23"/>
      <c r="K5253" s="23"/>
      <c r="M5253" s="23"/>
      <c r="N5253" s="23"/>
      <c r="P5253" s="23"/>
    </row>
    <row r="5254" spans="2:16" x14ac:dyDescent="0.25">
      <c r="B5254" s="23"/>
      <c r="E5254" s="23"/>
      <c r="G5254" s="23"/>
      <c r="H5254" s="23"/>
      <c r="J5254" s="23"/>
      <c r="K5254" s="23"/>
      <c r="M5254" s="23"/>
      <c r="N5254" s="23"/>
      <c r="P5254" s="23"/>
    </row>
    <row r="5255" spans="2:16" x14ac:dyDescent="0.25">
      <c r="B5255" s="23"/>
      <c r="E5255" s="23"/>
      <c r="G5255" s="23"/>
      <c r="H5255" s="23"/>
      <c r="J5255" s="23"/>
      <c r="K5255" s="23"/>
      <c r="M5255" s="23"/>
      <c r="N5255" s="23"/>
      <c r="P5255" s="23"/>
    </row>
    <row r="5256" spans="2:16" x14ac:dyDescent="0.25">
      <c r="B5256" s="23"/>
      <c r="E5256" s="23"/>
      <c r="G5256" s="23"/>
      <c r="H5256" s="23"/>
      <c r="J5256" s="23"/>
      <c r="K5256" s="23"/>
      <c r="M5256" s="23"/>
      <c r="N5256" s="23"/>
      <c r="P5256" s="23"/>
    </row>
    <row r="5257" spans="2:16" x14ac:dyDescent="0.25">
      <c r="B5257" s="23"/>
      <c r="E5257" s="23"/>
      <c r="G5257" s="23"/>
      <c r="H5257" s="23"/>
      <c r="J5257" s="23"/>
      <c r="K5257" s="23"/>
      <c r="M5257" s="23"/>
      <c r="N5257" s="23"/>
      <c r="P5257" s="23"/>
    </row>
    <row r="5258" spans="2:16" x14ac:dyDescent="0.25">
      <c r="B5258" s="23"/>
      <c r="E5258" s="23"/>
      <c r="G5258" s="23"/>
      <c r="H5258" s="23"/>
      <c r="J5258" s="23"/>
      <c r="K5258" s="23"/>
      <c r="M5258" s="23"/>
      <c r="N5258" s="23"/>
      <c r="P5258" s="23"/>
    </row>
    <row r="5259" spans="2:16" x14ac:dyDescent="0.25">
      <c r="B5259" s="23"/>
      <c r="E5259" s="23"/>
      <c r="G5259" s="23"/>
      <c r="H5259" s="23"/>
      <c r="J5259" s="23"/>
      <c r="K5259" s="23"/>
      <c r="M5259" s="23"/>
      <c r="N5259" s="23"/>
      <c r="P5259" s="23"/>
    </row>
    <row r="5260" spans="2:16" x14ac:dyDescent="0.25">
      <c r="B5260" s="23"/>
      <c r="E5260" s="23"/>
      <c r="G5260" s="23"/>
      <c r="H5260" s="23"/>
      <c r="J5260" s="23"/>
      <c r="K5260" s="23"/>
      <c r="M5260" s="23"/>
      <c r="N5260" s="23"/>
      <c r="P5260" s="23"/>
    </row>
    <row r="5261" spans="2:16" x14ac:dyDescent="0.25">
      <c r="B5261" s="23"/>
      <c r="E5261" s="23"/>
      <c r="G5261" s="23"/>
      <c r="H5261" s="23"/>
      <c r="J5261" s="23"/>
      <c r="K5261" s="23"/>
      <c r="M5261" s="23"/>
      <c r="N5261" s="23"/>
      <c r="P5261" s="23"/>
    </row>
    <row r="5262" spans="2:16" x14ac:dyDescent="0.25">
      <c r="B5262" s="23"/>
      <c r="E5262" s="23"/>
      <c r="G5262" s="23"/>
      <c r="H5262" s="23"/>
      <c r="J5262" s="23"/>
      <c r="K5262" s="23"/>
      <c r="M5262" s="23"/>
      <c r="N5262" s="23"/>
      <c r="P5262" s="23"/>
    </row>
    <row r="5263" spans="2:16" x14ac:dyDescent="0.25">
      <c r="B5263" s="23"/>
      <c r="E5263" s="23"/>
      <c r="G5263" s="23"/>
      <c r="H5263" s="23"/>
      <c r="J5263" s="23"/>
      <c r="K5263" s="23"/>
      <c r="M5263" s="23"/>
      <c r="N5263" s="23"/>
      <c r="P5263" s="23"/>
    </row>
    <row r="5264" spans="2:16" x14ac:dyDescent="0.25">
      <c r="B5264" s="23"/>
      <c r="E5264" s="23"/>
      <c r="G5264" s="23"/>
      <c r="H5264" s="23"/>
      <c r="J5264" s="23"/>
      <c r="K5264" s="23"/>
      <c r="M5264" s="23"/>
      <c r="N5264" s="23"/>
      <c r="P5264" s="23"/>
    </row>
    <row r="5265" spans="2:16" x14ac:dyDescent="0.25">
      <c r="B5265" s="23"/>
      <c r="E5265" s="23"/>
      <c r="G5265" s="23"/>
      <c r="H5265" s="23"/>
      <c r="J5265" s="23"/>
      <c r="K5265" s="23"/>
      <c r="M5265" s="23"/>
      <c r="N5265" s="23"/>
      <c r="P5265" s="23"/>
    </row>
    <row r="5266" spans="2:16" x14ac:dyDescent="0.25">
      <c r="B5266" s="23"/>
      <c r="E5266" s="23"/>
      <c r="G5266" s="23"/>
      <c r="H5266" s="23"/>
      <c r="J5266" s="23"/>
      <c r="K5266" s="23"/>
      <c r="M5266" s="23"/>
      <c r="N5266" s="23"/>
      <c r="P5266" s="23"/>
    </row>
    <row r="5267" spans="2:16" x14ac:dyDescent="0.25">
      <c r="B5267" s="23"/>
      <c r="E5267" s="23"/>
      <c r="G5267" s="23"/>
      <c r="H5267" s="23"/>
      <c r="J5267" s="23"/>
      <c r="K5267" s="23"/>
      <c r="M5267" s="23"/>
      <c r="N5267" s="23"/>
      <c r="P5267" s="23"/>
    </row>
    <row r="5268" spans="2:16" x14ac:dyDescent="0.25">
      <c r="B5268" s="23"/>
      <c r="E5268" s="23"/>
      <c r="G5268" s="23"/>
      <c r="H5268" s="23"/>
      <c r="J5268" s="23"/>
      <c r="K5268" s="23"/>
      <c r="M5268" s="23"/>
      <c r="N5268" s="23"/>
      <c r="P5268" s="23"/>
    </row>
    <row r="5269" spans="2:16" x14ac:dyDescent="0.25">
      <c r="B5269" s="23"/>
      <c r="E5269" s="23"/>
      <c r="G5269" s="23"/>
      <c r="H5269" s="23"/>
      <c r="J5269" s="23"/>
      <c r="K5269" s="23"/>
      <c r="M5269" s="23"/>
      <c r="N5269" s="23"/>
      <c r="P5269" s="23"/>
    </row>
    <row r="5270" spans="2:16" x14ac:dyDescent="0.25">
      <c r="B5270" s="23"/>
      <c r="E5270" s="23"/>
      <c r="G5270" s="23"/>
      <c r="H5270" s="23"/>
      <c r="J5270" s="23"/>
      <c r="K5270" s="23"/>
      <c r="M5270" s="23"/>
      <c r="N5270" s="23"/>
      <c r="P5270" s="23"/>
    </row>
    <row r="5271" spans="2:16" x14ac:dyDescent="0.25">
      <c r="B5271" s="23"/>
      <c r="E5271" s="23"/>
      <c r="G5271" s="23"/>
      <c r="H5271" s="23"/>
      <c r="J5271" s="23"/>
      <c r="K5271" s="23"/>
      <c r="M5271" s="23"/>
      <c r="N5271" s="23"/>
      <c r="P5271" s="23"/>
    </row>
    <row r="5272" spans="2:16" x14ac:dyDescent="0.25">
      <c r="B5272" s="23"/>
      <c r="E5272" s="23"/>
      <c r="G5272" s="23"/>
      <c r="H5272" s="23"/>
      <c r="J5272" s="23"/>
      <c r="K5272" s="23"/>
      <c r="M5272" s="23"/>
      <c r="N5272" s="23"/>
      <c r="P5272" s="23"/>
    </row>
    <row r="5273" spans="2:16" x14ac:dyDescent="0.25">
      <c r="B5273" s="23"/>
      <c r="E5273" s="23"/>
      <c r="G5273" s="23"/>
      <c r="H5273" s="23"/>
      <c r="J5273" s="23"/>
      <c r="K5273" s="23"/>
      <c r="M5273" s="23"/>
      <c r="N5273" s="23"/>
      <c r="P5273" s="23"/>
    </row>
    <row r="5274" spans="2:16" x14ac:dyDescent="0.25">
      <c r="B5274" s="23"/>
      <c r="E5274" s="23"/>
      <c r="G5274" s="23"/>
      <c r="H5274" s="23"/>
      <c r="J5274" s="23"/>
      <c r="K5274" s="23"/>
      <c r="M5274" s="23"/>
      <c r="N5274" s="23"/>
      <c r="P5274" s="23"/>
    </row>
    <row r="5275" spans="2:16" x14ac:dyDescent="0.25">
      <c r="B5275" s="23"/>
      <c r="E5275" s="23"/>
      <c r="G5275" s="23"/>
      <c r="H5275" s="23"/>
      <c r="J5275" s="23"/>
      <c r="K5275" s="23"/>
      <c r="M5275" s="23"/>
      <c r="N5275" s="23"/>
      <c r="P5275" s="23"/>
    </row>
    <row r="5276" spans="2:16" x14ac:dyDescent="0.25">
      <c r="B5276" s="23"/>
      <c r="E5276" s="23"/>
      <c r="G5276" s="23"/>
      <c r="H5276" s="23"/>
      <c r="J5276" s="23"/>
      <c r="K5276" s="23"/>
      <c r="M5276" s="23"/>
      <c r="N5276" s="23"/>
      <c r="P5276" s="23"/>
    </row>
    <row r="5277" spans="2:16" x14ac:dyDescent="0.25">
      <c r="B5277" s="23"/>
      <c r="E5277" s="23"/>
      <c r="G5277" s="23"/>
      <c r="H5277" s="23"/>
      <c r="J5277" s="23"/>
      <c r="K5277" s="23"/>
      <c r="M5277" s="23"/>
      <c r="N5277" s="23"/>
      <c r="P5277" s="23"/>
    </row>
    <row r="5278" spans="2:16" x14ac:dyDescent="0.25">
      <c r="B5278" s="23"/>
      <c r="E5278" s="23"/>
      <c r="G5278" s="23"/>
      <c r="H5278" s="23"/>
      <c r="J5278" s="23"/>
      <c r="K5278" s="23"/>
      <c r="M5278" s="23"/>
      <c r="N5278" s="23"/>
      <c r="P5278" s="23"/>
    </row>
    <row r="5279" spans="2:16" x14ac:dyDescent="0.25">
      <c r="B5279" s="23"/>
      <c r="E5279" s="23"/>
      <c r="G5279" s="23"/>
      <c r="H5279" s="23"/>
      <c r="J5279" s="23"/>
      <c r="K5279" s="23"/>
      <c r="M5279" s="23"/>
      <c r="N5279" s="23"/>
      <c r="P5279" s="23"/>
    </row>
    <row r="5280" spans="2:16" x14ac:dyDescent="0.25">
      <c r="B5280" s="23"/>
      <c r="E5280" s="23"/>
      <c r="G5280" s="23"/>
      <c r="H5280" s="23"/>
      <c r="J5280" s="23"/>
      <c r="K5280" s="23"/>
      <c r="M5280" s="23"/>
      <c r="N5280" s="23"/>
      <c r="P5280" s="23"/>
    </row>
    <row r="5281" spans="2:16" x14ac:dyDescent="0.25">
      <c r="B5281" s="23"/>
      <c r="E5281" s="23"/>
      <c r="G5281" s="23"/>
      <c r="H5281" s="23"/>
      <c r="J5281" s="23"/>
      <c r="K5281" s="23"/>
      <c r="M5281" s="23"/>
      <c r="N5281" s="23"/>
      <c r="P5281" s="23"/>
    </row>
    <row r="5282" spans="2:16" x14ac:dyDescent="0.25">
      <c r="B5282" s="23"/>
      <c r="E5282" s="23"/>
      <c r="G5282" s="23"/>
      <c r="H5282" s="23"/>
      <c r="J5282" s="23"/>
      <c r="K5282" s="23"/>
      <c r="M5282" s="23"/>
      <c r="N5282" s="23"/>
      <c r="P5282" s="23"/>
    </row>
    <row r="5283" spans="2:16" x14ac:dyDescent="0.25">
      <c r="B5283" s="23"/>
      <c r="E5283" s="23"/>
      <c r="G5283" s="23"/>
      <c r="H5283" s="23"/>
      <c r="J5283" s="23"/>
      <c r="K5283" s="23"/>
      <c r="M5283" s="23"/>
      <c r="N5283" s="23"/>
      <c r="P5283" s="23"/>
    </row>
    <row r="5284" spans="2:16" x14ac:dyDescent="0.25">
      <c r="B5284" s="23"/>
      <c r="E5284" s="23"/>
      <c r="G5284" s="23"/>
      <c r="H5284" s="23"/>
      <c r="J5284" s="23"/>
      <c r="K5284" s="23"/>
      <c r="M5284" s="23"/>
      <c r="N5284" s="23"/>
      <c r="P5284" s="23"/>
    </row>
    <row r="5285" spans="2:16" x14ac:dyDescent="0.25">
      <c r="B5285" s="23"/>
      <c r="E5285" s="23"/>
      <c r="G5285" s="23"/>
      <c r="H5285" s="23"/>
      <c r="J5285" s="23"/>
      <c r="K5285" s="23"/>
      <c r="M5285" s="23"/>
      <c r="N5285" s="23"/>
      <c r="P5285" s="23"/>
    </row>
    <row r="5286" spans="2:16" x14ac:dyDescent="0.25">
      <c r="B5286" s="23"/>
      <c r="E5286" s="23"/>
      <c r="G5286" s="23"/>
      <c r="H5286" s="23"/>
      <c r="J5286" s="23"/>
      <c r="K5286" s="23"/>
      <c r="M5286" s="23"/>
      <c r="N5286" s="23"/>
      <c r="P5286" s="23"/>
    </row>
    <row r="5287" spans="2:16" x14ac:dyDescent="0.25">
      <c r="B5287" s="23"/>
      <c r="E5287" s="23"/>
      <c r="G5287" s="23"/>
      <c r="H5287" s="23"/>
      <c r="J5287" s="23"/>
      <c r="K5287" s="23"/>
      <c r="M5287" s="23"/>
      <c r="N5287" s="23"/>
      <c r="P5287" s="23"/>
    </row>
    <row r="5288" spans="2:16" x14ac:dyDescent="0.25">
      <c r="B5288" s="23"/>
      <c r="E5288" s="23"/>
      <c r="G5288" s="23"/>
      <c r="H5288" s="23"/>
      <c r="J5288" s="23"/>
      <c r="K5288" s="23"/>
      <c r="M5288" s="23"/>
      <c r="N5288" s="23"/>
      <c r="P5288" s="23"/>
    </row>
    <row r="5289" spans="2:16" x14ac:dyDescent="0.25">
      <c r="B5289" s="23"/>
      <c r="E5289" s="23"/>
      <c r="G5289" s="23"/>
      <c r="H5289" s="23"/>
      <c r="J5289" s="23"/>
      <c r="K5289" s="23"/>
      <c r="M5289" s="23"/>
      <c r="N5289" s="23"/>
      <c r="P5289" s="23"/>
    </row>
    <row r="5290" spans="2:16" x14ac:dyDescent="0.25">
      <c r="B5290" s="23"/>
      <c r="E5290" s="23"/>
      <c r="G5290" s="23"/>
      <c r="H5290" s="23"/>
      <c r="J5290" s="23"/>
      <c r="K5290" s="23"/>
      <c r="M5290" s="23"/>
      <c r="N5290" s="23"/>
      <c r="P5290" s="23"/>
    </row>
    <row r="5291" spans="2:16" x14ac:dyDescent="0.25">
      <c r="B5291" s="23"/>
      <c r="E5291" s="23"/>
      <c r="G5291" s="23"/>
      <c r="H5291" s="23"/>
      <c r="J5291" s="23"/>
      <c r="K5291" s="23"/>
      <c r="M5291" s="23"/>
      <c r="N5291" s="23"/>
      <c r="P5291" s="23"/>
    </row>
    <row r="5292" spans="2:16" x14ac:dyDescent="0.25">
      <c r="B5292" s="23"/>
      <c r="E5292" s="23"/>
      <c r="G5292" s="23"/>
      <c r="H5292" s="23"/>
      <c r="J5292" s="23"/>
      <c r="K5292" s="23"/>
      <c r="M5292" s="23"/>
      <c r="N5292" s="23"/>
      <c r="P5292" s="23"/>
    </row>
    <row r="5293" spans="2:16" x14ac:dyDescent="0.25">
      <c r="B5293" s="23"/>
      <c r="E5293" s="23"/>
      <c r="G5293" s="23"/>
      <c r="H5293" s="23"/>
      <c r="J5293" s="23"/>
      <c r="K5293" s="23"/>
      <c r="M5293" s="23"/>
      <c r="N5293" s="23"/>
      <c r="P5293" s="23"/>
    </row>
    <row r="5294" spans="2:16" x14ac:dyDescent="0.25">
      <c r="B5294" s="23"/>
      <c r="E5294" s="23"/>
      <c r="G5294" s="23"/>
      <c r="H5294" s="23"/>
      <c r="J5294" s="23"/>
      <c r="K5294" s="23"/>
      <c r="M5294" s="23"/>
      <c r="N5294" s="23"/>
      <c r="P5294" s="23"/>
    </row>
    <row r="5295" spans="2:16" x14ac:dyDescent="0.25">
      <c r="B5295" s="23"/>
      <c r="E5295" s="23"/>
      <c r="G5295" s="23"/>
      <c r="H5295" s="23"/>
      <c r="J5295" s="23"/>
      <c r="K5295" s="23"/>
      <c r="M5295" s="23"/>
      <c r="N5295" s="23"/>
      <c r="P5295" s="23"/>
    </row>
    <row r="5296" spans="2:16" x14ac:dyDescent="0.25">
      <c r="B5296" s="23"/>
      <c r="E5296" s="23"/>
      <c r="G5296" s="23"/>
      <c r="H5296" s="23"/>
      <c r="J5296" s="23"/>
      <c r="K5296" s="23"/>
      <c r="M5296" s="23"/>
      <c r="N5296" s="23"/>
      <c r="P5296" s="23"/>
    </row>
    <row r="5297" spans="2:16" x14ac:dyDescent="0.25">
      <c r="B5297" s="23"/>
      <c r="E5297" s="23"/>
      <c r="G5297" s="23"/>
      <c r="H5297" s="23"/>
      <c r="J5297" s="23"/>
      <c r="K5297" s="23"/>
      <c r="M5297" s="23"/>
      <c r="N5297" s="23"/>
      <c r="P5297" s="23"/>
    </row>
    <row r="5298" spans="2:16" x14ac:dyDescent="0.25">
      <c r="B5298" s="23"/>
      <c r="E5298" s="23"/>
      <c r="G5298" s="23"/>
      <c r="H5298" s="23"/>
      <c r="J5298" s="23"/>
      <c r="K5298" s="23"/>
      <c r="M5298" s="23"/>
      <c r="N5298" s="23"/>
      <c r="P5298" s="23"/>
    </row>
    <row r="5299" spans="2:16" x14ac:dyDescent="0.25">
      <c r="B5299" s="23"/>
      <c r="E5299" s="23"/>
      <c r="G5299" s="23"/>
      <c r="H5299" s="23"/>
      <c r="J5299" s="23"/>
      <c r="K5299" s="23"/>
      <c r="M5299" s="23"/>
      <c r="N5299" s="23"/>
      <c r="P5299" s="23"/>
    </row>
    <row r="5300" spans="2:16" x14ac:dyDescent="0.25">
      <c r="B5300" s="23"/>
      <c r="E5300" s="23"/>
      <c r="G5300" s="23"/>
      <c r="H5300" s="23"/>
      <c r="J5300" s="23"/>
      <c r="K5300" s="23"/>
      <c r="M5300" s="23"/>
      <c r="N5300" s="23"/>
      <c r="P5300" s="23"/>
    </row>
    <row r="5301" spans="2:16" x14ac:dyDescent="0.25">
      <c r="B5301" s="23"/>
      <c r="E5301" s="23"/>
      <c r="G5301" s="23"/>
      <c r="H5301" s="23"/>
      <c r="J5301" s="23"/>
      <c r="K5301" s="23"/>
      <c r="M5301" s="23"/>
      <c r="N5301" s="23"/>
      <c r="P5301" s="23"/>
    </row>
    <row r="5302" spans="2:16" x14ac:dyDescent="0.25">
      <c r="B5302" s="23"/>
      <c r="E5302" s="23"/>
      <c r="G5302" s="23"/>
      <c r="H5302" s="23"/>
      <c r="J5302" s="23"/>
      <c r="K5302" s="23"/>
      <c r="M5302" s="23"/>
      <c r="N5302" s="23"/>
      <c r="P5302" s="23"/>
    </row>
    <row r="5303" spans="2:16" x14ac:dyDescent="0.25">
      <c r="B5303" s="23"/>
      <c r="E5303" s="23"/>
      <c r="G5303" s="23"/>
      <c r="H5303" s="23"/>
      <c r="J5303" s="23"/>
      <c r="K5303" s="23"/>
      <c r="M5303" s="23"/>
      <c r="N5303" s="23"/>
      <c r="P5303" s="23"/>
    </row>
    <row r="5304" spans="2:16" x14ac:dyDescent="0.25">
      <c r="B5304" s="23"/>
      <c r="E5304" s="23"/>
      <c r="G5304" s="23"/>
      <c r="H5304" s="23"/>
      <c r="J5304" s="23"/>
      <c r="K5304" s="23"/>
      <c r="M5304" s="23"/>
      <c r="N5304" s="23"/>
      <c r="P5304" s="23"/>
    </row>
    <row r="5305" spans="2:16" x14ac:dyDescent="0.25">
      <c r="B5305" s="23"/>
      <c r="E5305" s="23"/>
      <c r="G5305" s="23"/>
      <c r="H5305" s="23"/>
      <c r="J5305" s="23"/>
      <c r="K5305" s="23"/>
      <c r="M5305" s="23"/>
      <c r="N5305" s="23"/>
      <c r="P5305" s="23"/>
    </row>
    <row r="5306" spans="2:16" x14ac:dyDescent="0.25">
      <c r="B5306" s="23"/>
      <c r="E5306" s="23"/>
      <c r="G5306" s="23"/>
      <c r="H5306" s="23"/>
      <c r="J5306" s="23"/>
      <c r="K5306" s="23"/>
      <c r="M5306" s="23"/>
      <c r="N5306" s="23"/>
      <c r="P5306" s="23"/>
    </row>
    <row r="5307" spans="2:16" x14ac:dyDescent="0.25">
      <c r="B5307" s="23"/>
      <c r="E5307" s="23"/>
      <c r="G5307" s="23"/>
      <c r="H5307" s="23"/>
      <c r="J5307" s="23"/>
      <c r="K5307" s="23"/>
      <c r="M5307" s="23"/>
      <c r="N5307" s="23"/>
      <c r="P5307" s="23"/>
    </row>
    <row r="5308" spans="2:16" x14ac:dyDescent="0.25">
      <c r="B5308" s="23"/>
      <c r="E5308" s="23"/>
      <c r="G5308" s="23"/>
      <c r="H5308" s="23"/>
      <c r="J5308" s="23"/>
      <c r="K5308" s="23"/>
      <c r="M5308" s="23"/>
      <c r="N5308" s="23"/>
      <c r="P5308" s="23"/>
    </row>
    <row r="5309" spans="2:16" x14ac:dyDescent="0.25">
      <c r="B5309" s="23"/>
      <c r="E5309" s="23"/>
      <c r="G5309" s="23"/>
      <c r="H5309" s="23"/>
      <c r="J5309" s="23"/>
      <c r="K5309" s="23"/>
      <c r="M5309" s="23"/>
      <c r="N5309" s="23"/>
      <c r="P5309" s="23"/>
    </row>
    <row r="5310" spans="2:16" x14ac:dyDescent="0.25">
      <c r="B5310" s="23"/>
      <c r="E5310" s="23"/>
      <c r="G5310" s="23"/>
      <c r="H5310" s="23"/>
      <c r="J5310" s="23"/>
      <c r="K5310" s="23"/>
      <c r="M5310" s="23"/>
      <c r="N5310" s="23"/>
      <c r="P5310" s="23"/>
    </row>
    <row r="5311" spans="2:16" x14ac:dyDescent="0.25">
      <c r="B5311" s="23"/>
      <c r="E5311" s="23"/>
      <c r="G5311" s="23"/>
      <c r="H5311" s="23"/>
      <c r="J5311" s="23"/>
      <c r="K5311" s="23"/>
      <c r="M5311" s="23"/>
      <c r="N5311" s="23"/>
      <c r="P5311" s="23"/>
    </row>
    <row r="5312" spans="2:16" x14ac:dyDescent="0.25">
      <c r="B5312" s="23"/>
      <c r="E5312" s="23"/>
      <c r="G5312" s="23"/>
      <c r="H5312" s="23"/>
      <c r="J5312" s="23"/>
      <c r="K5312" s="23"/>
      <c r="M5312" s="23"/>
      <c r="N5312" s="23"/>
      <c r="P5312" s="23"/>
    </row>
    <row r="5313" spans="2:16" x14ac:dyDescent="0.25">
      <c r="B5313" s="23"/>
      <c r="E5313" s="23"/>
      <c r="G5313" s="23"/>
      <c r="H5313" s="23"/>
      <c r="J5313" s="23"/>
      <c r="K5313" s="23"/>
      <c r="M5313" s="23"/>
      <c r="N5313" s="23"/>
      <c r="P5313" s="23"/>
    </row>
    <row r="5314" spans="2:16" x14ac:dyDescent="0.25">
      <c r="B5314" s="23"/>
      <c r="E5314" s="23"/>
      <c r="G5314" s="23"/>
      <c r="H5314" s="23"/>
      <c r="J5314" s="23"/>
      <c r="K5314" s="23"/>
      <c r="M5314" s="23"/>
      <c r="N5314" s="23"/>
      <c r="P5314" s="23"/>
    </row>
    <row r="5315" spans="2:16" x14ac:dyDescent="0.25">
      <c r="B5315" s="23"/>
      <c r="E5315" s="23"/>
      <c r="G5315" s="23"/>
      <c r="H5315" s="23"/>
      <c r="J5315" s="23"/>
      <c r="K5315" s="23"/>
      <c r="M5315" s="23"/>
      <c r="N5315" s="23"/>
      <c r="P5315" s="23"/>
    </row>
    <row r="5316" spans="2:16" x14ac:dyDescent="0.25">
      <c r="B5316" s="23"/>
      <c r="E5316" s="23"/>
      <c r="G5316" s="23"/>
      <c r="H5316" s="23"/>
      <c r="J5316" s="23"/>
      <c r="K5316" s="23"/>
      <c r="M5316" s="23"/>
      <c r="N5316" s="23"/>
      <c r="P5316" s="23"/>
    </row>
    <row r="5317" spans="2:16" x14ac:dyDescent="0.25">
      <c r="B5317" s="23"/>
      <c r="E5317" s="23"/>
      <c r="G5317" s="23"/>
      <c r="H5317" s="23"/>
      <c r="J5317" s="23"/>
      <c r="K5317" s="23"/>
      <c r="M5317" s="23"/>
      <c r="N5317" s="23"/>
      <c r="P5317" s="23"/>
    </row>
    <row r="5318" spans="2:16" x14ac:dyDescent="0.25">
      <c r="B5318" s="23"/>
      <c r="E5318" s="23"/>
      <c r="G5318" s="23"/>
      <c r="H5318" s="23"/>
      <c r="J5318" s="23"/>
      <c r="K5318" s="23"/>
      <c r="M5318" s="23"/>
      <c r="N5318" s="23"/>
      <c r="P5318" s="23"/>
    </row>
    <row r="5319" spans="2:16" x14ac:dyDescent="0.25">
      <c r="B5319" s="23"/>
      <c r="E5319" s="23"/>
      <c r="G5319" s="23"/>
      <c r="H5319" s="23"/>
      <c r="J5319" s="23"/>
      <c r="K5319" s="23"/>
      <c r="M5319" s="23"/>
      <c r="N5319" s="23"/>
      <c r="P5319" s="23"/>
    </row>
    <row r="5320" spans="2:16" x14ac:dyDescent="0.25">
      <c r="B5320" s="23"/>
      <c r="E5320" s="23"/>
      <c r="G5320" s="23"/>
      <c r="H5320" s="23"/>
      <c r="J5320" s="23"/>
      <c r="K5320" s="23"/>
      <c r="M5320" s="23"/>
      <c r="N5320" s="23"/>
      <c r="P5320" s="23"/>
    </row>
    <row r="5321" spans="2:16" x14ac:dyDescent="0.25">
      <c r="B5321" s="23"/>
      <c r="E5321" s="23"/>
      <c r="G5321" s="23"/>
      <c r="H5321" s="23"/>
      <c r="J5321" s="23"/>
      <c r="K5321" s="23"/>
      <c r="M5321" s="23"/>
      <c r="N5321" s="23"/>
      <c r="P5321" s="23"/>
    </row>
    <row r="5322" spans="2:16" x14ac:dyDescent="0.25">
      <c r="B5322" s="23"/>
      <c r="E5322" s="23"/>
      <c r="G5322" s="23"/>
      <c r="H5322" s="23"/>
      <c r="J5322" s="23"/>
      <c r="K5322" s="23"/>
      <c r="M5322" s="23"/>
      <c r="N5322" s="23"/>
      <c r="P5322" s="23"/>
    </row>
    <row r="5323" spans="2:16" x14ac:dyDescent="0.25">
      <c r="B5323" s="23"/>
      <c r="E5323" s="23"/>
      <c r="G5323" s="23"/>
      <c r="H5323" s="23"/>
      <c r="J5323" s="23"/>
      <c r="K5323" s="23"/>
      <c r="M5323" s="23"/>
      <c r="N5323" s="23"/>
      <c r="P5323" s="23"/>
    </row>
    <row r="5324" spans="2:16" x14ac:dyDescent="0.25">
      <c r="B5324" s="23"/>
      <c r="E5324" s="23"/>
      <c r="G5324" s="23"/>
      <c r="H5324" s="23"/>
      <c r="J5324" s="23"/>
      <c r="K5324" s="23"/>
      <c r="M5324" s="23"/>
      <c r="N5324" s="23"/>
      <c r="P5324" s="23"/>
    </row>
    <row r="5325" spans="2:16" x14ac:dyDescent="0.25">
      <c r="B5325" s="23"/>
      <c r="E5325" s="23"/>
      <c r="G5325" s="23"/>
      <c r="H5325" s="23"/>
      <c r="J5325" s="23"/>
      <c r="K5325" s="23"/>
      <c r="M5325" s="23"/>
      <c r="N5325" s="23"/>
      <c r="P5325" s="23"/>
    </row>
    <row r="5326" spans="2:16" x14ac:dyDescent="0.25">
      <c r="B5326" s="23"/>
      <c r="E5326" s="23"/>
      <c r="G5326" s="23"/>
      <c r="H5326" s="23"/>
      <c r="J5326" s="23"/>
      <c r="K5326" s="23"/>
      <c r="M5326" s="23"/>
      <c r="N5326" s="23"/>
      <c r="P5326" s="23"/>
    </row>
    <row r="5327" spans="2:16" x14ac:dyDescent="0.25">
      <c r="B5327" s="23"/>
      <c r="E5327" s="23"/>
      <c r="G5327" s="23"/>
      <c r="H5327" s="23"/>
      <c r="J5327" s="23"/>
      <c r="K5327" s="23"/>
      <c r="M5327" s="23"/>
      <c r="N5327" s="23"/>
      <c r="P5327" s="23"/>
    </row>
    <row r="5328" spans="2:16" x14ac:dyDescent="0.25">
      <c r="B5328" s="23"/>
      <c r="E5328" s="23"/>
      <c r="G5328" s="23"/>
      <c r="H5328" s="23"/>
      <c r="J5328" s="23"/>
      <c r="K5328" s="23"/>
      <c r="M5328" s="23"/>
      <c r="N5328" s="23"/>
      <c r="P5328" s="23"/>
    </row>
    <row r="5329" spans="2:16" x14ac:dyDescent="0.25">
      <c r="B5329" s="23"/>
      <c r="E5329" s="23"/>
      <c r="G5329" s="23"/>
      <c r="H5329" s="23"/>
      <c r="J5329" s="23"/>
      <c r="K5329" s="23"/>
      <c r="M5329" s="23"/>
      <c r="N5329" s="23"/>
      <c r="P5329" s="23"/>
    </row>
    <row r="5330" spans="2:16" x14ac:dyDescent="0.25">
      <c r="B5330" s="23"/>
      <c r="E5330" s="23"/>
      <c r="G5330" s="23"/>
      <c r="H5330" s="23"/>
      <c r="J5330" s="23"/>
      <c r="K5330" s="23"/>
      <c r="M5330" s="23"/>
      <c r="N5330" s="23"/>
      <c r="P5330" s="23"/>
    </row>
    <row r="5331" spans="2:16" x14ac:dyDescent="0.25">
      <c r="B5331" s="23"/>
      <c r="E5331" s="23"/>
      <c r="G5331" s="23"/>
      <c r="H5331" s="23"/>
      <c r="J5331" s="23"/>
      <c r="K5331" s="23"/>
      <c r="M5331" s="23"/>
      <c r="N5331" s="23"/>
      <c r="P5331" s="23"/>
    </row>
    <row r="5332" spans="2:16" x14ac:dyDescent="0.25">
      <c r="B5332" s="23"/>
      <c r="E5332" s="23"/>
      <c r="G5332" s="23"/>
      <c r="H5332" s="23"/>
      <c r="J5332" s="23"/>
      <c r="K5332" s="23"/>
      <c r="M5332" s="23"/>
      <c r="N5332" s="23"/>
      <c r="P5332" s="23"/>
    </row>
    <row r="5333" spans="2:16" x14ac:dyDescent="0.25">
      <c r="B5333" s="23"/>
      <c r="E5333" s="23"/>
      <c r="G5333" s="23"/>
      <c r="H5333" s="23"/>
      <c r="J5333" s="23"/>
      <c r="K5333" s="23"/>
      <c r="M5333" s="23"/>
      <c r="N5333" s="23"/>
      <c r="P5333" s="23"/>
    </row>
    <row r="5334" spans="2:16" x14ac:dyDescent="0.25">
      <c r="B5334" s="23"/>
      <c r="E5334" s="23"/>
      <c r="G5334" s="23"/>
      <c r="H5334" s="23"/>
      <c r="J5334" s="23"/>
      <c r="K5334" s="23"/>
      <c r="M5334" s="23"/>
      <c r="N5334" s="23"/>
      <c r="P5334" s="23"/>
    </row>
    <row r="5335" spans="2:16" x14ac:dyDescent="0.25">
      <c r="B5335" s="23"/>
      <c r="E5335" s="23"/>
      <c r="G5335" s="23"/>
      <c r="H5335" s="23"/>
      <c r="J5335" s="23"/>
      <c r="K5335" s="23"/>
      <c r="M5335" s="23"/>
      <c r="N5335" s="23"/>
      <c r="P5335" s="23"/>
    </row>
    <row r="5336" spans="2:16" x14ac:dyDescent="0.25">
      <c r="B5336" s="23"/>
      <c r="E5336" s="23"/>
      <c r="G5336" s="23"/>
      <c r="H5336" s="23"/>
      <c r="J5336" s="23"/>
      <c r="K5336" s="23"/>
      <c r="M5336" s="23"/>
      <c r="N5336" s="23"/>
      <c r="P5336" s="23"/>
    </row>
    <row r="5337" spans="2:16" x14ac:dyDescent="0.25">
      <c r="B5337" s="23"/>
      <c r="E5337" s="23"/>
      <c r="G5337" s="23"/>
      <c r="H5337" s="23"/>
      <c r="J5337" s="23"/>
      <c r="K5337" s="23"/>
      <c r="M5337" s="23"/>
      <c r="N5337" s="23"/>
      <c r="P5337" s="23"/>
    </row>
    <row r="5338" spans="2:16" x14ac:dyDescent="0.25">
      <c r="B5338" s="23"/>
      <c r="E5338" s="23"/>
      <c r="G5338" s="23"/>
      <c r="H5338" s="23"/>
      <c r="J5338" s="23"/>
      <c r="K5338" s="23"/>
      <c r="M5338" s="23"/>
      <c r="N5338" s="23"/>
      <c r="P5338" s="23"/>
    </row>
    <row r="5339" spans="2:16" x14ac:dyDescent="0.25">
      <c r="B5339" s="23"/>
      <c r="E5339" s="23"/>
      <c r="G5339" s="23"/>
      <c r="H5339" s="23"/>
      <c r="J5339" s="23"/>
      <c r="K5339" s="23"/>
      <c r="M5339" s="23"/>
      <c r="N5339" s="23"/>
      <c r="P5339" s="23"/>
    </row>
    <row r="5340" spans="2:16" x14ac:dyDescent="0.25">
      <c r="B5340" s="23"/>
      <c r="E5340" s="23"/>
      <c r="G5340" s="23"/>
      <c r="H5340" s="23"/>
      <c r="J5340" s="23"/>
      <c r="K5340" s="23"/>
      <c r="M5340" s="23"/>
      <c r="N5340" s="23"/>
      <c r="P5340" s="23"/>
    </row>
    <row r="5341" spans="2:16" x14ac:dyDescent="0.25">
      <c r="B5341" s="23"/>
      <c r="E5341" s="23"/>
      <c r="G5341" s="23"/>
      <c r="H5341" s="23"/>
      <c r="J5341" s="23"/>
      <c r="K5341" s="23"/>
      <c r="M5341" s="23"/>
      <c r="N5341" s="23"/>
      <c r="P5341" s="23"/>
    </row>
    <row r="5342" spans="2:16" x14ac:dyDescent="0.25">
      <c r="B5342" s="23"/>
      <c r="E5342" s="23"/>
      <c r="G5342" s="23"/>
      <c r="H5342" s="23"/>
      <c r="J5342" s="23"/>
      <c r="K5342" s="23"/>
      <c r="M5342" s="23"/>
      <c r="N5342" s="23"/>
      <c r="P5342" s="23"/>
    </row>
    <row r="5343" spans="2:16" x14ac:dyDescent="0.25">
      <c r="B5343" s="23"/>
      <c r="E5343" s="23"/>
      <c r="G5343" s="23"/>
      <c r="H5343" s="23"/>
      <c r="J5343" s="23"/>
      <c r="K5343" s="23"/>
      <c r="M5343" s="23"/>
      <c r="N5343" s="23"/>
      <c r="P5343" s="23"/>
    </row>
    <row r="5344" spans="2:16" x14ac:dyDescent="0.25">
      <c r="B5344" s="23"/>
      <c r="E5344" s="23"/>
      <c r="G5344" s="23"/>
      <c r="H5344" s="23"/>
      <c r="J5344" s="23"/>
      <c r="K5344" s="23"/>
      <c r="M5344" s="23"/>
      <c r="N5344" s="23"/>
      <c r="P5344" s="23"/>
    </row>
    <row r="5345" spans="2:16" x14ac:dyDescent="0.25">
      <c r="B5345" s="23"/>
      <c r="E5345" s="23"/>
      <c r="G5345" s="23"/>
      <c r="H5345" s="23"/>
      <c r="J5345" s="23"/>
      <c r="K5345" s="23"/>
      <c r="M5345" s="23"/>
      <c r="N5345" s="23"/>
      <c r="P5345" s="23"/>
    </row>
    <row r="5346" spans="2:16" x14ac:dyDescent="0.25">
      <c r="B5346" s="23"/>
      <c r="E5346" s="23"/>
      <c r="G5346" s="23"/>
      <c r="H5346" s="23"/>
      <c r="J5346" s="23"/>
      <c r="K5346" s="23"/>
      <c r="M5346" s="23"/>
      <c r="N5346" s="23"/>
      <c r="P5346" s="23"/>
    </row>
    <row r="5347" spans="2:16" x14ac:dyDescent="0.25">
      <c r="B5347" s="23"/>
      <c r="E5347" s="23"/>
      <c r="G5347" s="23"/>
      <c r="H5347" s="23"/>
      <c r="J5347" s="23"/>
      <c r="K5347" s="23"/>
      <c r="M5347" s="23"/>
      <c r="N5347" s="23"/>
      <c r="P5347" s="23"/>
    </row>
    <row r="5348" spans="2:16" x14ac:dyDescent="0.25">
      <c r="B5348" s="23"/>
      <c r="E5348" s="23"/>
      <c r="G5348" s="23"/>
      <c r="H5348" s="23"/>
      <c r="J5348" s="23"/>
      <c r="K5348" s="23"/>
      <c r="M5348" s="23"/>
      <c r="N5348" s="23"/>
      <c r="P5348" s="23"/>
    </row>
    <row r="5349" spans="2:16" x14ac:dyDescent="0.25">
      <c r="B5349" s="23"/>
      <c r="E5349" s="23"/>
      <c r="G5349" s="23"/>
      <c r="H5349" s="23"/>
      <c r="J5349" s="23"/>
      <c r="K5349" s="23"/>
      <c r="M5349" s="23"/>
      <c r="N5349" s="23"/>
      <c r="P5349" s="23"/>
    </row>
    <row r="5350" spans="2:16" x14ac:dyDescent="0.25">
      <c r="B5350" s="23"/>
      <c r="E5350" s="23"/>
      <c r="G5350" s="23"/>
      <c r="H5350" s="23"/>
      <c r="J5350" s="23"/>
      <c r="K5350" s="23"/>
      <c r="M5350" s="23"/>
      <c r="N5350" s="23"/>
      <c r="P5350" s="23"/>
    </row>
    <row r="5351" spans="2:16" x14ac:dyDescent="0.25">
      <c r="B5351" s="23"/>
      <c r="E5351" s="23"/>
      <c r="G5351" s="23"/>
      <c r="H5351" s="23"/>
      <c r="J5351" s="23"/>
      <c r="K5351" s="23"/>
      <c r="M5351" s="23"/>
      <c r="N5351" s="23"/>
      <c r="P5351" s="23"/>
    </row>
    <row r="5352" spans="2:16" x14ac:dyDescent="0.25">
      <c r="B5352" s="23"/>
      <c r="E5352" s="23"/>
      <c r="G5352" s="23"/>
      <c r="H5352" s="23"/>
      <c r="J5352" s="23"/>
      <c r="K5352" s="23"/>
      <c r="M5352" s="23"/>
      <c r="N5352" s="23"/>
      <c r="P5352" s="23"/>
    </row>
    <row r="5353" spans="2:16" x14ac:dyDescent="0.25">
      <c r="B5353" s="23"/>
      <c r="E5353" s="23"/>
      <c r="G5353" s="23"/>
      <c r="H5353" s="23"/>
      <c r="J5353" s="23"/>
      <c r="K5353" s="23"/>
      <c r="M5353" s="23"/>
      <c r="N5353" s="23"/>
      <c r="P5353" s="23"/>
    </row>
    <row r="5354" spans="2:16" x14ac:dyDescent="0.25">
      <c r="B5354" s="23"/>
      <c r="E5354" s="23"/>
      <c r="G5354" s="23"/>
      <c r="H5354" s="23"/>
      <c r="J5354" s="23"/>
      <c r="K5354" s="23"/>
      <c r="M5354" s="23"/>
      <c r="N5354" s="23"/>
      <c r="P5354" s="23"/>
    </row>
    <row r="5355" spans="2:16" x14ac:dyDescent="0.25">
      <c r="B5355" s="23"/>
      <c r="E5355" s="23"/>
      <c r="G5355" s="23"/>
      <c r="H5355" s="23"/>
      <c r="J5355" s="23"/>
      <c r="K5355" s="23"/>
      <c r="M5355" s="23"/>
      <c r="N5355" s="23"/>
      <c r="P5355" s="23"/>
    </row>
    <row r="5356" spans="2:16" x14ac:dyDescent="0.25">
      <c r="B5356" s="23"/>
      <c r="E5356" s="23"/>
      <c r="G5356" s="23"/>
      <c r="H5356" s="23"/>
      <c r="J5356" s="23"/>
      <c r="K5356" s="23"/>
      <c r="M5356" s="23"/>
      <c r="N5356" s="23"/>
      <c r="P5356" s="23"/>
    </row>
    <row r="5357" spans="2:16" x14ac:dyDescent="0.25">
      <c r="B5357" s="23"/>
      <c r="E5357" s="23"/>
      <c r="G5357" s="23"/>
      <c r="H5357" s="23"/>
      <c r="J5357" s="23"/>
      <c r="K5357" s="23"/>
      <c r="M5357" s="23"/>
      <c r="N5357" s="23"/>
      <c r="P5357" s="23"/>
    </row>
    <row r="5358" spans="2:16" x14ac:dyDescent="0.25">
      <c r="B5358" s="23"/>
      <c r="E5358" s="23"/>
      <c r="G5358" s="23"/>
      <c r="H5358" s="23"/>
      <c r="J5358" s="23"/>
      <c r="K5358" s="23"/>
      <c r="M5358" s="23"/>
      <c r="N5358" s="23"/>
      <c r="P5358" s="23"/>
    </row>
    <row r="5359" spans="2:16" x14ac:dyDescent="0.25">
      <c r="B5359" s="23"/>
      <c r="E5359" s="23"/>
      <c r="G5359" s="23"/>
      <c r="H5359" s="23"/>
      <c r="J5359" s="23"/>
      <c r="K5359" s="23"/>
      <c r="M5359" s="23"/>
      <c r="N5359" s="23"/>
      <c r="P5359" s="23"/>
    </row>
    <row r="5360" spans="2:16" x14ac:dyDescent="0.25">
      <c r="B5360" s="23"/>
      <c r="E5360" s="23"/>
      <c r="G5360" s="23"/>
      <c r="H5360" s="23"/>
      <c r="J5360" s="23"/>
      <c r="K5360" s="23"/>
      <c r="M5360" s="23"/>
      <c r="N5360" s="23"/>
      <c r="P5360" s="23"/>
    </row>
    <row r="5361" spans="2:16" x14ac:dyDescent="0.25">
      <c r="B5361" s="23"/>
      <c r="E5361" s="23"/>
      <c r="G5361" s="23"/>
      <c r="H5361" s="23"/>
      <c r="J5361" s="23"/>
      <c r="K5361" s="23"/>
      <c r="M5361" s="23"/>
      <c r="N5361" s="23"/>
      <c r="P5361" s="23"/>
    </row>
    <row r="5362" spans="2:16" x14ac:dyDescent="0.25">
      <c r="B5362" s="23"/>
      <c r="E5362" s="23"/>
      <c r="G5362" s="23"/>
      <c r="H5362" s="23"/>
      <c r="J5362" s="23"/>
      <c r="K5362" s="23"/>
      <c r="M5362" s="23"/>
      <c r="N5362" s="23"/>
      <c r="P5362" s="23"/>
    </row>
    <row r="5363" spans="2:16" x14ac:dyDescent="0.25">
      <c r="B5363" s="23"/>
      <c r="E5363" s="23"/>
      <c r="G5363" s="23"/>
      <c r="H5363" s="23"/>
      <c r="J5363" s="23"/>
      <c r="K5363" s="23"/>
      <c r="M5363" s="23"/>
      <c r="N5363" s="23"/>
      <c r="P5363" s="23"/>
    </row>
    <row r="5364" spans="2:16" x14ac:dyDescent="0.25">
      <c r="B5364" s="23"/>
      <c r="E5364" s="23"/>
      <c r="G5364" s="23"/>
      <c r="H5364" s="23"/>
      <c r="J5364" s="23"/>
      <c r="K5364" s="23"/>
      <c r="M5364" s="23"/>
      <c r="N5364" s="23"/>
      <c r="P5364" s="23"/>
    </row>
    <row r="5365" spans="2:16" x14ac:dyDescent="0.25">
      <c r="B5365" s="23"/>
      <c r="E5365" s="23"/>
      <c r="G5365" s="23"/>
      <c r="H5365" s="23"/>
      <c r="J5365" s="23"/>
      <c r="K5365" s="23"/>
      <c r="M5365" s="23"/>
      <c r="N5365" s="23"/>
      <c r="P5365" s="23"/>
    </row>
    <row r="5366" spans="2:16" x14ac:dyDescent="0.25">
      <c r="B5366" s="23"/>
      <c r="E5366" s="23"/>
      <c r="G5366" s="23"/>
      <c r="H5366" s="23"/>
      <c r="J5366" s="23"/>
      <c r="K5366" s="23"/>
      <c r="M5366" s="23"/>
      <c r="N5366" s="23"/>
      <c r="P5366" s="23"/>
    </row>
    <row r="5367" spans="2:16" x14ac:dyDescent="0.25">
      <c r="B5367" s="23"/>
      <c r="E5367" s="23"/>
      <c r="G5367" s="23"/>
      <c r="H5367" s="23"/>
      <c r="J5367" s="23"/>
      <c r="K5367" s="23"/>
      <c r="M5367" s="23"/>
      <c r="N5367" s="23"/>
      <c r="P5367" s="23"/>
    </row>
    <row r="5368" spans="2:16" x14ac:dyDescent="0.25">
      <c r="B5368" s="23"/>
      <c r="E5368" s="23"/>
      <c r="G5368" s="23"/>
      <c r="H5368" s="23"/>
      <c r="J5368" s="23"/>
      <c r="K5368" s="23"/>
      <c r="M5368" s="23"/>
      <c r="N5368" s="23"/>
      <c r="P5368" s="23"/>
    </row>
    <row r="5369" spans="2:16" x14ac:dyDescent="0.25">
      <c r="B5369" s="23"/>
      <c r="E5369" s="23"/>
      <c r="G5369" s="23"/>
      <c r="H5369" s="23"/>
      <c r="J5369" s="23"/>
      <c r="K5369" s="23"/>
      <c r="M5369" s="23"/>
      <c r="N5369" s="23"/>
      <c r="P5369" s="23"/>
    </row>
    <row r="5370" spans="2:16" x14ac:dyDescent="0.25">
      <c r="B5370" s="23"/>
      <c r="E5370" s="23"/>
      <c r="G5370" s="23"/>
      <c r="H5370" s="23"/>
      <c r="J5370" s="23"/>
      <c r="K5370" s="23"/>
      <c r="M5370" s="23"/>
      <c r="N5370" s="23"/>
      <c r="P5370" s="23"/>
    </row>
    <row r="5371" spans="2:16" x14ac:dyDescent="0.25">
      <c r="B5371" s="23"/>
      <c r="E5371" s="23"/>
      <c r="G5371" s="23"/>
      <c r="H5371" s="23"/>
      <c r="J5371" s="23"/>
      <c r="K5371" s="23"/>
      <c r="M5371" s="23"/>
      <c r="N5371" s="23"/>
      <c r="P5371" s="23"/>
    </row>
    <row r="5372" spans="2:16" x14ac:dyDescent="0.25">
      <c r="B5372" s="23"/>
      <c r="E5372" s="23"/>
      <c r="G5372" s="23"/>
      <c r="H5372" s="23"/>
      <c r="J5372" s="23"/>
      <c r="K5372" s="23"/>
      <c r="M5372" s="23"/>
      <c r="N5372" s="23"/>
      <c r="P5372" s="23"/>
    </row>
    <row r="5373" spans="2:16" x14ac:dyDescent="0.25">
      <c r="B5373" s="23"/>
      <c r="E5373" s="23"/>
      <c r="G5373" s="23"/>
      <c r="H5373" s="23"/>
      <c r="J5373" s="23"/>
      <c r="K5373" s="23"/>
      <c r="M5373" s="23"/>
      <c r="N5373" s="23"/>
      <c r="P5373" s="23"/>
    </row>
    <row r="5374" spans="2:16" x14ac:dyDescent="0.25">
      <c r="B5374" s="23"/>
      <c r="E5374" s="23"/>
      <c r="G5374" s="23"/>
      <c r="H5374" s="23"/>
      <c r="J5374" s="23"/>
      <c r="K5374" s="23"/>
      <c r="M5374" s="23"/>
      <c r="N5374" s="23"/>
      <c r="P5374" s="23"/>
    </row>
    <row r="5375" spans="2:16" x14ac:dyDescent="0.25">
      <c r="B5375" s="23"/>
      <c r="E5375" s="23"/>
      <c r="G5375" s="23"/>
      <c r="H5375" s="23"/>
      <c r="J5375" s="23"/>
      <c r="K5375" s="23"/>
      <c r="M5375" s="23"/>
      <c r="N5375" s="23"/>
      <c r="P5375" s="23"/>
    </row>
    <row r="5376" spans="2:16" x14ac:dyDescent="0.25">
      <c r="B5376" s="23"/>
      <c r="E5376" s="23"/>
      <c r="G5376" s="23"/>
      <c r="H5376" s="23"/>
      <c r="J5376" s="23"/>
      <c r="K5376" s="23"/>
      <c r="M5376" s="23"/>
      <c r="N5376" s="23"/>
      <c r="P5376" s="23"/>
    </row>
    <row r="5377" spans="2:16" x14ac:dyDescent="0.25">
      <c r="B5377" s="23"/>
      <c r="E5377" s="23"/>
      <c r="G5377" s="23"/>
      <c r="H5377" s="23"/>
      <c r="J5377" s="23"/>
      <c r="K5377" s="23"/>
      <c r="M5377" s="23"/>
      <c r="N5377" s="23"/>
      <c r="P5377" s="23"/>
    </row>
    <row r="5378" spans="2:16" x14ac:dyDescent="0.25">
      <c r="B5378" s="23"/>
      <c r="E5378" s="23"/>
      <c r="G5378" s="23"/>
      <c r="H5378" s="23"/>
      <c r="J5378" s="23"/>
      <c r="K5378" s="23"/>
      <c r="M5378" s="23"/>
      <c r="N5378" s="23"/>
      <c r="P5378" s="23"/>
    </row>
    <row r="5379" spans="2:16" x14ac:dyDescent="0.25">
      <c r="B5379" s="23"/>
      <c r="E5379" s="23"/>
      <c r="G5379" s="23"/>
      <c r="H5379" s="23"/>
      <c r="J5379" s="23"/>
      <c r="K5379" s="23"/>
      <c r="M5379" s="23"/>
      <c r="N5379" s="23"/>
      <c r="P5379" s="23"/>
    </row>
    <row r="5380" spans="2:16" x14ac:dyDescent="0.25">
      <c r="B5380" s="23"/>
      <c r="E5380" s="23"/>
      <c r="G5380" s="23"/>
      <c r="H5380" s="23"/>
      <c r="J5380" s="23"/>
      <c r="K5380" s="23"/>
      <c r="M5380" s="23"/>
      <c r="N5380" s="23"/>
      <c r="P5380" s="23"/>
    </row>
    <row r="5381" spans="2:16" x14ac:dyDescent="0.25">
      <c r="B5381" s="23"/>
      <c r="E5381" s="23"/>
      <c r="G5381" s="23"/>
      <c r="H5381" s="23"/>
      <c r="J5381" s="23"/>
      <c r="K5381" s="23"/>
      <c r="M5381" s="23"/>
      <c r="N5381" s="23"/>
      <c r="P5381" s="23"/>
    </row>
    <row r="5382" spans="2:16" x14ac:dyDescent="0.25">
      <c r="B5382" s="23"/>
      <c r="E5382" s="23"/>
      <c r="G5382" s="23"/>
      <c r="H5382" s="23"/>
      <c r="J5382" s="23"/>
      <c r="K5382" s="23"/>
      <c r="M5382" s="23"/>
      <c r="N5382" s="23"/>
      <c r="P5382" s="23"/>
    </row>
    <row r="5383" spans="2:16" x14ac:dyDescent="0.25">
      <c r="B5383" s="23"/>
      <c r="E5383" s="23"/>
      <c r="G5383" s="23"/>
      <c r="H5383" s="23"/>
      <c r="J5383" s="23"/>
      <c r="K5383" s="23"/>
      <c r="M5383" s="23"/>
      <c r="N5383" s="23"/>
      <c r="P5383" s="23"/>
    </row>
    <row r="5384" spans="2:16" x14ac:dyDescent="0.25">
      <c r="B5384" s="23"/>
      <c r="E5384" s="23"/>
      <c r="G5384" s="23"/>
      <c r="H5384" s="23"/>
      <c r="J5384" s="23"/>
      <c r="K5384" s="23"/>
      <c r="M5384" s="23"/>
      <c r="N5384" s="23"/>
      <c r="P5384" s="23"/>
    </row>
    <row r="5385" spans="2:16" x14ac:dyDescent="0.25">
      <c r="B5385" s="23"/>
      <c r="E5385" s="23"/>
      <c r="G5385" s="23"/>
      <c r="H5385" s="23"/>
      <c r="J5385" s="23"/>
      <c r="K5385" s="23"/>
      <c r="M5385" s="23"/>
      <c r="N5385" s="23"/>
      <c r="P5385" s="23"/>
    </row>
    <row r="5386" spans="2:16" x14ac:dyDescent="0.25">
      <c r="B5386" s="23"/>
      <c r="E5386" s="23"/>
      <c r="G5386" s="23"/>
      <c r="H5386" s="23"/>
      <c r="J5386" s="23"/>
      <c r="K5386" s="23"/>
      <c r="M5386" s="23"/>
      <c r="N5386" s="23"/>
      <c r="P5386" s="23"/>
    </row>
    <row r="5387" spans="2:16" x14ac:dyDescent="0.25">
      <c r="B5387" s="23"/>
      <c r="E5387" s="23"/>
      <c r="G5387" s="23"/>
      <c r="H5387" s="23"/>
      <c r="J5387" s="23"/>
      <c r="K5387" s="23"/>
      <c r="M5387" s="23"/>
      <c r="N5387" s="23"/>
      <c r="P5387" s="23"/>
    </row>
    <row r="5388" spans="2:16" x14ac:dyDescent="0.25">
      <c r="B5388" s="23"/>
      <c r="E5388" s="23"/>
      <c r="G5388" s="23"/>
      <c r="H5388" s="23"/>
      <c r="J5388" s="23"/>
      <c r="K5388" s="23"/>
      <c r="M5388" s="23"/>
      <c r="N5388" s="23"/>
      <c r="P5388" s="23"/>
    </row>
    <row r="5389" spans="2:16" x14ac:dyDescent="0.25">
      <c r="B5389" s="23"/>
      <c r="E5389" s="23"/>
      <c r="G5389" s="23"/>
      <c r="H5389" s="23"/>
      <c r="J5389" s="23"/>
      <c r="K5389" s="23"/>
      <c r="M5389" s="23"/>
      <c r="N5389" s="23"/>
      <c r="P5389" s="23"/>
    </row>
    <row r="5390" spans="2:16" x14ac:dyDescent="0.25">
      <c r="B5390" s="23"/>
      <c r="E5390" s="23"/>
      <c r="G5390" s="23"/>
      <c r="H5390" s="23"/>
      <c r="J5390" s="23"/>
      <c r="K5390" s="23"/>
      <c r="M5390" s="23"/>
      <c r="N5390" s="23"/>
      <c r="P5390" s="23"/>
    </row>
    <row r="5391" spans="2:16" x14ac:dyDescent="0.25">
      <c r="B5391" s="23"/>
      <c r="E5391" s="23"/>
      <c r="G5391" s="23"/>
      <c r="H5391" s="23"/>
      <c r="J5391" s="23"/>
      <c r="K5391" s="23"/>
      <c r="M5391" s="23"/>
      <c r="N5391" s="23"/>
      <c r="P5391" s="23"/>
    </row>
    <row r="5392" spans="2:16" x14ac:dyDescent="0.25">
      <c r="B5392" s="23"/>
      <c r="E5392" s="23"/>
      <c r="G5392" s="23"/>
      <c r="H5392" s="23"/>
      <c r="J5392" s="23"/>
      <c r="K5392" s="23"/>
      <c r="M5392" s="23"/>
      <c r="N5392" s="23"/>
      <c r="P5392" s="23"/>
    </row>
    <row r="5393" spans="2:16" x14ac:dyDescent="0.25">
      <c r="B5393" s="23"/>
      <c r="E5393" s="23"/>
      <c r="G5393" s="23"/>
      <c r="H5393" s="23"/>
      <c r="J5393" s="23"/>
      <c r="K5393" s="23"/>
      <c r="M5393" s="23"/>
      <c r="N5393" s="23"/>
      <c r="P5393" s="23"/>
    </row>
    <row r="5394" spans="2:16" x14ac:dyDescent="0.25">
      <c r="B5394" s="23"/>
      <c r="E5394" s="23"/>
      <c r="G5394" s="23"/>
      <c r="H5394" s="23"/>
      <c r="J5394" s="23"/>
      <c r="K5394" s="23"/>
      <c r="M5394" s="23"/>
      <c r="N5394" s="23"/>
      <c r="P5394" s="23"/>
    </row>
    <row r="5395" spans="2:16" x14ac:dyDescent="0.25">
      <c r="B5395" s="23"/>
      <c r="E5395" s="23"/>
      <c r="G5395" s="23"/>
      <c r="H5395" s="23"/>
      <c r="J5395" s="23"/>
      <c r="K5395" s="23"/>
      <c r="M5395" s="23"/>
      <c r="N5395" s="23"/>
      <c r="P5395" s="23"/>
    </row>
    <row r="5396" spans="2:16" x14ac:dyDescent="0.25">
      <c r="B5396" s="23"/>
      <c r="E5396" s="23"/>
      <c r="G5396" s="23"/>
      <c r="H5396" s="23"/>
      <c r="J5396" s="23"/>
      <c r="K5396" s="23"/>
      <c r="M5396" s="23"/>
      <c r="N5396" s="23"/>
      <c r="P5396" s="23"/>
    </row>
    <row r="5397" spans="2:16" x14ac:dyDescent="0.25">
      <c r="B5397" s="23"/>
      <c r="E5397" s="23"/>
      <c r="G5397" s="23"/>
      <c r="H5397" s="23"/>
      <c r="J5397" s="23"/>
      <c r="K5397" s="23"/>
      <c r="M5397" s="23"/>
      <c r="N5397" s="23"/>
      <c r="P5397" s="23"/>
    </row>
    <row r="5398" spans="2:16" x14ac:dyDescent="0.25">
      <c r="B5398" s="23"/>
      <c r="E5398" s="23"/>
      <c r="G5398" s="23"/>
      <c r="H5398" s="23"/>
      <c r="J5398" s="23"/>
      <c r="K5398" s="23"/>
      <c r="M5398" s="23"/>
      <c r="N5398" s="23"/>
      <c r="P5398" s="23"/>
    </row>
    <row r="5399" spans="2:16" x14ac:dyDescent="0.25">
      <c r="B5399" s="23"/>
      <c r="E5399" s="23"/>
      <c r="G5399" s="23"/>
      <c r="H5399" s="23"/>
      <c r="J5399" s="23"/>
      <c r="K5399" s="23"/>
      <c r="M5399" s="23"/>
      <c r="N5399" s="23"/>
      <c r="P5399" s="23"/>
    </row>
    <row r="5400" spans="2:16" x14ac:dyDescent="0.25">
      <c r="B5400" s="23"/>
      <c r="E5400" s="23"/>
      <c r="G5400" s="23"/>
      <c r="H5400" s="23"/>
      <c r="J5400" s="23"/>
      <c r="K5400" s="23"/>
      <c r="M5400" s="23"/>
      <c r="N5400" s="23"/>
      <c r="P5400" s="23"/>
    </row>
    <row r="5401" spans="2:16" x14ac:dyDescent="0.25">
      <c r="B5401" s="23"/>
      <c r="E5401" s="23"/>
      <c r="G5401" s="23"/>
      <c r="H5401" s="23"/>
      <c r="J5401" s="23"/>
      <c r="K5401" s="23"/>
      <c r="M5401" s="23"/>
      <c r="N5401" s="23"/>
      <c r="P5401" s="23"/>
    </row>
    <row r="5402" spans="2:16" x14ac:dyDescent="0.25">
      <c r="B5402" s="23"/>
      <c r="E5402" s="23"/>
      <c r="G5402" s="23"/>
      <c r="H5402" s="23"/>
      <c r="J5402" s="23"/>
      <c r="K5402" s="23"/>
      <c r="M5402" s="23"/>
      <c r="N5402" s="23"/>
      <c r="P5402" s="23"/>
    </row>
    <row r="5403" spans="2:16" x14ac:dyDescent="0.25">
      <c r="B5403" s="23"/>
      <c r="E5403" s="23"/>
      <c r="G5403" s="23"/>
      <c r="H5403" s="23"/>
      <c r="J5403" s="23"/>
      <c r="K5403" s="23"/>
      <c r="M5403" s="23"/>
      <c r="N5403" s="23"/>
      <c r="P5403" s="23"/>
    </row>
    <row r="5404" spans="2:16" x14ac:dyDescent="0.25">
      <c r="B5404" s="23"/>
      <c r="E5404" s="23"/>
      <c r="G5404" s="23"/>
      <c r="H5404" s="23"/>
      <c r="J5404" s="23"/>
      <c r="K5404" s="23"/>
      <c r="M5404" s="23"/>
      <c r="N5404" s="23"/>
      <c r="P5404" s="23"/>
    </row>
    <row r="5405" spans="2:16" x14ac:dyDescent="0.25">
      <c r="B5405" s="23"/>
      <c r="E5405" s="23"/>
      <c r="G5405" s="23"/>
      <c r="H5405" s="23"/>
      <c r="J5405" s="23"/>
      <c r="K5405" s="23"/>
      <c r="M5405" s="23"/>
      <c r="N5405" s="23"/>
      <c r="P5405" s="23"/>
    </row>
    <row r="5406" spans="2:16" x14ac:dyDescent="0.25">
      <c r="B5406" s="23"/>
      <c r="E5406" s="23"/>
      <c r="G5406" s="23"/>
      <c r="H5406" s="23"/>
      <c r="J5406" s="23"/>
      <c r="K5406" s="23"/>
      <c r="M5406" s="23"/>
      <c r="N5406" s="23"/>
      <c r="P5406" s="23"/>
    </row>
    <row r="5407" spans="2:16" x14ac:dyDescent="0.25">
      <c r="B5407" s="23"/>
      <c r="E5407" s="23"/>
      <c r="G5407" s="23"/>
      <c r="H5407" s="23"/>
      <c r="J5407" s="23"/>
      <c r="K5407" s="23"/>
      <c r="M5407" s="23"/>
      <c r="N5407" s="23"/>
      <c r="P5407" s="23"/>
    </row>
    <row r="5408" spans="2:16" x14ac:dyDescent="0.25">
      <c r="B5408" s="23"/>
      <c r="E5408" s="23"/>
      <c r="G5408" s="23"/>
      <c r="H5408" s="23"/>
      <c r="J5408" s="23"/>
      <c r="K5408" s="23"/>
      <c r="M5408" s="23"/>
      <c r="N5408" s="23"/>
      <c r="P5408" s="23"/>
    </row>
    <row r="5409" spans="2:16" x14ac:dyDescent="0.25">
      <c r="B5409" s="23"/>
      <c r="E5409" s="23"/>
      <c r="G5409" s="23"/>
      <c r="H5409" s="23"/>
      <c r="J5409" s="23"/>
      <c r="K5409" s="23"/>
      <c r="M5409" s="23"/>
      <c r="N5409" s="23"/>
      <c r="P5409" s="23"/>
    </row>
    <row r="5410" spans="2:16" x14ac:dyDescent="0.25">
      <c r="B5410" s="23"/>
      <c r="E5410" s="23"/>
      <c r="G5410" s="23"/>
      <c r="H5410" s="23"/>
      <c r="J5410" s="23"/>
      <c r="K5410" s="23"/>
      <c r="M5410" s="23"/>
      <c r="N5410" s="23"/>
      <c r="P5410" s="23"/>
    </row>
    <row r="5411" spans="2:16" x14ac:dyDescent="0.25">
      <c r="B5411" s="23"/>
      <c r="E5411" s="23"/>
      <c r="G5411" s="23"/>
      <c r="H5411" s="23"/>
      <c r="J5411" s="23"/>
      <c r="K5411" s="23"/>
      <c r="M5411" s="23"/>
      <c r="N5411" s="23"/>
      <c r="P5411" s="23"/>
    </row>
  </sheetData>
  <pageMargins left="0.75" right="0.75" top="1" bottom="1" header="0.5" footer="0.5"/>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3"/>
  <sheetViews>
    <sheetView workbookViewId="0"/>
  </sheetViews>
  <sheetFormatPr defaultRowHeight="13.2" x14ac:dyDescent="0.25"/>
  <cols>
    <col min="1" max="1" width="52.6640625" customWidth="1"/>
    <col min="2" max="2" width="13.33203125" customWidth="1"/>
    <col min="3" max="3" width="24.88671875" customWidth="1"/>
    <col min="5" max="5" width="22.44140625" customWidth="1"/>
    <col min="6" max="6" width="15" customWidth="1"/>
    <col min="7" max="7" width="31" customWidth="1"/>
    <col min="8" max="8" width="30.88671875" customWidth="1"/>
  </cols>
  <sheetData>
    <row r="1" spans="1:3" x14ac:dyDescent="0.25">
      <c r="A1" s="2" t="s">
        <v>402</v>
      </c>
    </row>
    <row r="2" spans="1:3" x14ac:dyDescent="0.25">
      <c r="A2" s="2" t="s">
        <v>241</v>
      </c>
      <c r="B2" s="877" t="s">
        <v>1115</v>
      </c>
    </row>
    <row r="3" spans="1:3" x14ac:dyDescent="0.25">
      <c r="A3" s="2" t="s">
        <v>242</v>
      </c>
      <c r="B3" s="41">
        <v>2010</v>
      </c>
    </row>
    <row r="4" spans="1:3" x14ac:dyDescent="0.25">
      <c r="A4" s="3"/>
      <c r="B4" s="41"/>
    </row>
    <row r="5" spans="1:3" x14ac:dyDescent="0.25">
      <c r="A5" s="437" t="s">
        <v>408</v>
      </c>
      <c r="B5" s="101"/>
      <c r="C5" s="102"/>
    </row>
    <row r="6" spans="1:3" x14ac:dyDescent="0.25">
      <c r="A6" s="904" t="s">
        <v>340</v>
      </c>
      <c r="B6" s="326"/>
      <c r="C6" s="1403" t="str">
        <f>method</f>
        <v>Renewable Energy Directive</v>
      </c>
    </row>
    <row r="7" spans="1:3" x14ac:dyDescent="0.25">
      <c r="A7" s="904" t="s">
        <v>1611</v>
      </c>
      <c r="B7" s="326"/>
      <c r="C7" s="1403" t="str">
        <f>fm_type</f>
        <v>Whole Maize</v>
      </c>
    </row>
    <row r="8" spans="1:3" x14ac:dyDescent="0.25">
      <c r="A8" s="904" t="s">
        <v>1656</v>
      </c>
      <c r="B8" s="881" t="s">
        <v>602</v>
      </c>
      <c r="C8" s="1420">
        <f>Unitflowchart!S24/Unitflowchart!S294</f>
        <v>22.367812704634172</v>
      </c>
    </row>
    <row r="9" spans="1:3" x14ac:dyDescent="0.25">
      <c r="A9" s="904" t="s">
        <v>1657</v>
      </c>
      <c r="B9" s="881" t="s">
        <v>185</v>
      </c>
      <c r="C9" s="1413">
        <f>Unitflowchart!S28</f>
        <v>3730</v>
      </c>
    </row>
    <row r="10" spans="1:3" x14ac:dyDescent="0.25">
      <c r="A10" s="904" t="s">
        <v>1658</v>
      </c>
      <c r="B10" s="881" t="s">
        <v>602</v>
      </c>
      <c r="C10" s="1420">
        <f>Unitflowchart!Y26/Unitflowchart!S294</f>
        <v>0</v>
      </c>
    </row>
    <row r="11" spans="1:3" x14ac:dyDescent="0.25">
      <c r="A11" s="904" t="s">
        <v>1659</v>
      </c>
      <c r="B11" s="881" t="s">
        <v>185</v>
      </c>
      <c r="C11" s="1405">
        <f>Unitflowchart!Y30</f>
        <v>0</v>
      </c>
    </row>
    <row r="12" spans="1:3" x14ac:dyDescent="0.25">
      <c r="A12" s="904" t="s">
        <v>1651</v>
      </c>
      <c r="B12" s="326" t="s">
        <v>602</v>
      </c>
      <c r="C12" s="1416">
        <f>Unitflowchart!S173/Unitflowchart!S294</f>
        <v>17.802484778252428</v>
      </c>
    </row>
    <row r="13" spans="1:3" x14ac:dyDescent="0.25">
      <c r="A13" s="904" t="s">
        <v>1652</v>
      </c>
      <c r="B13" s="326" t="s">
        <v>185</v>
      </c>
      <c r="C13" s="696">
        <f>Unitflowchart!S177</f>
        <v>1934.3999999999996</v>
      </c>
    </row>
    <row r="14" spans="1:3" x14ac:dyDescent="0.25">
      <c r="A14" s="293" t="s">
        <v>833</v>
      </c>
      <c r="B14" s="103" t="s">
        <v>602</v>
      </c>
      <c r="C14" s="1415">
        <f>IF(Unitflowchart!N183=1,0,(Unitflowchart!N173/Unitflowchart!S294))</f>
        <v>0</v>
      </c>
    </row>
    <row r="15" spans="1:3" x14ac:dyDescent="0.25">
      <c r="A15" s="293" t="s">
        <v>834</v>
      </c>
      <c r="B15" s="103" t="s">
        <v>185</v>
      </c>
      <c r="C15" s="696">
        <f>Unitflowchart!N177</f>
        <v>2991.119999999999</v>
      </c>
    </row>
    <row r="16" spans="1:3" x14ac:dyDescent="0.25">
      <c r="A16" s="293" t="s">
        <v>939</v>
      </c>
      <c r="B16" s="103" t="s">
        <v>602</v>
      </c>
      <c r="C16" s="1416">
        <f>Unitflowchart!W173/Unitflowchart!S294</f>
        <v>0</v>
      </c>
    </row>
    <row r="17" spans="1:10" x14ac:dyDescent="0.25">
      <c r="A17" s="293" t="s">
        <v>941</v>
      </c>
      <c r="B17" s="103" t="s">
        <v>185</v>
      </c>
      <c r="C17" s="696">
        <f>Unitflowchart!W175</f>
        <v>1519</v>
      </c>
    </row>
    <row r="18" spans="1:10" x14ac:dyDescent="0.25">
      <c r="A18" s="904" t="s">
        <v>2100</v>
      </c>
      <c r="B18" s="103" t="s">
        <v>602</v>
      </c>
      <c r="C18" s="1567">
        <f>Unitflowchart!AA173/Unitflowchart!S294</f>
        <v>0</v>
      </c>
    </row>
    <row r="19" spans="1:10" x14ac:dyDescent="0.25">
      <c r="A19" s="904" t="s">
        <v>2101</v>
      </c>
      <c r="B19" s="103" t="s">
        <v>185</v>
      </c>
      <c r="C19" s="696">
        <f>CV_wax</f>
        <v>40000</v>
      </c>
    </row>
    <row r="20" spans="1:10" x14ac:dyDescent="0.25">
      <c r="A20" s="103" t="s">
        <v>351</v>
      </c>
      <c r="B20" s="213" t="s">
        <v>602</v>
      </c>
      <c r="C20" s="1414">
        <f>Unitflowchart!S286/Unitflowchart!S294</f>
        <v>1</v>
      </c>
    </row>
    <row r="21" spans="1:10" x14ac:dyDescent="0.25">
      <c r="A21" s="105" t="s">
        <v>401</v>
      </c>
      <c r="B21" s="105" t="s">
        <v>185</v>
      </c>
      <c r="C21" s="695">
        <f>Unitflowchart!S290</f>
        <v>26700</v>
      </c>
    </row>
    <row r="22" spans="1:10" x14ac:dyDescent="0.25">
      <c r="A22" s="152"/>
      <c r="B22" s="152"/>
      <c r="C22" s="1400"/>
    </row>
    <row r="23" spans="1:10" ht="26.4" x14ac:dyDescent="0.25">
      <c r="A23" s="151" t="s">
        <v>234</v>
      </c>
      <c r="B23" s="151" t="s">
        <v>900</v>
      </c>
      <c r="C23" s="1402" t="s">
        <v>423</v>
      </c>
      <c r="E23" s="364" t="s">
        <v>901</v>
      </c>
      <c r="F23" s="296" t="s">
        <v>235</v>
      </c>
      <c r="H23" s="418" t="s">
        <v>424</v>
      </c>
    </row>
    <row r="24" spans="1:10" x14ac:dyDescent="0.25">
      <c r="A24" s="1401" t="s">
        <v>1611</v>
      </c>
      <c r="B24" s="1406">
        <f>C8</f>
        <v>22.367812704634172</v>
      </c>
      <c r="C24" s="1407">
        <f>IF(C7="Whole Maize",C9,IF(C6="Renewable Energy Directive",0,C9))</f>
        <v>3730</v>
      </c>
      <c r="E24" s="1408">
        <f>B24*C24</f>
        <v>83431.941388285457</v>
      </c>
      <c r="F24" s="1410">
        <f>(E24/E26)*100</f>
        <v>100</v>
      </c>
      <c r="H24" s="1412">
        <f>$F$24*H29/100</f>
        <v>100</v>
      </c>
    </row>
    <row r="25" spans="1:10" x14ac:dyDescent="0.25">
      <c r="A25" s="852" t="s">
        <v>1655</v>
      </c>
      <c r="B25" s="1406">
        <f>C10</f>
        <v>0</v>
      </c>
      <c r="C25" s="1407">
        <f>C11</f>
        <v>0</v>
      </c>
      <c r="E25" s="1408">
        <f>B25*C25</f>
        <v>0</v>
      </c>
      <c r="F25" s="1410">
        <f>(E25/E26)*100</f>
        <v>0</v>
      </c>
    </row>
    <row r="26" spans="1:10" x14ac:dyDescent="0.25">
      <c r="A26" s="151" t="s">
        <v>12</v>
      </c>
      <c r="B26" s="152"/>
      <c r="C26" s="1400"/>
      <c r="E26" s="1409">
        <f>SUM(E24:E25)</f>
        <v>83431.941388285457</v>
      </c>
      <c r="F26" s="1411">
        <f>SUM(F24:F25)</f>
        <v>100</v>
      </c>
    </row>
    <row r="27" spans="1:10" ht="15.75" customHeight="1" x14ac:dyDescent="0.25"/>
    <row r="28" spans="1:10" ht="24" customHeight="1" x14ac:dyDescent="0.25">
      <c r="A28" s="2" t="s">
        <v>234</v>
      </c>
      <c r="B28" s="296" t="s">
        <v>900</v>
      </c>
      <c r="C28" s="2" t="s">
        <v>423</v>
      </c>
      <c r="D28" s="299"/>
      <c r="E28" s="364" t="s">
        <v>901</v>
      </c>
      <c r="F28" s="296" t="s">
        <v>235</v>
      </c>
      <c r="G28" s="13"/>
      <c r="H28" s="418" t="s">
        <v>424</v>
      </c>
      <c r="J28" s="418"/>
    </row>
    <row r="29" spans="1:10" ht="15" customHeight="1" x14ac:dyDescent="0.25">
      <c r="A29" s="3" t="s">
        <v>1080</v>
      </c>
      <c r="B29" s="109">
        <f>C12</f>
        <v>17.802484778252428</v>
      </c>
      <c r="C29" s="693">
        <f>C13</f>
        <v>1934.3999999999996</v>
      </c>
      <c r="D29" s="299"/>
      <c r="E29" s="362">
        <f t="shared" ref="E29:E31" si="0">B29*C29</f>
        <v>34437.126555051487</v>
      </c>
      <c r="F29" s="294">
        <f>E29/E33*100</f>
        <v>100</v>
      </c>
      <c r="G29" s="13"/>
      <c r="H29" s="783">
        <f>$F$29*H36/100</f>
        <v>100</v>
      </c>
      <c r="J29" s="418"/>
    </row>
    <row r="30" spans="1:10" x14ac:dyDescent="0.25">
      <c r="A30" s="3" t="s">
        <v>836</v>
      </c>
      <c r="B30" s="109">
        <f>C14</f>
        <v>0</v>
      </c>
      <c r="C30" s="693">
        <f>C15</f>
        <v>2991.119999999999</v>
      </c>
      <c r="E30" s="362">
        <f t="shared" si="0"/>
        <v>0</v>
      </c>
      <c r="F30" s="294">
        <f>E30/E33*100</f>
        <v>0</v>
      </c>
      <c r="G30" s="13"/>
      <c r="H30" s="298"/>
    </row>
    <row r="31" spans="1:10" x14ac:dyDescent="0.25">
      <c r="A31" s="3" t="s">
        <v>938</v>
      </c>
      <c r="B31" s="109">
        <f>C16</f>
        <v>0</v>
      </c>
      <c r="C31" s="693">
        <f>C17</f>
        <v>1519</v>
      </c>
      <c r="E31" s="362">
        <f t="shared" si="0"/>
        <v>0</v>
      </c>
      <c r="F31" s="294">
        <f>E31/E33*100</f>
        <v>0</v>
      </c>
      <c r="G31" s="13"/>
      <c r="H31" s="298"/>
    </row>
    <row r="32" spans="1:10" x14ac:dyDescent="0.25">
      <c r="A32" s="844" t="s">
        <v>2102</v>
      </c>
      <c r="B32" s="109">
        <f>C18</f>
        <v>0</v>
      </c>
      <c r="C32" s="693">
        <f>C19</f>
        <v>40000</v>
      </c>
      <c r="E32" s="362">
        <f>B32*C32</f>
        <v>0</v>
      </c>
      <c r="F32" s="294">
        <f>E32/E33*100</f>
        <v>0</v>
      </c>
      <c r="G32" s="13"/>
      <c r="H32" s="298"/>
    </row>
    <row r="33" spans="1:8" x14ac:dyDescent="0.25">
      <c r="A33" s="2" t="s">
        <v>12</v>
      </c>
      <c r="B33" s="13"/>
      <c r="C33" s="13"/>
      <c r="E33" s="291">
        <f>SUM(E29:E32)</f>
        <v>34437.126555051487</v>
      </c>
      <c r="F33" s="297">
        <f>SUM(F29:F32)</f>
        <v>100</v>
      </c>
      <c r="G33" s="13"/>
      <c r="H33" s="13"/>
    </row>
    <row r="34" spans="1:8" x14ac:dyDescent="0.25">
      <c r="A34" s="2"/>
      <c r="B34" s="13"/>
      <c r="C34" s="13"/>
      <c r="E34" s="363"/>
      <c r="F34" s="298"/>
      <c r="G34" s="13"/>
      <c r="H34" s="13"/>
    </row>
    <row r="35" spans="1:8" ht="25.5" customHeight="1" x14ac:dyDescent="0.25">
      <c r="A35" s="2" t="s">
        <v>234</v>
      </c>
      <c r="B35" s="296" t="s">
        <v>900</v>
      </c>
      <c r="C35" s="2" t="s">
        <v>423</v>
      </c>
      <c r="E35" s="364" t="s">
        <v>901</v>
      </c>
      <c r="F35" s="296" t="s">
        <v>235</v>
      </c>
      <c r="G35" s="13"/>
      <c r="H35" s="418" t="s">
        <v>424</v>
      </c>
    </row>
    <row r="36" spans="1:8" x14ac:dyDescent="0.25">
      <c r="A36" t="s">
        <v>353</v>
      </c>
      <c r="B36" s="109">
        <f>C20</f>
        <v>1</v>
      </c>
      <c r="C36" s="693">
        <f>C21</f>
        <v>26700</v>
      </c>
      <c r="E36" s="362">
        <f>B36*C36</f>
        <v>26700</v>
      </c>
      <c r="F36" s="294">
        <f>E36/$E$37*100</f>
        <v>100</v>
      </c>
      <c r="G36" s="13"/>
      <c r="H36" s="783">
        <f>F36</f>
        <v>100</v>
      </c>
    </row>
    <row r="37" spans="1:8" x14ac:dyDescent="0.25">
      <c r="A37" s="2" t="s">
        <v>12</v>
      </c>
      <c r="E37" s="291">
        <f>SUM(E36:E36)</f>
        <v>26700</v>
      </c>
      <c r="F37" s="297">
        <f>SUM(F36:F36)</f>
        <v>100</v>
      </c>
    </row>
    <row r="39" spans="1:8" ht="80.25" customHeight="1" x14ac:dyDescent="0.25">
      <c r="H39" s="419" t="s">
        <v>1653</v>
      </c>
    </row>
    <row r="40" spans="1:8" ht="39.6" x14ac:dyDescent="0.25">
      <c r="G40" s="786" t="s">
        <v>875</v>
      </c>
      <c r="H40" s="784">
        <f>($E$36*100)/($E$30+$E$31+$E$32+$E$36)</f>
        <v>100</v>
      </c>
    </row>
    <row r="42" spans="1:8" x14ac:dyDescent="0.25">
      <c r="H42" s="419"/>
    </row>
    <row r="43" spans="1:8" x14ac:dyDescent="0.25">
      <c r="G43" s="782"/>
      <c r="H43" s="785"/>
    </row>
  </sheetData>
  <pageMargins left="0.7" right="0.7" top="0.75" bottom="0.75" header="0.3" footer="0.3"/>
  <pageSetup paperSize="9" orientation="portrait"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workbookViewId="0"/>
  </sheetViews>
  <sheetFormatPr defaultRowHeight="13.2" x14ac:dyDescent="0.25"/>
  <cols>
    <col min="1" max="1" width="46.6640625" customWidth="1"/>
    <col min="2" max="2" width="14.33203125" customWidth="1"/>
    <col min="3" max="3" width="26.44140625" customWidth="1"/>
    <col min="5" max="5" width="14.6640625" customWidth="1"/>
    <col min="6" max="6" width="13.109375" customWidth="1"/>
    <col min="7" max="7" width="29.44140625" customWidth="1"/>
    <col min="8" max="8" width="31.109375" customWidth="1"/>
    <col min="9" max="9" width="34" customWidth="1"/>
  </cols>
  <sheetData>
    <row r="1" spans="1:3" x14ac:dyDescent="0.25">
      <c r="A1" s="2" t="s">
        <v>350</v>
      </c>
      <c r="B1" s="42"/>
    </row>
    <row r="2" spans="1:3" x14ac:dyDescent="0.25">
      <c r="A2" s="2" t="s">
        <v>241</v>
      </c>
      <c r="B2" s="877" t="s">
        <v>1115</v>
      </c>
    </row>
    <row r="3" spans="1:3" x14ac:dyDescent="0.25">
      <c r="A3" s="2" t="s">
        <v>242</v>
      </c>
      <c r="B3" s="41">
        <v>2010</v>
      </c>
    </row>
    <row r="4" spans="1:3" x14ac:dyDescent="0.25">
      <c r="A4" s="3"/>
      <c r="B4" s="41"/>
    </row>
    <row r="5" spans="1:3" x14ac:dyDescent="0.25">
      <c r="A5" s="437" t="s">
        <v>408</v>
      </c>
      <c r="B5" s="101"/>
      <c r="C5" s="102"/>
    </row>
    <row r="6" spans="1:3" x14ac:dyDescent="0.25">
      <c r="A6" s="904" t="s">
        <v>340</v>
      </c>
      <c r="B6" s="326"/>
      <c r="C6" s="1403" t="str">
        <f>method</f>
        <v>Renewable Energy Directive</v>
      </c>
    </row>
    <row r="7" spans="1:3" x14ac:dyDescent="0.25">
      <c r="A7" s="904" t="s">
        <v>1611</v>
      </c>
      <c r="B7" s="326"/>
      <c r="C7" s="1403" t="str">
        <f>fm_type</f>
        <v>Whole Maize</v>
      </c>
    </row>
    <row r="8" spans="1:3" x14ac:dyDescent="0.25">
      <c r="A8" s="904" t="s">
        <v>1656</v>
      </c>
      <c r="B8" s="881" t="s">
        <v>602</v>
      </c>
      <c r="C8" s="1571">
        <f>Unitflowchart!S24/Unitflowchart!S294</f>
        <v>22.367812704634172</v>
      </c>
    </row>
    <row r="9" spans="1:3" x14ac:dyDescent="0.25">
      <c r="A9" s="904" t="s">
        <v>1664</v>
      </c>
      <c r="B9" s="881" t="s">
        <v>233</v>
      </c>
      <c r="C9" s="1570">
        <f>Unitflowchart!S30</f>
        <v>56.7</v>
      </c>
    </row>
    <row r="10" spans="1:3" x14ac:dyDescent="0.25">
      <c r="A10" s="904" t="s">
        <v>1658</v>
      </c>
      <c r="B10" s="881" t="s">
        <v>602</v>
      </c>
      <c r="C10" s="1420">
        <f>Unitflowchart!Y26/Unitflowchart!S294</f>
        <v>0</v>
      </c>
    </row>
    <row r="11" spans="1:3" x14ac:dyDescent="0.25">
      <c r="A11" s="904" t="s">
        <v>1665</v>
      </c>
      <c r="B11" s="881" t="s">
        <v>1663</v>
      </c>
      <c r="C11" s="1404">
        <f>Unitflowchart!Y32</f>
        <v>0</v>
      </c>
    </row>
    <row r="12" spans="1:3" x14ac:dyDescent="0.25">
      <c r="A12" s="904" t="s">
        <v>1651</v>
      </c>
      <c r="B12" s="326" t="s">
        <v>602</v>
      </c>
      <c r="C12" s="1416">
        <f>Unitflowchart!S173/Unitflowchart!S294</f>
        <v>17.802484778252428</v>
      </c>
    </row>
    <row r="13" spans="1:3" x14ac:dyDescent="0.25">
      <c r="A13" s="904" t="s">
        <v>1118</v>
      </c>
      <c r="B13" s="881" t="s">
        <v>233</v>
      </c>
      <c r="C13" s="1569">
        <f>Unitflowchart!S179</f>
        <v>24.699999999999996</v>
      </c>
    </row>
    <row r="14" spans="1:3" x14ac:dyDescent="0.25">
      <c r="A14" s="293" t="s">
        <v>833</v>
      </c>
      <c r="B14" s="103" t="s">
        <v>602</v>
      </c>
      <c r="C14" s="1414">
        <f>IF(Unitflowchart!N183=1,0,(Unitflowchart!N173/Unitflowchart!S294))</f>
        <v>0</v>
      </c>
    </row>
    <row r="15" spans="1:3" x14ac:dyDescent="0.25">
      <c r="A15" s="293" t="s">
        <v>904</v>
      </c>
      <c r="B15" s="103" t="s">
        <v>233</v>
      </c>
      <c r="C15" s="1569">
        <f>Unitflowchart!N179</f>
        <v>12.099999999999996</v>
      </c>
    </row>
    <row r="16" spans="1:3" x14ac:dyDescent="0.25">
      <c r="A16" s="293" t="s">
        <v>939</v>
      </c>
      <c r="B16" s="103" t="s">
        <v>602</v>
      </c>
      <c r="C16" s="1414">
        <f>Unitflowchart!W173/Unitflowchart!S294</f>
        <v>0</v>
      </c>
    </row>
    <row r="17" spans="1:8" x14ac:dyDescent="0.25">
      <c r="A17" s="293" t="s">
        <v>942</v>
      </c>
      <c r="B17" s="103" t="s">
        <v>233</v>
      </c>
      <c r="C17" s="210">
        <f>Unitflowchart!W177</f>
        <v>19</v>
      </c>
    </row>
    <row r="18" spans="1:8" x14ac:dyDescent="0.25">
      <c r="A18" s="904" t="s">
        <v>2100</v>
      </c>
      <c r="B18" s="103" t="s">
        <v>602</v>
      </c>
      <c r="C18" s="669">
        <f>Unitflowchart!AA173/Unitflowchart!S294</f>
        <v>0</v>
      </c>
    </row>
    <row r="19" spans="1:8" x14ac:dyDescent="0.25">
      <c r="A19" s="904" t="s">
        <v>2105</v>
      </c>
      <c r="B19" s="103" t="s">
        <v>233</v>
      </c>
      <c r="C19" s="1568">
        <f>price_wax</f>
        <v>8000</v>
      </c>
    </row>
    <row r="20" spans="1:8" x14ac:dyDescent="0.25">
      <c r="A20" s="904" t="s">
        <v>1765</v>
      </c>
      <c r="B20" s="293" t="s">
        <v>602</v>
      </c>
      <c r="C20" s="1414">
        <f>Unitflowchart!S226/Unitflowchart!S294</f>
        <v>1.0060362173038229</v>
      </c>
    </row>
    <row r="21" spans="1:8" x14ac:dyDescent="0.25">
      <c r="A21" s="904" t="s">
        <v>1768</v>
      </c>
      <c r="B21" s="103" t="s">
        <v>233</v>
      </c>
      <c r="C21" s="481">
        <f>Unitflowchart!S232</f>
        <v>494</v>
      </c>
    </row>
    <row r="22" spans="1:8" x14ac:dyDescent="0.25">
      <c r="A22" s="904" t="s">
        <v>916</v>
      </c>
      <c r="B22" s="293" t="s">
        <v>602</v>
      </c>
      <c r="C22" s="1414">
        <f>Unitflowchart!AC226/Unitflowchart!S294</f>
        <v>0</v>
      </c>
    </row>
    <row r="23" spans="1:8" x14ac:dyDescent="0.25">
      <c r="A23" s="904" t="s">
        <v>2106</v>
      </c>
      <c r="B23" s="103" t="s">
        <v>233</v>
      </c>
      <c r="C23" s="1569">
        <f>Unitflowchart!AC228</f>
        <v>43.31</v>
      </c>
    </row>
    <row r="24" spans="1:8" x14ac:dyDescent="0.25">
      <c r="A24" s="103" t="s">
        <v>351</v>
      </c>
      <c r="B24" s="293" t="s">
        <v>602</v>
      </c>
      <c r="C24" s="1414">
        <f>Unitflowchart!S286/Unitflowchart!S294</f>
        <v>1</v>
      </c>
    </row>
    <row r="25" spans="1:8" x14ac:dyDescent="0.25">
      <c r="A25" s="105" t="s">
        <v>352</v>
      </c>
      <c r="B25" s="105" t="s">
        <v>233</v>
      </c>
      <c r="C25" s="203">
        <f>Unitflowchart!S288</f>
        <v>494</v>
      </c>
    </row>
    <row r="27" spans="1:8" ht="26.4" x14ac:dyDescent="0.25">
      <c r="A27" s="2" t="s">
        <v>234</v>
      </c>
      <c r="B27" s="296" t="s">
        <v>900</v>
      </c>
      <c r="C27" s="2" t="s">
        <v>902</v>
      </c>
      <c r="E27" s="296" t="s">
        <v>903</v>
      </c>
      <c r="F27" s="296" t="s">
        <v>235</v>
      </c>
      <c r="H27" s="794" t="s">
        <v>424</v>
      </c>
    </row>
    <row r="28" spans="1:8" x14ac:dyDescent="0.25">
      <c r="A28" s="1401" t="s">
        <v>1611</v>
      </c>
      <c r="B28" s="1418">
        <f>C8</f>
        <v>22.367812704634172</v>
      </c>
      <c r="C28" s="1419">
        <f>C9</f>
        <v>56.7</v>
      </c>
      <c r="E28" s="1408">
        <f>B28*C28</f>
        <v>1268.2549803527577</v>
      </c>
      <c r="F28" s="1410">
        <f>(E28/E30)*100</f>
        <v>100</v>
      </c>
      <c r="H28" s="1412">
        <f>($F$28*H33)/100</f>
        <v>100</v>
      </c>
    </row>
    <row r="29" spans="1:8" x14ac:dyDescent="0.25">
      <c r="A29" s="852" t="s">
        <v>1655</v>
      </c>
      <c r="B29" s="1418">
        <f>C10</f>
        <v>0</v>
      </c>
      <c r="C29" s="1419">
        <f>C11</f>
        <v>0</v>
      </c>
      <c r="E29" s="1408">
        <f>B29*C29</f>
        <v>0</v>
      </c>
      <c r="F29" s="1410">
        <f>(E29/E30)*100</f>
        <v>0</v>
      </c>
    </row>
    <row r="30" spans="1:8" x14ac:dyDescent="0.25">
      <c r="A30" s="151" t="s">
        <v>12</v>
      </c>
      <c r="E30" s="1409">
        <f>SUM(E28:E29)</f>
        <v>1268.2549803527577</v>
      </c>
      <c r="F30" s="1411">
        <f>SUM(F28:F29)</f>
        <v>100</v>
      </c>
    </row>
    <row r="31" spans="1:8" s="844" customFormat="1" x14ac:dyDescent="0.25">
      <c r="B31" s="905"/>
      <c r="C31" s="905"/>
      <c r="E31" s="1417"/>
      <c r="F31" s="1417"/>
      <c r="G31" s="905"/>
      <c r="H31" s="905"/>
    </row>
    <row r="32" spans="1:8" ht="28.5" customHeight="1" x14ac:dyDescent="0.25">
      <c r="A32" s="2" t="s">
        <v>234</v>
      </c>
      <c r="B32" s="296" t="s">
        <v>900</v>
      </c>
      <c r="C32" s="2" t="s">
        <v>902</v>
      </c>
      <c r="D32" s="299"/>
      <c r="E32" s="296" t="s">
        <v>903</v>
      </c>
      <c r="F32" s="296" t="s">
        <v>235</v>
      </c>
      <c r="G32" s="13"/>
      <c r="H32" s="794" t="s">
        <v>424</v>
      </c>
    </row>
    <row r="33" spans="1:8" s="844" customFormat="1" ht="11.25" customHeight="1" x14ac:dyDescent="0.25">
      <c r="A33" s="844" t="s">
        <v>1080</v>
      </c>
      <c r="B33" s="109">
        <f>C12</f>
        <v>17.802484778252428</v>
      </c>
      <c r="C33" s="109">
        <f>C13</f>
        <v>24.699999999999996</v>
      </c>
      <c r="E33" s="362">
        <f t="shared" ref="E33" si="0">B33*C33</f>
        <v>439.72137402283488</v>
      </c>
      <c r="F33" s="294">
        <f>E33/E37*100</f>
        <v>100</v>
      </c>
      <c r="G33" s="905"/>
      <c r="H33" s="795">
        <f>($F$33*H45)/100</f>
        <v>100</v>
      </c>
    </row>
    <row r="34" spans="1:8" x14ac:dyDescent="0.25">
      <c r="A34" s="3" t="s">
        <v>836</v>
      </c>
      <c r="B34" s="109">
        <f>C14</f>
        <v>0</v>
      </c>
      <c r="C34" s="109">
        <f>C15</f>
        <v>12.099999999999996</v>
      </c>
      <c r="E34" s="362">
        <f t="shared" ref="E34:E35" si="1">B34*C34</f>
        <v>0</v>
      </c>
      <c r="F34" s="294">
        <f>E34/E37*100</f>
        <v>0</v>
      </c>
      <c r="G34" s="13"/>
      <c r="H34" s="298"/>
    </row>
    <row r="35" spans="1:8" x14ac:dyDescent="0.25">
      <c r="A35" s="3" t="s">
        <v>938</v>
      </c>
      <c r="B35" s="109">
        <f>C16</f>
        <v>0</v>
      </c>
      <c r="C35" s="109">
        <f>C17</f>
        <v>19</v>
      </c>
      <c r="E35" s="362">
        <f t="shared" si="1"/>
        <v>0</v>
      </c>
      <c r="F35" s="294">
        <f>E35/E37*100</f>
        <v>0</v>
      </c>
      <c r="G35" s="13"/>
      <c r="H35" s="298"/>
    </row>
    <row r="36" spans="1:8" x14ac:dyDescent="0.25">
      <c r="A36" s="844" t="s">
        <v>2102</v>
      </c>
      <c r="B36" s="109">
        <f>C18</f>
        <v>0</v>
      </c>
      <c r="C36" s="109">
        <f>C19</f>
        <v>8000</v>
      </c>
      <c r="E36" s="362">
        <f>B36*C36</f>
        <v>0</v>
      </c>
      <c r="F36" s="294">
        <f>E36/E37*100</f>
        <v>0</v>
      </c>
      <c r="G36" s="13"/>
      <c r="H36" s="298"/>
    </row>
    <row r="37" spans="1:8" x14ac:dyDescent="0.25">
      <c r="A37" s="2" t="s">
        <v>12</v>
      </c>
      <c r="B37" s="13"/>
      <c r="C37" s="13"/>
      <c r="E37" s="291">
        <f>SUM(E33:E36)</f>
        <v>439.72137402283488</v>
      </c>
      <c r="F37" s="297">
        <f>SUM(F33:F36)</f>
        <v>100</v>
      </c>
      <c r="G37" s="13"/>
      <c r="H37" s="13"/>
    </row>
    <row r="38" spans="1:8" x14ac:dyDescent="0.25">
      <c r="A38" s="2"/>
      <c r="B38" s="13"/>
      <c r="C38" s="13"/>
      <c r="E38" s="298"/>
      <c r="F38" s="298"/>
      <c r="G38" s="13"/>
      <c r="H38" s="13"/>
    </row>
    <row r="39" spans="1:8" ht="27" customHeight="1" x14ac:dyDescent="0.25">
      <c r="A39" s="2" t="s">
        <v>234</v>
      </c>
      <c r="B39" s="296" t="s">
        <v>900</v>
      </c>
      <c r="C39" s="2" t="s">
        <v>902</v>
      </c>
      <c r="D39" s="299"/>
      <c r="E39" s="296" t="s">
        <v>903</v>
      </c>
      <c r="F39" s="296" t="s">
        <v>235</v>
      </c>
      <c r="G39" s="13"/>
      <c r="H39" s="794" t="s">
        <v>424</v>
      </c>
    </row>
    <row r="40" spans="1:8" x14ac:dyDescent="0.25">
      <c r="A40" s="844" t="s">
        <v>1765</v>
      </c>
      <c r="B40" s="109">
        <f>C20</f>
        <v>1.0060362173038229</v>
      </c>
      <c r="C40" s="693">
        <f>C21</f>
        <v>494</v>
      </c>
      <c r="E40" s="362">
        <f>B40*C40</f>
        <v>496.98189134808848</v>
      </c>
      <c r="F40" s="294">
        <f>E40/E42*100</f>
        <v>100</v>
      </c>
      <c r="G40" s="13"/>
      <c r="H40" s="795">
        <f>(F40*H45)/100</f>
        <v>100</v>
      </c>
    </row>
    <row r="41" spans="1:8" x14ac:dyDescent="0.25">
      <c r="A41" s="3" t="s">
        <v>39</v>
      </c>
      <c r="B41" s="109">
        <f>C22</f>
        <v>0</v>
      </c>
      <c r="C41" s="793">
        <f>C23</f>
        <v>43.31</v>
      </c>
      <c r="D41" s="42"/>
      <c r="E41" s="365">
        <f>B41*C41</f>
        <v>0</v>
      </c>
      <c r="F41" s="294">
        <f>E41/$E$42*100</f>
        <v>0</v>
      </c>
      <c r="G41" s="13"/>
      <c r="H41" s="13"/>
    </row>
    <row r="42" spans="1:8" x14ac:dyDescent="0.25">
      <c r="A42" s="2" t="s">
        <v>12</v>
      </c>
      <c r="B42" s="150"/>
      <c r="C42" s="150"/>
      <c r="E42" s="291">
        <f>SUM(E40:E41)</f>
        <v>496.98189134808848</v>
      </c>
      <c r="F42" s="297">
        <f>SUM(F40:F41)</f>
        <v>100</v>
      </c>
      <c r="G42" s="13"/>
      <c r="H42" s="13"/>
    </row>
    <row r="43" spans="1:8" x14ac:dyDescent="0.25">
      <c r="B43" s="13"/>
      <c r="C43" s="13"/>
      <c r="E43" s="13"/>
      <c r="F43" s="13"/>
      <c r="G43" s="13"/>
      <c r="H43" s="13"/>
    </row>
    <row r="44" spans="1:8" ht="24.75" customHeight="1" x14ac:dyDescent="0.25">
      <c r="A44" s="2" t="s">
        <v>234</v>
      </c>
      <c r="B44" s="296" t="s">
        <v>900</v>
      </c>
      <c r="C44" s="2" t="s">
        <v>902</v>
      </c>
      <c r="E44" s="296" t="s">
        <v>903</v>
      </c>
      <c r="F44" s="296" t="s">
        <v>235</v>
      </c>
      <c r="G44" s="13"/>
      <c r="H44" s="794" t="s">
        <v>424</v>
      </c>
    </row>
    <row r="45" spans="1:8" x14ac:dyDescent="0.25">
      <c r="A45" t="s">
        <v>353</v>
      </c>
      <c r="B45" s="109">
        <f>C24</f>
        <v>1</v>
      </c>
      <c r="C45" s="693">
        <f>C25</f>
        <v>494</v>
      </c>
      <c r="E45" s="362">
        <f>B45*C45</f>
        <v>494</v>
      </c>
      <c r="F45" s="294">
        <f>E45/$E$46*100</f>
        <v>100</v>
      </c>
      <c r="G45" s="13"/>
      <c r="H45" s="795">
        <f>F45</f>
        <v>100</v>
      </c>
    </row>
    <row r="46" spans="1:8" x14ac:dyDescent="0.25">
      <c r="A46" s="2" t="s">
        <v>12</v>
      </c>
      <c r="E46" s="291">
        <f>SUM(E45:E45)</f>
        <v>494</v>
      </c>
      <c r="F46" s="297">
        <f>SUM(F45:F45)</f>
        <v>100</v>
      </c>
    </row>
    <row r="47" spans="1:8" ht="62.25" customHeight="1" x14ac:dyDescent="0.25">
      <c r="H47" s="419" t="s">
        <v>1654</v>
      </c>
    </row>
    <row r="48" spans="1:8" ht="39.6" x14ac:dyDescent="0.25">
      <c r="G48" s="782" t="s">
        <v>407</v>
      </c>
      <c r="H48" s="795">
        <f>($E$45*100)/($E$34+$E$35+$E$36+$E$41+$E$45)</f>
        <v>100</v>
      </c>
    </row>
    <row r="49" spans="8:8" x14ac:dyDescent="0.25">
      <c r="H49" s="2"/>
    </row>
  </sheetData>
  <pageMargins left="0.7" right="0.7" top="0.75" bottom="0.75"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1"/>
  <sheetViews>
    <sheetView workbookViewId="0"/>
  </sheetViews>
  <sheetFormatPr defaultRowHeight="13.2" x14ac:dyDescent="0.25"/>
  <cols>
    <col min="1" max="1" width="46.6640625" customWidth="1"/>
    <col min="2" max="2" width="12.33203125" customWidth="1"/>
    <col min="3" max="3" width="25.109375" customWidth="1"/>
    <col min="4" max="4" width="14" customWidth="1"/>
    <col min="5" max="5" width="20.44140625" customWidth="1"/>
    <col min="6" max="6" width="33.33203125" customWidth="1"/>
  </cols>
  <sheetData>
    <row r="1" spans="1:3" x14ac:dyDescent="0.25">
      <c r="A1" s="2" t="s">
        <v>400</v>
      </c>
      <c r="B1" s="42"/>
    </row>
    <row r="2" spans="1:3" x14ac:dyDescent="0.25">
      <c r="A2" s="2" t="s">
        <v>241</v>
      </c>
      <c r="B2" s="877" t="s">
        <v>1115</v>
      </c>
    </row>
    <row r="3" spans="1:3" x14ac:dyDescent="0.25">
      <c r="A3" s="2" t="s">
        <v>242</v>
      </c>
      <c r="B3" s="41">
        <v>2010</v>
      </c>
    </row>
    <row r="4" spans="1:3" x14ac:dyDescent="0.25">
      <c r="A4" s="3"/>
      <c r="B4" s="41"/>
    </row>
    <row r="5" spans="1:3" x14ac:dyDescent="0.25">
      <c r="A5" s="437" t="s">
        <v>408</v>
      </c>
      <c r="B5" s="101"/>
      <c r="C5" s="102"/>
    </row>
    <row r="6" spans="1:3" x14ac:dyDescent="0.25">
      <c r="A6" s="904" t="s">
        <v>340</v>
      </c>
      <c r="B6" s="326"/>
      <c r="C6" s="1403" t="str">
        <f>method</f>
        <v>Renewable Energy Directive</v>
      </c>
    </row>
    <row r="7" spans="1:3" x14ac:dyDescent="0.25">
      <c r="A7" s="904" t="s">
        <v>1666</v>
      </c>
      <c r="B7" s="326"/>
      <c r="C7" s="1403" t="str">
        <f>fm_type</f>
        <v>Whole Maize</v>
      </c>
    </row>
    <row r="8" spans="1:3" x14ac:dyDescent="0.25">
      <c r="A8" s="904" t="s">
        <v>1656</v>
      </c>
      <c r="B8" s="881" t="s">
        <v>602</v>
      </c>
      <c r="C8" s="1420">
        <f>Unitflowchart!S24/Unitflowchart!S294</f>
        <v>22.367812704634172</v>
      </c>
    </row>
    <row r="9" spans="1:3" x14ac:dyDescent="0.25">
      <c r="A9" s="904" t="s">
        <v>1658</v>
      </c>
      <c r="B9" s="881" t="s">
        <v>602</v>
      </c>
      <c r="C9" s="1420">
        <f>Unitflowchart!Y26/Unitflowchart!S294</f>
        <v>0</v>
      </c>
    </row>
    <row r="10" spans="1:3" x14ac:dyDescent="0.25">
      <c r="A10" s="904" t="s">
        <v>1119</v>
      </c>
      <c r="B10" s="293" t="s">
        <v>602</v>
      </c>
      <c r="C10" s="1414">
        <f>Unitflowchart!S173/Unitflowchart!S294</f>
        <v>17.802484778252428</v>
      </c>
    </row>
    <row r="11" spans="1:3" x14ac:dyDescent="0.25">
      <c r="A11" s="293" t="s">
        <v>833</v>
      </c>
      <c r="B11" s="293" t="s">
        <v>602</v>
      </c>
      <c r="C11" s="1414">
        <f>IF(Unitflowchart!N183=1,0,(Unitflowchart!N173/Unitflowchart!S294))</f>
        <v>0</v>
      </c>
    </row>
    <row r="12" spans="1:3" x14ac:dyDescent="0.25">
      <c r="A12" s="293" t="s">
        <v>939</v>
      </c>
      <c r="B12" s="293" t="s">
        <v>602</v>
      </c>
      <c r="C12" s="1414">
        <f>Unitflowchart!W173/Unitflowchart!S294</f>
        <v>0</v>
      </c>
    </row>
    <row r="13" spans="1:3" x14ac:dyDescent="0.25">
      <c r="A13" s="904" t="s">
        <v>2100</v>
      </c>
      <c r="B13" s="904" t="s">
        <v>602</v>
      </c>
      <c r="C13" s="1414">
        <f>Unitflowchart!AA173/Unitflowchart!S294</f>
        <v>0</v>
      </c>
    </row>
    <row r="14" spans="1:3" x14ac:dyDescent="0.25">
      <c r="A14" s="904" t="s">
        <v>1765</v>
      </c>
      <c r="B14" s="293" t="s">
        <v>602</v>
      </c>
      <c r="C14" s="1414">
        <f>Unitflowchart!S226/Unitflowchart!S294</f>
        <v>1.0060362173038229</v>
      </c>
    </row>
    <row r="15" spans="1:3" x14ac:dyDescent="0.25">
      <c r="A15" s="293" t="s">
        <v>916</v>
      </c>
      <c r="B15" s="293" t="s">
        <v>602</v>
      </c>
      <c r="C15" s="1414">
        <f>Unitflowchart!AC226/Unitflowchart!S294</f>
        <v>0</v>
      </c>
    </row>
    <row r="16" spans="1:3" x14ac:dyDescent="0.25">
      <c r="A16" s="103" t="s">
        <v>351</v>
      </c>
      <c r="B16" s="293" t="s">
        <v>602</v>
      </c>
      <c r="C16" s="1414">
        <f>Unitflowchart!S286/Unitflowchart!S294</f>
        <v>1</v>
      </c>
    </row>
    <row r="17" spans="1:6" x14ac:dyDescent="0.25">
      <c r="A17" s="352"/>
      <c r="B17" s="352"/>
      <c r="C17" s="352"/>
    </row>
    <row r="18" spans="1:6" ht="26.4" x14ac:dyDescent="0.25">
      <c r="A18" s="2" t="s">
        <v>234</v>
      </c>
      <c r="B18" s="296" t="s">
        <v>915</v>
      </c>
      <c r="C18" s="299"/>
      <c r="D18" s="296" t="s">
        <v>235</v>
      </c>
      <c r="E18" s="13"/>
      <c r="F18" s="418" t="s">
        <v>424</v>
      </c>
    </row>
    <row r="19" spans="1:6" x14ac:dyDescent="0.25">
      <c r="A19" s="1401" t="s">
        <v>1611</v>
      </c>
      <c r="B19" s="1406">
        <f>C8</f>
        <v>22.367812704634172</v>
      </c>
      <c r="C19" s="23"/>
      <c r="D19" s="1410">
        <f>(B19/$B$21)*100</f>
        <v>100</v>
      </c>
      <c r="F19" s="1412">
        <f>($D$19*F24)/100</f>
        <v>100</v>
      </c>
    </row>
    <row r="20" spans="1:6" x14ac:dyDescent="0.25">
      <c r="A20" s="894" t="s">
        <v>1655</v>
      </c>
      <c r="B20" s="1406">
        <f>C9</f>
        <v>0</v>
      </c>
      <c r="C20" s="23"/>
      <c r="D20" s="1410">
        <f>(B20/$B$21)*100</f>
        <v>0</v>
      </c>
    </row>
    <row r="21" spans="1:6" x14ac:dyDescent="0.25">
      <c r="A21" s="2" t="s">
        <v>12</v>
      </c>
      <c r="B21" s="1421">
        <f>SUM(B19:B20)</f>
        <v>22.367812704634172</v>
      </c>
      <c r="C21" s="23"/>
      <c r="D21" s="1411">
        <f>SUM(D19:D20)</f>
        <v>100</v>
      </c>
    </row>
    <row r="22" spans="1:6" x14ac:dyDescent="0.25">
      <c r="A22" s="2"/>
      <c r="B22" s="13"/>
      <c r="D22" s="298"/>
      <c r="E22" s="13"/>
      <c r="F22" s="13"/>
    </row>
    <row r="23" spans="1:6" ht="26.4" x14ac:dyDescent="0.25">
      <c r="A23" s="2" t="s">
        <v>234</v>
      </c>
      <c r="B23" s="296" t="s">
        <v>915</v>
      </c>
      <c r="C23" s="299"/>
      <c r="D23" s="296" t="s">
        <v>235</v>
      </c>
      <c r="E23" s="13"/>
      <c r="F23" s="418" t="s">
        <v>424</v>
      </c>
    </row>
    <row r="24" spans="1:6" x14ac:dyDescent="0.25">
      <c r="A24" s="852" t="s">
        <v>1120</v>
      </c>
      <c r="B24" s="109">
        <f>C10</f>
        <v>17.802484778252428</v>
      </c>
      <c r="C24" s="299"/>
      <c r="D24" s="294">
        <f>B24/B$28*100</f>
        <v>100</v>
      </c>
      <c r="E24" s="13"/>
      <c r="F24" s="783">
        <f>($D$24*F32)/100</f>
        <v>100</v>
      </c>
    </row>
    <row r="25" spans="1:6" x14ac:dyDescent="0.25">
      <c r="A25" s="3" t="s">
        <v>836</v>
      </c>
      <c r="B25" s="109">
        <f>C11</f>
        <v>0</v>
      </c>
      <c r="D25" s="294">
        <f>B25/B$28*100</f>
        <v>0</v>
      </c>
      <c r="E25" s="13"/>
      <c r="F25" s="798"/>
    </row>
    <row r="26" spans="1:6" x14ac:dyDescent="0.25">
      <c r="A26" s="3" t="s">
        <v>938</v>
      </c>
      <c r="B26" s="109">
        <f>C12</f>
        <v>0</v>
      </c>
      <c r="D26" s="294">
        <f>B26/B$28*100</f>
        <v>0</v>
      </c>
      <c r="E26" s="13"/>
      <c r="F26" s="13"/>
    </row>
    <row r="27" spans="1:6" x14ac:dyDescent="0.25">
      <c r="A27" s="844" t="s">
        <v>2102</v>
      </c>
      <c r="B27" s="109">
        <f>C13</f>
        <v>0</v>
      </c>
      <c r="D27" s="294">
        <f>B27/B$28*100</f>
        <v>0</v>
      </c>
      <c r="E27" s="13"/>
      <c r="F27" s="13"/>
    </row>
    <row r="28" spans="1:6" x14ac:dyDescent="0.25">
      <c r="A28" s="2" t="s">
        <v>12</v>
      </c>
      <c r="B28" s="297">
        <f>SUM(B24:B27)</f>
        <v>17.802484778252428</v>
      </c>
      <c r="D28" s="297">
        <f>SUM(D24:D27)</f>
        <v>100</v>
      </c>
      <c r="E28" s="13"/>
      <c r="F28" s="13"/>
    </row>
    <row r="29" spans="1:6" x14ac:dyDescent="0.25">
      <c r="A29" s="2"/>
      <c r="B29" s="13"/>
      <c r="D29" s="298"/>
      <c r="E29" s="13"/>
      <c r="F29" s="13"/>
    </row>
    <row r="30" spans="1:6" x14ac:dyDescent="0.25">
      <c r="A30" s="2"/>
      <c r="B30" s="13"/>
      <c r="D30" s="298"/>
      <c r="E30" s="13"/>
      <c r="F30" s="13"/>
    </row>
    <row r="31" spans="1:6" ht="26.4" x14ac:dyDescent="0.25">
      <c r="A31" s="2" t="s">
        <v>234</v>
      </c>
      <c r="B31" s="296" t="s">
        <v>915</v>
      </c>
      <c r="C31" s="299"/>
      <c r="D31" s="296" t="s">
        <v>235</v>
      </c>
      <c r="E31" s="13"/>
      <c r="F31" s="418" t="s">
        <v>424</v>
      </c>
    </row>
    <row r="32" spans="1:6" x14ac:dyDescent="0.25">
      <c r="A32" s="844" t="s">
        <v>1765</v>
      </c>
      <c r="B32" s="109">
        <f>C14</f>
        <v>1.0060362173038229</v>
      </c>
      <c r="D32" s="294">
        <f>B32/B$34*100</f>
        <v>100</v>
      </c>
      <c r="E32" s="13"/>
      <c r="F32" s="783">
        <f>(D32*F37)/100</f>
        <v>100</v>
      </c>
    </row>
    <row r="33" spans="1:6" x14ac:dyDescent="0.25">
      <c r="A33" s="3" t="s">
        <v>39</v>
      </c>
      <c r="B33" s="109">
        <f>C15</f>
        <v>0</v>
      </c>
      <c r="C33" s="42"/>
      <c r="D33" s="294">
        <f>B33/B$34*100</f>
        <v>0</v>
      </c>
      <c r="E33" s="13"/>
      <c r="F33" s="13"/>
    </row>
    <row r="34" spans="1:6" x14ac:dyDescent="0.25">
      <c r="A34" s="2" t="s">
        <v>12</v>
      </c>
      <c r="B34" s="297">
        <f>SUM(B32:B33)</f>
        <v>1.0060362173038229</v>
      </c>
      <c r="D34" s="297">
        <f>SUM(D32:D33)</f>
        <v>100</v>
      </c>
      <c r="E34" s="13"/>
      <c r="F34" s="13"/>
    </row>
    <row r="35" spans="1:6" x14ac:dyDescent="0.25">
      <c r="B35" s="13"/>
      <c r="D35" s="13"/>
      <c r="E35" s="13"/>
      <c r="F35" s="13"/>
    </row>
    <row r="36" spans="1:6" ht="24.75" customHeight="1" x14ac:dyDescent="0.25">
      <c r="A36" s="2" t="s">
        <v>234</v>
      </c>
      <c r="B36" s="296" t="s">
        <v>915</v>
      </c>
      <c r="D36" s="296" t="s">
        <v>235</v>
      </c>
      <c r="E36" s="13"/>
      <c r="F36" s="418" t="s">
        <v>424</v>
      </c>
    </row>
    <row r="37" spans="1:6" x14ac:dyDescent="0.25">
      <c r="A37" t="s">
        <v>353</v>
      </c>
      <c r="B37" s="109">
        <f>C16</f>
        <v>1</v>
      </c>
      <c r="D37" s="294">
        <f>B37/B38*100</f>
        <v>100</v>
      </c>
      <c r="E37" s="13"/>
      <c r="F37" s="783">
        <f>D37</f>
        <v>100</v>
      </c>
    </row>
    <row r="38" spans="1:6" x14ac:dyDescent="0.25">
      <c r="A38" s="2" t="s">
        <v>12</v>
      </c>
      <c r="B38" s="297">
        <f>SUM(B37:B37)</f>
        <v>1</v>
      </c>
      <c r="D38" s="297">
        <f>SUM(D37:D37)</f>
        <v>100</v>
      </c>
    </row>
    <row r="40" spans="1:6" ht="69" customHeight="1" x14ac:dyDescent="0.25">
      <c r="F40" s="419" t="s">
        <v>1654</v>
      </c>
    </row>
    <row r="41" spans="1:6" ht="52.8" x14ac:dyDescent="0.25">
      <c r="E41" s="782" t="s">
        <v>407</v>
      </c>
      <c r="F41" s="784">
        <f>($B$37*100)/($B$25+$B$26+$B$27+$B$33+$B$37)</f>
        <v>100</v>
      </c>
    </row>
  </sheetData>
  <pageMargins left="0.7" right="0.7" top="0.75" bottom="0.75" header="0.3" footer="0.3"/>
  <pageSetup paperSize="9"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heetViews>
  <sheetFormatPr defaultRowHeight="13.2" x14ac:dyDescent="0.25"/>
  <cols>
    <col min="1" max="1" width="51.5546875" customWidth="1"/>
    <col min="2" max="2" width="19" customWidth="1"/>
    <col min="3" max="3" width="31" customWidth="1"/>
    <col min="4" max="4" width="22" customWidth="1"/>
  </cols>
  <sheetData>
    <row r="1" spans="1:3" x14ac:dyDescent="0.25">
      <c r="A1" s="2" t="s">
        <v>403</v>
      </c>
      <c r="B1" s="42"/>
    </row>
    <row r="2" spans="1:3" x14ac:dyDescent="0.25">
      <c r="A2" s="2" t="s">
        <v>241</v>
      </c>
      <c r="B2" s="877" t="s">
        <v>1115</v>
      </c>
    </row>
    <row r="3" spans="1:3" x14ac:dyDescent="0.25">
      <c r="A3" s="2" t="s">
        <v>242</v>
      </c>
      <c r="B3" s="41">
        <v>2010</v>
      </c>
    </row>
    <row r="4" spans="1:3" x14ac:dyDescent="0.25">
      <c r="A4" s="3"/>
      <c r="B4" s="41"/>
    </row>
    <row r="5" spans="1:3" x14ac:dyDescent="0.25">
      <c r="A5" s="437" t="s">
        <v>408</v>
      </c>
      <c r="B5" s="101"/>
      <c r="C5" s="102"/>
    </row>
    <row r="6" spans="1:3" x14ac:dyDescent="0.25">
      <c r="A6" s="846" t="s">
        <v>1672</v>
      </c>
      <c r="B6" s="293" t="s">
        <v>602</v>
      </c>
      <c r="C6" s="1422">
        <f>Unitflowchart!Y26/Unitflowchart!S294</f>
        <v>0</v>
      </c>
    </row>
    <row r="7" spans="1:3" ht="15.6" x14ac:dyDescent="0.35">
      <c r="A7" s="846" t="s">
        <v>1673</v>
      </c>
      <c r="B7" s="293" t="s">
        <v>933</v>
      </c>
      <c r="C7" s="113">
        <f>sub_cred_gm</f>
        <v>331</v>
      </c>
    </row>
    <row r="8" spans="1:3" x14ac:dyDescent="0.25">
      <c r="A8" s="144" t="s">
        <v>833</v>
      </c>
      <c r="B8" s="293" t="s">
        <v>602</v>
      </c>
      <c r="C8" s="295">
        <f>IF(Unitflowchart!N183=1,0,(Unitflowchart!N173/Unitflowchart!S294))</f>
        <v>0</v>
      </c>
    </row>
    <row r="9" spans="1:3" ht="15.6" x14ac:dyDescent="0.35">
      <c r="A9" s="144" t="s">
        <v>936</v>
      </c>
      <c r="B9" s="293" t="s">
        <v>933</v>
      </c>
      <c r="C9" s="145">
        <f>Unitflowchart!N181</f>
        <v>0.2637799999999999</v>
      </c>
    </row>
    <row r="10" spans="1:3" x14ac:dyDescent="0.25">
      <c r="A10" s="144" t="s">
        <v>939</v>
      </c>
      <c r="B10" s="293" t="s">
        <v>602</v>
      </c>
      <c r="C10" s="295">
        <f>Unitflowchart!D173/Unitflowchart!S294</f>
        <v>0</v>
      </c>
    </row>
    <row r="11" spans="1:3" ht="15.6" x14ac:dyDescent="0.35">
      <c r="A11" s="144" t="s">
        <v>940</v>
      </c>
      <c r="B11" s="293" t="s">
        <v>933</v>
      </c>
      <c r="C11" s="145">
        <f>Unitflowchart!D179</f>
        <v>0</v>
      </c>
    </row>
    <row r="12" spans="1:3" x14ac:dyDescent="0.25">
      <c r="A12" s="846" t="s">
        <v>2100</v>
      </c>
      <c r="B12" s="293" t="s">
        <v>602</v>
      </c>
      <c r="C12" s="1422">
        <f>Unitflowchart!AA173/Unitflowchart!S294</f>
        <v>0</v>
      </c>
    </row>
    <row r="13" spans="1:3" ht="15.6" x14ac:dyDescent="0.35">
      <c r="A13" s="846" t="s">
        <v>2107</v>
      </c>
      <c r="B13" s="293" t="s">
        <v>933</v>
      </c>
      <c r="C13" s="145">
        <f>sub_cred_wax</f>
        <v>4780</v>
      </c>
    </row>
    <row r="14" spans="1:3" x14ac:dyDescent="0.25">
      <c r="A14" s="144" t="s">
        <v>916</v>
      </c>
      <c r="B14" s="293" t="s">
        <v>602</v>
      </c>
      <c r="C14" s="295">
        <f>Unitflowchart!AC226/Unitflowchart!S294</f>
        <v>0</v>
      </c>
    </row>
    <row r="15" spans="1:3" ht="15.6" x14ac:dyDescent="0.35">
      <c r="A15" s="144" t="s">
        <v>943</v>
      </c>
      <c r="B15" s="293" t="s">
        <v>933</v>
      </c>
      <c r="C15" s="145">
        <f>Unitflowchart!AC230</f>
        <v>3932</v>
      </c>
    </row>
    <row r="16" spans="1:3" x14ac:dyDescent="0.25">
      <c r="A16" s="352"/>
      <c r="B16" s="352"/>
      <c r="C16" s="352"/>
    </row>
    <row r="17" spans="1:5" ht="15.6" x14ac:dyDescent="0.35">
      <c r="A17" s="384" t="s">
        <v>234</v>
      </c>
      <c r="B17" s="799" t="s">
        <v>900</v>
      </c>
      <c r="C17" s="799" t="s">
        <v>934</v>
      </c>
      <c r="D17" s="799" t="s">
        <v>935</v>
      </c>
    </row>
    <row r="18" spans="1:5" x14ac:dyDescent="0.25">
      <c r="A18" s="852" t="s">
        <v>1674</v>
      </c>
      <c r="B18" s="1423">
        <f>C6</f>
        <v>0</v>
      </c>
      <c r="C18" s="1424">
        <f>C7</f>
        <v>331</v>
      </c>
      <c r="D18" s="1273">
        <f>B18*C18</f>
        <v>0</v>
      </c>
    </row>
    <row r="19" spans="1:5" x14ac:dyDescent="0.25">
      <c r="A19" s="2"/>
      <c r="B19" s="802"/>
      <c r="C19" s="802"/>
      <c r="D19" s="798"/>
      <c r="E19" s="13"/>
    </row>
    <row r="20" spans="1:5" ht="15.6" x14ac:dyDescent="0.35">
      <c r="A20" s="2" t="s">
        <v>234</v>
      </c>
      <c r="B20" s="799" t="s">
        <v>900</v>
      </c>
      <c r="C20" s="799" t="s">
        <v>934</v>
      </c>
      <c r="D20" s="799" t="s">
        <v>935</v>
      </c>
      <c r="E20" s="13"/>
    </row>
    <row r="21" spans="1:5" x14ac:dyDescent="0.25">
      <c r="A21" s="3" t="s">
        <v>937</v>
      </c>
      <c r="B21" s="800">
        <f>C8</f>
        <v>0</v>
      </c>
      <c r="C21" s="801">
        <f>C9</f>
        <v>0.2637799999999999</v>
      </c>
      <c r="D21" s="803">
        <f>B21*C21</f>
        <v>0</v>
      </c>
      <c r="E21" s="13"/>
    </row>
    <row r="22" spans="1:5" x14ac:dyDescent="0.25">
      <c r="A22" s="3" t="s">
        <v>938</v>
      </c>
      <c r="B22" s="800">
        <f>C10</f>
        <v>0</v>
      </c>
      <c r="C22" s="801">
        <f>C11</f>
        <v>0</v>
      </c>
      <c r="D22" s="803">
        <f>B22*C22</f>
        <v>0</v>
      </c>
      <c r="E22" s="13"/>
    </row>
    <row r="23" spans="1:5" x14ac:dyDescent="0.25">
      <c r="A23" s="844" t="s">
        <v>2102</v>
      </c>
      <c r="B23" s="800">
        <f>C12</f>
        <v>0</v>
      </c>
      <c r="C23" s="801">
        <f>C13</f>
        <v>4780</v>
      </c>
      <c r="D23" s="803">
        <f>B23*C23</f>
        <v>0</v>
      </c>
      <c r="E23" s="13"/>
    </row>
    <row r="24" spans="1:5" x14ac:dyDescent="0.25">
      <c r="A24" s="2"/>
      <c r="B24" s="802"/>
      <c r="C24" s="802"/>
      <c r="D24" s="798"/>
      <c r="E24" s="13"/>
    </row>
    <row r="25" spans="1:5" x14ac:dyDescent="0.25">
      <c r="A25" s="2"/>
      <c r="B25" s="802"/>
      <c r="C25" s="802"/>
      <c r="D25" s="798"/>
      <c r="E25" s="13"/>
    </row>
    <row r="26" spans="1:5" ht="15.6" x14ac:dyDescent="0.35">
      <c r="A26" s="2" t="s">
        <v>234</v>
      </c>
      <c r="B26" s="799" t="s">
        <v>900</v>
      </c>
      <c r="C26" s="799" t="s">
        <v>934</v>
      </c>
      <c r="D26" s="799" t="s">
        <v>935</v>
      </c>
      <c r="E26" s="13"/>
    </row>
    <row r="27" spans="1:5" x14ac:dyDescent="0.25">
      <c r="A27" s="3" t="s">
        <v>39</v>
      </c>
      <c r="B27" s="800">
        <f>C14</f>
        <v>0</v>
      </c>
      <c r="C27" s="801">
        <f>C15</f>
        <v>3932</v>
      </c>
      <c r="D27" s="803">
        <f>B27*C27</f>
        <v>0</v>
      </c>
      <c r="E27" s="13"/>
    </row>
    <row r="28" spans="1:5" x14ac:dyDescent="0.25">
      <c r="B28" s="802"/>
      <c r="C28" s="802"/>
      <c r="D28" s="802"/>
      <c r="E28" s="1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
  <sheetViews>
    <sheetView workbookViewId="0"/>
  </sheetViews>
  <sheetFormatPr defaultRowHeight="13.2" x14ac:dyDescent="0.25"/>
  <cols>
    <col min="1" max="1" width="73.109375" customWidth="1"/>
    <col min="2" max="2" width="42.5546875" customWidth="1"/>
  </cols>
  <sheetData>
    <row r="1" spans="1:3" x14ac:dyDescent="0.25">
      <c r="A1" s="2" t="s">
        <v>257</v>
      </c>
    </row>
    <row r="3" spans="1:3" x14ac:dyDescent="0.25">
      <c r="A3" s="437" t="s">
        <v>408</v>
      </c>
      <c r="B3" s="102"/>
    </row>
    <row r="4" spans="1:3" x14ac:dyDescent="0.25">
      <c r="A4" s="104" t="s">
        <v>340</v>
      </c>
      <c r="B4" s="292" t="str">
        <f>method</f>
        <v>Renewable Energy Directive</v>
      </c>
    </row>
    <row r="6" spans="1:3" ht="15.6" x14ac:dyDescent="0.35">
      <c r="A6" t="s">
        <v>342</v>
      </c>
      <c r="B6" t="s">
        <v>343</v>
      </c>
      <c r="C6" t="s">
        <v>344</v>
      </c>
    </row>
    <row r="8" spans="1:3" x14ac:dyDescent="0.25">
      <c r="A8" s="3" t="s">
        <v>348</v>
      </c>
      <c r="B8">
        <v>23</v>
      </c>
      <c r="C8">
        <v>296</v>
      </c>
    </row>
    <row r="9" spans="1:3" x14ac:dyDescent="0.25">
      <c r="A9" s="3" t="s">
        <v>349</v>
      </c>
      <c r="B9">
        <v>25</v>
      </c>
      <c r="C9">
        <v>298</v>
      </c>
    </row>
    <row r="11" spans="1:3" x14ac:dyDescent="0.25">
      <c r="A11" s="2" t="s">
        <v>345</v>
      </c>
      <c r="B11" s="291">
        <f>IF($B$4="PAS 2050",B9,B8)</f>
        <v>23</v>
      </c>
      <c r="C11" s="291">
        <f>IF($B$4="PAS 2050",C9,C8)</f>
        <v>296</v>
      </c>
    </row>
  </sheetData>
  <phoneticPr fontId="0" type="noConversion"/>
  <pageMargins left="0.75" right="0.75" top="1" bottom="1" header="0.5" footer="0.5"/>
  <pageSetup paperSize="9"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0"/>
  <sheetViews>
    <sheetView workbookViewId="0"/>
  </sheetViews>
  <sheetFormatPr defaultRowHeight="13.2" x14ac:dyDescent="0.25"/>
  <cols>
    <col min="1" max="1" width="86.109375" customWidth="1"/>
    <col min="2" max="2" width="32.88671875" customWidth="1"/>
    <col min="3" max="3" width="27.5546875" customWidth="1"/>
    <col min="4" max="4" width="9.33203125" bestFit="1" customWidth="1"/>
    <col min="5" max="5" width="35.109375" customWidth="1"/>
    <col min="6" max="6" width="8.44140625" customWidth="1"/>
    <col min="7" max="7" width="10.109375" bestFit="1" customWidth="1"/>
    <col min="8" max="8" width="9.33203125" bestFit="1" customWidth="1"/>
    <col min="9" max="9" width="30.44140625" customWidth="1"/>
    <col min="10" max="10" width="13.5546875" customWidth="1"/>
    <col min="11" max="11" width="15.33203125" customWidth="1"/>
    <col min="12" max="14" width="19" customWidth="1"/>
    <col min="15" max="15" width="38.44140625" customWidth="1"/>
    <col min="16" max="16" width="15" customWidth="1"/>
    <col min="17" max="17" width="21.33203125" customWidth="1"/>
    <col min="18" max="18" width="13.44140625" customWidth="1"/>
    <col min="19" max="20" width="9.33203125" bestFit="1" customWidth="1"/>
    <col min="21" max="21" width="37.109375" customWidth="1"/>
    <col min="22" max="22" width="18.88671875" customWidth="1"/>
    <col min="23" max="23" width="19" customWidth="1"/>
    <col min="24" max="24" width="13" customWidth="1"/>
    <col min="25" max="25" width="12" bestFit="1" customWidth="1"/>
    <col min="26" max="26" width="12.109375" bestFit="1" customWidth="1"/>
    <col min="27" max="27" width="35.33203125" customWidth="1"/>
    <col min="28" max="28" width="16.5546875" customWidth="1"/>
    <col min="29" max="29" width="18" customWidth="1"/>
    <col min="257" max="257" width="86.109375" customWidth="1"/>
    <col min="258" max="258" width="32.88671875" customWidth="1"/>
    <col min="259" max="259" width="27.5546875" customWidth="1"/>
    <col min="260" max="260" width="9.33203125" bestFit="1" customWidth="1"/>
    <col min="261" max="261" width="35.109375" customWidth="1"/>
    <col min="262" max="262" width="8.44140625" customWidth="1"/>
    <col min="263" max="263" width="10.109375" bestFit="1" customWidth="1"/>
    <col min="264" max="264" width="9.33203125" bestFit="1" customWidth="1"/>
    <col min="265" max="265" width="30.44140625" customWidth="1"/>
    <col min="266" max="266" width="13.5546875" customWidth="1"/>
    <col min="267" max="267" width="15.33203125" customWidth="1"/>
    <col min="268" max="270" width="19" customWidth="1"/>
    <col min="271" max="271" width="38.44140625" customWidth="1"/>
    <col min="272" max="272" width="15" customWidth="1"/>
    <col min="273" max="273" width="21.33203125" customWidth="1"/>
    <col min="274" max="274" width="13.44140625" customWidth="1"/>
    <col min="275" max="276" width="9.33203125" bestFit="1" customWidth="1"/>
    <col min="277" max="277" width="37.109375" customWidth="1"/>
    <col min="278" max="278" width="18.88671875" customWidth="1"/>
    <col min="279" max="279" width="19" customWidth="1"/>
    <col min="280" max="280" width="13" customWidth="1"/>
    <col min="281" max="281" width="12" bestFit="1" customWidth="1"/>
    <col min="282" max="282" width="12.109375" bestFit="1" customWidth="1"/>
    <col min="283" max="283" width="35.33203125" customWidth="1"/>
    <col min="284" max="284" width="16.5546875" customWidth="1"/>
    <col min="285" max="285" width="18" customWidth="1"/>
    <col min="513" max="513" width="86.109375" customWidth="1"/>
    <col min="514" max="514" width="32.88671875" customWidth="1"/>
    <col min="515" max="515" width="27.5546875" customWidth="1"/>
    <col min="516" max="516" width="9.33203125" bestFit="1" customWidth="1"/>
    <col min="517" max="517" width="35.109375" customWidth="1"/>
    <col min="518" max="518" width="8.44140625" customWidth="1"/>
    <col min="519" max="519" width="10.109375" bestFit="1" customWidth="1"/>
    <col min="520" max="520" width="9.33203125" bestFit="1" customWidth="1"/>
    <col min="521" max="521" width="30.44140625" customWidth="1"/>
    <col min="522" max="522" width="13.5546875" customWidth="1"/>
    <col min="523" max="523" width="15.33203125" customWidth="1"/>
    <col min="524" max="526" width="19" customWidth="1"/>
    <col min="527" max="527" width="38.44140625" customWidth="1"/>
    <col min="528" max="528" width="15" customWidth="1"/>
    <col min="529" max="529" width="21.33203125" customWidth="1"/>
    <col min="530" max="530" width="13.44140625" customWidth="1"/>
    <col min="531" max="532" width="9.33203125" bestFit="1" customWidth="1"/>
    <col min="533" max="533" width="37.109375" customWidth="1"/>
    <col min="534" max="534" width="18.88671875" customWidth="1"/>
    <col min="535" max="535" width="19" customWidth="1"/>
    <col min="536" max="536" width="13" customWidth="1"/>
    <col min="537" max="537" width="12" bestFit="1" customWidth="1"/>
    <col min="538" max="538" width="12.109375" bestFit="1" customWidth="1"/>
    <col min="539" max="539" width="35.33203125" customWidth="1"/>
    <col min="540" max="540" width="16.5546875" customWidth="1"/>
    <col min="541" max="541" width="18" customWidth="1"/>
    <col min="769" max="769" width="86.109375" customWidth="1"/>
    <col min="770" max="770" width="32.88671875" customWidth="1"/>
    <col min="771" max="771" width="27.5546875" customWidth="1"/>
    <col min="772" max="772" width="9.33203125" bestFit="1" customWidth="1"/>
    <col min="773" max="773" width="35.109375" customWidth="1"/>
    <col min="774" max="774" width="8.44140625" customWidth="1"/>
    <col min="775" max="775" width="10.109375" bestFit="1" customWidth="1"/>
    <col min="776" max="776" width="9.33203125" bestFit="1" customWidth="1"/>
    <col min="777" max="777" width="30.44140625" customWidth="1"/>
    <col min="778" max="778" width="13.5546875" customWidth="1"/>
    <col min="779" max="779" width="15.33203125" customWidth="1"/>
    <col min="780" max="782" width="19" customWidth="1"/>
    <col min="783" max="783" width="38.44140625" customWidth="1"/>
    <col min="784" max="784" width="15" customWidth="1"/>
    <col min="785" max="785" width="21.33203125" customWidth="1"/>
    <col min="786" max="786" width="13.44140625" customWidth="1"/>
    <col min="787" max="788" width="9.33203125" bestFit="1" customWidth="1"/>
    <col min="789" max="789" width="37.109375" customWidth="1"/>
    <col min="790" max="790" width="18.88671875" customWidth="1"/>
    <col min="791" max="791" width="19" customWidth="1"/>
    <col min="792" max="792" width="13" customWidth="1"/>
    <col min="793" max="793" width="12" bestFit="1" customWidth="1"/>
    <col min="794" max="794" width="12.109375" bestFit="1" customWidth="1"/>
    <col min="795" max="795" width="35.33203125" customWidth="1"/>
    <col min="796" max="796" width="16.5546875" customWidth="1"/>
    <col min="797" max="797" width="18" customWidth="1"/>
    <col min="1025" max="1025" width="86.109375" customWidth="1"/>
    <col min="1026" max="1026" width="32.88671875" customWidth="1"/>
    <col min="1027" max="1027" width="27.5546875" customWidth="1"/>
    <col min="1028" max="1028" width="9.33203125" bestFit="1" customWidth="1"/>
    <col min="1029" max="1029" width="35.109375" customWidth="1"/>
    <col min="1030" max="1030" width="8.44140625" customWidth="1"/>
    <col min="1031" max="1031" width="10.109375" bestFit="1" customWidth="1"/>
    <col min="1032" max="1032" width="9.33203125" bestFit="1" customWidth="1"/>
    <col min="1033" max="1033" width="30.44140625" customWidth="1"/>
    <col min="1034" max="1034" width="13.5546875" customWidth="1"/>
    <col min="1035" max="1035" width="15.33203125" customWidth="1"/>
    <col min="1036" max="1038" width="19" customWidth="1"/>
    <col min="1039" max="1039" width="38.44140625" customWidth="1"/>
    <col min="1040" max="1040" width="15" customWidth="1"/>
    <col min="1041" max="1041" width="21.33203125" customWidth="1"/>
    <col min="1042" max="1042" width="13.44140625" customWidth="1"/>
    <col min="1043" max="1044" width="9.33203125" bestFit="1" customWidth="1"/>
    <col min="1045" max="1045" width="37.109375" customWidth="1"/>
    <col min="1046" max="1046" width="18.88671875" customWidth="1"/>
    <col min="1047" max="1047" width="19" customWidth="1"/>
    <col min="1048" max="1048" width="13" customWidth="1"/>
    <col min="1049" max="1049" width="12" bestFit="1" customWidth="1"/>
    <col min="1050" max="1050" width="12.109375" bestFit="1" customWidth="1"/>
    <col min="1051" max="1051" width="35.33203125" customWidth="1"/>
    <col min="1052" max="1052" width="16.5546875" customWidth="1"/>
    <col min="1053" max="1053" width="18" customWidth="1"/>
    <col min="1281" max="1281" width="86.109375" customWidth="1"/>
    <col min="1282" max="1282" width="32.88671875" customWidth="1"/>
    <col min="1283" max="1283" width="27.5546875" customWidth="1"/>
    <col min="1284" max="1284" width="9.33203125" bestFit="1" customWidth="1"/>
    <col min="1285" max="1285" width="35.109375" customWidth="1"/>
    <col min="1286" max="1286" width="8.44140625" customWidth="1"/>
    <col min="1287" max="1287" width="10.109375" bestFit="1" customWidth="1"/>
    <col min="1288" max="1288" width="9.33203125" bestFit="1" customWidth="1"/>
    <col min="1289" max="1289" width="30.44140625" customWidth="1"/>
    <col min="1290" max="1290" width="13.5546875" customWidth="1"/>
    <col min="1291" max="1291" width="15.33203125" customWidth="1"/>
    <col min="1292" max="1294" width="19" customWidth="1"/>
    <col min="1295" max="1295" width="38.44140625" customWidth="1"/>
    <col min="1296" max="1296" width="15" customWidth="1"/>
    <col min="1297" max="1297" width="21.33203125" customWidth="1"/>
    <col min="1298" max="1298" width="13.44140625" customWidth="1"/>
    <col min="1299" max="1300" width="9.33203125" bestFit="1" customWidth="1"/>
    <col min="1301" max="1301" width="37.109375" customWidth="1"/>
    <col min="1302" max="1302" width="18.88671875" customWidth="1"/>
    <col min="1303" max="1303" width="19" customWidth="1"/>
    <col min="1304" max="1304" width="13" customWidth="1"/>
    <col min="1305" max="1305" width="12" bestFit="1" customWidth="1"/>
    <col min="1306" max="1306" width="12.109375" bestFit="1" customWidth="1"/>
    <col min="1307" max="1307" width="35.33203125" customWidth="1"/>
    <col min="1308" max="1308" width="16.5546875" customWidth="1"/>
    <col min="1309" max="1309" width="18" customWidth="1"/>
    <col min="1537" max="1537" width="86.109375" customWidth="1"/>
    <col min="1538" max="1538" width="32.88671875" customWidth="1"/>
    <col min="1539" max="1539" width="27.5546875" customWidth="1"/>
    <col min="1540" max="1540" width="9.33203125" bestFit="1" customWidth="1"/>
    <col min="1541" max="1541" width="35.109375" customWidth="1"/>
    <col min="1542" max="1542" width="8.44140625" customWidth="1"/>
    <col min="1543" max="1543" width="10.109375" bestFit="1" customWidth="1"/>
    <col min="1544" max="1544" width="9.33203125" bestFit="1" customWidth="1"/>
    <col min="1545" max="1545" width="30.44140625" customWidth="1"/>
    <col min="1546" max="1546" width="13.5546875" customWidth="1"/>
    <col min="1547" max="1547" width="15.33203125" customWidth="1"/>
    <col min="1548" max="1550" width="19" customWidth="1"/>
    <col min="1551" max="1551" width="38.44140625" customWidth="1"/>
    <col min="1552" max="1552" width="15" customWidth="1"/>
    <col min="1553" max="1553" width="21.33203125" customWidth="1"/>
    <col min="1554" max="1554" width="13.44140625" customWidth="1"/>
    <col min="1555" max="1556" width="9.33203125" bestFit="1" customWidth="1"/>
    <col min="1557" max="1557" width="37.109375" customWidth="1"/>
    <col min="1558" max="1558" width="18.88671875" customWidth="1"/>
    <col min="1559" max="1559" width="19" customWidth="1"/>
    <col min="1560" max="1560" width="13" customWidth="1"/>
    <col min="1561" max="1561" width="12" bestFit="1" customWidth="1"/>
    <col min="1562" max="1562" width="12.109375" bestFit="1" customWidth="1"/>
    <col min="1563" max="1563" width="35.33203125" customWidth="1"/>
    <col min="1564" max="1564" width="16.5546875" customWidth="1"/>
    <col min="1565" max="1565" width="18" customWidth="1"/>
    <col min="1793" max="1793" width="86.109375" customWidth="1"/>
    <col min="1794" max="1794" width="32.88671875" customWidth="1"/>
    <col min="1795" max="1795" width="27.5546875" customWidth="1"/>
    <col min="1796" max="1796" width="9.33203125" bestFit="1" customWidth="1"/>
    <col min="1797" max="1797" width="35.109375" customWidth="1"/>
    <col min="1798" max="1798" width="8.44140625" customWidth="1"/>
    <col min="1799" max="1799" width="10.109375" bestFit="1" customWidth="1"/>
    <col min="1800" max="1800" width="9.33203125" bestFit="1" customWidth="1"/>
    <col min="1801" max="1801" width="30.44140625" customWidth="1"/>
    <col min="1802" max="1802" width="13.5546875" customWidth="1"/>
    <col min="1803" max="1803" width="15.33203125" customWidth="1"/>
    <col min="1804" max="1806" width="19" customWidth="1"/>
    <col min="1807" max="1807" width="38.44140625" customWidth="1"/>
    <col min="1808" max="1808" width="15" customWidth="1"/>
    <col min="1809" max="1809" width="21.33203125" customWidth="1"/>
    <col min="1810" max="1810" width="13.44140625" customWidth="1"/>
    <col min="1811" max="1812" width="9.33203125" bestFit="1" customWidth="1"/>
    <col min="1813" max="1813" width="37.109375" customWidth="1"/>
    <col min="1814" max="1814" width="18.88671875" customWidth="1"/>
    <col min="1815" max="1815" width="19" customWidth="1"/>
    <col min="1816" max="1816" width="13" customWidth="1"/>
    <col min="1817" max="1817" width="12" bestFit="1" customWidth="1"/>
    <col min="1818" max="1818" width="12.109375" bestFit="1" customWidth="1"/>
    <col min="1819" max="1819" width="35.33203125" customWidth="1"/>
    <col min="1820" max="1820" width="16.5546875" customWidth="1"/>
    <col min="1821" max="1821" width="18" customWidth="1"/>
    <col min="2049" max="2049" width="86.109375" customWidth="1"/>
    <col min="2050" max="2050" width="32.88671875" customWidth="1"/>
    <col min="2051" max="2051" width="27.5546875" customWidth="1"/>
    <col min="2052" max="2052" width="9.33203125" bestFit="1" customWidth="1"/>
    <col min="2053" max="2053" width="35.109375" customWidth="1"/>
    <col min="2054" max="2054" width="8.44140625" customWidth="1"/>
    <col min="2055" max="2055" width="10.109375" bestFit="1" customWidth="1"/>
    <col min="2056" max="2056" width="9.33203125" bestFit="1" customWidth="1"/>
    <col min="2057" max="2057" width="30.44140625" customWidth="1"/>
    <col min="2058" max="2058" width="13.5546875" customWidth="1"/>
    <col min="2059" max="2059" width="15.33203125" customWidth="1"/>
    <col min="2060" max="2062" width="19" customWidth="1"/>
    <col min="2063" max="2063" width="38.44140625" customWidth="1"/>
    <col min="2064" max="2064" width="15" customWidth="1"/>
    <col min="2065" max="2065" width="21.33203125" customWidth="1"/>
    <col min="2066" max="2066" width="13.44140625" customWidth="1"/>
    <col min="2067" max="2068" width="9.33203125" bestFit="1" customWidth="1"/>
    <col min="2069" max="2069" width="37.109375" customWidth="1"/>
    <col min="2070" max="2070" width="18.88671875" customWidth="1"/>
    <col min="2071" max="2071" width="19" customWidth="1"/>
    <col min="2072" max="2072" width="13" customWidth="1"/>
    <col min="2073" max="2073" width="12" bestFit="1" customWidth="1"/>
    <col min="2074" max="2074" width="12.109375" bestFit="1" customWidth="1"/>
    <col min="2075" max="2075" width="35.33203125" customWidth="1"/>
    <col min="2076" max="2076" width="16.5546875" customWidth="1"/>
    <col min="2077" max="2077" width="18" customWidth="1"/>
    <col min="2305" max="2305" width="86.109375" customWidth="1"/>
    <col min="2306" max="2306" width="32.88671875" customWidth="1"/>
    <col min="2307" max="2307" width="27.5546875" customWidth="1"/>
    <col min="2308" max="2308" width="9.33203125" bestFit="1" customWidth="1"/>
    <col min="2309" max="2309" width="35.109375" customWidth="1"/>
    <col min="2310" max="2310" width="8.44140625" customWidth="1"/>
    <col min="2311" max="2311" width="10.109375" bestFit="1" customWidth="1"/>
    <col min="2312" max="2312" width="9.33203125" bestFit="1" customWidth="1"/>
    <col min="2313" max="2313" width="30.44140625" customWidth="1"/>
    <col min="2314" max="2314" width="13.5546875" customWidth="1"/>
    <col min="2315" max="2315" width="15.33203125" customWidth="1"/>
    <col min="2316" max="2318" width="19" customWidth="1"/>
    <col min="2319" max="2319" width="38.44140625" customWidth="1"/>
    <col min="2320" max="2320" width="15" customWidth="1"/>
    <col min="2321" max="2321" width="21.33203125" customWidth="1"/>
    <col min="2322" max="2322" width="13.44140625" customWidth="1"/>
    <col min="2323" max="2324" width="9.33203125" bestFit="1" customWidth="1"/>
    <col min="2325" max="2325" width="37.109375" customWidth="1"/>
    <col min="2326" max="2326" width="18.88671875" customWidth="1"/>
    <col min="2327" max="2327" width="19" customWidth="1"/>
    <col min="2328" max="2328" width="13" customWidth="1"/>
    <col min="2329" max="2329" width="12" bestFit="1" customWidth="1"/>
    <col min="2330" max="2330" width="12.109375" bestFit="1" customWidth="1"/>
    <col min="2331" max="2331" width="35.33203125" customWidth="1"/>
    <col min="2332" max="2332" width="16.5546875" customWidth="1"/>
    <col min="2333" max="2333" width="18" customWidth="1"/>
    <col min="2561" max="2561" width="86.109375" customWidth="1"/>
    <col min="2562" max="2562" width="32.88671875" customWidth="1"/>
    <col min="2563" max="2563" width="27.5546875" customWidth="1"/>
    <col min="2564" max="2564" width="9.33203125" bestFit="1" customWidth="1"/>
    <col min="2565" max="2565" width="35.109375" customWidth="1"/>
    <col min="2566" max="2566" width="8.44140625" customWidth="1"/>
    <col min="2567" max="2567" width="10.109375" bestFit="1" customWidth="1"/>
    <col min="2568" max="2568" width="9.33203125" bestFit="1" customWidth="1"/>
    <col min="2569" max="2569" width="30.44140625" customWidth="1"/>
    <col min="2570" max="2570" width="13.5546875" customWidth="1"/>
    <col min="2571" max="2571" width="15.33203125" customWidth="1"/>
    <col min="2572" max="2574" width="19" customWidth="1"/>
    <col min="2575" max="2575" width="38.44140625" customWidth="1"/>
    <col min="2576" max="2576" width="15" customWidth="1"/>
    <col min="2577" max="2577" width="21.33203125" customWidth="1"/>
    <col min="2578" max="2578" width="13.44140625" customWidth="1"/>
    <col min="2579" max="2580" width="9.33203125" bestFit="1" customWidth="1"/>
    <col min="2581" max="2581" width="37.109375" customWidth="1"/>
    <col min="2582" max="2582" width="18.88671875" customWidth="1"/>
    <col min="2583" max="2583" width="19" customWidth="1"/>
    <col min="2584" max="2584" width="13" customWidth="1"/>
    <col min="2585" max="2585" width="12" bestFit="1" customWidth="1"/>
    <col min="2586" max="2586" width="12.109375" bestFit="1" customWidth="1"/>
    <col min="2587" max="2587" width="35.33203125" customWidth="1"/>
    <col min="2588" max="2588" width="16.5546875" customWidth="1"/>
    <col min="2589" max="2589" width="18" customWidth="1"/>
    <col min="2817" max="2817" width="86.109375" customWidth="1"/>
    <col min="2818" max="2818" width="32.88671875" customWidth="1"/>
    <col min="2819" max="2819" width="27.5546875" customWidth="1"/>
    <col min="2820" max="2820" width="9.33203125" bestFit="1" customWidth="1"/>
    <col min="2821" max="2821" width="35.109375" customWidth="1"/>
    <col min="2822" max="2822" width="8.44140625" customWidth="1"/>
    <col min="2823" max="2823" width="10.109375" bestFit="1" customWidth="1"/>
    <col min="2824" max="2824" width="9.33203125" bestFit="1" customWidth="1"/>
    <col min="2825" max="2825" width="30.44140625" customWidth="1"/>
    <col min="2826" max="2826" width="13.5546875" customWidth="1"/>
    <col min="2827" max="2827" width="15.33203125" customWidth="1"/>
    <col min="2828" max="2830" width="19" customWidth="1"/>
    <col min="2831" max="2831" width="38.44140625" customWidth="1"/>
    <col min="2832" max="2832" width="15" customWidth="1"/>
    <col min="2833" max="2833" width="21.33203125" customWidth="1"/>
    <col min="2834" max="2834" width="13.44140625" customWidth="1"/>
    <col min="2835" max="2836" width="9.33203125" bestFit="1" customWidth="1"/>
    <col min="2837" max="2837" width="37.109375" customWidth="1"/>
    <col min="2838" max="2838" width="18.88671875" customWidth="1"/>
    <col min="2839" max="2839" width="19" customWidth="1"/>
    <col min="2840" max="2840" width="13" customWidth="1"/>
    <col min="2841" max="2841" width="12" bestFit="1" customWidth="1"/>
    <col min="2842" max="2842" width="12.109375" bestFit="1" customWidth="1"/>
    <col min="2843" max="2843" width="35.33203125" customWidth="1"/>
    <col min="2844" max="2844" width="16.5546875" customWidth="1"/>
    <col min="2845" max="2845" width="18" customWidth="1"/>
    <col min="3073" max="3073" width="86.109375" customWidth="1"/>
    <col min="3074" max="3074" width="32.88671875" customWidth="1"/>
    <col min="3075" max="3075" width="27.5546875" customWidth="1"/>
    <col min="3076" max="3076" width="9.33203125" bestFit="1" customWidth="1"/>
    <col min="3077" max="3077" width="35.109375" customWidth="1"/>
    <col min="3078" max="3078" width="8.44140625" customWidth="1"/>
    <col min="3079" max="3079" width="10.109375" bestFit="1" customWidth="1"/>
    <col min="3080" max="3080" width="9.33203125" bestFit="1" customWidth="1"/>
    <col min="3081" max="3081" width="30.44140625" customWidth="1"/>
    <col min="3082" max="3082" width="13.5546875" customWidth="1"/>
    <col min="3083" max="3083" width="15.33203125" customWidth="1"/>
    <col min="3084" max="3086" width="19" customWidth="1"/>
    <col min="3087" max="3087" width="38.44140625" customWidth="1"/>
    <col min="3088" max="3088" width="15" customWidth="1"/>
    <col min="3089" max="3089" width="21.33203125" customWidth="1"/>
    <col min="3090" max="3090" width="13.44140625" customWidth="1"/>
    <col min="3091" max="3092" width="9.33203125" bestFit="1" customWidth="1"/>
    <col min="3093" max="3093" width="37.109375" customWidth="1"/>
    <col min="3094" max="3094" width="18.88671875" customWidth="1"/>
    <col min="3095" max="3095" width="19" customWidth="1"/>
    <col min="3096" max="3096" width="13" customWidth="1"/>
    <col min="3097" max="3097" width="12" bestFit="1" customWidth="1"/>
    <col min="3098" max="3098" width="12.109375" bestFit="1" customWidth="1"/>
    <col min="3099" max="3099" width="35.33203125" customWidth="1"/>
    <col min="3100" max="3100" width="16.5546875" customWidth="1"/>
    <col min="3101" max="3101" width="18" customWidth="1"/>
    <col min="3329" max="3329" width="86.109375" customWidth="1"/>
    <col min="3330" max="3330" width="32.88671875" customWidth="1"/>
    <col min="3331" max="3331" width="27.5546875" customWidth="1"/>
    <col min="3332" max="3332" width="9.33203125" bestFit="1" customWidth="1"/>
    <col min="3333" max="3333" width="35.109375" customWidth="1"/>
    <col min="3334" max="3334" width="8.44140625" customWidth="1"/>
    <col min="3335" max="3335" width="10.109375" bestFit="1" customWidth="1"/>
    <col min="3336" max="3336" width="9.33203125" bestFit="1" customWidth="1"/>
    <col min="3337" max="3337" width="30.44140625" customWidth="1"/>
    <col min="3338" max="3338" width="13.5546875" customWidth="1"/>
    <col min="3339" max="3339" width="15.33203125" customWidth="1"/>
    <col min="3340" max="3342" width="19" customWidth="1"/>
    <col min="3343" max="3343" width="38.44140625" customWidth="1"/>
    <col min="3344" max="3344" width="15" customWidth="1"/>
    <col min="3345" max="3345" width="21.33203125" customWidth="1"/>
    <col min="3346" max="3346" width="13.44140625" customWidth="1"/>
    <col min="3347" max="3348" width="9.33203125" bestFit="1" customWidth="1"/>
    <col min="3349" max="3349" width="37.109375" customWidth="1"/>
    <col min="3350" max="3350" width="18.88671875" customWidth="1"/>
    <col min="3351" max="3351" width="19" customWidth="1"/>
    <col min="3352" max="3352" width="13" customWidth="1"/>
    <col min="3353" max="3353" width="12" bestFit="1" customWidth="1"/>
    <col min="3354" max="3354" width="12.109375" bestFit="1" customWidth="1"/>
    <col min="3355" max="3355" width="35.33203125" customWidth="1"/>
    <col min="3356" max="3356" width="16.5546875" customWidth="1"/>
    <col min="3357" max="3357" width="18" customWidth="1"/>
    <col min="3585" max="3585" width="86.109375" customWidth="1"/>
    <col min="3586" max="3586" width="32.88671875" customWidth="1"/>
    <col min="3587" max="3587" width="27.5546875" customWidth="1"/>
    <col min="3588" max="3588" width="9.33203125" bestFit="1" customWidth="1"/>
    <col min="3589" max="3589" width="35.109375" customWidth="1"/>
    <col min="3590" max="3590" width="8.44140625" customWidth="1"/>
    <col min="3591" max="3591" width="10.109375" bestFit="1" customWidth="1"/>
    <col min="3592" max="3592" width="9.33203125" bestFit="1" customWidth="1"/>
    <col min="3593" max="3593" width="30.44140625" customWidth="1"/>
    <col min="3594" max="3594" width="13.5546875" customWidth="1"/>
    <col min="3595" max="3595" width="15.33203125" customWidth="1"/>
    <col min="3596" max="3598" width="19" customWidth="1"/>
    <col min="3599" max="3599" width="38.44140625" customWidth="1"/>
    <col min="3600" max="3600" width="15" customWidth="1"/>
    <col min="3601" max="3601" width="21.33203125" customWidth="1"/>
    <col min="3602" max="3602" width="13.44140625" customWidth="1"/>
    <col min="3603" max="3604" width="9.33203125" bestFit="1" customWidth="1"/>
    <col min="3605" max="3605" width="37.109375" customWidth="1"/>
    <col min="3606" max="3606" width="18.88671875" customWidth="1"/>
    <col min="3607" max="3607" width="19" customWidth="1"/>
    <col min="3608" max="3608" width="13" customWidth="1"/>
    <col min="3609" max="3609" width="12" bestFit="1" customWidth="1"/>
    <col min="3610" max="3610" width="12.109375" bestFit="1" customWidth="1"/>
    <col min="3611" max="3611" width="35.33203125" customWidth="1"/>
    <col min="3612" max="3612" width="16.5546875" customWidth="1"/>
    <col min="3613" max="3613" width="18" customWidth="1"/>
    <col min="3841" max="3841" width="86.109375" customWidth="1"/>
    <col min="3842" max="3842" width="32.88671875" customWidth="1"/>
    <col min="3843" max="3843" width="27.5546875" customWidth="1"/>
    <col min="3844" max="3844" width="9.33203125" bestFit="1" customWidth="1"/>
    <col min="3845" max="3845" width="35.109375" customWidth="1"/>
    <col min="3846" max="3846" width="8.44140625" customWidth="1"/>
    <col min="3847" max="3847" width="10.109375" bestFit="1" customWidth="1"/>
    <col min="3848" max="3848" width="9.33203125" bestFit="1" customWidth="1"/>
    <col min="3849" max="3849" width="30.44140625" customWidth="1"/>
    <col min="3850" max="3850" width="13.5546875" customWidth="1"/>
    <col min="3851" max="3851" width="15.33203125" customWidth="1"/>
    <col min="3852" max="3854" width="19" customWidth="1"/>
    <col min="3855" max="3855" width="38.44140625" customWidth="1"/>
    <col min="3856" max="3856" width="15" customWidth="1"/>
    <col min="3857" max="3857" width="21.33203125" customWidth="1"/>
    <col min="3858" max="3858" width="13.44140625" customWidth="1"/>
    <col min="3859" max="3860" width="9.33203125" bestFit="1" customWidth="1"/>
    <col min="3861" max="3861" width="37.109375" customWidth="1"/>
    <col min="3862" max="3862" width="18.88671875" customWidth="1"/>
    <col min="3863" max="3863" width="19" customWidth="1"/>
    <col min="3864" max="3864" width="13" customWidth="1"/>
    <col min="3865" max="3865" width="12" bestFit="1" customWidth="1"/>
    <col min="3866" max="3866" width="12.109375" bestFit="1" customWidth="1"/>
    <col min="3867" max="3867" width="35.33203125" customWidth="1"/>
    <col min="3868" max="3868" width="16.5546875" customWidth="1"/>
    <col min="3869" max="3869" width="18" customWidth="1"/>
    <col min="4097" max="4097" width="86.109375" customWidth="1"/>
    <col min="4098" max="4098" width="32.88671875" customWidth="1"/>
    <col min="4099" max="4099" width="27.5546875" customWidth="1"/>
    <col min="4100" max="4100" width="9.33203125" bestFit="1" customWidth="1"/>
    <col min="4101" max="4101" width="35.109375" customWidth="1"/>
    <col min="4102" max="4102" width="8.44140625" customWidth="1"/>
    <col min="4103" max="4103" width="10.109375" bestFit="1" customWidth="1"/>
    <col min="4104" max="4104" width="9.33203125" bestFit="1" customWidth="1"/>
    <col min="4105" max="4105" width="30.44140625" customWidth="1"/>
    <col min="4106" max="4106" width="13.5546875" customWidth="1"/>
    <col min="4107" max="4107" width="15.33203125" customWidth="1"/>
    <col min="4108" max="4110" width="19" customWidth="1"/>
    <col min="4111" max="4111" width="38.44140625" customWidth="1"/>
    <col min="4112" max="4112" width="15" customWidth="1"/>
    <col min="4113" max="4113" width="21.33203125" customWidth="1"/>
    <col min="4114" max="4114" width="13.44140625" customWidth="1"/>
    <col min="4115" max="4116" width="9.33203125" bestFit="1" customWidth="1"/>
    <col min="4117" max="4117" width="37.109375" customWidth="1"/>
    <col min="4118" max="4118" width="18.88671875" customWidth="1"/>
    <col min="4119" max="4119" width="19" customWidth="1"/>
    <col min="4120" max="4120" width="13" customWidth="1"/>
    <col min="4121" max="4121" width="12" bestFit="1" customWidth="1"/>
    <col min="4122" max="4122" width="12.109375" bestFit="1" customWidth="1"/>
    <col min="4123" max="4123" width="35.33203125" customWidth="1"/>
    <col min="4124" max="4124" width="16.5546875" customWidth="1"/>
    <col min="4125" max="4125" width="18" customWidth="1"/>
    <col min="4353" max="4353" width="86.109375" customWidth="1"/>
    <col min="4354" max="4354" width="32.88671875" customWidth="1"/>
    <col min="4355" max="4355" width="27.5546875" customWidth="1"/>
    <col min="4356" max="4356" width="9.33203125" bestFit="1" customWidth="1"/>
    <col min="4357" max="4357" width="35.109375" customWidth="1"/>
    <col min="4358" max="4358" width="8.44140625" customWidth="1"/>
    <col min="4359" max="4359" width="10.109375" bestFit="1" customWidth="1"/>
    <col min="4360" max="4360" width="9.33203125" bestFit="1" customWidth="1"/>
    <col min="4361" max="4361" width="30.44140625" customWidth="1"/>
    <col min="4362" max="4362" width="13.5546875" customWidth="1"/>
    <col min="4363" max="4363" width="15.33203125" customWidth="1"/>
    <col min="4364" max="4366" width="19" customWidth="1"/>
    <col min="4367" max="4367" width="38.44140625" customWidth="1"/>
    <col min="4368" max="4368" width="15" customWidth="1"/>
    <col min="4369" max="4369" width="21.33203125" customWidth="1"/>
    <col min="4370" max="4370" width="13.44140625" customWidth="1"/>
    <col min="4371" max="4372" width="9.33203125" bestFit="1" customWidth="1"/>
    <col min="4373" max="4373" width="37.109375" customWidth="1"/>
    <col min="4374" max="4374" width="18.88671875" customWidth="1"/>
    <col min="4375" max="4375" width="19" customWidth="1"/>
    <col min="4376" max="4376" width="13" customWidth="1"/>
    <col min="4377" max="4377" width="12" bestFit="1" customWidth="1"/>
    <col min="4378" max="4378" width="12.109375" bestFit="1" customWidth="1"/>
    <col min="4379" max="4379" width="35.33203125" customWidth="1"/>
    <col min="4380" max="4380" width="16.5546875" customWidth="1"/>
    <col min="4381" max="4381" width="18" customWidth="1"/>
    <col min="4609" max="4609" width="86.109375" customWidth="1"/>
    <col min="4610" max="4610" width="32.88671875" customWidth="1"/>
    <col min="4611" max="4611" width="27.5546875" customWidth="1"/>
    <col min="4612" max="4612" width="9.33203125" bestFit="1" customWidth="1"/>
    <col min="4613" max="4613" width="35.109375" customWidth="1"/>
    <col min="4614" max="4614" width="8.44140625" customWidth="1"/>
    <col min="4615" max="4615" width="10.109375" bestFit="1" customWidth="1"/>
    <col min="4616" max="4616" width="9.33203125" bestFit="1" customWidth="1"/>
    <col min="4617" max="4617" width="30.44140625" customWidth="1"/>
    <col min="4618" max="4618" width="13.5546875" customWidth="1"/>
    <col min="4619" max="4619" width="15.33203125" customWidth="1"/>
    <col min="4620" max="4622" width="19" customWidth="1"/>
    <col min="4623" max="4623" width="38.44140625" customWidth="1"/>
    <col min="4624" max="4624" width="15" customWidth="1"/>
    <col min="4625" max="4625" width="21.33203125" customWidth="1"/>
    <col min="4626" max="4626" width="13.44140625" customWidth="1"/>
    <col min="4627" max="4628" width="9.33203125" bestFit="1" customWidth="1"/>
    <col min="4629" max="4629" width="37.109375" customWidth="1"/>
    <col min="4630" max="4630" width="18.88671875" customWidth="1"/>
    <col min="4631" max="4631" width="19" customWidth="1"/>
    <col min="4632" max="4632" width="13" customWidth="1"/>
    <col min="4633" max="4633" width="12" bestFit="1" customWidth="1"/>
    <col min="4634" max="4634" width="12.109375" bestFit="1" customWidth="1"/>
    <col min="4635" max="4635" width="35.33203125" customWidth="1"/>
    <col min="4636" max="4636" width="16.5546875" customWidth="1"/>
    <col min="4637" max="4637" width="18" customWidth="1"/>
    <col min="4865" max="4865" width="86.109375" customWidth="1"/>
    <col min="4866" max="4866" width="32.88671875" customWidth="1"/>
    <col min="4867" max="4867" width="27.5546875" customWidth="1"/>
    <col min="4868" max="4868" width="9.33203125" bestFit="1" customWidth="1"/>
    <col min="4869" max="4869" width="35.109375" customWidth="1"/>
    <col min="4870" max="4870" width="8.44140625" customWidth="1"/>
    <col min="4871" max="4871" width="10.109375" bestFit="1" customWidth="1"/>
    <col min="4872" max="4872" width="9.33203125" bestFit="1" customWidth="1"/>
    <col min="4873" max="4873" width="30.44140625" customWidth="1"/>
    <col min="4874" max="4874" width="13.5546875" customWidth="1"/>
    <col min="4875" max="4875" width="15.33203125" customWidth="1"/>
    <col min="4876" max="4878" width="19" customWidth="1"/>
    <col min="4879" max="4879" width="38.44140625" customWidth="1"/>
    <col min="4880" max="4880" width="15" customWidth="1"/>
    <col min="4881" max="4881" width="21.33203125" customWidth="1"/>
    <col min="4882" max="4882" width="13.44140625" customWidth="1"/>
    <col min="4883" max="4884" width="9.33203125" bestFit="1" customWidth="1"/>
    <col min="4885" max="4885" width="37.109375" customWidth="1"/>
    <col min="4886" max="4886" width="18.88671875" customWidth="1"/>
    <col min="4887" max="4887" width="19" customWidth="1"/>
    <col min="4888" max="4888" width="13" customWidth="1"/>
    <col min="4889" max="4889" width="12" bestFit="1" customWidth="1"/>
    <col min="4890" max="4890" width="12.109375" bestFit="1" customWidth="1"/>
    <col min="4891" max="4891" width="35.33203125" customWidth="1"/>
    <col min="4892" max="4892" width="16.5546875" customWidth="1"/>
    <col min="4893" max="4893" width="18" customWidth="1"/>
    <col min="5121" max="5121" width="86.109375" customWidth="1"/>
    <col min="5122" max="5122" width="32.88671875" customWidth="1"/>
    <col min="5123" max="5123" width="27.5546875" customWidth="1"/>
    <col min="5124" max="5124" width="9.33203125" bestFit="1" customWidth="1"/>
    <col min="5125" max="5125" width="35.109375" customWidth="1"/>
    <col min="5126" max="5126" width="8.44140625" customWidth="1"/>
    <col min="5127" max="5127" width="10.109375" bestFit="1" customWidth="1"/>
    <col min="5128" max="5128" width="9.33203125" bestFit="1" customWidth="1"/>
    <col min="5129" max="5129" width="30.44140625" customWidth="1"/>
    <col min="5130" max="5130" width="13.5546875" customWidth="1"/>
    <col min="5131" max="5131" width="15.33203125" customWidth="1"/>
    <col min="5132" max="5134" width="19" customWidth="1"/>
    <col min="5135" max="5135" width="38.44140625" customWidth="1"/>
    <col min="5136" max="5136" width="15" customWidth="1"/>
    <col min="5137" max="5137" width="21.33203125" customWidth="1"/>
    <col min="5138" max="5138" width="13.44140625" customWidth="1"/>
    <col min="5139" max="5140" width="9.33203125" bestFit="1" customWidth="1"/>
    <col min="5141" max="5141" width="37.109375" customWidth="1"/>
    <col min="5142" max="5142" width="18.88671875" customWidth="1"/>
    <col min="5143" max="5143" width="19" customWidth="1"/>
    <col min="5144" max="5144" width="13" customWidth="1"/>
    <col min="5145" max="5145" width="12" bestFit="1" customWidth="1"/>
    <col min="5146" max="5146" width="12.109375" bestFit="1" customWidth="1"/>
    <col min="5147" max="5147" width="35.33203125" customWidth="1"/>
    <col min="5148" max="5148" width="16.5546875" customWidth="1"/>
    <col min="5149" max="5149" width="18" customWidth="1"/>
    <col min="5377" max="5377" width="86.109375" customWidth="1"/>
    <col min="5378" max="5378" width="32.88671875" customWidth="1"/>
    <col min="5379" max="5379" width="27.5546875" customWidth="1"/>
    <col min="5380" max="5380" width="9.33203125" bestFit="1" customWidth="1"/>
    <col min="5381" max="5381" width="35.109375" customWidth="1"/>
    <col min="5382" max="5382" width="8.44140625" customWidth="1"/>
    <col min="5383" max="5383" width="10.109375" bestFit="1" customWidth="1"/>
    <col min="5384" max="5384" width="9.33203125" bestFit="1" customWidth="1"/>
    <col min="5385" max="5385" width="30.44140625" customWidth="1"/>
    <col min="5386" max="5386" width="13.5546875" customWidth="1"/>
    <col min="5387" max="5387" width="15.33203125" customWidth="1"/>
    <col min="5388" max="5390" width="19" customWidth="1"/>
    <col min="5391" max="5391" width="38.44140625" customWidth="1"/>
    <col min="5392" max="5392" width="15" customWidth="1"/>
    <col min="5393" max="5393" width="21.33203125" customWidth="1"/>
    <col min="5394" max="5394" width="13.44140625" customWidth="1"/>
    <col min="5395" max="5396" width="9.33203125" bestFit="1" customWidth="1"/>
    <col min="5397" max="5397" width="37.109375" customWidth="1"/>
    <col min="5398" max="5398" width="18.88671875" customWidth="1"/>
    <col min="5399" max="5399" width="19" customWidth="1"/>
    <col min="5400" max="5400" width="13" customWidth="1"/>
    <col min="5401" max="5401" width="12" bestFit="1" customWidth="1"/>
    <col min="5402" max="5402" width="12.109375" bestFit="1" customWidth="1"/>
    <col min="5403" max="5403" width="35.33203125" customWidth="1"/>
    <col min="5404" max="5404" width="16.5546875" customWidth="1"/>
    <col min="5405" max="5405" width="18" customWidth="1"/>
    <col min="5633" max="5633" width="86.109375" customWidth="1"/>
    <col min="5634" max="5634" width="32.88671875" customWidth="1"/>
    <col min="5635" max="5635" width="27.5546875" customWidth="1"/>
    <col min="5636" max="5636" width="9.33203125" bestFit="1" customWidth="1"/>
    <col min="5637" max="5637" width="35.109375" customWidth="1"/>
    <col min="5638" max="5638" width="8.44140625" customWidth="1"/>
    <col min="5639" max="5639" width="10.109375" bestFit="1" customWidth="1"/>
    <col min="5640" max="5640" width="9.33203125" bestFit="1" customWidth="1"/>
    <col min="5641" max="5641" width="30.44140625" customWidth="1"/>
    <col min="5642" max="5642" width="13.5546875" customWidth="1"/>
    <col min="5643" max="5643" width="15.33203125" customWidth="1"/>
    <col min="5644" max="5646" width="19" customWidth="1"/>
    <col min="5647" max="5647" width="38.44140625" customWidth="1"/>
    <col min="5648" max="5648" width="15" customWidth="1"/>
    <col min="5649" max="5649" width="21.33203125" customWidth="1"/>
    <col min="5650" max="5650" width="13.44140625" customWidth="1"/>
    <col min="5651" max="5652" width="9.33203125" bestFit="1" customWidth="1"/>
    <col min="5653" max="5653" width="37.109375" customWidth="1"/>
    <col min="5654" max="5654" width="18.88671875" customWidth="1"/>
    <col min="5655" max="5655" width="19" customWidth="1"/>
    <col min="5656" max="5656" width="13" customWidth="1"/>
    <col min="5657" max="5657" width="12" bestFit="1" customWidth="1"/>
    <col min="5658" max="5658" width="12.109375" bestFit="1" customWidth="1"/>
    <col min="5659" max="5659" width="35.33203125" customWidth="1"/>
    <col min="5660" max="5660" width="16.5546875" customWidth="1"/>
    <col min="5661" max="5661" width="18" customWidth="1"/>
    <col min="5889" max="5889" width="86.109375" customWidth="1"/>
    <col min="5890" max="5890" width="32.88671875" customWidth="1"/>
    <col min="5891" max="5891" width="27.5546875" customWidth="1"/>
    <col min="5892" max="5892" width="9.33203125" bestFit="1" customWidth="1"/>
    <col min="5893" max="5893" width="35.109375" customWidth="1"/>
    <col min="5894" max="5894" width="8.44140625" customWidth="1"/>
    <col min="5895" max="5895" width="10.109375" bestFit="1" customWidth="1"/>
    <col min="5896" max="5896" width="9.33203125" bestFit="1" customWidth="1"/>
    <col min="5897" max="5897" width="30.44140625" customWidth="1"/>
    <col min="5898" max="5898" width="13.5546875" customWidth="1"/>
    <col min="5899" max="5899" width="15.33203125" customWidth="1"/>
    <col min="5900" max="5902" width="19" customWidth="1"/>
    <col min="5903" max="5903" width="38.44140625" customWidth="1"/>
    <col min="5904" max="5904" width="15" customWidth="1"/>
    <col min="5905" max="5905" width="21.33203125" customWidth="1"/>
    <col min="5906" max="5906" width="13.44140625" customWidth="1"/>
    <col min="5907" max="5908" width="9.33203125" bestFit="1" customWidth="1"/>
    <col min="5909" max="5909" width="37.109375" customWidth="1"/>
    <col min="5910" max="5910" width="18.88671875" customWidth="1"/>
    <col min="5911" max="5911" width="19" customWidth="1"/>
    <col min="5912" max="5912" width="13" customWidth="1"/>
    <col min="5913" max="5913" width="12" bestFit="1" customWidth="1"/>
    <col min="5914" max="5914" width="12.109375" bestFit="1" customWidth="1"/>
    <col min="5915" max="5915" width="35.33203125" customWidth="1"/>
    <col min="5916" max="5916" width="16.5546875" customWidth="1"/>
    <col min="5917" max="5917" width="18" customWidth="1"/>
    <col min="6145" max="6145" width="86.109375" customWidth="1"/>
    <col min="6146" max="6146" width="32.88671875" customWidth="1"/>
    <col min="6147" max="6147" width="27.5546875" customWidth="1"/>
    <col min="6148" max="6148" width="9.33203125" bestFit="1" customWidth="1"/>
    <col min="6149" max="6149" width="35.109375" customWidth="1"/>
    <col min="6150" max="6150" width="8.44140625" customWidth="1"/>
    <col min="6151" max="6151" width="10.109375" bestFit="1" customWidth="1"/>
    <col min="6152" max="6152" width="9.33203125" bestFit="1" customWidth="1"/>
    <col min="6153" max="6153" width="30.44140625" customWidth="1"/>
    <col min="6154" max="6154" width="13.5546875" customWidth="1"/>
    <col min="6155" max="6155" width="15.33203125" customWidth="1"/>
    <col min="6156" max="6158" width="19" customWidth="1"/>
    <col min="6159" max="6159" width="38.44140625" customWidth="1"/>
    <col min="6160" max="6160" width="15" customWidth="1"/>
    <col min="6161" max="6161" width="21.33203125" customWidth="1"/>
    <col min="6162" max="6162" width="13.44140625" customWidth="1"/>
    <col min="6163" max="6164" width="9.33203125" bestFit="1" customWidth="1"/>
    <col min="6165" max="6165" width="37.109375" customWidth="1"/>
    <col min="6166" max="6166" width="18.88671875" customWidth="1"/>
    <col min="6167" max="6167" width="19" customWidth="1"/>
    <col min="6168" max="6168" width="13" customWidth="1"/>
    <col min="6169" max="6169" width="12" bestFit="1" customWidth="1"/>
    <col min="6170" max="6170" width="12.109375" bestFit="1" customWidth="1"/>
    <col min="6171" max="6171" width="35.33203125" customWidth="1"/>
    <col min="6172" max="6172" width="16.5546875" customWidth="1"/>
    <col min="6173" max="6173" width="18" customWidth="1"/>
    <col min="6401" max="6401" width="86.109375" customWidth="1"/>
    <col min="6402" max="6402" width="32.88671875" customWidth="1"/>
    <col min="6403" max="6403" width="27.5546875" customWidth="1"/>
    <col min="6404" max="6404" width="9.33203125" bestFit="1" customWidth="1"/>
    <col min="6405" max="6405" width="35.109375" customWidth="1"/>
    <col min="6406" max="6406" width="8.44140625" customWidth="1"/>
    <col min="6407" max="6407" width="10.109375" bestFit="1" customWidth="1"/>
    <col min="6408" max="6408" width="9.33203125" bestFit="1" customWidth="1"/>
    <col min="6409" max="6409" width="30.44140625" customWidth="1"/>
    <col min="6410" max="6410" width="13.5546875" customWidth="1"/>
    <col min="6411" max="6411" width="15.33203125" customWidth="1"/>
    <col min="6412" max="6414" width="19" customWidth="1"/>
    <col min="6415" max="6415" width="38.44140625" customWidth="1"/>
    <col min="6416" max="6416" width="15" customWidth="1"/>
    <col min="6417" max="6417" width="21.33203125" customWidth="1"/>
    <col min="6418" max="6418" width="13.44140625" customWidth="1"/>
    <col min="6419" max="6420" width="9.33203125" bestFit="1" customWidth="1"/>
    <col min="6421" max="6421" width="37.109375" customWidth="1"/>
    <col min="6422" max="6422" width="18.88671875" customWidth="1"/>
    <col min="6423" max="6423" width="19" customWidth="1"/>
    <col min="6424" max="6424" width="13" customWidth="1"/>
    <col min="6425" max="6425" width="12" bestFit="1" customWidth="1"/>
    <col min="6426" max="6426" width="12.109375" bestFit="1" customWidth="1"/>
    <col min="6427" max="6427" width="35.33203125" customWidth="1"/>
    <col min="6428" max="6428" width="16.5546875" customWidth="1"/>
    <col min="6429" max="6429" width="18" customWidth="1"/>
    <col min="6657" max="6657" width="86.109375" customWidth="1"/>
    <col min="6658" max="6658" width="32.88671875" customWidth="1"/>
    <col min="6659" max="6659" width="27.5546875" customWidth="1"/>
    <col min="6660" max="6660" width="9.33203125" bestFit="1" customWidth="1"/>
    <col min="6661" max="6661" width="35.109375" customWidth="1"/>
    <col min="6662" max="6662" width="8.44140625" customWidth="1"/>
    <col min="6663" max="6663" width="10.109375" bestFit="1" customWidth="1"/>
    <col min="6664" max="6664" width="9.33203125" bestFit="1" customWidth="1"/>
    <col min="6665" max="6665" width="30.44140625" customWidth="1"/>
    <col min="6666" max="6666" width="13.5546875" customWidth="1"/>
    <col min="6667" max="6667" width="15.33203125" customWidth="1"/>
    <col min="6668" max="6670" width="19" customWidth="1"/>
    <col min="6671" max="6671" width="38.44140625" customWidth="1"/>
    <col min="6672" max="6672" width="15" customWidth="1"/>
    <col min="6673" max="6673" width="21.33203125" customWidth="1"/>
    <col min="6674" max="6674" width="13.44140625" customWidth="1"/>
    <col min="6675" max="6676" width="9.33203125" bestFit="1" customWidth="1"/>
    <col min="6677" max="6677" width="37.109375" customWidth="1"/>
    <col min="6678" max="6678" width="18.88671875" customWidth="1"/>
    <col min="6679" max="6679" width="19" customWidth="1"/>
    <col min="6680" max="6680" width="13" customWidth="1"/>
    <col min="6681" max="6681" width="12" bestFit="1" customWidth="1"/>
    <col min="6682" max="6682" width="12.109375" bestFit="1" customWidth="1"/>
    <col min="6683" max="6683" width="35.33203125" customWidth="1"/>
    <col min="6684" max="6684" width="16.5546875" customWidth="1"/>
    <col min="6685" max="6685" width="18" customWidth="1"/>
    <col min="6913" max="6913" width="86.109375" customWidth="1"/>
    <col min="6914" max="6914" width="32.88671875" customWidth="1"/>
    <col min="6915" max="6915" width="27.5546875" customWidth="1"/>
    <col min="6916" max="6916" width="9.33203125" bestFit="1" customWidth="1"/>
    <col min="6917" max="6917" width="35.109375" customWidth="1"/>
    <col min="6918" max="6918" width="8.44140625" customWidth="1"/>
    <col min="6919" max="6919" width="10.109375" bestFit="1" customWidth="1"/>
    <col min="6920" max="6920" width="9.33203125" bestFit="1" customWidth="1"/>
    <col min="6921" max="6921" width="30.44140625" customWidth="1"/>
    <col min="6922" max="6922" width="13.5546875" customWidth="1"/>
    <col min="6923" max="6923" width="15.33203125" customWidth="1"/>
    <col min="6924" max="6926" width="19" customWidth="1"/>
    <col min="6927" max="6927" width="38.44140625" customWidth="1"/>
    <col min="6928" max="6928" width="15" customWidth="1"/>
    <col min="6929" max="6929" width="21.33203125" customWidth="1"/>
    <col min="6930" max="6930" width="13.44140625" customWidth="1"/>
    <col min="6931" max="6932" width="9.33203125" bestFit="1" customWidth="1"/>
    <col min="6933" max="6933" width="37.109375" customWidth="1"/>
    <col min="6934" max="6934" width="18.88671875" customWidth="1"/>
    <col min="6935" max="6935" width="19" customWidth="1"/>
    <col min="6936" max="6936" width="13" customWidth="1"/>
    <col min="6937" max="6937" width="12" bestFit="1" customWidth="1"/>
    <col min="6938" max="6938" width="12.109375" bestFit="1" customWidth="1"/>
    <col min="6939" max="6939" width="35.33203125" customWidth="1"/>
    <col min="6940" max="6940" width="16.5546875" customWidth="1"/>
    <col min="6941" max="6941" width="18" customWidth="1"/>
    <col min="7169" max="7169" width="86.109375" customWidth="1"/>
    <col min="7170" max="7170" width="32.88671875" customWidth="1"/>
    <col min="7171" max="7171" width="27.5546875" customWidth="1"/>
    <col min="7172" max="7172" width="9.33203125" bestFit="1" customWidth="1"/>
    <col min="7173" max="7173" width="35.109375" customWidth="1"/>
    <col min="7174" max="7174" width="8.44140625" customWidth="1"/>
    <col min="7175" max="7175" width="10.109375" bestFit="1" customWidth="1"/>
    <col min="7176" max="7176" width="9.33203125" bestFit="1" customWidth="1"/>
    <col min="7177" max="7177" width="30.44140625" customWidth="1"/>
    <col min="7178" max="7178" width="13.5546875" customWidth="1"/>
    <col min="7179" max="7179" width="15.33203125" customWidth="1"/>
    <col min="7180" max="7182" width="19" customWidth="1"/>
    <col min="7183" max="7183" width="38.44140625" customWidth="1"/>
    <col min="7184" max="7184" width="15" customWidth="1"/>
    <col min="7185" max="7185" width="21.33203125" customWidth="1"/>
    <col min="7186" max="7186" width="13.44140625" customWidth="1"/>
    <col min="7187" max="7188" width="9.33203125" bestFit="1" customWidth="1"/>
    <col min="7189" max="7189" width="37.109375" customWidth="1"/>
    <col min="7190" max="7190" width="18.88671875" customWidth="1"/>
    <col min="7191" max="7191" width="19" customWidth="1"/>
    <col min="7192" max="7192" width="13" customWidth="1"/>
    <col min="7193" max="7193" width="12" bestFit="1" customWidth="1"/>
    <col min="7194" max="7194" width="12.109375" bestFit="1" customWidth="1"/>
    <col min="7195" max="7195" width="35.33203125" customWidth="1"/>
    <col min="7196" max="7196" width="16.5546875" customWidth="1"/>
    <col min="7197" max="7197" width="18" customWidth="1"/>
    <col min="7425" max="7425" width="86.109375" customWidth="1"/>
    <col min="7426" max="7426" width="32.88671875" customWidth="1"/>
    <col min="7427" max="7427" width="27.5546875" customWidth="1"/>
    <col min="7428" max="7428" width="9.33203125" bestFit="1" customWidth="1"/>
    <col min="7429" max="7429" width="35.109375" customWidth="1"/>
    <col min="7430" max="7430" width="8.44140625" customWidth="1"/>
    <col min="7431" max="7431" width="10.109375" bestFit="1" customWidth="1"/>
    <col min="7432" max="7432" width="9.33203125" bestFit="1" customWidth="1"/>
    <col min="7433" max="7433" width="30.44140625" customWidth="1"/>
    <col min="7434" max="7434" width="13.5546875" customWidth="1"/>
    <col min="7435" max="7435" width="15.33203125" customWidth="1"/>
    <col min="7436" max="7438" width="19" customWidth="1"/>
    <col min="7439" max="7439" width="38.44140625" customWidth="1"/>
    <col min="7440" max="7440" width="15" customWidth="1"/>
    <col min="7441" max="7441" width="21.33203125" customWidth="1"/>
    <col min="7442" max="7442" width="13.44140625" customWidth="1"/>
    <col min="7443" max="7444" width="9.33203125" bestFit="1" customWidth="1"/>
    <col min="7445" max="7445" width="37.109375" customWidth="1"/>
    <col min="7446" max="7446" width="18.88671875" customWidth="1"/>
    <col min="7447" max="7447" width="19" customWidth="1"/>
    <col min="7448" max="7448" width="13" customWidth="1"/>
    <col min="7449" max="7449" width="12" bestFit="1" customWidth="1"/>
    <col min="7450" max="7450" width="12.109375" bestFit="1" customWidth="1"/>
    <col min="7451" max="7451" width="35.33203125" customWidth="1"/>
    <col min="7452" max="7452" width="16.5546875" customWidth="1"/>
    <col min="7453" max="7453" width="18" customWidth="1"/>
    <col min="7681" max="7681" width="86.109375" customWidth="1"/>
    <col min="7682" max="7682" width="32.88671875" customWidth="1"/>
    <col min="7683" max="7683" width="27.5546875" customWidth="1"/>
    <col min="7684" max="7684" width="9.33203125" bestFit="1" customWidth="1"/>
    <col min="7685" max="7685" width="35.109375" customWidth="1"/>
    <col min="7686" max="7686" width="8.44140625" customWidth="1"/>
    <col min="7687" max="7687" width="10.109375" bestFit="1" customWidth="1"/>
    <col min="7688" max="7688" width="9.33203125" bestFit="1" customWidth="1"/>
    <col min="7689" max="7689" width="30.44140625" customWidth="1"/>
    <col min="7690" max="7690" width="13.5546875" customWidth="1"/>
    <col min="7691" max="7691" width="15.33203125" customWidth="1"/>
    <col min="7692" max="7694" width="19" customWidth="1"/>
    <col min="7695" max="7695" width="38.44140625" customWidth="1"/>
    <col min="7696" max="7696" width="15" customWidth="1"/>
    <col min="7697" max="7697" width="21.33203125" customWidth="1"/>
    <col min="7698" max="7698" width="13.44140625" customWidth="1"/>
    <col min="7699" max="7700" width="9.33203125" bestFit="1" customWidth="1"/>
    <col min="7701" max="7701" width="37.109375" customWidth="1"/>
    <col min="7702" max="7702" width="18.88671875" customWidth="1"/>
    <col min="7703" max="7703" width="19" customWidth="1"/>
    <col min="7704" max="7704" width="13" customWidth="1"/>
    <col min="7705" max="7705" width="12" bestFit="1" customWidth="1"/>
    <col min="7706" max="7706" width="12.109375" bestFit="1" customWidth="1"/>
    <col min="7707" max="7707" width="35.33203125" customWidth="1"/>
    <col min="7708" max="7708" width="16.5546875" customWidth="1"/>
    <col min="7709" max="7709" width="18" customWidth="1"/>
    <col min="7937" max="7937" width="86.109375" customWidth="1"/>
    <col min="7938" max="7938" width="32.88671875" customWidth="1"/>
    <col min="7939" max="7939" width="27.5546875" customWidth="1"/>
    <col min="7940" max="7940" width="9.33203125" bestFit="1" customWidth="1"/>
    <col min="7941" max="7941" width="35.109375" customWidth="1"/>
    <col min="7942" max="7942" width="8.44140625" customWidth="1"/>
    <col min="7943" max="7943" width="10.109375" bestFit="1" customWidth="1"/>
    <col min="7944" max="7944" width="9.33203125" bestFit="1" customWidth="1"/>
    <col min="7945" max="7945" width="30.44140625" customWidth="1"/>
    <col min="7946" max="7946" width="13.5546875" customWidth="1"/>
    <col min="7947" max="7947" width="15.33203125" customWidth="1"/>
    <col min="7948" max="7950" width="19" customWidth="1"/>
    <col min="7951" max="7951" width="38.44140625" customWidth="1"/>
    <col min="7952" max="7952" width="15" customWidth="1"/>
    <col min="7953" max="7953" width="21.33203125" customWidth="1"/>
    <col min="7954" max="7954" width="13.44140625" customWidth="1"/>
    <col min="7955" max="7956" width="9.33203125" bestFit="1" customWidth="1"/>
    <col min="7957" max="7957" width="37.109375" customWidth="1"/>
    <col min="7958" max="7958" width="18.88671875" customWidth="1"/>
    <col min="7959" max="7959" width="19" customWidth="1"/>
    <col min="7960" max="7960" width="13" customWidth="1"/>
    <col min="7961" max="7961" width="12" bestFit="1" customWidth="1"/>
    <col min="7962" max="7962" width="12.109375" bestFit="1" customWidth="1"/>
    <col min="7963" max="7963" width="35.33203125" customWidth="1"/>
    <col min="7964" max="7964" width="16.5546875" customWidth="1"/>
    <col min="7965" max="7965" width="18" customWidth="1"/>
    <col min="8193" max="8193" width="86.109375" customWidth="1"/>
    <col min="8194" max="8194" width="32.88671875" customWidth="1"/>
    <col min="8195" max="8195" width="27.5546875" customWidth="1"/>
    <col min="8196" max="8196" width="9.33203125" bestFit="1" customWidth="1"/>
    <col min="8197" max="8197" width="35.109375" customWidth="1"/>
    <col min="8198" max="8198" width="8.44140625" customWidth="1"/>
    <col min="8199" max="8199" width="10.109375" bestFit="1" customWidth="1"/>
    <col min="8200" max="8200" width="9.33203125" bestFit="1" customWidth="1"/>
    <col min="8201" max="8201" width="30.44140625" customWidth="1"/>
    <col min="8202" max="8202" width="13.5546875" customWidth="1"/>
    <col min="8203" max="8203" width="15.33203125" customWidth="1"/>
    <col min="8204" max="8206" width="19" customWidth="1"/>
    <col min="8207" max="8207" width="38.44140625" customWidth="1"/>
    <col min="8208" max="8208" width="15" customWidth="1"/>
    <col min="8209" max="8209" width="21.33203125" customWidth="1"/>
    <col min="8210" max="8210" width="13.44140625" customWidth="1"/>
    <col min="8211" max="8212" width="9.33203125" bestFit="1" customWidth="1"/>
    <col min="8213" max="8213" width="37.109375" customWidth="1"/>
    <col min="8214" max="8214" width="18.88671875" customWidth="1"/>
    <col min="8215" max="8215" width="19" customWidth="1"/>
    <col min="8216" max="8216" width="13" customWidth="1"/>
    <col min="8217" max="8217" width="12" bestFit="1" customWidth="1"/>
    <col min="8218" max="8218" width="12.109375" bestFit="1" customWidth="1"/>
    <col min="8219" max="8219" width="35.33203125" customWidth="1"/>
    <col min="8220" max="8220" width="16.5546875" customWidth="1"/>
    <col min="8221" max="8221" width="18" customWidth="1"/>
    <col min="8449" max="8449" width="86.109375" customWidth="1"/>
    <col min="8450" max="8450" width="32.88671875" customWidth="1"/>
    <col min="8451" max="8451" width="27.5546875" customWidth="1"/>
    <col min="8452" max="8452" width="9.33203125" bestFit="1" customWidth="1"/>
    <col min="8453" max="8453" width="35.109375" customWidth="1"/>
    <col min="8454" max="8454" width="8.44140625" customWidth="1"/>
    <col min="8455" max="8455" width="10.109375" bestFit="1" customWidth="1"/>
    <col min="8456" max="8456" width="9.33203125" bestFit="1" customWidth="1"/>
    <col min="8457" max="8457" width="30.44140625" customWidth="1"/>
    <col min="8458" max="8458" width="13.5546875" customWidth="1"/>
    <col min="8459" max="8459" width="15.33203125" customWidth="1"/>
    <col min="8460" max="8462" width="19" customWidth="1"/>
    <col min="8463" max="8463" width="38.44140625" customWidth="1"/>
    <col min="8464" max="8464" width="15" customWidth="1"/>
    <col min="8465" max="8465" width="21.33203125" customWidth="1"/>
    <col min="8466" max="8466" width="13.44140625" customWidth="1"/>
    <col min="8467" max="8468" width="9.33203125" bestFit="1" customWidth="1"/>
    <col min="8469" max="8469" width="37.109375" customWidth="1"/>
    <col min="8470" max="8470" width="18.88671875" customWidth="1"/>
    <col min="8471" max="8471" width="19" customWidth="1"/>
    <col min="8472" max="8472" width="13" customWidth="1"/>
    <col min="8473" max="8473" width="12" bestFit="1" customWidth="1"/>
    <col min="8474" max="8474" width="12.109375" bestFit="1" customWidth="1"/>
    <col min="8475" max="8475" width="35.33203125" customWidth="1"/>
    <col min="8476" max="8476" width="16.5546875" customWidth="1"/>
    <col min="8477" max="8477" width="18" customWidth="1"/>
    <col min="8705" max="8705" width="86.109375" customWidth="1"/>
    <col min="8706" max="8706" width="32.88671875" customWidth="1"/>
    <col min="8707" max="8707" width="27.5546875" customWidth="1"/>
    <col min="8708" max="8708" width="9.33203125" bestFit="1" customWidth="1"/>
    <col min="8709" max="8709" width="35.109375" customWidth="1"/>
    <col min="8710" max="8710" width="8.44140625" customWidth="1"/>
    <col min="8711" max="8711" width="10.109375" bestFit="1" customWidth="1"/>
    <col min="8712" max="8712" width="9.33203125" bestFit="1" customWidth="1"/>
    <col min="8713" max="8713" width="30.44140625" customWidth="1"/>
    <col min="8714" max="8714" width="13.5546875" customWidth="1"/>
    <col min="8715" max="8715" width="15.33203125" customWidth="1"/>
    <col min="8716" max="8718" width="19" customWidth="1"/>
    <col min="8719" max="8719" width="38.44140625" customWidth="1"/>
    <col min="8720" max="8720" width="15" customWidth="1"/>
    <col min="8721" max="8721" width="21.33203125" customWidth="1"/>
    <col min="8722" max="8722" width="13.44140625" customWidth="1"/>
    <col min="8723" max="8724" width="9.33203125" bestFit="1" customWidth="1"/>
    <col min="8725" max="8725" width="37.109375" customWidth="1"/>
    <col min="8726" max="8726" width="18.88671875" customWidth="1"/>
    <col min="8727" max="8727" width="19" customWidth="1"/>
    <col min="8728" max="8728" width="13" customWidth="1"/>
    <col min="8729" max="8729" width="12" bestFit="1" customWidth="1"/>
    <col min="8730" max="8730" width="12.109375" bestFit="1" customWidth="1"/>
    <col min="8731" max="8731" width="35.33203125" customWidth="1"/>
    <col min="8732" max="8732" width="16.5546875" customWidth="1"/>
    <col min="8733" max="8733" width="18" customWidth="1"/>
    <col min="8961" max="8961" width="86.109375" customWidth="1"/>
    <col min="8962" max="8962" width="32.88671875" customWidth="1"/>
    <col min="8963" max="8963" width="27.5546875" customWidth="1"/>
    <col min="8964" max="8964" width="9.33203125" bestFit="1" customWidth="1"/>
    <col min="8965" max="8965" width="35.109375" customWidth="1"/>
    <col min="8966" max="8966" width="8.44140625" customWidth="1"/>
    <col min="8967" max="8967" width="10.109375" bestFit="1" customWidth="1"/>
    <col min="8968" max="8968" width="9.33203125" bestFit="1" customWidth="1"/>
    <col min="8969" max="8969" width="30.44140625" customWidth="1"/>
    <col min="8970" max="8970" width="13.5546875" customWidth="1"/>
    <col min="8971" max="8971" width="15.33203125" customWidth="1"/>
    <col min="8972" max="8974" width="19" customWidth="1"/>
    <col min="8975" max="8975" width="38.44140625" customWidth="1"/>
    <col min="8976" max="8976" width="15" customWidth="1"/>
    <col min="8977" max="8977" width="21.33203125" customWidth="1"/>
    <col min="8978" max="8978" width="13.44140625" customWidth="1"/>
    <col min="8979" max="8980" width="9.33203125" bestFit="1" customWidth="1"/>
    <col min="8981" max="8981" width="37.109375" customWidth="1"/>
    <col min="8982" max="8982" width="18.88671875" customWidth="1"/>
    <col min="8983" max="8983" width="19" customWidth="1"/>
    <col min="8984" max="8984" width="13" customWidth="1"/>
    <col min="8985" max="8985" width="12" bestFit="1" customWidth="1"/>
    <col min="8986" max="8986" width="12.109375" bestFit="1" customWidth="1"/>
    <col min="8987" max="8987" width="35.33203125" customWidth="1"/>
    <col min="8988" max="8988" width="16.5546875" customWidth="1"/>
    <col min="8989" max="8989" width="18" customWidth="1"/>
    <col min="9217" max="9217" width="86.109375" customWidth="1"/>
    <col min="9218" max="9218" width="32.88671875" customWidth="1"/>
    <col min="9219" max="9219" width="27.5546875" customWidth="1"/>
    <col min="9220" max="9220" width="9.33203125" bestFit="1" customWidth="1"/>
    <col min="9221" max="9221" width="35.109375" customWidth="1"/>
    <col min="9222" max="9222" width="8.44140625" customWidth="1"/>
    <col min="9223" max="9223" width="10.109375" bestFit="1" customWidth="1"/>
    <col min="9224" max="9224" width="9.33203125" bestFit="1" customWidth="1"/>
    <col min="9225" max="9225" width="30.44140625" customWidth="1"/>
    <col min="9226" max="9226" width="13.5546875" customWidth="1"/>
    <col min="9227" max="9227" width="15.33203125" customWidth="1"/>
    <col min="9228" max="9230" width="19" customWidth="1"/>
    <col min="9231" max="9231" width="38.44140625" customWidth="1"/>
    <col min="9232" max="9232" width="15" customWidth="1"/>
    <col min="9233" max="9233" width="21.33203125" customWidth="1"/>
    <col min="9234" max="9234" width="13.44140625" customWidth="1"/>
    <col min="9235" max="9236" width="9.33203125" bestFit="1" customWidth="1"/>
    <col min="9237" max="9237" width="37.109375" customWidth="1"/>
    <col min="9238" max="9238" width="18.88671875" customWidth="1"/>
    <col min="9239" max="9239" width="19" customWidth="1"/>
    <col min="9240" max="9240" width="13" customWidth="1"/>
    <col min="9241" max="9241" width="12" bestFit="1" customWidth="1"/>
    <col min="9242" max="9242" width="12.109375" bestFit="1" customWidth="1"/>
    <col min="9243" max="9243" width="35.33203125" customWidth="1"/>
    <col min="9244" max="9244" width="16.5546875" customWidth="1"/>
    <col min="9245" max="9245" width="18" customWidth="1"/>
    <col min="9473" max="9473" width="86.109375" customWidth="1"/>
    <col min="9474" max="9474" width="32.88671875" customWidth="1"/>
    <col min="9475" max="9475" width="27.5546875" customWidth="1"/>
    <col min="9476" max="9476" width="9.33203125" bestFit="1" customWidth="1"/>
    <col min="9477" max="9477" width="35.109375" customWidth="1"/>
    <col min="9478" max="9478" width="8.44140625" customWidth="1"/>
    <col min="9479" max="9479" width="10.109375" bestFit="1" customWidth="1"/>
    <col min="9480" max="9480" width="9.33203125" bestFit="1" customWidth="1"/>
    <col min="9481" max="9481" width="30.44140625" customWidth="1"/>
    <col min="9482" max="9482" width="13.5546875" customWidth="1"/>
    <col min="9483" max="9483" width="15.33203125" customWidth="1"/>
    <col min="9484" max="9486" width="19" customWidth="1"/>
    <col min="9487" max="9487" width="38.44140625" customWidth="1"/>
    <col min="9488" max="9488" width="15" customWidth="1"/>
    <col min="9489" max="9489" width="21.33203125" customWidth="1"/>
    <col min="9490" max="9490" width="13.44140625" customWidth="1"/>
    <col min="9491" max="9492" width="9.33203125" bestFit="1" customWidth="1"/>
    <col min="9493" max="9493" width="37.109375" customWidth="1"/>
    <col min="9494" max="9494" width="18.88671875" customWidth="1"/>
    <col min="9495" max="9495" width="19" customWidth="1"/>
    <col min="9496" max="9496" width="13" customWidth="1"/>
    <col min="9497" max="9497" width="12" bestFit="1" customWidth="1"/>
    <col min="9498" max="9498" width="12.109375" bestFit="1" customWidth="1"/>
    <col min="9499" max="9499" width="35.33203125" customWidth="1"/>
    <col min="9500" max="9500" width="16.5546875" customWidth="1"/>
    <col min="9501" max="9501" width="18" customWidth="1"/>
    <col min="9729" max="9729" width="86.109375" customWidth="1"/>
    <col min="9730" max="9730" width="32.88671875" customWidth="1"/>
    <col min="9731" max="9731" width="27.5546875" customWidth="1"/>
    <col min="9732" max="9732" width="9.33203125" bestFit="1" customWidth="1"/>
    <col min="9733" max="9733" width="35.109375" customWidth="1"/>
    <col min="9734" max="9734" width="8.44140625" customWidth="1"/>
    <col min="9735" max="9735" width="10.109375" bestFit="1" customWidth="1"/>
    <col min="9736" max="9736" width="9.33203125" bestFit="1" customWidth="1"/>
    <col min="9737" max="9737" width="30.44140625" customWidth="1"/>
    <col min="9738" max="9738" width="13.5546875" customWidth="1"/>
    <col min="9739" max="9739" width="15.33203125" customWidth="1"/>
    <col min="9740" max="9742" width="19" customWidth="1"/>
    <col min="9743" max="9743" width="38.44140625" customWidth="1"/>
    <col min="9744" max="9744" width="15" customWidth="1"/>
    <col min="9745" max="9745" width="21.33203125" customWidth="1"/>
    <col min="9746" max="9746" width="13.44140625" customWidth="1"/>
    <col min="9747" max="9748" width="9.33203125" bestFit="1" customWidth="1"/>
    <col min="9749" max="9749" width="37.109375" customWidth="1"/>
    <col min="9750" max="9750" width="18.88671875" customWidth="1"/>
    <col min="9751" max="9751" width="19" customWidth="1"/>
    <col min="9752" max="9752" width="13" customWidth="1"/>
    <col min="9753" max="9753" width="12" bestFit="1" customWidth="1"/>
    <col min="9754" max="9754" width="12.109375" bestFit="1" customWidth="1"/>
    <col min="9755" max="9755" width="35.33203125" customWidth="1"/>
    <col min="9756" max="9756" width="16.5546875" customWidth="1"/>
    <col min="9757" max="9757" width="18" customWidth="1"/>
    <col min="9985" max="9985" width="86.109375" customWidth="1"/>
    <col min="9986" max="9986" width="32.88671875" customWidth="1"/>
    <col min="9987" max="9987" width="27.5546875" customWidth="1"/>
    <col min="9988" max="9988" width="9.33203125" bestFit="1" customWidth="1"/>
    <col min="9989" max="9989" width="35.109375" customWidth="1"/>
    <col min="9990" max="9990" width="8.44140625" customWidth="1"/>
    <col min="9991" max="9991" width="10.109375" bestFit="1" customWidth="1"/>
    <col min="9992" max="9992" width="9.33203125" bestFit="1" customWidth="1"/>
    <col min="9993" max="9993" width="30.44140625" customWidth="1"/>
    <col min="9994" max="9994" width="13.5546875" customWidth="1"/>
    <col min="9995" max="9995" width="15.33203125" customWidth="1"/>
    <col min="9996" max="9998" width="19" customWidth="1"/>
    <col min="9999" max="9999" width="38.44140625" customWidth="1"/>
    <col min="10000" max="10000" width="15" customWidth="1"/>
    <col min="10001" max="10001" width="21.33203125" customWidth="1"/>
    <col min="10002" max="10002" width="13.44140625" customWidth="1"/>
    <col min="10003" max="10004" width="9.33203125" bestFit="1" customWidth="1"/>
    <col min="10005" max="10005" width="37.109375" customWidth="1"/>
    <col min="10006" max="10006" width="18.88671875" customWidth="1"/>
    <col min="10007" max="10007" width="19" customWidth="1"/>
    <col min="10008" max="10008" width="13" customWidth="1"/>
    <col min="10009" max="10009" width="12" bestFit="1" customWidth="1"/>
    <col min="10010" max="10010" width="12.109375" bestFit="1" customWidth="1"/>
    <col min="10011" max="10011" width="35.33203125" customWidth="1"/>
    <col min="10012" max="10012" width="16.5546875" customWidth="1"/>
    <col min="10013" max="10013" width="18" customWidth="1"/>
    <col min="10241" max="10241" width="86.109375" customWidth="1"/>
    <col min="10242" max="10242" width="32.88671875" customWidth="1"/>
    <col min="10243" max="10243" width="27.5546875" customWidth="1"/>
    <col min="10244" max="10244" width="9.33203125" bestFit="1" customWidth="1"/>
    <col min="10245" max="10245" width="35.109375" customWidth="1"/>
    <col min="10246" max="10246" width="8.44140625" customWidth="1"/>
    <col min="10247" max="10247" width="10.109375" bestFit="1" customWidth="1"/>
    <col min="10248" max="10248" width="9.33203125" bestFit="1" customWidth="1"/>
    <col min="10249" max="10249" width="30.44140625" customWidth="1"/>
    <col min="10250" max="10250" width="13.5546875" customWidth="1"/>
    <col min="10251" max="10251" width="15.33203125" customWidth="1"/>
    <col min="10252" max="10254" width="19" customWidth="1"/>
    <col min="10255" max="10255" width="38.44140625" customWidth="1"/>
    <col min="10256" max="10256" width="15" customWidth="1"/>
    <col min="10257" max="10257" width="21.33203125" customWidth="1"/>
    <col min="10258" max="10258" width="13.44140625" customWidth="1"/>
    <col min="10259" max="10260" width="9.33203125" bestFit="1" customWidth="1"/>
    <col min="10261" max="10261" width="37.109375" customWidth="1"/>
    <col min="10262" max="10262" width="18.88671875" customWidth="1"/>
    <col min="10263" max="10263" width="19" customWidth="1"/>
    <col min="10264" max="10264" width="13" customWidth="1"/>
    <col min="10265" max="10265" width="12" bestFit="1" customWidth="1"/>
    <col min="10266" max="10266" width="12.109375" bestFit="1" customWidth="1"/>
    <col min="10267" max="10267" width="35.33203125" customWidth="1"/>
    <col min="10268" max="10268" width="16.5546875" customWidth="1"/>
    <col min="10269" max="10269" width="18" customWidth="1"/>
    <col min="10497" max="10497" width="86.109375" customWidth="1"/>
    <col min="10498" max="10498" width="32.88671875" customWidth="1"/>
    <col min="10499" max="10499" width="27.5546875" customWidth="1"/>
    <col min="10500" max="10500" width="9.33203125" bestFit="1" customWidth="1"/>
    <col min="10501" max="10501" width="35.109375" customWidth="1"/>
    <col min="10502" max="10502" width="8.44140625" customWidth="1"/>
    <col min="10503" max="10503" width="10.109375" bestFit="1" customWidth="1"/>
    <col min="10504" max="10504" width="9.33203125" bestFit="1" customWidth="1"/>
    <col min="10505" max="10505" width="30.44140625" customWidth="1"/>
    <col min="10506" max="10506" width="13.5546875" customWidth="1"/>
    <col min="10507" max="10507" width="15.33203125" customWidth="1"/>
    <col min="10508" max="10510" width="19" customWidth="1"/>
    <col min="10511" max="10511" width="38.44140625" customWidth="1"/>
    <col min="10512" max="10512" width="15" customWidth="1"/>
    <col min="10513" max="10513" width="21.33203125" customWidth="1"/>
    <col min="10514" max="10514" width="13.44140625" customWidth="1"/>
    <col min="10515" max="10516" width="9.33203125" bestFit="1" customWidth="1"/>
    <col min="10517" max="10517" width="37.109375" customWidth="1"/>
    <col min="10518" max="10518" width="18.88671875" customWidth="1"/>
    <col min="10519" max="10519" width="19" customWidth="1"/>
    <col min="10520" max="10520" width="13" customWidth="1"/>
    <col min="10521" max="10521" width="12" bestFit="1" customWidth="1"/>
    <col min="10522" max="10522" width="12.109375" bestFit="1" customWidth="1"/>
    <col min="10523" max="10523" width="35.33203125" customWidth="1"/>
    <col min="10524" max="10524" width="16.5546875" customWidth="1"/>
    <col min="10525" max="10525" width="18" customWidth="1"/>
    <col min="10753" max="10753" width="86.109375" customWidth="1"/>
    <col min="10754" max="10754" width="32.88671875" customWidth="1"/>
    <col min="10755" max="10755" width="27.5546875" customWidth="1"/>
    <col min="10756" max="10756" width="9.33203125" bestFit="1" customWidth="1"/>
    <col min="10757" max="10757" width="35.109375" customWidth="1"/>
    <col min="10758" max="10758" width="8.44140625" customWidth="1"/>
    <col min="10759" max="10759" width="10.109375" bestFit="1" customWidth="1"/>
    <col min="10760" max="10760" width="9.33203125" bestFit="1" customWidth="1"/>
    <col min="10761" max="10761" width="30.44140625" customWidth="1"/>
    <col min="10762" max="10762" width="13.5546875" customWidth="1"/>
    <col min="10763" max="10763" width="15.33203125" customWidth="1"/>
    <col min="10764" max="10766" width="19" customWidth="1"/>
    <col min="10767" max="10767" width="38.44140625" customWidth="1"/>
    <col min="10768" max="10768" width="15" customWidth="1"/>
    <col min="10769" max="10769" width="21.33203125" customWidth="1"/>
    <col min="10770" max="10770" width="13.44140625" customWidth="1"/>
    <col min="10771" max="10772" width="9.33203125" bestFit="1" customWidth="1"/>
    <col min="10773" max="10773" width="37.109375" customWidth="1"/>
    <col min="10774" max="10774" width="18.88671875" customWidth="1"/>
    <col min="10775" max="10775" width="19" customWidth="1"/>
    <col min="10776" max="10776" width="13" customWidth="1"/>
    <col min="10777" max="10777" width="12" bestFit="1" customWidth="1"/>
    <col min="10778" max="10778" width="12.109375" bestFit="1" customWidth="1"/>
    <col min="10779" max="10779" width="35.33203125" customWidth="1"/>
    <col min="10780" max="10780" width="16.5546875" customWidth="1"/>
    <col min="10781" max="10781" width="18" customWidth="1"/>
    <col min="11009" max="11009" width="86.109375" customWidth="1"/>
    <col min="11010" max="11010" width="32.88671875" customWidth="1"/>
    <col min="11011" max="11011" width="27.5546875" customWidth="1"/>
    <col min="11012" max="11012" width="9.33203125" bestFit="1" customWidth="1"/>
    <col min="11013" max="11013" width="35.109375" customWidth="1"/>
    <col min="11014" max="11014" width="8.44140625" customWidth="1"/>
    <col min="11015" max="11015" width="10.109375" bestFit="1" customWidth="1"/>
    <col min="11016" max="11016" width="9.33203125" bestFit="1" customWidth="1"/>
    <col min="11017" max="11017" width="30.44140625" customWidth="1"/>
    <col min="11018" max="11018" width="13.5546875" customWidth="1"/>
    <col min="11019" max="11019" width="15.33203125" customWidth="1"/>
    <col min="11020" max="11022" width="19" customWidth="1"/>
    <col min="11023" max="11023" width="38.44140625" customWidth="1"/>
    <col min="11024" max="11024" width="15" customWidth="1"/>
    <col min="11025" max="11025" width="21.33203125" customWidth="1"/>
    <col min="11026" max="11026" width="13.44140625" customWidth="1"/>
    <col min="11027" max="11028" width="9.33203125" bestFit="1" customWidth="1"/>
    <col min="11029" max="11029" width="37.109375" customWidth="1"/>
    <col min="11030" max="11030" width="18.88671875" customWidth="1"/>
    <col min="11031" max="11031" width="19" customWidth="1"/>
    <col min="11032" max="11032" width="13" customWidth="1"/>
    <col min="11033" max="11033" width="12" bestFit="1" customWidth="1"/>
    <col min="11034" max="11034" width="12.109375" bestFit="1" customWidth="1"/>
    <col min="11035" max="11035" width="35.33203125" customWidth="1"/>
    <col min="11036" max="11036" width="16.5546875" customWidth="1"/>
    <col min="11037" max="11037" width="18" customWidth="1"/>
    <col min="11265" max="11265" width="86.109375" customWidth="1"/>
    <col min="11266" max="11266" width="32.88671875" customWidth="1"/>
    <col min="11267" max="11267" width="27.5546875" customWidth="1"/>
    <col min="11268" max="11268" width="9.33203125" bestFit="1" customWidth="1"/>
    <col min="11269" max="11269" width="35.109375" customWidth="1"/>
    <col min="11270" max="11270" width="8.44140625" customWidth="1"/>
    <col min="11271" max="11271" width="10.109375" bestFit="1" customWidth="1"/>
    <col min="11272" max="11272" width="9.33203125" bestFit="1" customWidth="1"/>
    <col min="11273" max="11273" width="30.44140625" customWidth="1"/>
    <col min="11274" max="11274" width="13.5546875" customWidth="1"/>
    <col min="11275" max="11275" width="15.33203125" customWidth="1"/>
    <col min="11276" max="11278" width="19" customWidth="1"/>
    <col min="11279" max="11279" width="38.44140625" customWidth="1"/>
    <col min="11280" max="11280" width="15" customWidth="1"/>
    <col min="11281" max="11281" width="21.33203125" customWidth="1"/>
    <col min="11282" max="11282" width="13.44140625" customWidth="1"/>
    <col min="11283" max="11284" width="9.33203125" bestFit="1" customWidth="1"/>
    <col min="11285" max="11285" width="37.109375" customWidth="1"/>
    <col min="11286" max="11286" width="18.88671875" customWidth="1"/>
    <col min="11287" max="11287" width="19" customWidth="1"/>
    <col min="11288" max="11288" width="13" customWidth="1"/>
    <col min="11289" max="11289" width="12" bestFit="1" customWidth="1"/>
    <col min="11290" max="11290" width="12.109375" bestFit="1" customWidth="1"/>
    <col min="11291" max="11291" width="35.33203125" customWidth="1"/>
    <col min="11292" max="11292" width="16.5546875" customWidth="1"/>
    <col min="11293" max="11293" width="18" customWidth="1"/>
    <col min="11521" max="11521" width="86.109375" customWidth="1"/>
    <col min="11522" max="11522" width="32.88671875" customWidth="1"/>
    <col min="11523" max="11523" width="27.5546875" customWidth="1"/>
    <col min="11524" max="11524" width="9.33203125" bestFit="1" customWidth="1"/>
    <col min="11525" max="11525" width="35.109375" customWidth="1"/>
    <col min="11526" max="11526" width="8.44140625" customWidth="1"/>
    <col min="11527" max="11527" width="10.109375" bestFit="1" customWidth="1"/>
    <col min="11528" max="11528" width="9.33203125" bestFit="1" customWidth="1"/>
    <col min="11529" max="11529" width="30.44140625" customWidth="1"/>
    <col min="11530" max="11530" width="13.5546875" customWidth="1"/>
    <col min="11531" max="11531" width="15.33203125" customWidth="1"/>
    <col min="11532" max="11534" width="19" customWidth="1"/>
    <col min="11535" max="11535" width="38.44140625" customWidth="1"/>
    <col min="11536" max="11536" width="15" customWidth="1"/>
    <col min="11537" max="11537" width="21.33203125" customWidth="1"/>
    <col min="11538" max="11538" width="13.44140625" customWidth="1"/>
    <col min="11539" max="11540" width="9.33203125" bestFit="1" customWidth="1"/>
    <col min="11541" max="11541" width="37.109375" customWidth="1"/>
    <col min="11542" max="11542" width="18.88671875" customWidth="1"/>
    <col min="11543" max="11543" width="19" customWidth="1"/>
    <col min="11544" max="11544" width="13" customWidth="1"/>
    <col min="11545" max="11545" width="12" bestFit="1" customWidth="1"/>
    <col min="11546" max="11546" width="12.109375" bestFit="1" customWidth="1"/>
    <col min="11547" max="11547" width="35.33203125" customWidth="1"/>
    <col min="11548" max="11548" width="16.5546875" customWidth="1"/>
    <col min="11549" max="11549" width="18" customWidth="1"/>
    <col min="11777" max="11777" width="86.109375" customWidth="1"/>
    <col min="11778" max="11778" width="32.88671875" customWidth="1"/>
    <col min="11779" max="11779" width="27.5546875" customWidth="1"/>
    <col min="11780" max="11780" width="9.33203125" bestFit="1" customWidth="1"/>
    <col min="11781" max="11781" width="35.109375" customWidth="1"/>
    <col min="11782" max="11782" width="8.44140625" customWidth="1"/>
    <col min="11783" max="11783" width="10.109375" bestFit="1" customWidth="1"/>
    <col min="11784" max="11784" width="9.33203125" bestFit="1" customWidth="1"/>
    <col min="11785" max="11785" width="30.44140625" customWidth="1"/>
    <col min="11786" max="11786" width="13.5546875" customWidth="1"/>
    <col min="11787" max="11787" width="15.33203125" customWidth="1"/>
    <col min="11788" max="11790" width="19" customWidth="1"/>
    <col min="11791" max="11791" width="38.44140625" customWidth="1"/>
    <col min="11792" max="11792" width="15" customWidth="1"/>
    <col min="11793" max="11793" width="21.33203125" customWidth="1"/>
    <col min="11794" max="11794" width="13.44140625" customWidth="1"/>
    <col min="11795" max="11796" width="9.33203125" bestFit="1" customWidth="1"/>
    <col min="11797" max="11797" width="37.109375" customWidth="1"/>
    <col min="11798" max="11798" width="18.88671875" customWidth="1"/>
    <col min="11799" max="11799" width="19" customWidth="1"/>
    <col min="11800" max="11800" width="13" customWidth="1"/>
    <col min="11801" max="11801" width="12" bestFit="1" customWidth="1"/>
    <col min="11802" max="11802" width="12.109375" bestFit="1" customWidth="1"/>
    <col min="11803" max="11803" width="35.33203125" customWidth="1"/>
    <col min="11804" max="11804" width="16.5546875" customWidth="1"/>
    <col min="11805" max="11805" width="18" customWidth="1"/>
    <col min="12033" max="12033" width="86.109375" customWidth="1"/>
    <col min="12034" max="12034" width="32.88671875" customWidth="1"/>
    <col min="12035" max="12035" width="27.5546875" customWidth="1"/>
    <col min="12036" max="12036" width="9.33203125" bestFit="1" customWidth="1"/>
    <col min="12037" max="12037" width="35.109375" customWidth="1"/>
    <col min="12038" max="12038" width="8.44140625" customWidth="1"/>
    <col min="12039" max="12039" width="10.109375" bestFit="1" customWidth="1"/>
    <col min="12040" max="12040" width="9.33203125" bestFit="1" customWidth="1"/>
    <col min="12041" max="12041" width="30.44140625" customWidth="1"/>
    <col min="12042" max="12042" width="13.5546875" customWidth="1"/>
    <col min="12043" max="12043" width="15.33203125" customWidth="1"/>
    <col min="12044" max="12046" width="19" customWidth="1"/>
    <col min="12047" max="12047" width="38.44140625" customWidth="1"/>
    <col min="12048" max="12048" width="15" customWidth="1"/>
    <col min="12049" max="12049" width="21.33203125" customWidth="1"/>
    <col min="12050" max="12050" width="13.44140625" customWidth="1"/>
    <col min="12051" max="12052" width="9.33203125" bestFit="1" customWidth="1"/>
    <col min="12053" max="12053" width="37.109375" customWidth="1"/>
    <col min="12054" max="12054" width="18.88671875" customWidth="1"/>
    <col min="12055" max="12055" width="19" customWidth="1"/>
    <col min="12056" max="12056" width="13" customWidth="1"/>
    <col min="12057" max="12057" width="12" bestFit="1" customWidth="1"/>
    <col min="12058" max="12058" width="12.109375" bestFit="1" customWidth="1"/>
    <col min="12059" max="12059" width="35.33203125" customWidth="1"/>
    <col min="12060" max="12060" width="16.5546875" customWidth="1"/>
    <col min="12061" max="12061" width="18" customWidth="1"/>
    <col min="12289" max="12289" width="86.109375" customWidth="1"/>
    <col min="12290" max="12290" width="32.88671875" customWidth="1"/>
    <col min="12291" max="12291" width="27.5546875" customWidth="1"/>
    <col min="12292" max="12292" width="9.33203125" bestFit="1" customWidth="1"/>
    <col min="12293" max="12293" width="35.109375" customWidth="1"/>
    <col min="12294" max="12294" width="8.44140625" customWidth="1"/>
    <col min="12295" max="12295" width="10.109375" bestFit="1" customWidth="1"/>
    <col min="12296" max="12296" width="9.33203125" bestFit="1" customWidth="1"/>
    <col min="12297" max="12297" width="30.44140625" customWidth="1"/>
    <col min="12298" max="12298" width="13.5546875" customWidth="1"/>
    <col min="12299" max="12299" width="15.33203125" customWidth="1"/>
    <col min="12300" max="12302" width="19" customWidth="1"/>
    <col min="12303" max="12303" width="38.44140625" customWidth="1"/>
    <col min="12304" max="12304" width="15" customWidth="1"/>
    <col min="12305" max="12305" width="21.33203125" customWidth="1"/>
    <col min="12306" max="12306" width="13.44140625" customWidth="1"/>
    <col min="12307" max="12308" width="9.33203125" bestFit="1" customWidth="1"/>
    <col min="12309" max="12309" width="37.109375" customWidth="1"/>
    <col min="12310" max="12310" width="18.88671875" customWidth="1"/>
    <col min="12311" max="12311" width="19" customWidth="1"/>
    <col min="12312" max="12312" width="13" customWidth="1"/>
    <col min="12313" max="12313" width="12" bestFit="1" customWidth="1"/>
    <col min="12314" max="12314" width="12.109375" bestFit="1" customWidth="1"/>
    <col min="12315" max="12315" width="35.33203125" customWidth="1"/>
    <col min="12316" max="12316" width="16.5546875" customWidth="1"/>
    <col min="12317" max="12317" width="18" customWidth="1"/>
    <col min="12545" max="12545" width="86.109375" customWidth="1"/>
    <col min="12546" max="12546" width="32.88671875" customWidth="1"/>
    <col min="12547" max="12547" width="27.5546875" customWidth="1"/>
    <col min="12548" max="12548" width="9.33203125" bestFit="1" customWidth="1"/>
    <col min="12549" max="12549" width="35.109375" customWidth="1"/>
    <col min="12550" max="12550" width="8.44140625" customWidth="1"/>
    <col min="12551" max="12551" width="10.109375" bestFit="1" customWidth="1"/>
    <col min="12552" max="12552" width="9.33203125" bestFit="1" customWidth="1"/>
    <col min="12553" max="12553" width="30.44140625" customWidth="1"/>
    <col min="12554" max="12554" width="13.5546875" customWidth="1"/>
    <col min="12555" max="12555" width="15.33203125" customWidth="1"/>
    <col min="12556" max="12558" width="19" customWidth="1"/>
    <col min="12559" max="12559" width="38.44140625" customWidth="1"/>
    <col min="12560" max="12560" width="15" customWidth="1"/>
    <col min="12561" max="12561" width="21.33203125" customWidth="1"/>
    <col min="12562" max="12562" width="13.44140625" customWidth="1"/>
    <col min="12563" max="12564" width="9.33203125" bestFit="1" customWidth="1"/>
    <col min="12565" max="12565" width="37.109375" customWidth="1"/>
    <col min="12566" max="12566" width="18.88671875" customWidth="1"/>
    <col min="12567" max="12567" width="19" customWidth="1"/>
    <col min="12568" max="12568" width="13" customWidth="1"/>
    <col min="12569" max="12569" width="12" bestFit="1" customWidth="1"/>
    <col min="12570" max="12570" width="12.109375" bestFit="1" customWidth="1"/>
    <col min="12571" max="12571" width="35.33203125" customWidth="1"/>
    <col min="12572" max="12572" width="16.5546875" customWidth="1"/>
    <col min="12573" max="12573" width="18" customWidth="1"/>
    <col min="12801" max="12801" width="86.109375" customWidth="1"/>
    <col min="12802" max="12802" width="32.88671875" customWidth="1"/>
    <col min="12803" max="12803" width="27.5546875" customWidth="1"/>
    <col min="12804" max="12804" width="9.33203125" bestFit="1" customWidth="1"/>
    <col min="12805" max="12805" width="35.109375" customWidth="1"/>
    <col min="12806" max="12806" width="8.44140625" customWidth="1"/>
    <col min="12807" max="12807" width="10.109375" bestFit="1" customWidth="1"/>
    <col min="12808" max="12808" width="9.33203125" bestFit="1" customWidth="1"/>
    <col min="12809" max="12809" width="30.44140625" customWidth="1"/>
    <col min="12810" max="12810" width="13.5546875" customWidth="1"/>
    <col min="12811" max="12811" width="15.33203125" customWidth="1"/>
    <col min="12812" max="12814" width="19" customWidth="1"/>
    <col min="12815" max="12815" width="38.44140625" customWidth="1"/>
    <col min="12816" max="12816" width="15" customWidth="1"/>
    <col min="12817" max="12817" width="21.33203125" customWidth="1"/>
    <col min="12818" max="12818" width="13.44140625" customWidth="1"/>
    <col min="12819" max="12820" width="9.33203125" bestFit="1" customWidth="1"/>
    <col min="12821" max="12821" width="37.109375" customWidth="1"/>
    <col min="12822" max="12822" width="18.88671875" customWidth="1"/>
    <col min="12823" max="12823" width="19" customWidth="1"/>
    <col min="12824" max="12824" width="13" customWidth="1"/>
    <col min="12825" max="12825" width="12" bestFit="1" customWidth="1"/>
    <col min="12826" max="12826" width="12.109375" bestFit="1" customWidth="1"/>
    <col min="12827" max="12827" width="35.33203125" customWidth="1"/>
    <col min="12828" max="12828" width="16.5546875" customWidth="1"/>
    <col min="12829" max="12829" width="18" customWidth="1"/>
    <col min="13057" max="13057" width="86.109375" customWidth="1"/>
    <col min="13058" max="13058" width="32.88671875" customWidth="1"/>
    <col min="13059" max="13059" width="27.5546875" customWidth="1"/>
    <col min="13060" max="13060" width="9.33203125" bestFit="1" customWidth="1"/>
    <col min="13061" max="13061" width="35.109375" customWidth="1"/>
    <col min="13062" max="13062" width="8.44140625" customWidth="1"/>
    <col min="13063" max="13063" width="10.109375" bestFit="1" customWidth="1"/>
    <col min="13064" max="13064" width="9.33203125" bestFit="1" customWidth="1"/>
    <col min="13065" max="13065" width="30.44140625" customWidth="1"/>
    <col min="13066" max="13066" width="13.5546875" customWidth="1"/>
    <col min="13067" max="13067" width="15.33203125" customWidth="1"/>
    <col min="13068" max="13070" width="19" customWidth="1"/>
    <col min="13071" max="13071" width="38.44140625" customWidth="1"/>
    <col min="13072" max="13072" width="15" customWidth="1"/>
    <col min="13073" max="13073" width="21.33203125" customWidth="1"/>
    <col min="13074" max="13074" width="13.44140625" customWidth="1"/>
    <col min="13075" max="13076" width="9.33203125" bestFit="1" customWidth="1"/>
    <col min="13077" max="13077" width="37.109375" customWidth="1"/>
    <col min="13078" max="13078" width="18.88671875" customWidth="1"/>
    <col min="13079" max="13079" width="19" customWidth="1"/>
    <col min="13080" max="13080" width="13" customWidth="1"/>
    <col min="13081" max="13081" width="12" bestFit="1" customWidth="1"/>
    <col min="13082" max="13082" width="12.109375" bestFit="1" customWidth="1"/>
    <col min="13083" max="13083" width="35.33203125" customWidth="1"/>
    <col min="13084" max="13084" width="16.5546875" customWidth="1"/>
    <col min="13085" max="13085" width="18" customWidth="1"/>
    <col min="13313" max="13313" width="86.109375" customWidth="1"/>
    <col min="13314" max="13314" width="32.88671875" customWidth="1"/>
    <col min="13315" max="13315" width="27.5546875" customWidth="1"/>
    <col min="13316" max="13316" width="9.33203125" bestFit="1" customWidth="1"/>
    <col min="13317" max="13317" width="35.109375" customWidth="1"/>
    <col min="13318" max="13318" width="8.44140625" customWidth="1"/>
    <col min="13319" max="13319" width="10.109375" bestFit="1" customWidth="1"/>
    <col min="13320" max="13320" width="9.33203125" bestFit="1" customWidth="1"/>
    <col min="13321" max="13321" width="30.44140625" customWidth="1"/>
    <col min="13322" max="13322" width="13.5546875" customWidth="1"/>
    <col min="13323" max="13323" width="15.33203125" customWidth="1"/>
    <col min="13324" max="13326" width="19" customWidth="1"/>
    <col min="13327" max="13327" width="38.44140625" customWidth="1"/>
    <col min="13328" max="13328" width="15" customWidth="1"/>
    <col min="13329" max="13329" width="21.33203125" customWidth="1"/>
    <col min="13330" max="13330" width="13.44140625" customWidth="1"/>
    <col min="13331" max="13332" width="9.33203125" bestFit="1" customWidth="1"/>
    <col min="13333" max="13333" width="37.109375" customWidth="1"/>
    <col min="13334" max="13334" width="18.88671875" customWidth="1"/>
    <col min="13335" max="13335" width="19" customWidth="1"/>
    <col min="13336" max="13336" width="13" customWidth="1"/>
    <col min="13337" max="13337" width="12" bestFit="1" customWidth="1"/>
    <col min="13338" max="13338" width="12.109375" bestFit="1" customWidth="1"/>
    <col min="13339" max="13339" width="35.33203125" customWidth="1"/>
    <col min="13340" max="13340" width="16.5546875" customWidth="1"/>
    <col min="13341" max="13341" width="18" customWidth="1"/>
    <col min="13569" max="13569" width="86.109375" customWidth="1"/>
    <col min="13570" max="13570" width="32.88671875" customWidth="1"/>
    <col min="13571" max="13571" width="27.5546875" customWidth="1"/>
    <col min="13572" max="13572" width="9.33203125" bestFit="1" customWidth="1"/>
    <col min="13573" max="13573" width="35.109375" customWidth="1"/>
    <col min="13574" max="13574" width="8.44140625" customWidth="1"/>
    <col min="13575" max="13575" width="10.109375" bestFit="1" customWidth="1"/>
    <col min="13576" max="13576" width="9.33203125" bestFit="1" customWidth="1"/>
    <col min="13577" max="13577" width="30.44140625" customWidth="1"/>
    <col min="13578" max="13578" width="13.5546875" customWidth="1"/>
    <col min="13579" max="13579" width="15.33203125" customWidth="1"/>
    <col min="13580" max="13582" width="19" customWidth="1"/>
    <col min="13583" max="13583" width="38.44140625" customWidth="1"/>
    <col min="13584" max="13584" width="15" customWidth="1"/>
    <col min="13585" max="13585" width="21.33203125" customWidth="1"/>
    <col min="13586" max="13586" width="13.44140625" customWidth="1"/>
    <col min="13587" max="13588" width="9.33203125" bestFit="1" customWidth="1"/>
    <col min="13589" max="13589" width="37.109375" customWidth="1"/>
    <col min="13590" max="13590" width="18.88671875" customWidth="1"/>
    <col min="13591" max="13591" width="19" customWidth="1"/>
    <col min="13592" max="13592" width="13" customWidth="1"/>
    <col min="13593" max="13593" width="12" bestFit="1" customWidth="1"/>
    <col min="13594" max="13594" width="12.109375" bestFit="1" customWidth="1"/>
    <col min="13595" max="13595" width="35.33203125" customWidth="1"/>
    <col min="13596" max="13596" width="16.5546875" customWidth="1"/>
    <col min="13597" max="13597" width="18" customWidth="1"/>
    <col min="13825" max="13825" width="86.109375" customWidth="1"/>
    <col min="13826" max="13826" width="32.88671875" customWidth="1"/>
    <col min="13827" max="13827" width="27.5546875" customWidth="1"/>
    <col min="13828" max="13828" width="9.33203125" bestFit="1" customWidth="1"/>
    <col min="13829" max="13829" width="35.109375" customWidth="1"/>
    <col min="13830" max="13830" width="8.44140625" customWidth="1"/>
    <col min="13831" max="13831" width="10.109375" bestFit="1" customWidth="1"/>
    <col min="13832" max="13832" width="9.33203125" bestFit="1" customWidth="1"/>
    <col min="13833" max="13833" width="30.44140625" customWidth="1"/>
    <col min="13834" max="13834" width="13.5546875" customWidth="1"/>
    <col min="13835" max="13835" width="15.33203125" customWidth="1"/>
    <col min="13836" max="13838" width="19" customWidth="1"/>
    <col min="13839" max="13839" width="38.44140625" customWidth="1"/>
    <col min="13840" max="13840" width="15" customWidth="1"/>
    <col min="13841" max="13841" width="21.33203125" customWidth="1"/>
    <col min="13842" max="13842" width="13.44140625" customWidth="1"/>
    <col min="13843" max="13844" width="9.33203125" bestFit="1" customWidth="1"/>
    <col min="13845" max="13845" width="37.109375" customWidth="1"/>
    <col min="13846" max="13846" width="18.88671875" customWidth="1"/>
    <col min="13847" max="13847" width="19" customWidth="1"/>
    <col min="13848" max="13848" width="13" customWidth="1"/>
    <col min="13849" max="13849" width="12" bestFit="1" customWidth="1"/>
    <col min="13850" max="13850" width="12.109375" bestFit="1" customWidth="1"/>
    <col min="13851" max="13851" width="35.33203125" customWidth="1"/>
    <col min="13852" max="13852" width="16.5546875" customWidth="1"/>
    <col min="13853" max="13853" width="18" customWidth="1"/>
    <col min="14081" max="14081" width="86.109375" customWidth="1"/>
    <col min="14082" max="14082" width="32.88671875" customWidth="1"/>
    <col min="14083" max="14083" width="27.5546875" customWidth="1"/>
    <col min="14084" max="14084" width="9.33203125" bestFit="1" customWidth="1"/>
    <col min="14085" max="14085" width="35.109375" customWidth="1"/>
    <col min="14086" max="14086" width="8.44140625" customWidth="1"/>
    <col min="14087" max="14087" width="10.109375" bestFit="1" customWidth="1"/>
    <col min="14088" max="14088" width="9.33203125" bestFit="1" customWidth="1"/>
    <col min="14089" max="14089" width="30.44140625" customWidth="1"/>
    <col min="14090" max="14090" width="13.5546875" customWidth="1"/>
    <col min="14091" max="14091" width="15.33203125" customWidth="1"/>
    <col min="14092" max="14094" width="19" customWidth="1"/>
    <col min="14095" max="14095" width="38.44140625" customWidth="1"/>
    <col min="14096" max="14096" width="15" customWidth="1"/>
    <col min="14097" max="14097" width="21.33203125" customWidth="1"/>
    <col min="14098" max="14098" width="13.44140625" customWidth="1"/>
    <col min="14099" max="14100" width="9.33203125" bestFit="1" customWidth="1"/>
    <col min="14101" max="14101" width="37.109375" customWidth="1"/>
    <col min="14102" max="14102" width="18.88671875" customWidth="1"/>
    <col min="14103" max="14103" width="19" customWidth="1"/>
    <col min="14104" max="14104" width="13" customWidth="1"/>
    <col min="14105" max="14105" width="12" bestFit="1" customWidth="1"/>
    <col min="14106" max="14106" width="12.109375" bestFit="1" customWidth="1"/>
    <col min="14107" max="14107" width="35.33203125" customWidth="1"/>
    <col min="14108" max="14108" width="16.5546875" customWidth="1"/>
    <col min="14109" max="14109" width="18" customWidth="1"/>
    <col min="14337" max="14337" width="86.109375" customWidth="1"/>
    <col min="14338" max="14338" width="32.88671875" customWidth="1"/>
    <col min="14339" max="14339" width="27.5546875" customWidth="1"/>
    <col min="14340" max="14340" width="9.33203125" bestFit="1" customWidth="1"/>
    <col min="14341" max="14341" width="35.109375" customWidth="1"/>
    <col min="14342" max="14342" width="8.44140625" customWidth="1"/>
    <col min="14343" max="14343" width="10.109375" bestFit="1" customWidth="1"/>
    <col min="14344" max="14344" width="9.33203125" bestFit="1" customWidth="1"/>
    <col min="14345" max="14345" width="30.44140625" customWidth="1"/>
    <col min="14346" max="14346" width="13.5546875" customWidth="1"/>
    <col min="14347" max="14347" width="15.33203125" customWidth="1"/>
    <col min="14348" max="14350" width="19" customWidth="1"/>
    <col min="14351" max="14351" width="38.44140625" customWidth="1"/>
    <col min="14352" max="14352" width="15" customWidth="1"/>
    <col min="14353" max="14353" width="21.33203125" customWidth="1"/>
    <col min="14354" max="14354" width="13.44140625" customWidth="1"/>
    <col min="14355" max="14356" width="9.33203125" bestFit="1" customWidth="1"/>
    <col min="14357" max="14357" width="37.109375" customWidth="1"/>
    <col min="14358" max="14358" width="18.88671875" customWidth="1"/>
    <col min="14359" max="14359" width="19" customWidth="1"/>
    <col min="14360" max="14360" width="13" customWidth="1"/>
    <col min="14361" max="14361" width="12" bestFit="1" customWidth="1"/>
    <col min="14362" max="14362" width="12.109375" bestFit="1" customWidth="1"/>
    <col min="14363" max="14363" width="35.33203125" customWidth="1"/>
    <col min="14364" max="14364" width="16.5546875" customWidth="1"/>
    <col min="14365" max="14365" width="18" customWidth="1"/>
    <col min="14593" max="14593" width="86.109375" customWidth="1"/>
    <col min="14594" max="14594" width="32.88671875" customWidth="1"/>
    <col min="14595" max="14595" width="27.5546875" customWidth="1"/>
    <col min="14596" max="14596" width="9.33203125" bestFit="1" customWidth="1"/>
    <col min="14597" max="14597" width="35.109375" customWidth="1"/>
    <col min="14598" max="14598" width="8.44140625" customWidth="1"/>
    <col min="14599" max="14599" width="10.109375" bestFit="1" customWidth="1"/>
    <col min="14600" max="14600" width="9.33203125" bestFit="1" customWidth="1"/>
    <col min="14601" max="14601" width="30.44140625" customWidth="1"/>
    <col min="14602" max="14602" width="13.5546875" customWidth="1"/>
    <col min="14603" max="14603" width="15.33203125" customWidth="1"/>
    <col min="14604" max="14606" width="19" customWidth="1"/>
    <col min="14607" max="14607" width="38.44140625" customWidth="1"/>
    <col min="14608" max="14608" width="15" customWidth="1"/>
    <col min="14609" max="14609" width="21.33203125" customWidth="1"/>
    <col min="14610" max="14610" width="13.44140625" customWidth="1"/>
    <col min="14611" max="14612" width="9.33203125" bestFit="1" customWidth="1"/>
    <col min="14613" max="14613" width="37.109375" customWidth="1"/>
    <col min="14614" max="14614" width="18.88671875" customWidth="1"/>
    <col min="14615" max="14615" width="19" customWidth="1"/>
    <col min="14616" max="14616" width="13" customWidth="1"/>
    <col min="14617" max="14617" width="12" bestFit="1" customWidth="1"/>
    <col min="14618" max="14618" width="12.109375" bestFit="1" customWidth="1"/>
    <col min="14619" max="14619" width="35.33203125" customWidth="1"/>
    <col min="14620" max="14620" width="16.5546875" customWidth="1"/>
    <col min="14621" max="14621" width="18" customWidth="1"/>
    <col min="14849" max="14849" width="86.109375" customWidth="1"/>
    <col min="14850" max="14850" width="32.88671875" customWidth="1"/>
    <col min="14851" max="14851" width="27.5546875" customWidth="1"/>
    <col min="14852" max="14852" width="9.33203125" bestFit="1" customWidth="1"/>
    <col min="14853" max="14853" width="35.109375" customWidth="1"/>
    <col min="14854" max="14854" width="8.44140625" customWidth="1"/>
    <col min="14855" max="14855" width="10.109375" bestFit="1" customWidth="1"/>
    <col min="14856" max="14856" width="9.33203125" bestFit="1" customWidth="1"/>
    <col min="14857" max="14857" width="30.44140625" customWidth="1"/>
    <col min="14858" max="14858" width="13.5546875" customWidth="1"/>
    <col min="14859" max="14859" width="15.33203125" customWidth="1"/>
    <col min="14860" max="14862" width="19" customWidth="1"/>
    <col min="14863" max="14863" width="38.44140625" customWidth="1"/>
    <col min="14864" max="14864" width="15" customWidth="1"/>
    <col min="14865" max="14865" width="21.33203125" customWidth="1"/>
    <col min="14866" max="14866" width="13.44140625" customWidth="1"/>
    <col min="14867" max="14868" width="9.33203125" bestFit="1" customWidth="1"/>
    <col min="14869" max="14869" width="37.109375" customWidth="1"/>
    <col min="14870" max="14870" width="18.88671875" customWidth="1"/>
    <col min="14871" max="14871" width="19" customWidth="1"/>
    <col min="14872" max="14872" width="13" customWidth="1"/>
    <col min="14873" max="14873" width="12" bestFit="1" customWidth="1"/>
    <col min="14874" max="14874" width="12.109375" bestFit="1" customWidth="1"/>
    <col min="14875" max="14875" width="35.33203125" customWidth="1"/>
    <col min="14876" max="14876" width="16.5546875" customWidth="1"/>
    <col min="14877" max="14877" width="18" customWidth="1"/>
    <col min="15105" max="15105" width="86.109375" customWidth="1"/>
    <col min="15106" max="15106" width="32.88671875" customWidth="1"/>
    <col min="15107" max="15107" width="27.5546875" customWidth="1"/>
    <col min="15108" max="15108" width="9.33203125" bestFit="1" customWidth="1"/>
    <col min="15109" max="15109" width="35.109375" customWidth="1"/>
    <col min="15110" max="15110" width="8.44140625" customWidth="1"/>
    <col min="15111" max="15111" width="10.109375" bestFit="1" customWidth="1"/>
    <col min="15112" max="15112" width="9.33203125" bestFit="1" customWidth="1"/>
    <col min="15113" max="15113" width="30.44140625" customWidth="1"/>
    <col min="15114" max="15114" width="13.5546875" customWidth="1"/>
    <col min="15115" max="15115" width="15.33203125" customWidth="1"/>
    <col min="15116" max="15118" width="19" customWidth="1"/>
    <col min="15119" max="15119" width="38.44140625" customWidth="1"/>
    <col min="15120" max="15120" width="15" customWidth="1"/>
    <col min="15121" max="15121" width="21.33203125" customWidth="1"/>
    <col min="15122" max="15122" width="13.44140625" customWidth="1"/>
    <col min="15123" max="15124" width="9.33203125" bestFit="1" customWidth="1"/>
    <col min="15125" max="15125" width="37.109375" customWidth="1"/>
    <col min="15126" max="15126" width="18.88671875" customWidth="1"/>
    <col min="15127" max="15127" width="19" customWidth="1"/>
    <col min="15128" max="15128" width="13" customWidth="1"/>
    <col min="15129" max="15129" width="12" bestFit="1" customWidth="1"/>
    <col min="15130" max="15130" width="12.109375" bestFit="1" customWidth="1"/>
    <col min="15131" max="15131" width="35.33203125" customWidth="1"/>
    <col min="15132" max="15132" width="16.5546875" customWidth="1"/>
    <col min="15133" max="15133" width="18" customWidth="1"/>
    <col min="15361" max="15361" width="86.109375" customWidth="1"/>
    <col min="15362" max="15362" width="32.88671875" customWidth="1"/>
    <col min="15363" max="15363" width="27.5546875" customWidth="1"/>
    <col min="15364" max="15364" width="9.33203125" bestFit="1" customWidth="1"/>
    <col min="15365" max="15365" width="35.109375" customWidth="1"/>
    <col min="15366" max="15366" width="8.44140625" customWidth="1"/>
    <col min="15367" max="15367" width="10.109375" bestFit="1" customWidth="1"/>
    <col min="15368" max="15368" width="9.33203125" bestFit="1" customWidth="1"/>
    <col min="15369" max="15369" width="30.44140625" customWidth="1"/>
    <col min="15370" max="15370" width="13.5546875" customWidth="1"/>
    <col min="15371" max="15371" width="15.33203125" customWidth="1"/>
    <col min="15372" max="15374" width="19" customWidth="1"/>
    <col min="15375" max="15375" width="38.44140625" customWidth="1"/>
    <col min="15376" max="15376" width="15" customWidth="1"/>
    <col min="15377" max="15377" width="21.33203125" customWidth="1"/>
    <col min="15378" max="15378" width="13.44140625" customWidth="1"/>
    <col min="15379" max="15380" width="9.33203125" bestFit="1" customWidth="1"/>
    <col min="15381" max="15381" width="37.109375" customWidth="1"/>
    <col min="15382" max="15382" width="18.88671875" customWidth="1"/>
    <col min="15383" max="15383" width="19" customWidth="1"/>
    <col min="15384" max="15384" width="13" customWidth="1"/>
    <col min="15385" max="15385" width="12" bestFit="1" customWidth="1"/>
    <col min="15386" max="15386" width="12.109375" bestFit="1" customWidth="1"/>
    <col min="15387" max="15387" width="35.33203125" customWidth="1"/>
    <col min="15388" max="15388" width="16.5546875" customWidth="1"/>
    <col min="15389" max="15389" width="18" customWidth="1"/>
    <col min="15617" max="15617" width="86.109375" customWidth="1"/>
    <col min="15618" max="15618" width="32.88671875" customWidth="1"/>
    <col min="15619" max="15619" width="27.5546875" customWidth="1"/>
    <col min="15620" max="15620" width="9.33203125" bestFit="1" customWidth="1"/>
    <col min="15621" max="15621" width="35.109375" customWidth="1"/>
    <col min="15622" max="15622" width="8.44140625" customWidth="1"/>
    <col min="15623" max="15623" width="10.109375" bestFit="1" customWidth="1"/>
    <col min="15624" max="15624" width="9.33203125" bestFit="1" customWidth="1"/>
    <col min="15625" max="15625" width="30.44140625" customWidth="1"/>
    <col min="15626" max="15626" width="13.5546875" customWidth="1"/>
    <col min="15627" max="15627" width="15.33203125" customWidth="1"/>
    <col min="15628" max="15630" width="19" customWidth="1"/>
    <col min="15631" max="15631" width="38.44140625" customWidth="1"/>
    <col min="15632" max="15632" width="15" customWidth="1"/>
    <col min="15633" max="15633" width="21.33203125" customWidth="1"/>
    <col min="15634" max="15634" width="13.44140625" customWidth="1"/>
    <col min="15635" max="15636" width="9.33203125" bestFit="1" customWidth="1"/>
    <col min="15637" max="15637" width="37.109375" customWidth="1"/>
    <col min="15638" max="15638" width="18.88671875" customWidth="1"/>
    <col min="15639" max="15639" width="19" customWidth="1"/>
    <col min="15640" max="15640" width="13" customWidth="1"/>
    <col min="15641" max="15641" width="12" bestFit="1" customWidth="1"/>
    <col min="15642" max="15642" width="12.109375" bestFit="1" customWidth="1"/>
    <col min="15643" max="15643" width="35.33203125" customWidth="1"/>
    <col min="15644" max="15644" width="16.5546875" customWidth="1"/>
    <col min="15645" max="15645" width="18" customWidth="1"/>
    <col min="15873" max="15873" width="86.109375" customWidth="1"/>
    <col min="15874" max="15874" width="32.88671875" customWidth="1"/>
    <col min="15875" max="15875" width="27.5546875" customWidth="1"/>
    <col min="15876" max="15876" width="9.33203125" bestFit="1" customWidth="1"/>
    <col min="15877" max="15877" width="35.109375" customWidth="1"/>
    <col min="15878" max="15878" width="8.44140625" customWidth="1"/>
    <col min="15879" max="15879" width="10.109375" bestFit="1" customWidth="1"/>
    <col min="15880" max="15880" width="9.33203125" bestFit="1" customWidth="1"/>
    <col min="15881" max="15881" width="30.44140625" customWidth="1"/>
    <col min="15882" max="15882" width="13.5546875" customWidth="1"/>
    <col min="15883" max="15883" width="15.33203125" customWidth="1"/>
    <col min="15884" max="15886" width="19" customWidth="1"/>
    <col min="15887" max="15887" width="38.44140625" customWidth="1"/>
    <col min="15888" max="15888" width="15" customWidth="1"/>
    <col min="15889" max="15889" width="21.33203125" customWidth="1"/>
    <col min="15890" max="15890" width="13.44140625" customWidth="1"/>
    <col min="15891" max="15892" width="9.33203125" bestFit="1" customWidth="1"/>
    <col min="15893" max="15893" width="37.109375" customWidth="1"/>
    <col min="15894" max="15894" width="18.88671875" customWidth="1"/>
    <col min="15895" max="15895" width="19" customWidth="1"/>
    <col min="15896" max="15896" width="13" customWidth="1"/>
    <col min="15897" max="15897" width="12" bestFit="1" customWidth="1"/>
    <col min="15898" max="15898" width="12.109375" bestFit="1" customWidth="1"/>
    <col min="15899" max="15899" width="35.33203125" customWidth="1"/>
    <col min="15900" max="15900" width="16.5546875" customWidth="1"/>
    <col min="15901" max="15901" width="18" customWidth="1"/>
    <col min="16129" max="16129" width="86.109375" customWidth="1"/>
    <col min="16130" max="16130" width="32.88671875" customWidth="1"/>
    <col min="16131" max="16131" width="27.5546875" customWidth="1"/>
    <col min="16132" max="16132" width="9.33203125" bestFit="1" customWidth="1"/>
    <col min="16133" max="16133" width="35.109375" customWidth="1"/>
    <col min="16134" max="16134" width="8.44140625" customWidth="1"/>
    <col min="16135" max="16135" width="10.109375" bestFit="1" customWidth="1"/>
    <col min="16136" max="16136" width="9.33203125" bestFit="1" customWidth="1"/>
    <col min="16137" max="16137" width="30.44140625" customWidth="1"/>
    <col min="16138" max="16138" width="13.5546875" customWidth="1"/>
    <col min="16139" max="16139" width="15.33203125" customWidth="1"/>
    <col min="16140" max="16142" width="19" customWidth="1"/>
    <col min="16143" max="16143" width="38.44140625" customWidth="1"/>
    <col min="16144" max="16144" width="15" customWidth="1"/>
    <col min="16145" max="16145" width="21.33203125" customWidth="1"/>
    <col min="16146" max="16146" width="13.44140625" customWidth="1"/>
    <col min="16147" max="16148" width="9.33203125" bestFit="1" customWidth="1"/>
    <col min="16149" max="16149" width="37.109375" customWidth="1"/>
    <col min="16150" max="16150" width="18.88671875" customWidth="1"/>
    <col min="16151" max="16151" width="19" customWidth="1"/>
    <col min="16152" max="16152" width="13" customWidth="1"/>
    <col min="16153" max="16153" width="12" bestFit="1" customWidth="1"/>
    <col min="16154" max="16154" width="12.109375" bestFit="1" customWidth="1"/>
    <col min="16155" max="16155" width="35.33203125" customWidth="1"/>
    <col min="16156" max="16156" width="16.5546875" customWidth="1"/>
    <col min="16157" max="16157" width="18" customWidth="1"/>
  </cols>
  <sheetData>
    <row r="1" spans="1:3" x14ac:dyDescent="0.25">
      <c r="A1" s="2" t="s">
        <v>240</v>
      </c>
      <c r="B1" t="s">
        <v>1580</v>
      </c>
    </row>
    <row r="2" spans="1:3" x14ac:dyDescent="0.25">
      <c r="A2" s="2" t="s">
        <v>243</v>
      </c>
      <c r="B2" t="s">
        <v>964</v>
      </c>
    </row>
    <row r="3" spans="1:3" x14ac:dyDescent="0.25">
      <c r="A3" s="2" t="s">
        <v>241</v>
      </c>
      <c r="B3" t="s">
        <v>965</v>
      </c>
    </row>
    <row r="4" spans="1:3" x14ac:dyDescent="0.25">
      <c r="A4" s="2" t="s">
        <v>242</v>
      </c>
      <c r="B4" s="1">
        <v>2012</v>
      </c>
    </row>
    <row r="5" spans="1:3" x14ac:dyDescent="0.25">
      <c r="B5" s="1"/>
    </row>
    <row r="6" spans="1:3" x14ac:dyDescent="0.25">
      <c r="A6" s="452" t="s">
        <v>408</v>
      </c>
      <c r="B6" s="1213"/>
      <c r="C6" s="700"/>
    </row>
    <row r="7" spans="1:3" x14ac:dyDescent="0.25">
      <c r="A7" s="1214" t="s">
        <v>340</v>
      </c>
      <c r="B7" s="1215"/>
      <c r="C7" s="1216" t="str">
        <f>method</f>
        <v>Renewable Energy Directive</v>
      </c>
    </row>
    <row r="8" spans="1:3" x14ac:dyDescent="0.25">
      <c r="A8" s="1214" t="s">
        <v>363</v>
      </c>
      <c r="B8" s="639" t="s">
        <v>371</v>
      </c>
      <c r="C8" s="1216">
        <f>include_machinery</f>
        <v>0</v>
      </c>
    </row>
    <row r="9" spans="1:3" x14ac:dyDescent="0.25">
      <c r="A9" s="1214" t="s">
        <v>1318</v>
      </c>
      <c r="B9" s="639" t="s">
        <v>14</v>
      </c>
      <c r="C9" s="1216">
        <f>seeds</f>
        <v>38.270000000000003</v>
      </c>
    </row>
    <row r="10" spans="1:3" x14ac:dyDescent="0.25">
      <c r="A10" s="1214" t="s">
        <v>1319</v>
      </c>
      <c r="B10" s="639" t="s">
        <v>371</v>
      </c>
      <c r="C10" s="1216">
        <f>seed_incl</f>
        <v>1</v>
      </c>
    </row>
    <row r="11" spans="1:3" x14ac:dyDescent="0.25">
      <c r="A11" s="1217" t="s">
        <v>1320</v>
      </c>
      <c r="B11" s="1215" t="s">
        <v>13</v>
      </c>
      <c r="C11" s="1216">
        <f>n_fert</f>
        <v>135</v>
      </c>
    </row>
    <row r="12" spans="1:3" x14ac:dyDescent="0.25">
      <c r="A12" s="1217" t="s">
        <v>376</v>
      </c>
      <c r="B12" s="1215"/>
      <c r="C12" s="1216" t="str">
        <f>n_fert_type</f>
        <v>Ammonium Nitrate</v>
      </c>
    </row>
    <row r="13" spans="1:3" x14ac:dyDescent="0.25">
      <c r="A13" s="1217" t="s">
        <v>1280</v>
      </c>
      <c r="B13" s="1215"/>
      <c r="C13" s="1216" t="str">
        <f>soil_emissions</f>
        <v>IPCC</v>
      </c>
    </row>
    <row r="14" spans="1:3" x14ac:dyDescent="0.25">
      <c r="A14" s="1214" t="s">
        <v>1321</v>
      </c>
      <c r="B14" s="639"/>
      <c r="C14" s="1216" t="str">
        <f>cult_energy</f>
        <v>Machinery Times</v>
      </c>
    </row>
    <row r="15" spans="1:3" x14ac:dyDescent="0.25">
      <c r="A15" s="1214" t="s">
        <v>1322</v>
      </c>
      <c r="B15" s="639" t="s">
        <v>371</v>
      </c>
      <c r="C15" s="1216">
        <f>residue_emissions</f>
        <v>1</v>
      </c>
    </row>
    <row r="16" spans="1:3" x14ac:dyDescent="0.25">
      <c r="A16" s="1214" t="s">
        <v>1323</v>
      </c>
      <c r="B16" s="639" t="s">
        <v>371</v>
      </c>
      <c r="C16" s="1216">
        <f>residue_C</f>
        <v>0</v>
      </c>
    </row>
    <row r="17" spans="1:3" x14ac:dyDescent="0.25">
      <c r="A17" s="1214" t="s">
        <v>1324</v>
      </c>
      <c r="B17" s="639" t="s">
        <v>37</v>
      </c>
      <c r="C17" s="1216">
        <f>CropResidues!C15</f>
        <v>23</v>
      </c>
    </row>
    <row r="18" spans="1:3" x14ac:dyDescent="0.25">
      <c r="A18" s="1214" t="s">
        <v>1325</v>
      </c>
      <c r="B18" s="639" t="s">
        <v>1326</v>
      </c>
      <c r="C18" s="1216">
        <f>cult_fuel_consumption</f>
        <v>175.29</v>
      </c>
    </row>
    <row r="19" spans="1:3" x14ac:dyDescent="0.25">
      <c r="A19" s="1214" t="s">
        <v>1327</v>
      </c>
      <c r="B19" s="639" t="s">
        <v>1328</v>
      </c>
      <c r="C19" s="1216">
        <f>cult_time</f>
        <v>6.29</v>
      </c>
    </row>
    <row r="20" spans="1:3" x14ac:dyDescent="0.25">
      <c r="A20" s="1217" t="s">
        <v>1329</v>
      </c>
      <c r="B20" s="639" t="s">
        <v>1330</v>
      </c>
      <c r="C20" s="1216">
        <f>sub_soiling</f>
        <v>1</v>
      </c>
    </row>
    <row r="21" spans="1:3" x14ac:dyDescent="0.25">
      <c r="A21" s="1217" t="s">
        <v>1331</v>
      </c>
      <c r="B21" s="639" t="s">
        <v>1330</v>
      </c>
      <c r="C21" s="1216">
        <f>ploughing</f>
        <v>1</v>
      </c>
    </row>
    <row r="22" spans="1:3" x14ac:dyDescent="0.25">
      <c r="A22" s="1217" t="s">
        <v>1332</v>
      </c>
      <c r="B22" s="639" t="s">
        <v>1330</v>
      </c>
      <c r="C22" s="1216">
        <f>cult_harrow</f>
        <v>1</v>
      </c>
    </row>
    <row r="23" spans="1:3" x14ac:dyDescent="0.25">
      <c r="A23" s="1217" t="s">
        <v>1333</v>
      </c>
      <c r="B23" s="639" t="s">
        <v>1330</v>
      </c>
      <c r="C23" s="1216">
        <f>drill_harrow</f>
        <v>1</v>
      </c>
    </row>
    <row r="24" spans="1:3" x14ac:dyDescent="0.25">
      <c r="A24" s="1217" t="s">
        <v>1334</v>
      </c>
      <c r="B24" s="639" t="s">
        <v>1330</v>
      </c>
      <c r="C24" s="1216">
        <f>fym_application</f>
        <v>1</v>
      </c>
    </row>
    <row r="25" spans="1:3" x14ac:dyDescent="0.25">
      <c r="A25" s="1217" t="s">
        <v>1335</v>
      </c>
      <c r="B25" s="639" t="s">
        <v>1330</v>
      </c>
      <c r="C25" s="1216">
        <f>fert_application</f>
        <v>1</v>
      </c>
    </row>
    <row r="26" spans="1:3" x14ac:dyDescent="0.25">
      <c r="A26" s="1217" t="s">
        <v>1336</v>
      </c>
      <c r="B26" s="639" t="s">
        <v>1330</v>
      </c>
      <c r="C26" s="1216">
        <f>spray_application</f>
        <v>1</v>
      </c>
    </row>
    <row r="27" spans="1:3" x14ac:dyDescent="0.25">
      <c r="A27" s="1217" t="s">
        <v>1337</v>
      </c>
      <c r="B27" s="639" t="s">
        <v>1330</v>
      </c>
      <c r="C27" s="1216">
        <f>forage_maize_harvest</f>
        <v>1</v>
      </c>
    </row>
    <row r="28" spans="1:3" x14ac:dyDescent="0.25">
      <c r="A28" s="1214" t="s">
        <v>1338</v>
      </c>
      <c r="B28" s="639" t="s">
        <v>1339</v>
      </c>
      <c r="C28" s="1283">
        <f>ncv_diesel</f>
        <v>35.9</v>
      </c>
    </row>
    <row r="29" spans="1:3" x14ac:dyDescent="0.25">
      <c r="A29" s="1217" t="s">
        <v>1340</v>
      </c>
      <c r="B29" s="639" t="s">
        <v>14</v>
      </c>
      <c r="C29" s="1216">
        <f>fym_app1</f>
        <v>0</v>
      </c>
    </row>
    <row r="30" spans="1:3" x14ac:dyDescent="0.25">
      <c r="A30" s="1217" t="s">
        <v>1341</v>
      </c>
      <c r="B30" s="639" t="s">
        <v>14</v>
      </c>
      <c r="C30" s="1216">
        <f>fym_app2</f>
        <v>0</v>
      </c>
    </row>
    <row r="31" spans="1:3" x14ac:dyDescent="0.25">
      <c r="A31" s="1217" t="s">
        <v>1342</v>
      </c>
      <c r="B31" s="639" t="s">
        <v>14</v>
      </c>
      <c r="C31" s="1216">
        <f>fym_app3</f>
        <v>0</v>
      </c>
    </row>
    <row r="32" spans="1:3" x14ac:dyDescent="0.25">
      <c r="A32" s="1217" t="s">
        <v>1343</v>
      </c>
      <c r="B32" s="639" t="s">
        <v>14</v>
      </c>
      <c r="C32" s="1218">
        <f>SUM(C29:C31)</f>
        <v>0</v>
      </c>
    </row>
    <row r="33" spans="1:29" x14ac:dyDescent="0.25">
      <c r="A33" s="1217" t="s">
        <v>1299</v>
      </c>
      <c r="B33" s="639" t="s">
        <v>371</v>
      </c>
      <c r="C33" s="1216">
        <f>fym_emissions</f>
        <v>1</v>
      </c>
    </row>
    <row r="34" spans="1:29" x14ac:dyDescent="0.25">
      <c r="A34" s="1217" t="s">
        <v>1304</v>
      </c>
      <c r="B34" s="639" t="s">
        <v>371</v>
      </c>
      <c r="C34" s="1216">
        <f>fym_C</f>
        <v>0</v>
      </c>
    </row>
    <row r="35" spans="1:29" ht="15.6" x14ac:dyDescent="0.35">
      <c r="A35" s="1217" t="s">
        <v>1344</v>
      </c>
      <c r="B35" s="639" t="s">
        <v>1345</v>
      </c>
      <c r="C35" s="1216">
        <f>p_fert</f>
        <v>95</v>
      </c>
    </row>
    <row r="36" spans="1:29" ht="15.6" x14ac:dyDescent="0.35">
      <c r="A36" s="1217" t="s">
        <v>1346</v>
      </c>
      <c r="B36" s="639" t="s">
        <v>1347</v>
      </c>
      <c r="C36" s="1216">
        <f>k_fert</f>
        <v>212.5</v>
      </c>
    </row>
    <row r="37" spans="1:29" x14ac:dyDescent="0.25">
      <c r="A37" s="846" t="s">
        <v>1581</v>
      </c>
      <c r="B37" s="881"/>
      <c r="C37" s="736" t="str">
        <f>lime_type</f>
        <v>CaCO3</v>
      </c>
    </row>
    <row r="38" spans="1:29" ht="15.6" x14ac:dyDescent="0.35">
      <c r="A38" s="1217" t="s">
        <v>1348</v>
      </c>
      <c r="B38" s="639" t="s">
        <v>1349</v>
      </c>
      <c r="C38" s="1216">
        <f>lime_fert</f>
        <v>0</v>
      </c>
    </row>
    <row r="39" spans="1:29" x14ac:dyDescent="0.25">
      <c r="A39" s="1217" t="s">
        <v>1350</v>
      </c>
      <c r="B39" s="639" t="s">
        <v>1351</v>
      </c>
      <c r="C39" s="1216">
        <f>crop_protect</f>
        <v>1.1200000000000001</v>
      </c>
    </row>
    <row r="40" spans="1:29" x14ac:dyDescent="0.25">
      <c r="B40" s="1"/>
    </row>
    <row r="41" spans="1:29" s="42" customFormat="1" x14ac:dyDescent="0.25">
      <c r="A41" s="42" t="s">
        <v>245</v>
      </c>
      <c r="B41" s="42" t="s">
        <v>244</v>
      </c>
      <c r="E41" s="42" t="s">
        <v>27</v>
      </c>
      <c r="F41" s="42" t="s">
        <v>247</v>
      </c>
      <c r="I41" s="42" t="s">
        <v>27</v>
      </c>
      <c r="J41" s="42" t="s">
        <v>250</v>
      </c>
      <c r="L41" s="42" t="s">
        <v>251</v>
      </c>
      <c r="O41" s="42" t="s">
        <v>27</v>
      </c>
      <c r="P41" s="42" t="s">
        <v>252</v>
      </c>
      <c r="R41" s="42" t="s">
        <v>253</v>
      </c>
      <c r="U41" s="42" t="s">
        <v>27</v>
      </c>
      <c r="V41" s="42" t="s">
        <v>254</v>
      </c>
      <c r="X41" s="42" t="s">
        <v>255</v>
      </c>
      <c r="AA41" s="42" t="s">
        <v>27</v>
      </c>
      <c r="AB41" s="42" t="s">
        <v>256</v>
      </c>
    </row>
    <row r="42" spans="1:29" s="42" customFormat="1" x14ac:dyDescent="0.25">
      <c r="B42" s="42" t="s">
        <v>246</v>
      </c>
      <c r="C42" s="42" t="s">
        <v>248</v>
      </c>
      <c r="D42" s="42" t="s">
        <v>249</v>
      </c>
      <c r="F42" s="42" t="s">
        <v>246</v>
      </c>
      <c r="G42" s="42" t="s">
        <v>248</v>
      </c>
      <c r="H42" s="42" t="s">
        <v>249</v>
      </c>
      <c r="J42" s="42" t="s">
        <v>248</v>
      </c>
      <c r="K42" s="42" t="s">
        <v>249</v>
      </c>
      <c r="L42" s="42" t="s">
        <v>246</v>
      </c>
      <c r="M42" s="42" t="s">
        <v>248</v>
      </c>
      <c r="N42" s="42" t="s">
        <v>249</v>
      </c>
      <c r="P42" s="42" t="s">
        <v>248</v>
      </c>
      <c r="Q42" s="42" t="s">
        <v>249</v>
      </c>
      <c r="R42" s="42" t="s">
        <v>246</v>
      </c>
      <c r="S42" s="42" t="s">
        <v>248</v>
      </c>
      <c r="T42" s="42" t="s">
        <v>249</v>
      </c>
      <c r="V42" s="42" t="s">
        <v>248</v>
      </c>
      <c r="W42" s="42" t="s">
        <v>249</v>
      </c>
      <c r="X42" s="42" t="s">
        <v>246</v>
      </c>
      <c r="Y42" s="42" t="s">
        <v>248</v>
      </c>
      <c r="Z42" s="42" t="s">
        <v>249</v>
      </c>
      <c r="AB42" s="42" t="s">
        <v>248</v>
      </c>
      <c r="AC42" s="42" t="s">
        <v>249</v>
      </c>
    </row>
    <row r="43" spans="1:29" x14ac:dyDescent="0.25">
      <c r="A43" s="2" t="s">
        <v>1</v>
      </c>
      <c r="C43" s="1"/>
      <c r="D43" s="1"/>
      <c r="G43" s="1"/>
      <c r="H43" s="1"/>
      <c r="I43" s="1"/>
      <c r="J43" s="1"/>
      <c r="K43" s="1"/>
    </row>
    <row r="44" spans="1:29" s="66" customFormat="1" x14ac:dyDescent="0.25">
      <c r="A44" s="66" t="s">
        <v>839</v>
      </c>
      <c r="B44" s="66" t="s">
        <v>5</v>
      </c>
      <c r="C44" s="1219">
        <f>IF(C14="Diesel Fuel Consumption",(C18*C28),(IF(C14="Machinery Times",(C19*897.73),(SUM(C49:C56)*897.73))))</f>
        <v>5646.7217000000001</v>
      </c>
      <c r="D44" s="1219">
        <v>0</v>
      </c>
      <c r="E44" s="1220" t="s">
        <v>1352</v>
      </c>
      <c r="F44" s="66" t="s">
        <v>6</v>
      </c>
      <c r="G44" s="1221">
        <v>1.073</v>
      </c>
      <c r="H44" s="1221">
        <v>0</v>
      </c>
      <c r="I44" s="843" t="s">
        <v>1698</v>
      </c>
      <c r="J44" s="1222">
        <f>C44*G44</f>
        <v>6058.9323840999996</v>
      </c>
      <c r="K44" s="1222">
        <f>SQRT(((D44*G44)^2)+((C44*H44)^2))</f>
        <v>0</v>
      </c>
      <c r="L44" s="66" t="s">
        <v>7</v>
      </c>
      <c r="M44" s="1221">
        <v>7.6999999999999999E-2</v>
      </c>
      <c r="N44" s="1221">
        <v>0</v>
      </c>
      <c r="O44" s="847" t="s">
        <v>1699</v>
      </c>
      <c r="P44" s="1222">
        <f>C44*M44</f>
        <v>434.79757089999998</v>
      </c>
      <c r="Q44" s="1222">
        <f>SQRT(((D44*M44)^2)+((C44*N44)^2))</f>
        <v>0</v>
      </c>
      <c r="R44" s="66" t="s">
        <v>8</v>
      </c>
      <c r="S44" s="1221">
        <v>1.5999999999999999E-5</v>
      </c>
      <c r="T44" s="1221">
        <v>0</v>
      </c>
      <c r="U44" s="847" t="s">
        <v>1700</v>
      </c>
      <c r="V44" s="1223">
        <f>C44*S44</f>
        <v>9.0347547200000003E-2</v>
      </c>
      <c r="W44" s="1223">
        <f>SQRT(((D44*S44)^2)+((C44*T44)^2))</f>
        <v>0</v>
      </c>
      <c r="X44" s="66" t="s">
        <v>9</v>
      </c>
      <c r="Y44" s="1221">
        <v>2.0800000000000001E-5</v>
      </c>
      <c r="Z44" s="1221">
        <v>0</v>
      </c>
      <c r="AA44" s="847" t="s">
        <v>1701</v>
      </c>
      <c r="AB44" s="1224">
        <f>C44*Y44</f>
        <v>0.11745181136000001</v>
      </c>
      <c r="AC44" s="1224">
        <f>SQRT(((D44*Y44)^2)+((C44*Z44)^2))</f>
        <v>0</v>
      </c>
    </row>
    <row r="45" spans="1:29" s="115" customFormat="1" x14ac:dyDescent="0.25">
      <c r="C45" s="1302"/>
      <c r="D45" s="1302"/>
      <c r="E45" s="1303"/>
      <c r="G45" s="111"/>
      <c r="H45" s="111"/>
      <c r="J45" s="832"/>
      <c r="K45" s="832"/>
      <c r="M45" s="111"/>
      <c r="N45" s="111"/>
      <c r="O45" s="111"/>
      <c r="P45" s="832"/>
      <c r="Q45" s="832"/>
      <c r="S45" s="111"/>
      <c r="T45" s="111"/>
      <c r="U45" s="111"/>
      <c r="V45" s="848"/>
      <c r="W45" s="848"/>
      <c r="Y45" s="111"/>
      <c r="Z45" s="111"/>
      <c r="AA45" s="111"/>
      <c r="AB45" s="111"/>
      <c r="AC45" s="111"/>
    </row>
    <row r="46" spans="1:29" s="66" customFormat="1" x14ac:dyDescent="0.25">
      <c r="A46" s="830" t="s">
        <v>1353</v>
      </c>
      <c r="B46" s="830"/>
      <c r="C46" s="830"/>
      <c r="D46" s="830"/>
      <c r="E46" s="1225"/>
      <c r="F46" s="830"/>
      <c r="G46" s="831"/>
      <c r="H46" s="831"/>
      <c r="I46" s="1226"/>
      <c r="J46" s="1227">
        <f>SUM(J44:J44)</f>
        <v>6058.9323840999996</v>
      </c>
      <c r="K46" s="1227">
        <f>SQRT((K44^2))</f>
        <v>0</v>
      </c>
      <c r="L46" s="830"/>
      <c r="M46" s="831"/>
      <c r="N46" s="831"/>
      <c r="O46" s="1226"/>
      <c r="P46" s="1227">
        <f>SUM(P44:P44)</f>
        <v>434.79757089999998</v>
      </c>
      <c r="Q46" s="1227">
        <f>SQRT((Q44^2))</f>
        <v>0</v>
      </c>
      <c r="R46" s="830"/>
      <c r="S46" s="1228"/>
      <c r="T46" s="1228"/>
      <c r="U46" s="1226"/>
      <c r="V46" s="1229">
        <f>SUM(V44:V44)</f>
        <v>9.0347547200000003E-2</v>
      </c>
      <c r="W46" s="1229">
        <f>SQRT((W44^2))</f>
        <v>0</v>
      </c>
      <c r="X46" s="830"/>
      <c r="Y46" s="831"/>
      <c r="Z46" s="831"/>
      <c r="AA46" s="1226"/>
      <c r="AB46" s="1230">
        <f>SUM(AB44:AB44)</f>
        <v>0.11745181136000001</v>
      </c>
      <c r="AC46" s="1230">
        <f>SQRT((AC44^2))</f>
        <v>0</v>
      </c>
    </row>
    <row r="47" spans="1:29" s="66" customFormat="1" x14ac:dyDescent="0.25">
      <c r="A47" s="830"/>
      <c r="B47" s="830"/>
      <c r="C47" s="830"/>
      <c r="D47" s="830"/>
      <c r="E47" s="1225"/>
      <c r="F47" s="830"/>
      <c r="G47" s="831"/>
      <c r="H47" s="831"/>
      <c r="I47" s="1226"/>
      <c r="J47" s="834"/>
      <c r="K47" s="834"/>
      <c r="L47" s="830"/>
      <c r="M47" s="831"/>
      <c r="N47" s="831"/>
      <c r="O47" s="1226"/>
      <c r="P47" s="834"/>
      <c r="Q47" s="834"/>
      <c r="R47" s="830"/>
      <c r="S47" s="836"/>
      <c r="T47" s="836"/>
      <c r="U47" s="1226"/>
      <c r="V47" s="839"/>
      <c r="W47" s="839"/>
      <c r="X47" s="830"/>
      <c r="Y47" s="831"/>
      <c r="Z47" s="831"/>
      <c r="AA47" s="1226"/>
      <c r="AB47" s="112"/>
      <c r="AC47" s="112"/>
    </row>
    <row r="48" spans="1:29" s="66" customFormat="1" x14ac:dyDescent="0.25">
      <c r="A48" s="66" t="s">
        <v>0</v>
      </c>
      <c r="C48" s="112"/>
      <c r="D48" s="112"/>
      <c r="E48" s="112"/>
      <c r="G48" s="112"/>
      <c r="H48" s="112"/>
      <c r="I48" s="112"/>
      <c r="J48" s="834"/>
      <c r="K48" s="834"/>
      <c r="M48" s="112"/>
      <c r="N48" s="112"/>
      <c r="O48" s="112"/>
      <c r="P48" s="834"/>
      <c r="Q48" s="834"/>
      <c r="S48" s="111"/>
      <c r="T48" s="111"/>
      <c r="U48" s="112"/>
      <c r="V48" s="839"/>
      <c r="W48" s="839"/>
      <c r="Y48" s="112"/>
      <c r="Z48" s="112"/>
      <c r="AA48" s="112"/>
      <c r="AB48" s="112"/>
      <c r="AC48" s="112"/>
    </row>
    <row r="49" spans="1:29" s="115" customFormat="1" x14ac:dyDescent="0.25">
      <c r="A49" s="66" t="s">
        <v>1354</v>
      </c>
      <c r="B49" s="66" t="s">
        <v>966</v>
      </c>
      <c r="C49" s="1231">
        <f>C20*(8/6)</f>
        <v>1.3333333333333333</v>
      </c>
      <c r="D49" s="1221">
        <v>0</v>
      </c>
      <c r="E49" s="847" t="s">
        <v>1355</v>
      </c>
      <c r="F49" s="66" t="s">
        <v>10</v>
      </c>
      <c r="G49" s="1232">
        <f>59.58+25.34</f>
        <v>84.92</v>
      </c>
      <c r="H49" s="1221">
        <v>0</v>
      </c>
      <c r="I49" s="112" t="s">
        <v>1356</v>
      </c>
      <c r="J49" s="1222">
        <f t="shared" ref="J49:J56" si="0">C49*G49*$C$8</f>
        <v>0</v>
      </c>
      <c r="K49" s="1222">
        <f t="shared" ref="K49:K56" si="1">SQRT(((D49*G49)^2)+((C49*H49)^2))*$C$8</f>
        <v>0</v>
      </c>
      <c r="L49" s="66" t="s">
        <v>1357</v>
      </c>
      <c r="M49" s="1221">
        <f>2.8+1.2</f>
        <v>4</v>
      </c>
      <c r="N49" s="1221">
        <v>0</v>
      </c>
      <c r="O49" s="112" t="s">
        <v>1358</v>
      </c>
      <c r="P49" s="1222">
        <f t="shared" ref="P49:P56" si="2">C49*M49*$C$8</f>
        <v>0</v>
      </c>
      <c r="Q49" s="1222">
        <f t="shared" ref="Q49:Q56" si="3">SQRT(((D49*M49)^2)+((C49*N49)^2))*$C$8</f>
        <v>0</v>
      </c>
      <c r="R49" s="66" t="s">
        <v>8</v>
      </c>
      <c r="S49" s="1221">
        <v>1.192E-4</v>
      </c>
      <c r="T49" s="1221">
        <v>0</v>
      </c>
      <c r="U49" s="112" t="s">
        <v>1359</v>
      </c>
      <c r="V49" s="1223">
        <f t="shared" ref="V49:V55" si="4">$J49*S49*$C$8</f>
        <v>0</v>
      </c>
      <c r="W49" s="1223">
        <f t="shared" ref="W49:W55" si="5">SQRT(((K49*S49)^2)+((J49*T49)^2))*$C$8</f>
        <v>0</v>
      </c>
      <c r="X49" s="66" t="s">
        <v>9</v>
      </c>
      <c r="Y49" s="1221">
        <v>1.279E-6</v>
      </c>
      <c r="Z49" s="1221">
        <v>0</v>
      </c>
      <c r="AA49" s="112" t="s">
        <v>1360</v>
      </c>
      <c r="AB49" s="1224">
        <f t="shared" ref="AB49:AB55" si="6">$J49*Y49*$C$8</f>
        <v>0</v>
      </c>
      <c r="AC49" s="1224">
        <f t="shared" ref="AC49:AC55" si="7">SQRT(((K49*Y49)^2)+((J49*Z49)^2))*$C$8</f>
        <v>0</v>
      </c>
    </row>
    <row r="50" spans="1:29" s="66" customFormat="1" x14ac:dyDescent="0.25">
      <c r="A50" s="66" t="s">
        <v>967</v>
      </c>
      <c r="B50" s="66" t="s">
        <v>966</v>
      </c>
      <c r="C50" s="1231">
        <f>C21*(8/7)</f>
        <v>1.1428571428571428</v>
      </c>
      <c r="D50" s="1221">
        <v>0</v>
      </c>
      <c r="E50" s="847" t="s">
        <v>1361</v>
      </c>
      <c r="F50" s="66" t="s">
        <v>10</v>
      </c>
      <c r="G50" s="1221">
        <f>174.6+59.58</f>
        <v>234.18</v>
      </c>
      <c r="H50" s="1221">
        <v>0</v>
      </c>
      <c r="I50" s="112" t="s">
        <v>1362</v>
      </c>
      <c r="J50" s="1222">
        <f t="shared" si="0"/>
        <v>0</v>
      </c>
      <c r="K50" s="1222">
        <f t="shared" si="1"/>
        <v>0</v>
      </c>
      <c r="L50" s="66" t="s">
        <v>1357</v>
      </c>
      <c r="M50" s="1221">
        <f>2.8+8.1</f>
        <v>10.899999999999999</v>
      </c>
      <c r="N50" s="1221">
        <v>0</v>
      </c>
      <c r="O50" s="112" t="s">
        <v>1363</v>
      </c>
      <c r="P50" s="1222">
        <f t="shared" si="2"/>
        <v>0</v>
      </c>
      <c r="Q50" s="1222">
        <f t="shared" si="3"/>
        <v>0</v>
      </c>
      <c r="R50" s="66" t="s">
        <v>8</v>
      </c>
      <c r="S50" s="1221">
        <v>1.192E-4</v>
      </c>
      <c r="T50" s="1221">
        <v>0</v>
      </c>
      <c r="U50" s="112" t="s">
        <v>1359</v>
      </c>
      <c r="V50" s="1223">
        <f t="shared" si="4"/>
        <v>0</v>
      </c>
      <c r="W50" s="1223">
        <f t="shared" si="5"/>
        <v>0</v>
      </c>
      <c r="X50" s="66" t="s">
        <v>9</v>
      </c>
      <c r="Y50" s="1221">
        <v>1.279E-6</v>
      </c>
      <c r="Z50" s="1221">
        <v>0</v>
      </c>
      <c r="AA50" s="112" t="s">
        <v>1360</v>
      </c>
      <c r="AB50" s="1224">
        <f t="shared" si="6"/>
        <v>0</v>
      </c>
      <c r="AC50" s="1224">
        <f t="shared" si="7"/>
        <v>0</v>
      </c>
    </row>
    <row r="51" spans="1:29" s="66" customFormat="1" x14ac:dyDescent="0.25">
      <c r="A51" s="66" t="s">
        <v>1364</v>
      </c>
      <c r="B51" s="66" t="s">
        <v>966</v>
      </c>
      <c r="C51" s="1231">
        <f>C22*(8/9)</f>
        <v>0.88888888888888884</v>
      </c>
      <c r="D51" s="1221">
        <v>0</v>
      </c>
      <c r="E51" s="847" t="s">
        <v>1365</v>
      </c>
      <c r="F51" s="66" t="s">
        <v>10</v>
      </c>
      <c r="G51" s="1221">
        <f>124.85+59.58</f>
        <v>184.43</v>
      </c>
      <c r="H51" s="1221">
        <v>0</v>
      </c>
      <c r="I51" s="112" t="s">
        <v>1366</v>
      </c>
      <c r="J51" s="1222">
        <f t="shared" si="0"/>
        <v>0</v>
      </c>
      <c r="K51" s="1222">
        <f t="shared" si="1"/>
        <v>0</v>
      </c>
      <c r="L51" s="66" t="s">
        <v>1357</v>
      </c>
      <c r="M51" s="1221">
        <f>5.8+2.8</f>
        <v>8.6</v>
      </c>
      <c r="N51" s="1221">
        <v>0</v>
      </c>
      <c r="O51" s="112" t="s">
        <v>1367</v>
      </c>
      <c r="P51" s="1222">
        <f t="shared" si="2"/>
        <v>0</v>
      </c>
      <c r="Q51" s="1222">
        <f t="shared" si="3"/>
        <v>0</v>
      </c>
      <c r="R51" s="66" t="s">
        <v>8</v>
      </c>
      <c r="S51" s="1221">
        <v>1.192E-4</v>
      </c>
      <c r="T51" s="1221">
        <v>0</v>
      </c>
      <c r="U51" s="112" t="s">
        <v>1359</v>
      </c>
      <c r="V51" s="1223">
        <f t="shared" si="4"/>
        <v>0</v>
      </c>
      <c r="W51" s="1223">
        <f t="shared" si="5"/>
        <v>0</v>
      </c>
      <c r="X51" s="66" t="s">
        <v>9</v>
      </c>
      <c r="Y51" s="1221">
        <v>1.279E-6</v>
      </c>
      <c r="Z51" s="1221">
        <v>0</v>
      </c>
      <c r="AA51" s="112" t="s">
        <v>1360</v>
      </c>
      <c r="AB51" s="1224">
        <f t="shared" si="6"/>
        <v>0</v>
      </c>
      <c r="AC51" s="1224">
        <f t="shared" si="7"/>
        <v>0</v>
      </c>
    </row>
    <row r="52" spans="1:29" s="66" customFormat="1" x14ac:dyDescent="0.25">
      <c r="A52" s="66" t="s">
        <v>1368</v>
      </c>
      <c r="B52" s="66" t="s">
        <v>966</v>
      </c>
      <c r="C52" s="1231">
        <f>C23*(8/10)</f>
        <v>0.8</v>
      </c>
      <c r="D52" s="1221">
        <v>0</v>
      </c>
      <c r="E52" s="847" t="s">
        <v>1369</v>
      </c>
      <c r="F52" s="66" t="s">
        <v>10</v>
      </c>
      <c r="G52" s="1221">
        <f>123.91+41.18</f>
        <v>165.09</v>
      </c>
      <c r="H52" s="1221">
        <v>0</v>
      </c>
      <c r="I52" s="112" t="s">
        <v>1370</v>
      </c>
      <c r="J52" s="1222">
        <f t="shared" si="0"/>
        <v>0</v>
      </c>
      <c r="K52" s="1222">
        <f t="shared" si="1"/>
        <v>0</v>
      </c>
      <c r="L52" s="66" t="s">
        <v>1357</v>
      </c>
      <c r="M52" s="1221">
        <f>1.9+5.7</f>
        <v>7.6</v>
      </c>
      <c r="N52" s="1221">
        <v>0</v>
      </c>
      <c r="O52" s="112" t="s">
        <v>1371</v>
      </c>
      <c r="P52" s="1222">
        <f t="shared" si="2"/>
        <v>0</v>
      </c>
      <c r="Q52" s="1222">
        <f t="shared" si="3"/>
        <v>0</v>
      </c>
      <c r="R52" s="66" t="s">
        <v>8</v>
      </c>
      <c r="S52" s="1221">
        <v>1.192E-4</v>
      </c>
      <c r="T52" s="1221">
        <v>0</v>
      </c>
      <c r="U52" s="112" t="s">
        <v>1359</v>
      </c>
      <c r="V52" s="1223">
        <f t="shared" si="4"/>
        <v>0</v>
      </c>
      <c r="W52" s="1223">
        <f t="shared" si="5"/>
        <v>0</v>
      </c>
      <c r="X52" s="66" t="s">
        <v>9</v>
      </c>
      <c r="Y52" s="1221">
        <v>1.279E-6</v>
      </c>
      <c r="Z52" s="1221">
        <v>0</v>
      </c>
      <c r="AA52" s="112" t="s">
        <v>1360</v>
      </c>
      <c r="AB52" s="1224">
        <f t="shared" si="6"/>
        <v>0</v>
      </c>
      <c r="AC52" s="1224">
        <f t="shared" si="7"/>
        <v>0</v>
      </c>
    </row>
    <row r="53" spans="1:29" s="66" customFormat="1" x14ac:dyDescent="0.25">
      <c r="A53" s="66" t="s">
        <v>1372</v>
      </c>
      <c r="B53" s="66" t="s">
        <v>966</v>
      </c>
      <c r="C53" s="1231">
        <f>C24*(48/42.75)</f>
        <v>1.1228070175438596</v>
      </c>
      <c r="D53" s="1221">
        <v>0</v>
      </c>
      <c r="E53" s="847" t="s">
        <v>1373</v>
      </c>
      <c r="F53" s="66" t="s">
        <v>10</v>
      </c>
      <c r="G53" s="1221">
        <f>70.09+41.18</f>
        <v>111.27000000000001</v>
      </c>
      <c r="H53" s="1221">
        <v>0</v>
      </c>
      <c r="I53" s="112" t="s">
        <v>1374</v>
      </c>
      <c r="J53" s="1222">
        <f t="shared" si="0"/>
        <v>0</v>
      </c>
      <c r="K53" s="1222">
        <f t="shared" si="1"/>
        <v>0</v>
      </c>
      <c r="L53" s="66" t="s">
        <v>1357</v>
      </c>
      <c r="M53" s="1221">
        <f>1.9+3.2</f>
        <v>5.0999999999999996</v>
      </c>
      <c r="N53" s="1221">
        <v>0</v>
      </c>
      <c r="O53" s="112" t="s">
        <v>1375</v>
      </c>
      <c r="P53" s="1222">
        <f t="shared" si="2"/>
        <v>0</v>
      </c>
      <c r="Q53" s="1222">
        <f t="shared" si="3"/>
        <v>0</v>
      </c>
      <c r="R53" s="66" t="s">
        <v>8</v>
      </c>
      <c r="S53" s="1221">
        <v>1.192E-4</v>
      </c>
      <c r="T53" s="1221">
        <v>0</v>
      </c>
      <c r="U53" s="112" t="s">
        <v>1359</v>
      </c>
      <c r="V53" s="1223">
        <f t="shared" si="4"/>
        <v>0</v>
      </c>
      <c r="W53" s="1223">
        <f t="shared" si="5"/>
        <v>0</v>
      </c>
      <c r="X53" s="66" t="s">
        <v>9</v>
      </c>
      <c r="Y53" s="1221">
        <v>1.279E-6</v>
      </c>
      <c r="Z53" s="1221">
        <v>0</v>
      </c>
      <c r="AA53" s="112" t="s">
        <v>1360</v>
      </c>
      <c r="AB53" s="1224">
        <f t="shared" si="6"/>
        <v>0</v>
      </c>
      <c r="AC53" s="1224">
        <f t="shared" si="7"/>
        <v>0</v>
      </c>
    </row>
    <row r="54" spans="1:29" s="66" customFormat="1" x14ac:dyDescent="0.25">
      <c r="A54" s="66" t="s">
        <v>1376</v>
      </c>
      <c r="B54" s="66" t="s">
        <v>966</v>
      </c>
      <c r="C54" s="1231">
        <f>C25*(8/45)</f>
        <v>0.17777777777777778</v>
      </c>
      <c r="D54" s="1221">
        <v>0</v>
      </c>
      <c r="E54" s="1220" t="s">
        <v>1377</v>
      </c>
      <c r="F54" s="66" t="s">
        <v>10</v>
      </c>
      <c r="G54" s="1221">
        <f>51.69+41.18</f>
        <v>92.87</v>
      </c>
      <c r="H54" s="1221">
        <v>0</v>
      </c>
      <c r="I54" s="112" t="s">
        <v>1378</v>
      </c>
      <c r="J54" s="1222">
        <f t="shared" si="0"/>
        <v>0</v>
      </c>
      <c r="K54" s="1222">
        <f t="shared" si="1"/>
        <v>0</v>
      </c>
      <c r="L54" s="66" t="s">
        <v>1357</v>
      </c>
      <c r="M54" s="1221">
        <f>1.9+2.4</f>
        <v>4.3</v>
      </c>
      <c r="N54" s="1221">
        <v>0</v>
      </c>
      <c r="O54" s="112" t="s">
        <v>1379</v>
      </c>
      <c r="P54" s="1222">
        <f t="shared" si="2"/>
        <v>0</v>
      </c>
      <c r="Q54" s="1222">
        <f t="shared" si="3"/>
        <v>0</v>
      </c>
      <c r="R54" s="66" t="s">
        <v>8</v>
      </c>
      <c r="S54" s="1221">
        <v>1.192E-4</v>
      </c>
      <c r="T54" s="1221">
        <v>0</v>
      </c>
      <c r="U54" s="112" t="s">
        <v>1359</v>
      </c>
      <c r="V54" s="1223">
        <f t="shared" si="4"/>
        <v>0</v>
      </c>
      <c r="W54" s="1223">
        <f t="shared" si="5"/>
        <v>0</v>
      </c>
      <c r="X54" s="66" t="s">
        <v>9</v>
      </c>
      <c r="Y54" s="1221">
        <v>1.279E-6</v>
      </c>
      <c r="Z54" s="1221">
        <v>0</v>
      </c>
      <c r="AA54" s="112" t="s">
        <v>1360</v>
      </c>
      <c r="AB54" s="1224">
        <f t="shared" si="6"/>
        <v>0</v>
      </c>
      <c r="AC54" s="1224">
        <f t="shared" si="7"/>
        <v>0</v>
      </c>
    </row>
    <row r="55" spans="1:29" s="66" customFormat="1" x14ac:dyDescent="0.25">
      <c r="A55" s="1233" t="s">
        <v>1380</v>
      </c>
      <c r="B55" s="66" t="s">
        <v>966</v>
      </c>
      <c r="C55" s="1231">
        <f>C26*(8/45)</f>
        <v>0.17777777777777778</v>
      </c>
      <c r="D55" s="1221">
        <v>0</v>
      </c>
      <c r="E55" s="112" t="s">
        <v>1381</v>
      </c>
      <c r="F55" s="66" t="s">
        <v>10</v>
      </c>
      <c r="G55" s="1221">
        <f>324.16+41.18</f>
        <v>365.34000000000003</v>
      </c>
      <c r="H55" s="1221">
        <v>0</v>
      </c>
      <c r="I55" s="112" t="s">
        <v>1382</v>
      </c>
      <c r="J55" s="1222">
        <f t="shared" si="0"/>
        <v>0</v>
      </c>
      <c r="K55" s="1222">
        <f t="shared" si="1"/>
        <v>0</v>
      </c>
      <c r="L55" s="66" t="s">
        <v>1357</v>
      </c>
      <c r="M55" s="1221">
        <f>1.9+15</f>
        <v>16.899999999999999</v>
      </c>
      <c r="N55" s="1221">
        <v>0</v>
      </c>
      <c r="O55" s="112" t="s">
        <v>1383</v>
      </c>
      <c r="P55" s="1222">
        <f t="shared" si="2"/>
        <v>0</v>
      </c>
      <c r="Q55" s="1222">
        <f t="shared" si="3"/>
        <v>0</v>
      </c>
      <c r="R55" s="66" t="s">
        <v>8</v>
      </c>
      <c r="S55" s="1221">
        <v>1.192E-4</v>
      </c>
      <c r="T55" s="1221">
        <v>0</v>
      </c>
      <c r="U55" s="112" t="s">
        <v>1359</v>
      </c>
      <c r="V55" s="1223">
        <f t="shared" si="4"/>
        <v>0</v>
      </c>
      <c r="W55" s="1223">
        <f t="shared" si="5"/>
        <v>0</v>
      </c>
      <c r="X55" s="66" t="s">
        <v>9</v>
      </c>
      <c r="Y55" s="1221">
        <v>1.279E-6</v>
      </c>
      <c r="Z55" s="1221">
        <v>0</v>
      </c>
      <c r="AA55" s="112" t="s">
        <v>1360</v>
      </c>
      <c r="AB55" s="1224">
        <f t="shared" si="6"/>
        <v>0</v>
      </c>
      <c r="AC55" s="1224">
        <f t="shared" si="7"/>
        <v>0</v>
      </c>
    </row>
    <row r="56" spans="1:29" s="66" customFormat="1" x14ac:dyDescent="0.25">
      <c r="A56" s="843" t="s">
        <v>1582</v>
      </c>
      <c r="B56" s="66" t="s">
        <v>966</v>
      </c>
      <c r="C56" s="1231">
        <f>C27*(8/(16+20))*(168.03/58.13)</f>
        <v>0.6423533459487355</v>
      </c>
      <c r="D56" s="1221">
        <v>0</v>
      </c>
      <c r="E56" s="112" t="s">
        <v>1384</v>
      </c>
      <c r="F56" s="66" t="s">
        <v>10</v>
      </c>
      <c r="G56" s="1232">
        <f>221.77+221.77</f>
        <v>443.54</v>
      </c>
      <c r="H56" s="1232">
        <v>0</v>
      </c>
      <c r="I56" s="112" t="s">
        <v>1385</v>
      </c>
      <c r="J56" s="1222">
        <f t="shared" si="0"/>
        <v>0</v>
      </c>
      <c r="K56" s="1222">
        <f t="shared" si="1"/>
        <v>0</v>
      </c>
      <c r="L56" s="66" t="s">
        <v>1357</v>
      </c>
      <c r="M56" s="1221">
        <f>10.3+10.3</f>
        <v>20.6</v>
      </c>
      <c r="N56" s="1221">
        <v>0</v>
      </c>
      <c r="O56" s="112" t="s">
        <v>1386</v>
      </c>
      <c r="P56" s="1222">
        <f t="shared" si="2"/>
        <v>0</v>
      </c>
      <c r="Q56" s="1222">
        <f t="shared" si="3"/>
        <v>0</v>
      </c>
      <c r="R56" s="66" t="s">
        <v>8</v>
      </c>
      <c r="S56" s="1221">
        <v>1.192E-4</v>
      </c>
      <c r="T56" s="1221">
        <v>0</v>
      </c>
      <c r="U56" s="112" t="s">
        <v>1359</v>
      </c>
      <c r="V56" s="1223">
        <f>$C56*S56*$C$8</f>
        <v>0</v>
      </c>
      <c r="W56" s="1223">
        <f>SQRT(((D56*S56)^2)+((C56*T56)^2))*$C$8</f>
        <v>0</v>
      </c>
      <c r="X56" s="66" t="s">
        <v>9</v>
      </c>
      <c r="Y56" s="1221">
        <v>1.279E-6</v>
      </c>
      <c r="Z56" s="1221">
        <v>0</v>
      </c>
      <c r="AA56" s="112" t="s">
        <v>1360</v>
      </c>
      <c r="AB56" s="1224">
        <f>$C56*Y56*$C$8</f>
        <v>0</v>
      </c>
      <c r="AC56" s="1224">
        <f>SQRT(((D56*Y56)^2)+((C56*Z56)^2))*$C$8</f>
        <v>0</v>
      </c>
    </row>
    <row r="57" spans="1:29" s="115" customFormat="1" x14ac:dyDescent="0.25">
      <c r="C57" s="832"/>
      <c r="D57" s="111"/>
      <c r="E57" s="111"/>
      <c r="G57" s="1301"/>
      <c r="H57" s="1301"/>
      <c r="I57" s="111"/>
      <c r="J57" s="832"/>
      <c r="K57" s="832"/>
      <c r="M57" s="111"/>
      <c r="N57" s="111"/>
      <c r="O57" s="111"/>
      <c r="P57" s="832"/>
      <c r="Q57" s="832"/>
      <c r="S57" s="111"/>
      <c r="T57" s="111"/>
      <c r="U57" s="111"/>
      <c r="V57" s="848"/>
      <c r="W57" s="848"/>
      <c r="Y57" s="111"/>
      <c r="Z57" s="111"/>
      <c r="AA57" s="111"/>
      <c r="AB57" s="111"/>
      <c r="AC57" s="111"/>
    </row>
    <row r="58" spans="1:29" s="66" customFormat="1" x14ac:dyDescent="0.25">
      <c r="A58" s="830" t="s">
        <v>2</v>
      </c>
      <c r="B58" s="830"/>
      <c r="C58" s="831"/>
      <c r="D58" s="831"/>
      <c r="E58" s="831"/>
      <c r="F58" s="830"/>
      <c r="G58" s="831"/>
      <c r="H58" s="831"/>
      <c r="I58" s="831"/>
      <c r="J58" s="1227">
        <f>SUM(J49:J56)</f>
        <v>0</v>
      </c>
      <c r="K58" s="1227">
        <f>SQRT((K49^2)+(K50^2)+(K51^2)+(K52^2)+(K53^2)+(K54^2)+(K55^2)+(K56^2))</f>
        <v>0</v>
      </c>
      <c r="L58" s="830"/>
      <c r="M58" s="831"/>
      <c r="N58" s="831"/>
      <c r="O58" s="831"/>
      <c r="P58" s="1227">
        <f>SUM(P49:P56)</f>
        <v>0</v>
      </c>
      <c r="Q58" s="1227">
        <f>SQRT((Q49^2)+(Q50^2)+(Q51^2)+(Q52^2)+(Q53^2)+(Q54^2)+(Q55^2)+(Q56^2))</f>
        <v>0</v>
      </c>
      <c r="R58" s="830"/>
      <c r="S58" s="831"/>
      <c r="T58" s="831"/>
      <c r="U58" s="831"/>
      <c r="V58" s="1229">
        <f>SUM(V49:V56)</f>
        <v>0</v>
      </c>
      <c r="W58" s="1229">
        <f>SQRT((W49^2)+(W50^2)+(W51^2)+(W52^2)+(W53^2)+(W54^2)+(W55^2)+(W56^2))</f>
        <v>0</v>
      </c>
      <c r="X58" s="830"/>
      <c r="Y58" s="831"/>
      <c r="Z58" s="831"/>
      <c r="AA58" s="831"/>
      <c r="AB58" s="1230">
        <f>SUM(AB49:AB56)</f>
        <v>0</v>
      </c>
      <c r="AC58" s="1230">
        <f>SQRT((AC49^2)+(AC50^2)+(AC51^2)+(AC52^2)+(AC53^2)+(AC54^2)+(AC55^2)+(AC56^2))</f>
        <v>0</v>
      </c>
    </row>
    <row r="59" spans="1:29" s="66" customFormat="1" x14ac:dyDescent="0.25">
      <c r="A59" s="830"/>
      <c r="B59" s="830"/>
      <c r="C59" s="831"/>
      <c r="D59" s="831"/>
      <c r="E59" s="831"/>
      <c r="F59" s="830"/>
      <c r="G59" s="831"/>
      <c r="H59" s="831"/>
      <c r="I59" s="831"/>
      <c r="J59" s="837"/>
      <c r="K59" s="837"/>
      <c r="L59" s="830"/>
      <c r="M59" s="831"/>
      <c r="N59" s="831"/>
      <c r="O59" s="831"/>
      <c r="P59" s="833"/>
      <c r="Q59" s="833"/>
      <c r="R59" s="830"/>
      <c r="S59" s="831"/>
      <c r="T59" s="831"/>
      <c r="U59" s="831"/>
      <c r="V59" s="1234"/>
      <c r="W59" s="1234"/>
      <c r="X59" s="830"/>
      <c r="Y59" s="831"/>
      <c r="Z59" s="831"/>
      <c r="AA59" s="831"/>
      <c r="AB59" s="836"/>
      <c r="AC59" s="836"/>
    </row>
    <row r="60" spans="1:29" s="66" customFormat="1" x14ac:dyDescent="0.25">
      <c r="A60" s="66" t="s">
        <v>3</v>
      </c>
      <c r="C60" s="112"/>
      <c r="D60" s="112"/>
      <c r="E60" s="112"/>
      <c r="G60" s="112"/>
      <c r="H60" s="112"/>
      <c r="I60" s="112"/>
      <c r="J60" s="834"/>
      <c r="K60" s="834"/>
      <c r="M60" s="112"/>
      <c r="N60" s="112"/>
      <c r="O60" s="112"/>
      <c r="P60" s="834"/>
      <c r="Q60" s="834"/>
      <c r="S60" s="112"/>
      <c r="T60" s="112"/>
      <c r="U60" s="112"/>
      <c r="V60" s="839"/>
      <c r="W60" s="839"/>
      <c r="Y60" s="112"/>
      <c r="Z60" s="112"/>
      <c r="AA60" s="112"/>
      <c r="AB60" s="112"/>
      <c r="AC60" s="112"/>
    </row>
    <row r="61" spans="1:29" s="66" customFormat="1" x14ac:dyDescent="0.25">
      <c r="A61" s="66" t="s">
        <v>1354</v>
      </c>
      <c r="B61" s="66" t="s">
        <v>11</v>
      </c>
      <c r="C61" s="1221">
        <v>2.5</v>
      </c>
      <c r="D61" s="1221">
        <v>0</v>
      </c>
      <c r="E61" s="112" t="s">
        <v>1387</v>
      </c>
      <c r="G61" s="112"/>
      <c r="H61" s="112"/>
      <c r="I61" s="112"/>
      <c r="J61" s="1222">
        <f t="shared" ref="J61:J68" si="8">(C61/100)*J49</f>
        <v>0</v>
      </c>
      <c r="K61" s="1222">
        <f t="shared" ref="K61:K68" si="9">SQRT((((D61/100)*G49)^2)+(((C61/100)*H49)^2))</f>
        <v>0</v>
      </c>
      <c r="M61" s="112"/>
      <c r="N61" s="112"/>
      <c r="O61" s="112"/>
      <c r="P61" s="1222">
        <f t="shared" ref="P61:P68" si="10">(C61/100)*P49</f>
        <v>0</v>
      </c>
      <c r="Q61" s="1222">
        <f t="shared" ref="Q61:Q68" si="11">SQRT((((D61/100)*M49)^2)+(((C61/100)*N49)^2))</f>
        <v>0</v>
      </c>
      <c r="S61" s="112"/>
      <c r="T61" s="112"/>
      <c r="U61" s="112"/>
      <c r="V61" s="1223">
        <f t="shared" ref="V61:V68" si="12">(C61/100)*V49</f>
        <v>0</v>
      </c>
      <c r="W61" s="1223">
        <f t="shared" ref="W61:W68" si="13">SQRT((((D61/100)*S49)^2)+(((C61/100)*T49)^2))</f>
        <v>0</v>
      </c>
      <c r="Y61" s="112"/>
      <c r="Z61" s="112"/>
      <c r="AA61" s="112"/>
      <c r="AB61" s="1224">
        <f>($C61/100)*AB49</f>
        <v>0</v>
      </c>
      <c r="AC61" s="1224">
        <f>SQRT(((($D61/100)*Y49)^2)+((($C61/100)*Z49)^2))</f>
        <v>0</v>
      </c>
    </row>
    <row r="62" spans="1:29" s="66" customFormat="1" x14ac:dyDescent="0.25">
      <c r="A62" s="66" t="s">
        <v>967</v>
      </c>
      <c r="B62" s="66" t="s">
        <v>11</v>
      </c>
      <c r="C62" s="1221">
        <v>2.5</v>
      </c>
      <c r="D62" s="1221">
        <v>0</v>
      </c>
      <c r="E62" s="112" t="s">
        <v>1387</v>
      </c>
      <c r="G62" s="112"/>
      <c r="H62" s="112"/>
      <c r="I62" s="112"/>
      <c r="J62" s="1222">
        <f t="shared" si="8"/>
        <v>0</v>
      </c>
      <c r="K62" s="1222">
        <f t="shared" si="9"/>
        <v>0</v>
      </c>
      <c r="M62" s="112"/>
      <c r="N62" s="112"/>
      <c r="O62" s="112"/>
      <c r="P62" s="1222">
        <f t="shared" si="10"/>
        <v>0</v>
      </c>
      <c r="Q62" s="1222">
        <f t="shared" si="11"/>
        <v>0</v>
      </c>
      <c r="S62" s="112"/>
      <c r="T62" s="112"/>
      <c r="U62" s="112"/>
      <c r="V62" s="1223">
        <f t="shared" si="12"/>
        <v>0</v>
      </c>
      <c r="W62" s="1223">
        <f t="shared" si="13"/>
        <v>0</v>
      </c>
      <c r="Y62" s="112"/>
      <c r="Z62" s="112"/>
      <c r="AA62" s="112"/>
      <c r="AB62" s="1224">
        <f t="shared" ref="AB62:AB68" si="14">(C62/100)*AB50</f>
        <v>0</v>
      </c>
      <c r="AC62" s="1224">
        <f t="shared" ref="AC62:AC68" si="15">SQRT((((D62/100)*Y50)^2)+(((C62/100)*Z50)^2))</f>
        <v>0</v>
      </c>
    </row>
    <row r="63" spans="1:29" s="66" customFormat="1" x14ac:dyDescent="0.25">
      <c r="A63" s="66" t="s">
        <v>1364</v>
      </c>
      <c r="B63" s="66" t="s">
        <v>11</v>
      </c>
      <c r="C63" s="1221">
        <v>2.5</v>
      </c>
      <c r="D63" s="1221">
        <v>0</v>
      </c>
      <c r="E63" s="112" t="s">
        <v>1387</v>
      </c>
      <c r="G63" s="112"/>
      <c r="H63" s="112"/>
      <c r="I63" s="112"/>
      <c r="J63" s="1222">
        <f t="shared" si="8"/>
        <v>0</v>
      </c>
      <c r="K63" s="1222">
        <f t="shared" si="9"/>
        <v>0</v>
      </c>
      <c r="M63" s="112"/>
      <c r="N63" s="112"/>
      <c r="O63" s="112"/>
      <c r="P63" s="1222">
        <f t="shared" si="10"/>
        <v>0</v>
      </c>
      <c r="Q63" s="1222">
        <f t="shared" si="11"/>
        <v>0</v>
      </c>
      <c r="S63" s="112"/>
      <c r="T63" s="112"/>
      <c r="U63" s="112"/>
      <c r="V63" s="1223">
        <f t="shared" si="12"/>
        <v>0</v>
      </c>
      <c r="W63" s="1223">
        <f t="shared" si="13"/>
        <v>0</v>
      </c>
      <c r="Y63" s="112"/>
      <c r="Z63" s="112"/>
      <c r="AA63" s="112"/>
      <c r="AB63" s="1224">
        <f t="shared" si="14"/>
        <v>0</v>
      </c>
      <c r="AC63" s="1224">
        <f t="shared" si="15"/>
        <v>0</v>
      </c>
    </row>
    <row r="64" spans="1:29" s="66" customFormat="1" x14ac:dyDescent="0.25">
      <c r="A64" s="66" t="s">
        <v>1368</v>
      </c>
      <c r="B64" s="66" t="s">
        <v>11</v>
      </c>
      <c r="C64" s="1221">
        <v>2.5</v>
      </c>
      <c r="D64" s="1221">
        <v>0</v>
      </c>
      <c r="E64" s="112" t="s">
        <v>1387</v>
      </c>
      <c r="G64" s="112"/>
      <c r="H64" s="112"/>
      <c r="I64" s="112"/>
      <c r="J64" s="1222">
        <f t="shared" si="8"/>
        <v>0</v>
      </c>
      <c r="K64" s="1222">
        <f t="shared" si="9"/>
        <v>0</v>
      </c>
      <c r="M64" s="831"/>
      <c r="N64" s="831"/>
      <c r="O64" s="112"/>
      <c r="P64" s="1222">
        <f t="shared" si="10"/>
        <v>0</v>
      </c>
      <c r="Q64" s="1222">
        <f t="shared" si="11"/>
        <v>0</v>
      </c>
      <c r="S64" s="112"/>
      <c r="T64" s="112"/>
      <c r="U64" s="112"/>
      <c r="V64" s="1223">
        <f t="shared" si="12"/>
        <v>0</v>
      </c>
      <c r="W64" s="1223">
        <f t="shared" si="13"/>
        <v>0</v>
      </c>
      <c r="Y64" s="112"/>
      <c r="Z64" s="112"/>
      <c r="AA64" s="112"/>
      <c r="AB64" s="1224">
        <f t="shared" si="14"/>
        <v>0</v>
      </c>
      <c r="AC64" s="1224">
        <f t="shared" si="15"/>
        <v>0</v>
      </c>
    </row>
    <row r="65" spans="1:29" s="66" customFormat="1" x14ac:dyDescent="0.25">
      <c r="A65" s="66" t="s">
        <v>1388</v>
      </c>
      <c r="B65" s="66" t="s">
        <v>11</v>
      </c>
      <c r="C65" s="1221">
        <v>2.5</v>
      </c>
      <c r="D65" s="1221">
        <v>0</v>
      </c>
      <c r="E65" s="112" t="s">
        <v>1387</v>
      </c>
      <c r="G65" s="112"/>
      <c r="H65" s="112"/>
      <c r="I65" s="112"/>
      <c r="J65" s="1222">
        <f t="shared" si="8"/>
        <v>0</v>
      </c>
      <c r="K65" s="1222">
        <f t="shared" si="9"/>
        <v>0</v>
      </c>
      <c r="M65" s="831"/>
      <c r="N65" s="831"/>
      <c r="O65" s="112"/>
      <c r="P65" s="1222">
        <f t="shared" si="10"/>
        <v>0</v>
      </c>
      <c r="Q65" s="1222">
        <f t="shared" si="11"/>
        <v>0</v>
      </c>
      <c r="S65" s="112"/>
      <c r="T65" s="112"/>
      <c r="U65" s="112"/>
      <c r="V65" s="1223">
        <f t="shared" si="12"/>
        <v>0</v>
      </c>
      <c r="W65" s="1223">
        <f t="shared" si="13"/>
        <v>0</v>
      </c>
      <c r="Y65" s="112"/>
      <c r="Z65" s="112"/>
      <c r="AA65" s="112"/>
      <c r="AB65" s="1224">
        <f t="shared" si="14"/>
        <v>0</v>
      </c>
      <c r="AC65" s="1224">
        <f t="shared" si="15"/>
        <v>0</v>
      </c>
    </row>
    <row r="66" spans="1:29" s="66" customFormat="1" x14ac:dyDescent="0.25">
      <c r="A66" s="66" t="s">
        <v>1376</v>
      </c>
      <c r="B66" s="66" t="s">
        <v>11</v>
      </c>
      <c r="C66" s="1221">
        <v>2.5</v>
      </c>
      <c r="D66" s="1221">
        <v>0</v>
      </c>
      <c r="E66" s="112" t="s">
        <v>1387</v>
      </c>
      <c r="G66" s="112"/>
      <c r="H66" s="112"/>
      <c r="I66" s="112"/>
      <c r="J66" s="1222">
        <f t="shared" si="8"/>
        <v>0</v>
      </c>
      <c r="K66" s="1222">
        <f t="shared" si="9"/>
        <v>0</v>
      </c>
      <c r="M66" s="112"/>
      <c r="N66" s="112"/>
      <c r="O66" s="112"/>
      <c r="P66" s="1222">
        <f t="shared" si="10"/>
        <v>0</v>
      </c>
      <c r="Q66" s="1222">
        <f t="shared" si="11"/>
        <v>0</v>
      </c>
      <c r="S66" s="112"/>
      <c r="T66" s="112"/>
      <c r="U66" s="112"/>
      <c r="V66" s="1223">
        <f t="shared" si="12"/>
        <v>0</v>
      </c>
      <c r="W66" s="1223">
        <f t="shared" si="13"/>
        <v>0</v>
      </c>
      <c r="Y66" s="112"/>
      <c r="Z66" s="112"/>
      <c r="AA66" s="112"/>
      <c r="AB66" s="1224">
        <f t="shared" si="14"/>
        <v>0</v>
      </c>
      <c r="AC66" s="1224">
        <f t="shared" si="15"/>
        <v>0</v>
      </c>
    </row>
    <row r="67" spans="1:29" s="66" customFormat="1" x14ac:dyDescent="0.25">
      <c r="A67" s="66" t="s">
        <v>1380</v>
      </c>
      <c r="B67" s="66" t="s">
        <v>11</v>
      </c>
      <c r="C67" s="1221">
        <v>2.5</v>
      </c>
      <c r="D67" s="1221">
        <v>0</v>
      </c>
      <c r="E67" s="112" t="s">
        <v>1387</v>
      </c>
      <c r="G67" s="112"/>
      <c r="H67" s="112"/>
      <c r="I67" s="112"/>
      <c r="J67" s="1222">
        <f t="shared" si="8"/>
        <v>0</v>
      </c>
      <c r="K67" s="1222">
        <f t="shared" si="9"/>
        <v>0</v>
      </c>
      <c r="M67" s="112"/>
      <c r="N67" s="112"/>
      <c r="O67" s="112"/>
      <c r="P67" s="1222">
        <f t="shared" si="10"/>
        <v>0</v>
      </c>
      <c r="Q67" s="1222">
        <f t="shared" si="11"/>
        <v>0</v>
      </c>
      <c r="S67" s="112"/>
      <c r="T67" s="112"/>
      <c r="U67" s="112"/>
      <c r="V67" s="1223">
        <f t="shared" si="12"/>
        <v>0</v>
      </c>
      <c r="W67" s="1223">
        <f t="shared" si="13"/>
        <v>0</v>
      </c>
      <c r="Y67" s="112"/>
      <c r="Z67" s="112"/>
      <c r="AA67" s="112"/>
      <c r="AB67" s="1224">
        <f t="shared" si="14"/>
        <v>0</v>
      </c>
      <c r="AC67" s="1224">
        <f t="shared" si="15"/>
        <v>0</v>
      </c>
    </row>
    <row r="68" spans="1:29" s="66" customFormat="1" x14ac:dyDescent="0.25">
      <c r="A68" s="66" t="s">
        <v>1582</v>
      </c>
      <c r="B68" s="66" t="s">
        <v>11</v>
      </c>
      <c r="C68" s="1221">
        <v>2.5</v>
      </c>
      <c r="D68" s="1221">
        <v>0</v>
      </c>
      <c r="E68" s="112" t="s">
        <v>1387</v>
      </c>
      <c r="G68" s="112"/>
      <c r="H68" s="112"/>
      <c r="I68" s="112"/>
      <c r="J68" s="1222">
        <f t="shared" si="8"/>
        <v>0</v>
      </c>
      <c r="K68" s="1222">
        <f t="shared" si="9"/>
        <v>0</v>
      </c>
      <c r="M68" s="112"/>
      <c r="N68" s="112"/>
      <c r="O68" s="112"/>
      <c r="P68" s="1222">
        <f t="shared" si="10"/>
        <v>0</v>
      </c>
      <c r="Q68" s="1222">
        <f t="shared" si="11"/>
        <v>0</v>
      </c>
      <c r="S68" s="112"/>
      <c r="T68" s="112"/>
      <c r="U68" s="112"/>
      <c r="V68" s="1223">
        <f t="shared" si="12"/>
        <v>0</v>
      </c>
      <c r="W68" s="1223">
        <f t="shared" si="13"/>
        <v>0</v>
      </c>
      <c r="Y68" s="112"/>
      <c r="Z68" s="112"/>
      <c r="AA68" s="112"/>
      <c r="AB68" s="1224">
        <f t="shared" si="14"/>
        <v>0</v>
      </c>
      <c r="AC68" s="1224">
        <f t="shared" si="15"/>
        <v>0</v>
      </c>
    </row>
    <row r="69" spans="1:29" s="115" customFormat="1" x14ac:dyDescent="0.25">
      <c r="C69" s="111"/>
      <c r="D69" s="111"/>
      <c r="E69" s="111"/>
      <c r="G69" s="111"/>
      <c r="H69" s="111"/>
      <c r="I69" s="111"/>
      <c r="J69" s="832"/>
      <c r="K69" s="832"/>
      <c r="M69" s="111"/>
      <c r="N69" s="111"/>
      <c r="O69" s="111"/>
      <c r="P69" s="832"/>
      <c r="Q69" s="832"/>
      <c r="S69" s="111"/>
      <c r="T69" s="111"/>
      <c r="U69" s="111"/>
      <c r="V69" s="848"/>
      <c r="W69" s="848"/>
      <c r="Y69" s="111"/>
      <c r="Z69" s="111"/>
      <c r="AA69" s="111"/>
      <c r="AB69" s="111"/>
      <c r="AC69" s="111"/>
    </row>
    <row r="70" spans="1:29" s="66" customFormat="1" x14ac:dyDescent="0.25">
      <c r="A70" s="830" t="s">
        <v>4</v>
      </c>
      <c r="B70" s="830"/>
      <c r="C70" s="831"/>
      <c r="D70" s="831"/>
      <c r="E70" s="831"/>
      <c r="F70" s="830"/>
      <c r="G70" s="831"/>
      <c r="H70" s="831"/>
      <c r="I70" s="831"/>
      <c r="J70" s="1227">
        <f>SUM(J61:J68)</f>
        <v>0</v>
      </c>
      <c r="K70" s="1227">
        <f>SQRT((K61^2)+(K62^2)+(K63^2)+(K64^2)+(K65^2)+(K66^2)+(K67^2)+(K68^2))</f>
        <v>0</v>
      </c>
      <c r="L70" s="830"/>
      <c r="M70" s="831"/>
      <c r="N70" s="831"/>
      <c r="O70" s="831"/>
      <c r="P70" s="1227">
        <f>SUM(P61:P68)</f>
        <v>0</v>
      </c>
      <c r="Q70" s="1227">
        <f>SQRT((Q61^2)+(Q62^2)+(Q63^2)+(Q64^2)+(Q65^2)+(Q66^2)+(Q67^2)+(Q68^2))</f>
        <v>0</v>
      </c>
      <c r="R70" s="830"/>
      <c r="S70" s="831"/>
      <c r="T70" s="831"/>
      <c r="U70" s="831"/>
      <c r="V70" s="1229">
        <f>SUM(V61:V68)</f>
        <v>0</v>
      </c>
      <c r="W70" s="1229">
        <f>SQRT((W61^2)+(W62^2)+(W63^2)+(W64^2)+(W65^2)+(W66^2)+(W67^2)+(W68^2))</f>
        <v>0</v>
      </c>
      <c r="X70" s="830"/>
      <c r="Y70" s="831"/>
      <c r="Z70" s="831"/>
      <c r="AA70" s="831"/>
      <c r="AB70" s="1230">
        <f>SUM(AB61:AB68)</f>
        <v>0</v>
      </c>
      <c r="AC70" s="1230">
        <f>SQRT((AC61^2)+(AC62^2)+(AC63^2)+(AC64^2)+(AC65^2)+(AC66^2)+(AC67^2)+(AC68^2))</f>
        <v>0</v>
      </c>
    </row>
    <row r="71" spans="1:29" s="66" customFormat="1" x14ac:dyDescent="0.25">
      <c r="A71" s="830"/>
      <c r="B71" s="830"/>
      <c r="C71" s="831"/>
      <c r="D71" s="831"/>
      <c r="E71" s="831"/>
      <c r="F71" s="830"/>
      <c r="G71" s="831"/>
      <c r="H71" s="831"/>
      <c r="I71" s="831"/>
      <c r="J71" s="836"/>
      <c r="K71" s="836"/>
      <c r="L71" s="830"/>
      <c r="M71" s="831"/>
      <c r="N71" s="831"/>
      <c r="O71" s="831"/>
      <c r="P71" s="833"/>
      <c r="Q71" s="833"/>
      <c r="R71" s="830"/>
      <c r="S71" s="831"/>
      <c r="T71" s="831"/>
      <c r="U71" s="831"/>
      <c r="V71" s="1235"/>
      <c r="W71" s="1235"/>
      <c r="X71" s="830"/>
      <c r="Y71" s="831"/>
      <c r="Z71" s="831"/>
      <c r="AA71" s="831"/>
      <c r="AB71" s="831"/>
      <c r="AC71" s="831"/>
    </row>
    <row r="72" spans="1:29" s="66" customFormat="1" x14ac:dyDescent="0.25">
      <c r="A72" s="66" t="s">
        <v>1389</v>
      </c>
      <c r="B72" s="66" t="s">
        <v>14</v>
      </c>
      <c r="C72" s="1236">
        <f>$C$9*$C$10</f>
        <v>38.270000000000003</v>
      </c>
      <c r="D72" s="1221">
        <v>0</v>
      </c>
      <c r="E72" s="112" t="s">
        <v>1390</v>
      </c>
      <c r="F72" s="66" t="s">
        <v>15</v>
      </c>
      <c r="G72" s="1221">
        <v>4.21</v>
      </c>
      <c r="H72" s="1221">
        <v>0</v>
      </c>
      <c r="I72" s="112" t="s">
        <v>1391</v>
      </c>
      <c r="J72" s="1222">
        <f t="shared" ref="J72:J78" si="16">C72*G72</f>
        <v>161.11670000000001</v>
      </c>
      <c r="K72" s="1222">
        <f t="shared" ref="K72:K78" si="17">SQRT(((D72*G72)^2)+((C72*H72)^2))</f>
        <v>0</v>
      </c>
      <c r="L72" s="66" t="s">
        <v>16</v>
      </c>
      <c r="M72" s="1231">
        <f>($G72/1.073)*0.077</f>
        <v>0.30211556383970178</v>
      </c>
      <c r="N72" s="1231">
        <v>0</v>
      </c>
      <c r="O72" s="847" t="s">
        <v>1697</v>
      </c>
      <c r="P72" s="1222">
        <f t="shared" ref="P72:P78" si="18">C72*M72</f>
        <v>11.561962628145388</v>
      </c>
      <c r="Q72" s="1222">
        <f t="shared" ref="Q72:Q78" si="19">SQRT(((D72*M72)^2)+((C72*N72)^2))</f>
        <v>0</v>
      </c>
      <c r="R72" s="66" t="s">
        <v>1392</v>
      </c>
      <c r="S72" s="1237">
        <f>($G72/1.073)*0.000016</f>
        <v>6.2777260018639323E-5</v>
      </c>
      <c r="T72" s="1231">
        <v>0</v>
      </c>
      <c r="U72" s="847" t="s">
        <v>1703</v>
      </c>
      <c r="V72" s="1223">
        <f t="shared" ref="V72:V78" si="20">C72*S72</f>
        <v>2.402485740913327E-3</v>
      </c>
      <c r="W72" s="1223">
        <f t="shared" ref="W72:W78" si="21">SQRT(((D72*S72)^2)+((C72*T72)^2))</f>
        <v>0</v>
      </c>
      <c r="X72" s="66" t="s">
        <v>1393</v>
      </c>
      <c r="Y72" s="1237">
        <f>($G72/1.073)*0.0000208</f>
        <v>8.161043802423113E-5</v>
      </c>
      <c r="Z72" s="1231">
        <v>0</v>
      </c>
      <c r="AA72" s="847" t="s">
        <v>1702</v>
      </c>
      <c r="AB72" s="1224">
        <f t="shared" ref="AB72:AB77" si="22">C72*Y72</f>
        <v>3.1232314631873255E-3</v>
      </c>
      <c r="AC72" s="1224">
        <f t="shared" ref="AC72:AC77" si="23">SQRT(((D72*Y72)^2)+((C72*Z72)^2))</f>
        <v>0</v>
      </c>
    </row>
    <row r="73" spans="1:29" s="66" customFormat="1" x14ac:dyDescent="0.25">
      <c r="A73" s="66" t="s">
        <v>1394</v>
      </c>
      <c r="B73" s="66" t="s">
        <v>1395</v>
      </c>
      <c r="C73" s="1236">
        <f>C32</f>
        <v>0</v>
      </c>
      <c r="D73" s="1221">
        <v>0</v>
      </c>
      <c r="E73" s="112" t="s">
        <v>1396</v>
      </c>
      <c r="F73" s="66" t="s">
        <v>15</v>
      </c>
      <c r="G73" s="1221">
        <v>0.05</v>
      </c>
      <c r="H73" s="1221">
        <v>0.01</v>
      </c>
      <c r="I73" s="112" t="s">
        <v>1397</v>
      </c>
      <c r="J73" s="1222">
        <f>C73*G73</f>
        <v>0</v>
      </c>
      <c r="K73" s="1222">
        <f t="shared" si="17"/>
        <v>0</v>
      </c>
      <c r="L73" s="66" t="s">
        <v>1398</v>
      </c>
      <c r="M73" s="1231">
        <v>3.5999999999999999E-3</v>
      </c>
      <c r="N73" s="1231">
        <v>4.0000000000000002E-4</v>
      </c>
      <c r="O73" s="847" t="s">
        <v>1399</v>
      </c>
      <c r="P73" s="1222">
        <f t="shared" si="18"/>
        <v>0</v>
      </c>
      <c r="Q73" s="1222">
        <f t="shared" si="19"/>
        <v>0</v>
      </c>
      <c r="R73" s="66" t="s">
        <v>1392</v>
      </c>
      <c r="S73" s="1237">
        <v>9.4E-7</v>
      </c>
      <c r="T73" s="1231">
        <v>8.9999999999999999E-8</v>
      </c>
      <c r="U73" s="847" t="s">
        <v>1400</v>
      </c>
      <c r="V73" s="1223">
        <f t="shared" si="20"/>
        <v>0</v>
      </c>
      <c r="W73" s="1223">
        <f t="shared" si="21"/>
        <v>0</v>
      </c>
      <c r="X73" s="66" t="s">
        <v>1393</v>
      </c>
      <c r="Y73" s="1237">
        <v>9.5000000000000001E-7</v>
      </c>
      <c r="Z73" s="1231">
        <v>1.1000000000000001E-7</v>
      </c>
      <c r="AA73" s="847" t="s">
        <v>1401</v>
      </c>
      <c r="AB73" s="1224">
        <f t="shared" si="22"/>
        <v>0</v>
      </c>
      <c r="AC73" s="1224">
        <f t="shared" si="23"/>
        <v>0</v>
      </c>
    </row>
    <row r="74" spans="1:29" s="66" customFormat="1" x14ac:dyDescent="0.25">
      <c r="A74" s="66" t="s">
        <v>968</v>
      </c>
      <c r="B74" s="66" t="s">
        <v>13</v>
      </c>
      <c r="C74" s="1236">
        <f>C11</f>
        <v>135</v>
      </c>
      <c r="D74" s="1221">
        <v>0</v>
      </c>
      <c r="E74" s="112" t="s">
        <v>1402</v>
      </c>
      <c r="F74" s="66" t="s">
        <v>15</v>
      </c>
      <c r="G74" s="1238">
        <f>NFertiliser!C31</f>
        <v>40</v>
      </c>
      <c r="H74" s="1236">
        <f>NFertiliser!D31</f>
        <v>6</v>
      </c>
      <c r="I74" s="112" t="s">
        <v>1403</v>
      </c>
      <c r="J74" s="1222">
        <f>C74*G74</f>
        <v>5400</v>
      </c>
      <c r="K74" s="1222">
        <f t="shared" si="17"/>
        <v>810</v>
      </c>
      <c r="L74" s="66" t="s">
        <v>82</v>
      </c>
      <c r="M74" s="1238">
        <f>NFertiliser!G31</f>
        <v>2.343</v>
      </c>
      <c r="N74" s="1238">
        <f>NFertiliser!H31</f>
        <v>0.35144999999999998</v>
      </c>
      <c r="O74" s="847" t="s">
        <v>1404</v>
      </c>
      <c r="P74" s="1222">
        <f t="shared" si="18"/>
        <v>316.30500000000001</v>
      </c>
      <c r="Q74" s="1222">
        <f t="shared" si="19"/>
        <v>47.445749999999997</v>
      </c>
      <c r="R74" s="66" t="s">
        <v>1392</v>
      </c>
      <c r="S74" s="1239">
        <f>NFertiliser!K31</f>
        <v>6.2100000000000002E-3</v>
      </c>
      <c r="T74" s="1236">
        <f>NFertiliser!L31</f>
        <v>9.3150000000000004E-4</v>
      </c>
      <c r="U74" s="847" t="s">
        <v>1405</v>
      </c>
      <c r="V74" s="1223">
        <f t="shared" si="20"/>
        <v>0.83835000000000004</v>
      </c>
      <c r="W74" s="1223">
        <f t="shared" si="21"/>
        <v>0.12575250000000002</v>
      </c>
      <c r="X74" s="66" t="s">
        <v>1393</v>
      </c>
      <c r="Y74" s="1239">
        <f>NFertiliser!O31</f>
        <v>1.2500000000000001E-2</v>
      </c>
      <c r="Z74" s="1236">
        <f>NFertiliser!P31</f>
        <v>1.8749999999999999E-3</v>
      </c>
      <c r="AA74" s="847" t="s">
        <v>1406</v>
      </c>
      <c r="AB74" s="1224">
        <f t="shared" si="22"/>
        <v>1.6875</v>
      </c>
      <c r="AC74" s="1224">
        <f t="shared" si="23"/>
        <v>0.25312499999999999</v>
      </c>
    </row>
    <row r="75" spans="1:29" s="66" customFormat="1" x14ac:dyDescent="0.25">
      <c r="A75" s="66" t="s">
        <v>969</v>
      </c>
      <c r="B75" s="66" t="s">
        <v>970</v>
      </c>
      <c r="C75" s="1236">
        <f>C35</f>
        <v>95</v>
      </c>
      <c r="D75" s="1221">
        <v>0</v>
      </c>
      <c r="E75" s="112" t="s">
        <v>1407</v>
      </c>
      <c r="F75" s="66" t="s">
        <v>15</v>
      </c>
      <c r="G75" s="1238">
        <f>PFertiliser!C26</f>
        <v>13.3125</v>
      </c>
      <c r="H75" s="1238">
        <f>PFertiliser!D26</f>
        <v>1.996875</v>
      </c>
      <c r="I75" s="112" t="s">
        <v>1408</v>
      </c>
      <c r="J75" s="1222">
        <f t="shared" si="16"/>
        <v>1264.6875</v>
      </c>
      <c r="K75" s="1222">
        <f t="shared" si="17"/>
        <v>189.703125</v>
      </c>
      <c r="L75" s="66" t="s">
        <v>83</v>
      </c>
      <c r="M75" s="1238">
        <f>PFertiliser!G26</f>
        <v>0.70830000000000004</v>
      </c>
      <c r="N75" s="1238">
        <f>PFertiliser!H26</f>
        <v>0.10624500000000001</v>
      </c>
      <c r="O75" s="847" t="s">
        <v>1409</v>
      </c>
      <c r="P75" s="1222">
        <f t="shared" si="18"/>
        <v>67.288499999999999</v>
      </c>
      <c r="Q75" s="1222">
        <f t="shared" si="19"/>
        <v>10.093275</v>
      </c>
      <c r="R75" s="66" t="s">
        <v>1392</v>
      </c>
      <c r="S75" s="1239">
        <f>PFertiliser!K26</f>
        <v>9.0600000000000001E-4</v>
      </c>
      <c r="T75" s="1236">
        <f>PFertiliser!L26</f>
        <v>1.359E-4</v>
      </c>
      <c r="U75" s="847" t="s">
        <v>1410</v>
      </c>
      <c r="V75" s="1223">
        <f t="shared" si="20"/>
        <v>8.6070000000000008E-2</v>
      </c>
      <c r="W75" s="1223">
        <f t="shared" si="21"/>
        <v>1.29105E-2</v>
      </c>
      <c r="X75" s="66" t="s">
        <v>1393</v>
      </c>
      <c r="Y75" s="1239">
        <f>PFertiliser!O26</f>
        <v>0</v>
      </c>
      <c r="Z75" s="1236">
        <f>PFertiliser!P26</f>
        <v>0</v>
      </c>
      <c r="AA75" s="847" t="s">
        <v>1411</v>
      </c>
      <c r="AB75" s="1224">
        <f t="shared" si="22"/>
        <v>0</v>
      </c>
      <c r="AC75" s="1224">
        <f t="shared" si="23"/>
        <v>0</v>
      </c>
    </row>
    <row r="76" spans="1:29" s="66" customFormat="1" x14ac:dyDescent="0.25">
      <c r="A76" s="66" t="s">
        <v>971</v>
      </c>
      <c r="B76" s="66" t="s">
        <v>972</v>
      </c>
      <c r="C76" s="1236">
        <f>C36</f>
        <v>212.5</v>
      </c>
      <c r="D76" s="1221">
        <v>0</v>
      </c>
      <c r="E76" s="112" t="s">
        <v>1412</v>
      </c>
      <c r="F76" s="66" t="s">
        <v>15</v>
      </c>
      <c r="G76" s="1238">
        <f>KFertiliser!C17</f>
        <v>9.6790000000000003</v>
      </c>
      <c r="H76" s="1238">
        <f>KFertiliser!D17</f>
        <v>1.4518500000000001</v>
      </c>
      <c r="I76" s="112" t="s">
        <v>1413</v>
      </c>
      <c r="J76" s="1222">
        <f t="shared" si="16"/>
        <v>2056.7874999999999</v>
      </c>
      <c r="K76" s="1222">
        <f t="shared" si="17"/>
        <v>308.518125</v>
      </c>
      <c r="L76" s="66" t="s">
        <v>1414</v>
      </c>
      <c r="M76" s="1238">
        <f>KFertiliser!G17</f>
        <v>0.5363</v>
      </c>
      <c r="N76" s="1238">
        <f>KFertiliser!H17</f>
        <v>8.0445000000000003E-2</v>
      </c>
      <c r="O76" s="847" t="s">
        <v>1415</v>
      </c>
      <c r="P76" s="1222">
        <f t="shared" si="18"/>
        <v>113.96375</v>
      </c>
      <c r="Q76" s="1222">
        <f t="shared" si="19"/>
        <v>17.094562500000002</v>
      </c>
      <c r="R76" s="66" t="s">
        <v>1392</v>
      </c>
      <c r="S76" s="1239">
        <f>KFertiliser!K17</f>
        <v>1.5709000000000001E-3</v>
      </c>
      <c r="T76" s="1236">
        <f>KFertiliser!L17</f>
        <v>2.3563499999999999E-4</v>
      </c>
      <c r="U76" s="847" t="s">
        <v>1416</v>
      </c>
      <c r="V76" s="1223">
        <f t="shared" si="20"/>
        <v>0.33381625000000004</v>
      </c>
      <c r="W76" s="1223">
        <f t="shared" si="21"/>
        <v>5.0072437499999997E-2</v>
      </c>
      <c r="X76" s="66" t="s">
        <v>1393</v>
      </c>
      <c r="Y76" s="1239">
        <f>KFertiliser!O17</f>
        <v>1.2300000000000001E-5</v>
      </c>
      <c r="Z76" s="1236">
        <f>KFertiliser!P17</f>
        <v>1.8450000000000001E-6</v>
      </c>
      <c r="AA76" s="847" t="s">
        <v>1417</v>
      </c>
      <c r="AB76" s="1224">
        <f t="shared" si="22"/>
        <v>2.6137500000000002E-3</v>
      </c>
      <c r="AC76" s="1224">
        <f t="shared" si="23"/>
        <v>3.9206250000000005E-4</v>
      </c>
    </row>
    <row r="77" spans="1:29" s="66" customFormat="1" x14ac:dyDescent="0.25">
      <c r="A77" s="66" t="s">
        <v>1418</v>
      </c>
      <c r="B77" s="66" t="s">
        <v>14</v>
      </c>
      <c r="C77" s="1236">
        <v>0.56999999999999995</v>
      </c>
      <c r="D77" s="1221">
        <v>0</v>
      </c>
      <c r="E77" s="112" t="s">
        <v>1419</v>
      </c>
      <c r="F77" s="66" t="s">
        <v>15</v>
      </c>
      <c r="G77" s="1238">
        <f>CropProtectChemicals!C16</f>
        <v>268.39980000000003</v>
      </c>
      <c r="H77" s="1240">
        <f>CropProtectChemicals!D16</f>
        <v>40.259970000000003</v>
      </c>
      <c r="I77" s="112" t="s">
        <v>1420</v>
      </c>
      <c r="J77" s="1222">
        <f t="shared" si="16"/>
        <v>152.987886</v>
      </c>
      <c r="K77" s="1222">
        <f t="shared" si="17"/>
        <v>22.948182899999999</v>
      </c>
      <c r="L77" s="66" t="s">
        <v>16</v>
      </c>
      <c r="M77" s="1238">
        <f>CropProtectChemicals!G16</f>
        <v>9.8864999999999998</v>
      </c>
      <c r="N77" s="1238">
        <f>CropProtectChemicals!H16</f>
        <v>1.4829749999999999</v>
      </c>
      <c r="O77" s="847" t="s">
        <v>1421</v>
      </c>
      <c r="P77" s="1222">
        <f t="shared" si="18"/>
        <v>5.6353049999999998</v>
      </c>
      <c r="Q77" s="1222">
        <f t="shared" si="19"/>
        <v>0.8452957499999999</v>
      </c>
      <c r="R77" s="66" t="s">
        <v>1392</v>
      </c>
      <c r="S77" s="1239">
        <f>CropProtectChemicals!K16</f>
        <v>2.55271E-2</v>
      </c>
      <c r="T77" s="1236">
        <f>CropProtectChemicals!L16</f>
        <v>3.829065E-3</v>
      </c>
      <c r="U77" s="847" t="s">
        <v>1422</v>
      </c>
      <c r="V77" s="1223">
        <f t="shared" si="20"/>
        <v>1.4550446999999999E-2</v>
      </c>
      <c r="W77" s="1223">
        <f t="shared" si="21"/>
        <v>2.1825670499999996E-3</v>
      </c>
      <c r="X77" s="66" t="s">
        <v>1393</v>
      </c>
      <c r="Y77" s="1239">
        <f>CropProtectChemicals!O16</f>
        <v>1.6814E-3</v>
      </c>
      <c r="Z77" s="1236">
        <f>CropProtectChemicals!P16</f>
        <v>2.5221E-4</v>
      </c>
      <c r="AA77" s="847" t="s">
        <v>1423</v>
      </c>
      <c r="AB77" s="1224">
        <f t="shared" si="22"/>
        <v>9.5839799999999995E-4</v>
      </c>
      <c r="AC77" s="1224">
        <f t="shared" si="23"/>
        <v>1.437597E-4</v>
      </c>
    </row>
    <row r="78" spans="1:29" s="66" customFormat="1" ht="15" customHeight="1" x14ac:dyDescent="0.25">
      <c r="A78" s="66" t="s">
        <v>1424</v>
      </c>
      <c r="B78" s="66" t="s">
        <v>1349</v>
      </c>
      <c r="C78" s="1236">
        <f>C38</f>
        <v>0</v>
      </c>
      <c r="D78" s="1221">
        <v>0</v>
      </c>
      <c r="E78" s="112"/>
      <c r="F78" s="66" t="s">
        <v>1425</v>
      </c>
      <c r="G78" s="1241">
        <f>Lime!C19</f>
        <v>1.1060000000000001</v>
      </c>
      <c r="H78" s="1241">
        <f>Lime!D19</f>
        <v>0.16590000000000002</v>
      </c>
      <c r="I78" s="112" t="s">
        <v>1426</v>
      </c>
      <c r="J78" s="1242">
        <f t="shared" si="16"/>
        <v>0</v>
      </c>
      <c r="K78" s="1242">
        <f t="shared" si="17"/>
        <v>0</v>
      </c>
      <c r="L78" s="66" t="s">
        <v>1045</v>
      </c>
      <c r="M78" s="1238">
        <f>Lime!G19</f>
        <v>6.6729999999999998E-2</v>
      </c>
      <c r="N78" s="1238">
        <f>Lime!H19</f>
        <v>1.0009499999999999E-2</v>
      </c>
      <c r="O78" s="847" t="s">
        <v>1427</v>
      </c>
      <c r="P78" s="1242">
        <f t="shared" si="18"/>
        <v>0</v>
      </c>
      <c r="Q78" s="1242">
        <f t="shared" si="19"/>
        <v>0</v>
      </c>
      <c r="R78" s="66" t="s">
        <v>1046</v>
      </c>
      <c r="S78" s="1243">
        <f>Lime!K19</f>
        <v>1.21E-4</v>
      </c>
      <c r="T78" s="1243">
        <f>Lime!L19</f>
        <v>1.8150000000000001E-5</v>
      </c>
      <c r="U78" s="847" t="s">
        <v>1428</v>
      </c>
      <c r="V78" s="1244">
        <f t="shared" si="20"/>
        <v>0</v>
      </c>
      <c r="W78" s="1244">
        <f t="shared" si="21"/>
        <v>0</v>
      </c>
      <c r="X78" s="829" t="s">
        <v>1047</v>
      </c>
      <c r="Y78" s="1245">
        <f>Lime!O19</f>
        <v>1.025E-5</v>
      </c>
      <c r="Z78" s="1245">
        <f>Lime!P19</f>
        <v>1.5374999999999999E-6</v>
      </c>
      <c r="AA78" s="847" t="s">
        <v>1429</v>
      </c>
      <c r="AB78" s="1246">
        <f>C78*Y78</f>
        <v>0</v>
      </c>
      <c r="AC78" s="1246">
        <f>SQRT(((D78*Y78)^2)+((C78*Z78)^2))</f>
        <v>0</v>
      </c>
    </row>
    <row r="79" spans="1:29" s="66" customFormat="1" x14ac:dyDescent="0.25">
      <c r="C79" s="111"/>
      <c r="D79" s="111"/>
      <c r="E79" s="112"/>
      <c r="G79" s="111"/>
      <c r="H79" s="111"/>
      <c r="I79" s="112"/>
      <c r="J79" s="111"/>
      <c r="K79" s="111"/>
      <c r="M79" s="111"/>
      <c r="N79" s="111"/>
      <c r="O79" s="112"/>
      <c r="P79" s="832"/>
      <c r="Q79" s="832"/>
      <c r="S79" s="111"/>
      <c r="T79" s="111"/>
      <c r="U79" s="112"/>
      <c r="V79" s="848"/>
      <c r="W79" s="848"/>
      <c r="Y79" s="111"/>
      <c r="Z79" s="111"/>
      <c r="AA79" s="112"/>
      <c r="AB79" s="111"/>
      <c r="AC79" s="111"/>
    </row>
    <row r="80" spans="1:29" s="66" customFormat="1" ht="14.25" customHeight="1" x14ac:dyDescent="0.25">
      <c r="A80" s="66" t="s">
        <v>1547</v>
      </c>
      <c r="C80" s="112"/>
      <c r="D80" s="112"/>
      <c r="E80" s="112"/>
      <c r="G80" s="112"/>
      <c r="H80" s="112"/>
      <c r="I80" s="112"/>
      <c r="J80" s="1247"/>
      <c r="K80" s="1247"/>
      <c r="L80" s="66" t="s">
        <v>1430</v>
      </c>
      <c r="M80" s="1238">
        <f>IF(C12="Urea",0.73,0)</f>
        <v>0</v>
      </c>
      <c r="N80" s="1238">
        <v>0</v>
      </c>
      <c r="O80" s="847" t="s">
        <v>1431</v>
      </c>
      <c r="P80" s="1242">
        <f>(C74/0.46)*M80</f>
        <v>0</v>
      </c>
      <c r="Q80" s="1242">
        <f>SQRT((((M80/0.46)*D72)^2)+(((N80/0.46)*C72)^2))</f>
        <v>0</v>
      </c>
      <c r="S80" s="112"/>
      <c r="T80" s="112"/>
      <c r="U80" s="112"/>
      <c r="V80" s="503"/>
      <c r="W80" s="503"/>
      <c r="X80" s="829" t="s">
        <v>384</v>
      </c>
      <c r="Y80" s="1245">
        <f>IF(C13="IPCC",0.0208,IF(C13="CT Crop Calculator",0.0173,IF(C12="Ammonium Nitrate",0.0163,0.0234)))</f>
        <v>2.0799999999999999E-2</v>
      </c>
      <c r="Z80" s="1245">
        <v>0</v>
      </c>
      <c r="AA80" s="1248" t="s">
        <v>1432</v>
      </c>
      <c r="AB80" s="1246">
        <f>C72*Y80</f>
        <v>0.79601600000000006</v>
      </c>
      <c r="AC80" s="1246">
        <f>Z80</f>
        <v>0</v>
      </c>
    </row>
    <row r="81" spans="1:29" s="66" customFormat="1" ht="14.25" customHeight="1" x14ac:dyDescent="0.25">
      <c r="A81" s="66" t="s">
        <v>1433</v>
      </c>
      <c r="C81" s="112"/>
      <c r="D81" s="112"/>
      <c r="E81" s="112"/>
      <c r="G81" s="112"/>
      <c r="H81" s="112"/>
      <c r="I81" s="112"/>
      <c r="J81" s="1247"/>
      <c r="K81" s="1247"/>
      <c r="L81" s="66" t="s">
        <v>1078</v>
      </c>
      <c r="M81" s="1238">
        <v>0.44</v>
      </c>
      <c r="N81" s="1238">
        <v>0</v>
      </c>
      <c r="O81" s="847" t="s">
        <v>1434</v>
      </c>
      <c r="P81" s="1242">
        <f>IF(C37="CaO",0,C78*M81)</f>
        <v>0</v>
      </c>
      <c r="Q81" s="1242">
        <f>IF(C37="CaO",0,SQRT(((C78*N81)^2)+((D78*M81)^2)))</f>
        <v>0</v>
      </c>
      <c r="S81" s="112"/>
      <c r="T81" s="112"/>
      <c r="U81" s="112"/>
      <c r="V81" s="503"/>
      <c r="W81" s="503"/>
      <c r="X81" s="829"/>
      <c r="Y81" s="1249"/>
      <c r="Z81" s="1249"/>
      <c r="AA81" s="112"/>
      <c r="AB81" s="319"/>
      <c r="AC81" s="319"/>
    </row>
    <row r="82" spans="1:29" s="314" customFormat="1" ht="15" customHeight="1" x14ac:dyDescent="0.25">
      <c r="A82" s="314" t="s">
        <v>1435</v>
      </c>
      <c r="B82" s="314" t="s">
        <v>13</v>
      </c>
      <c r="C82" s="1240">
        <f>C15*CropResidues!C20</f>
        <v>20.022464000000003</v>
      </c>
      <c r="D82" s="1219">
        <v>0</v>
      </c>
      <c r="E82" s="314" t="s">
        <v>1436</v>
      </c>
      <c r="J82" s="1247"/>
      <c r="K82" s="1247"/>
      <c r="P82" s="1250"/>
      <c r="Q82" s="1250"/>
      <c r="V82" s="503"/>
      <c r="W82" s="503"/>
      <c r="X82" s="829" t="s">
        <v>384</v>
      </c>
      <c r="Y82" s="1245">
        <f>IF(C13="CT Crop Calculator",0.0173,0.0208)</f>
        <v>2.0799999999999999E-2</v>
      </c>
      <c r="Z82" s="1245">
        <v>0</v>
      </c>
      <c r="AA82" s="314" t="s">
        <v>1437</v>
      </c>
      <c r="AB82" s="1246">
        <f>C82*Y82</f>
        <v>0.41646725120000005</v>
      </c>
      <c r="AC82" s="1246">
        <f>Z82</f>
        <v>0</v>
      </c>
    </row>
    <row r="83" spans="1:29" s="314" customFormat="1" ht="15" customHeight="1" x14ac:dyDescent="0.25">
      <c r="A83" s="314" t="s">
        <v>1438</v>
      </c>
      <c r="B83" s="314" t="s">
        <v>1439</v>
      </c>
      <c r="C83" s="1236">
        <f>C16*CropResidues!D20</f>
        <v>0</v>
      </c>
      <c r="D83" s="1219">
        <v>0</v>
      </c>
      <c r="E83" s="314" t="s">
        <v>1436</v>
      </c>
      <c r="J83" s="1247"/>
      <c r="K83" s="1247"/>
      <c r="P83" s="1242">
        <f>-C83</f>
        <v>0</v>
      </c>
      <c r="Q83" s="1242">
        <f>D83</f>
        <v>0</v>
      </c>
      <c r="V83" s="503"/>
      <c r="W83" s="503"/>
      <c r="X83" s="829"/>
      <c r="Y83" s="1249"/>
      <c r="Z83" s="1249"/>
      <c r="AB83" s="319"/>
      <c r="AC83" s="319"/>
    </row>
    <row r="84" spans="1:29" s="314" customFormat="1" ht="15" customHeight="1" x14ac:dyDescent="0.25">
      <c r="A84" s="314" t="s">
        <v>1440</v>
      </c>
      <c r="B84" s="314" t="s">
        <v>13</v>
      </c>
      <c r="C84" s="1236">
        <f>C33*((C29*OrganicManure!F7)+(C30*OrganicManure!F8)+(C31*OrganicManure!F12))</f>
        <v>0</v>
      </c>
      <c r="D84" s="1219">
        <v>0</v>
      </c>
      <c r="E84" s="314" t="s">
        <v>1441</v>
      </c>
      <c r="J84" s="1247"/>
      <c r="K84" s="1247"/>
      <c r="P84" s="1250"/>
      <c r="Q84" s="1250"/>
      <c r="V84" s="503"/>
      <c r="W84" s="503"/>
      <c r="X84" s="829" t="s">
        <v>384</v>
      </c>
      <c r="Y84" s="1245">
        <f>IF(C13="CT Crop Calculator",0.0188,0.0223)</f>
        <v>2.23E-2</v>
      </c>
      <c r="Z84" s="1245">
        <v>0</v>
      </c>
      <c r="AA84" s="314" t="s">
        <v>1442</v>
      </c>
      <c r="AB84" s="1246">
        <f>C84*Y84</f>
        <v>0</v>
      </c>
      <c r="AC84" s="1246">
        <f>Z84</f>
        <v>0</v>
      </c>
    </row>
    <row r="85" spans="1:29" s="314" customFormat="1" ht="15" customHeight="1" x14ac:dyDescent="0.25">
      <c r="A85" s="314" t="s">
        <v>1443</v>
      </c>
      <c r="B85" s="314" t="s">
        <v>1439</v>
      </c>
      <c r="C85" s="1236">
        <f>C34*(44/12)*(C17/100)*((C29*OrganicManure!K7)+(C30*OrganicManure!K8)+(C31*OrganicManure!K12))</f>
        <v>0</v>
      </c>
      <c r="D85" s="1219">
        <v>0</v>
      </c>
      <c r="E85" s="314" t="s">
        <v>1441</v>
      </c>
      <c r="J85" s="1247"/>
      <c r="K85" s="1247"/>
      <c r="P85" s="1242">
        <f>-C85</f>
        <v>0</v>
      </c>
      <c r="Q85" s="1242">
        <f>D85</f>
        <v>0</v>
      </c>
      <c r="V85" s="503"/>
      <c r="W85" s="503"/>
      <c r="X85" s="829"/>
      <c r="Y85" s="1249"/>
      <c r="Z85" s="1249"/>
      <c r="AB85" s="319"/>
      <c r="AC85" s="319"/>
    </row>
    <row r="86" spans="1:29" s="66" customFormat="1" x14ac:dyDescent="0.25">
      <c r="C86" s="111"/>
      <c r="D86" s="111"/>
      <c r="E86" s="112"/>
      <c r="G86" s="111"/>
      <c r="H86" s="111"/>
      <c r="I86" s="112"/>
      <c r="J86" s="111"/>
      <c r="K86" s="111"/>
      <c r="M86" s="111"/>
      <c r="N86" s="111"/>
      <c r="O86" s="112"/>
      <c r="P86" s="832"/>
      <c r="Q86" s="832"/>
      <c r="S86" s="111"/>
      <c r="T86" s="111"/>
      <c r="U86" s="112"/>
      <c r="V86" s="848"/>
      <c r="W86" s="848"/>
      <c r="Y86" s="111"/>
      <c r="Z86" s="111"/>
      <c r="AA86" s="112"/>
      <c r="AB86" s="111"/>
      <c r="AC86" s="111"/>
    </row>
    <row r="87" spans="1:29" s="66" customFormat="1" ht="12" customHeight="1" x14ac:dyDescent="0.25">
      <c r="A87" s="840" t="s">
        <v>18</v>
      </c>
      <c r="B87" s="840"/>
      <c r="C87" s="841"/>
      <c r="D87" s="841"/>
      <c r="E87" s="841"/>
      <c r="F87" s="840"/>
      <c r="G87" s="841"/>
      <c r="H87" s="841"/>
      <c r="I87" s="841"/>
      <c r="J87" s="1251">
        <f>J46+J58+J70+J70+J72+J73+J74+J75+J76+J77+J78</f>
        <v>15094.5119701</v>
      </c>
      <c r="K87" s="1251">
        <f>SQRT((K46^2)*(K58^2)+(K70^2)+(K72^2)+(K73^2)+(K74^2)+(K75^2)+(K76^2)+(K77^2)+(K78^2))</f>
        <v>887.57947710990538</v>
      </c>
      <c r="L87" s="840"/>
      <c r="M87" s="841"/>
      <c r="N87" s="841"/>
      <c r="O87" s="841"/>
      <c r="P87" s="1251">
        <f>P46+P58+P70+P72+P73+P74+P75+P76+P77+P78+P80+P81+P83+P85</f>
        <v>949.55208852814542</v>
      </c>
      <c r="Q87" s="1251">
        <f>SQRT((Q46^2)*(Q58^2)+(Q70^2)+(Q72^2)+(Q73^2)+(Q74^2)+(Q75^2)+(Q76^2)+(Q77^2)+(Q78^2)++(Q80^2)+(Q81^2)+(Q83^2)+(Q85^2))</f>
        <v>51.438429070681181</v>
      </c>
      <c r="R87" s="840"/>
      <c r="S87" s="841"/>
      <c r="T87" s="841"/>
      <c r="U87" s="841"/>
      <c r="V87" s="1252">
        <f>V46+V58+V70+V70+V72+V73+V74+V75+V76+V77+V78</f>
        <v>1.3655367299409136</v>
      </c>
      <c r="W87" s="1252">
        <f>SQRT((W46^2)*(W58^2)+(W70^2)+(W72^2)+(W73^2)+(W74^2)+(W75^2)+(W76^2)+(W77^2)+(W78^2))</f>
        <v>0.13598670840423766</v>
      </c>
      <c r="X87" s="840"/>
      <c r="Y87" s="841"/>
      <c r="Z87" s="841"/>
      <c r="AA87" s="841"/>
      <c r="AB87" s="1252">
        <f>AB46+AB58+AB70+AB70+AB72+AB73+AB74+AB76+AB75+AB77+AB78+AB80+AB82+AB84</f>
        <v>3.0241304420231874</v>
      </c>
      <c r="AC87" s="1252">
        <f>SQRT((AC46^2)*(AC58^2)+(AC70^2)+(AC72^2)+(AC73^2)+(AC74^2)+(AC75^2)+(AC76^2)+(AC77^2)+(AC78^2)+(AC80^2)+(AC82^2)+(AC84^2))</f>
        <v>0.25312534445380069</v>
      </c>
    </row>
    <row r="88" spans="1:29" s="66" customFormat="1" x14ac:dyDescent="0.25">
      <c r="C88" s="111"/>
      <c r="D88" s="111"/>
      <c r="E88" s="112"/>
      <c r="G88" s="111"/>
      <c r="H88" s="111"/>
      <c r="I88" s="112"/>
      <c r="J88" s="111"/>
      <c r="K88" s="111"/>
      <c r="M88" s="111"/>
      <c r="N88" s="111"/>
      <c r="O88" s="112"/>
      <c r="P88" s="832"/>
      <c r="Q88" s="832"/>
      <c r="S88" s="111"/>
      <c r="T88" s="111"/>
      <c r="U88" s="112"/>
      <c r="V88" s="848"/>
      <c r="W88" s="848"/>
      <c r="Y88" s="111"/>
      <c r="Z88" s="111"/>
      <c r="AA88" s="112"/>
      <c r="AB88" s="111"/>
      <c r="AC88" s="111"/>
    </row>
    <row r="89" spans="1:29" s="66" customFormat="1" x14ac:dyDescent="0.25">
      <c r="C89" s="111"/>
      <c r="D89" s="111"/>
      <c r="E89" s="112"/>
      <c r="G89" s="111"/>
      <c r="H89" s="111"/>
      <c r="I89" s="112"/>
      <c r="J89" s="111"/>
      <c r="K89" s="111"/>
      <c r="M89" s="111"/>
      <c r="N89" s="111"/>
      <c r="O89" s="112"/>
      <c r="P89" s="832"/>
      <c r="Q89" s="832"/>
      <c r="S89" s="111"/>
      <c r="T89" s="111"/>
      <c r="U89" s="112"/>
      <c r="V89" s="848"/>
      <c r="W89" s="848"/>
      <c r="Y89" s="111"/>
      <c r="Z89" s="111"/>
      <c r="AA89" s="112"/>
      <c r="AB89" s="111"/>
      <c r="AC89" s="111"/>
    </row>
    <row r="90" spans="1:29" s="66" customFormat="1" x14ac:dyDescent="0.25">
      <c r="C90" s="111"/>
      <c r="D90" s="111"/>
      <c r="E90" s="112"/>
      <c r="G90" s="111"/>
      <c r="H90" s="111"/>
      <c r="I90" s="112"/>
      <c r="J90" s="111"/>
      <c r="K90" s="111"/>
      <c r="M90" s="111"/>
      <c r="N90" s="111"/>
      <c r="O90" s="112"/>
      <c r="P90" s="832"/>
      <c r="Q90" s="832"/>
      <c r="S90" s="111"/>
      <c r="T90" s="111"/>
      <c r="U90" s="112"/>
      <c r="V90" s="848"/>
      <c r="W90" s="848"/>
      <c r="Y90" s="111"/>
      <c r="Z90" s="111"/>
      <c r="AA90" s="112"/>
      <c r="AB90" s="111"/>
      <c r="AC90" s="111"/>
    </row>
  </sheetData>
  <sheetProtection selectLockedCells="1" selectUnlockedCells="1"/>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31"/>
  <sheetViews>
    <sheetView zoomScaleNormal="100" workbookViewId="0">
      <pane xSplit="1" ySplit="14" topLeftCell="B15" activePane="bottomRight" state="frozen"/>
      <selection activeCell="E28" sqref="E28"/>
      <selection pane="topRight" activeCell="E28" sqref="E28"/>
      <selection pane="bottomLeft" activeCell="E28" sqref="E28"/>
      <selection pane="bottomRight" activeCell="B8" sqref="B8"/>
    </sheetView>
  </sheetViews>
  <sheetFormatPr defaultColWidth="9.109375" defaultRowHeight="13.2" x14ac:dyDescent="0.25"/>
  <cols>
    <col min="1" max="1" width="59.6640625" style="330" customWidth="1"/>
    <col min="2" max="2" width="28.109375" style="330" customWidth="1"/>
    <col min="3" max="5" width="9.109375" style="330"/>
    <col min="6" max="6" width="14.6640625" style="330" customWidth="1"/>
    <col min="7" max="8" width="9.109375" style="330"/>
    <col min="9" max="9" width="0" style="330" hidden="1" customWidth="1"/>
    <col min="10" max="10" width="14.88671875" style="330" customWidth="1"/>
    <col min="11" max="13" width="9.109375" style="330"/>
    <col min="14" max="14" width="15.109375" style="330" customWidth="1"/>
    <col min="15" max="16384" width="9.109375" style="330"/>
  </cols>
  <sheetData>
    <row r="1" spans="1:17" x14ac:dyDescent="0.25">
      <c r="A1" s="329" t="s">
        <v>240</v>
      </c>
      <c r="B1" s="330" t="s">
        <v>477</v>
      </c>
    </row>
    <row r="2" spans="1:17" x14ac:dyDescent="0.25">
      <c r="A2" s="329" t="s">
        <v>243</v>
      </c>
      <c r="B2" s="330" t="s">
        <v>374</v>
      </c>
    </row>
    <row r="3" spans="1:17" x14ac:dyDescent="0.25">
      <c r="A3" s="329" t="s">
        <v>241</v>
      </c>
      <c r="B3" s="330" t="s">
        <v>375</v>
      </c>
    </row>
    <row r="4" spans="1:17" x14ac:dyDescent="0.25">
      <c r="A4" s="329" t="s">
        <v>242</v>
      </c>
      <c r="B4" s="330" t="s">
        <v>375</v>
      </c>
    </row>
    <row r="5" spans="1:17" x14ac:dyDescent="0.25">
      <c r="A5" s="335"/>
    </row>
    <row r="6" spans="1:17" x14ac:dyDescent="0.25">
      <c r="A6" s="563" t="s">
        <v>408</v>
      </c>
      <c r="B6" s="336"/>
    </row>
    <row r="7" spans="1:17" x14ac:dyDescent="0.25">
      <c r="A7" s="337" t="s">
        <v>376</v>
      </c>
      <c r="B7" s="338" t="str">
        <f>n_fert_type</f>
        <v>Ammonium Nitrate</v>
      </c>
    </row>
    <row r="8" spans="1:17" x14ac:dyDescent="0.25">
      <c r="A8" s="337" t="s">
        <v>534</v>
      </c>
      <c r="B8" s="338" t="str">
        <f>an_source</f>
        <v>EFMA European Union, 2006</v>
      </c>
    </row>
    <row r="9" spans="1:17" x14ac:dyDescent="0.25">
      <c r="A9" s="337" t="s">
        <v>535</v>
      </c>
      <c r="B9" s="338" t="str">
        <f>ur_source</f>
        <v>EFMA European Union, 2006</v>
      </c>
    </row>
    <row r="10" spans="1:17" x14ac:dyDescent="0.25">
      <c r="A10" s="337" t="s">
        <v>536</v>
      </c>
      <c r="B10" s="338" t="str">
        <f>as_source</f>
        <v>IFS European Average, 2002</v>
      </c>
    </row>
    <row r="11" spans="1:17" x14ac:dyDescent="0.25">
      <c r="A11" s="339" t="s">
        <v>537</v>
      </c>
      <c r="B11" s="340" t="str">
        <f>can_source</f>
        <v>EFMA European Union, 2006</v>
      </c>
    </row>
    <row r="12" spans="1:17" x14ac:dyDescent="0.25">
      <c r="A12" s="335"/>
    </row>
    <row r="13" spans="1:17" x14ac:dyDescent="0.25">
      <c r="A13" s="341" t="s">
        <v>377</v>
      </c>
      <c r="B13" s="1610" t="s">
        <v>247</v>
      </c>
      <c r="C13" s="1610"/>
      <c r="D13" s="1610"/>
      <c r="E13" s="1610"/>
      <c r="F13" s="1610" t="s">
        <v>378</v>
      </c>
      <c r="G13" s="1610"/>
      <c r="H13" s="1610"/>
      <c r="I13" s="1610"/>
      <c r="J13" s="1610" t="s">
        <v>379</v>
      </c>
      <c r="K13" s="1610"/>
      <c r="L13" s="1610"/>
      <c r="M13" s="1610"/>
      <c r="N13" s="1610" t="s">
        <v>380</v>
      </c>
      <c r="O13" s="1610"/>
      <c r="P13" s="1610"/>
      <c r="Q13" s="1610"/>
    </row>
    <row r="14" spans="1:17" x14ac:dyDescent="0.25">
      <c r="A14" s="342"/>
      <c r="B14" s="343" t="s">
        <v>246</v>
      </c>
      <c r="C14" s="343" t="s">
        <v>248</v>
      </c>
      <c r="D14" s="343" t="s">
        <v>249</v>
      </c>
      <c r="E14" s="341" t="s">
        <v>27</v>
      </c>
      <c r="F14" s="343" t="s">
        <v>246</v>
      </c>
      <c r="G14" s="343" t="s">
        <v>248</v>
      </c>
      <c r="H14" s="343" t="s">
        <v>249</v>
      </c>
      <c r="I14" s="343" t="s">
        <v>27</v>
      </c>
      <c r="J14" s="343" t="s">
        <v>246</v>
      </c>
      <c r="K14" s="343" t="s">
        <v>248</v>
      </c>
      <c r="L14" s="343" t="s">
        <v>249</v>
      </c>
      <c r="M14" s="343" t="s">
        <v>27</v>
      </c>
      <c r="N14" s="343" t="s">
        <v>246</v>
      </c>
      <c r="O14" s="343" t="s">
        <v>248</v>
      </c>
      <c r="P14" s="343" t="s">
        <v>249</v>
      </c>
      <c r="Q14" s="343" t="s">
        <v>27</v>
      </c>
    </row>
    <row r="15" spans="1:17" x14ac:dyDescent="0.25">
      <c r="A15" t="s">
        <v>466</v>
      </c>
      <c r="C15" s="333"/>
      <c r="D15" s="333"/>
      <c r="E15" s="333"/>
      <c r="F15" s="333"/>
      <c r="G15" s="333"/>
      <c r="H15" s="333"/>
      <c r="I15" s="333"/>
      <c r="J15" s="333"/>
      <c r="K15" s="333"/>
      <c r="L15" s="333"/>
      <c r="M15" s="333"/>
      <c r="N15" s="333"/>
      <c r="O15" s="333"/>
      <c r="P15" s="333"/>
    </row>
    <row r="16" spans="1:17" ht="15.6" x14ac:dyDescent="0.35">
      <c r="A16" s="330" t="s">
        <v>385</v>
      </c>
      <c r="B16" s="330" t="s">
        <v>381</v>
      </c>
      <c r="C16" s="345">
        <v>40</v>
      </c>
      <c r="D16" s="345">
        <f>0.15*C16</f>
        <v>6</v>
      </c>
      <c r="E16" s="330" t="s">
        <v>481</v>
      </c>
      <c r="F16" s="330" t="s">
        <v>382</v>
      </c>
      <c r="G16" s="331">
        <v>2.343</v>
      </c>
      <c r="H16" s="332">
        <f>0.15*G16</f>
        <v>0.35144999999999998</v>
      </c>
      <c r="I16" s="330" t="s">
        <v>489</v>
      </c>
      <c r="J16" s="330" t="s">
        <v>383</v>
      </c>
      <c r="K16" s="344">
        <v>6.2100000000000002E-3</v>
      </c>
      <c r="L16" s="344">
        <f>0.15*K16</f>
        <v>9.3150000000000004E-4</v>
      </c>
      <c r="M16" s="330" t="s">
        <v>495</v>
      </c>
      <c r="N16" s="330" t="s">
        <v>384</v>
      </c>
      <c r="O16" s="331">
        <v>1.2500000000000001E-2</v>
      </c>
      <c r="P16" s="344">
        <f>0.15*O16</f>
        <v>1.8749999999999999E-3</v>
      </c>
      <c r="Q16" s="330" t="s">
        <v>503</v>
      </c>
    </row>
    <row r="17" spans="1:17" ht="15.6" x14ac:dyDescent="0.35">
      <c r="A17" s="330" t="s">
        <v>464</v>
      </c>
      <c r="B17" s="330" t="s">
        <v>381</v>
      </c>
      <c r="C17" s="331">
        <v>29.8</v>
      </c>
      <c r="D17" s="345">
        <f>0.15*C17</f>
        <v>4.47</v>
      </c>
      <c r="E17" s="330" t="s">
        <v>482</v>
      </c>
      <c r="F17" s="330" t="s">
        <v>382</v>
      </c>
      <c r="G17" s="331">
        <v>1.7709999999999999</v>
      </c>
      <c r="H17" s="332">
        <f>0.15*G17</f>
        <v>0.26565</v>
      </c>
      <c r="I17" s="330" t="s">
        <v>490</v>
      </c>
      <c r="J17" s="330" t="s">
        <v>383</v>
      </c>
      <c r="K17" s="344">
        <v>4.9699999999999996E-3</v>
      </c>
      <c r="L17" s="344">
        <f>0.15*K17</f>
        <v>7.4549999999999996E-4</v>
      </c>
      <c r="M17" s="330" t="s">
        <v>496</v>
      </c>
      <c r="N17" s="330" t="s">
        <v>384</v>
      </c>
      <c r="O17" s="331">
        <v>2.8E-3</v>
      </c>
      <c r="P17" s="344">
        <f>0.15*O17</f>
        <v>4.1999999999999996E-4</v>
      </c>
      <c r="Q17" s="330" t="s">
        <v>504</v>
      </c>
    </row>
    <row r="18" spans="1:17" x14ac:dyDescent="0.25">
      <c r="C18" s="333"/>
      <c r="D18" s="333"/>
      <c r="G18" s="333"/>
      <c r="H18" s="333"/>
      <c r="K18" s="333"/>
      <c r="L18" s="333"/>
      <c r="O18" s="333"/>
      <c r="P18" s="333"/>
    </row>
    <row r="19" spans="1:17" x14ac:dyDescent="0.25">
      <c r="A19" t="s">
        <v>467</v>
      </c>
      <c r="C19" s="333"/>
      <c r="D19" s="333"/>
      <c r="E19" s="333"/>
      <c r="F19" s="333"/>
      <c r="G19" s="333"/>
      <c r="H19" s="333"/>
      <c r="I19" s="333"/>
      <c r="J19" s="333"/>
      <c r="K19" s="333"/>
      <c r="L19" s="333"/>
      <c r="M19" s="333"/>
      <c r="N19" s="333"/>
      <c r="O19" s="333"/>
      <c r="P19" s="333"/>
    </row>
    <row r="20" spans="1:17" ht="15.6" x14ac:dyDescent="0.35">
      <c r="A20" s="330" t="s">
        <v>385</v>
      </c>
      <c r="B20" s="330" t="s">
        <v>381</v>
      </c>
      <c r="C20" s="331">
        <v>51.6</v>
      </c>
      <c r="D20" s="345">
        <f>0.15*C20</f>
        <v>7.74</v>
      </c>
      <c r="E20" s="330" t="s">
        <v>483</v>
      </c>
      <c r="F20" s="330" t="s">
        <v>382</v>
      </c>
      <c r="G20" s="331">
        <v>1.391</v>
      </c>
      <c r="H20" s="332">
        <f>0.15*G20</f>
        <v>0.20865</v>
      </c>
      <c r="I20" s="330" t="s">
        <v>491</v>
      </c>
      <c r="J20" s="330" t="s">
        <v>383</v>
      </c>
      <c r="K20" s="331">
        <v>7.6E-3</v>
      </c>
      <c r="L20" s="344">
        <f>0.15*K20</f>
        <v>1.14E-3</v>
      </c>
      <c r="M20" s="330" t="s">
        <v>497</v>
      </c>
      <c r="N20" s="330" t="s">
        <v>384</v>
      </c>
      <c r="O20" s="332">
        <v>0</v>
      </c>
      <c r="P20" s="332">
        <f>0.15*O20</f>
        <v>0</v>
      </c>
      <c r="Q20" s="330" t="s">
        <v>505</v>
      </c>
    </row>
    <row r="21" spans="1:17" ht="15.6" x14ac:dyDescent="0.35">
      <c r="A21" s="330" t="s">
        <v>464</v>
      </c>
      <c r="B21" s="330" t="s">
        <v>381</v>
      </c>
      <c r="C21" s="331">
        <v>44.1</v>
      </c>
      <c r="D21" s="345">
        <f>0.15*C21</f>
        <v>6.6150000000000002</v>
      </c>
      <c r="E21" s="330" t="s">
        <v>484</v>
      </c>
      <c r="F21" s="330" t="s">
        <v>382</v>
      </c>
      <c r="G21" s="331">
        <v>0.97799999999999998</v>
      </c>
      <c r="H21" s="332">
        <f>0.15*G21</f>
        <v>0.1467</v>
      </c>
      <c r="I21" s="330" t="s">
        <v>492</v>
      </c>
      <c r="J21" s="330" t="s">
        <v>383</v>
      </c>
      <c r="K21" s="331">
        <v>6.6E-3</v>
      </c>
      <c r="L21" s="344">
        <f>0.15*K21</f>
        <v>9.8999999999999999E-4</v>
      </c>
      <c r="M21" s="330" t="s">
        <v>498</v>
      </c>
      <c r="N21" s="330" t="s">
        <v>384</v>
      </c>
      <c r="O21" s="332">
        <v>0</v>
      </c>
      <c r="P21" s="332">
        <f>0.15*O21</f>
        <v>0</v>
      </c>
      <c r="Q21" s="330" t="s">
        <v>506</v>
      </c>
    </row>
    <row r="22" spans="1:17" s="333" customFormat="1" x14ac:dyDescent="0.25">
      <c r="D22" s="478"/>
      <c r="H22" s="479"/>
      <c r="L22" s="480"/>
      <c r="O22" s="479"/>
      <c r="P22" s="479"/>
    </row>
    <row r="23" spans="1:17" x14ac:dyDescent="0.25">
      <c r="A23" s="42" t="s">
        <v>459</v>
      </c>
      <c r="B23" s="42"/>
      <c r="C23" s="42"/>
      <c r="D23" s="189"/>
      <c r="E23" s="42"/>
      <c r="F23" s="42"/>
      <c r="G23" s="42"/>
      <c r="H23" s="191"/>
      <c r="I23" s="42"/>
      <c r="J23" s="42"/>
      <c r="K23" s="42"/>
      <c r="L23" s="193"/>
      <c r="M23" s="42"/>
      <c r="N23" s="42"/>
      <c r="O23" s="191"/>
      <c r="P23" s="191"/>
      <c r="Q23" s="42"/>
    </row>
    <row r="24" spans="1:17" ht="15.6" x14ac:dyDescent="0.35">
      <c r="A24" s="42" t="s">
        <v>460</v>
      </c>
      <c r="B24" t="s">
        <v>381</v>
      </c>
      <c r="C24" s="438">
        <v>28.571000000000002</v>
      </c>
      <c r="D24" s="438">
        <f>0.15*C24</f>
        <v>4.2856500000000004</v>
      </c>
      <c r="E24" s="3" t="s">
        <v>485</v>
      </c>
      <c r="F24" t="s">
        <v>382</v>
      </c>
      <c r="G24" s="107">
        <v>1.619</v>
      </c>
      <c r="H24" s="393">
        <f>0.15*G24</f>
        <v>0.24284999999999998</v>
      </c>
      <c r="I24" s="3" t="s">
        <v>493</v>
      </c>
      <c r="J24" t="s">
        <v>383</v>
      </c>
      <c r="K24" s="439">
        <v>0</v>
      </c>
      <c r="L24" s="439">
        <f>0.15*K24</f>
        <v>0</v>
      </c>
      <c r="M24" s="3" t="s">
        <v>499</v>
      </c>
      <c r="N24" t="s">
        <v>384</v>
      </c>
      <c r="O24" s="439">
        <v>0</v>
      </c>
      <c r="P24" s="439">
        <f>0.15*O24</f>
        <v>0</v>
      </c>
      <c r="Q24" s="3" t="s">
        <v>507</v>
      </c>
    </row>
    <row r="25" spans="1:17" ht="15.6" x14ac:dyDescent="0.35">
      <c r="A25" s="42" t="s">
        <v>461</v>
      </c>
      <c r="B25" t="s">
        <v>381</v>
      </c>
      <c r="C25" s="438">
        <v>13.81</v>
      </c>
      <c r="D25" s="438">
        <f>0.15*C25</f>
        <v>2.0714999999999999</v>
      </c>
      <c r="E25" s="3" t="s">
        <v>486</v>
      </c>
      <c r="F25" t="s">
        <v>382</v>
      </c>
      <c r="G25" s="107">
        <v>0.66700000000000004</v>
      </c>
      <c r="H25" s="393">
        <f>0.15*G25</f>
        <v>0.10005</v>
      </c>
      <c r="I25" s="3" t="s">
        <v>494</v>
      </c>
      <c r="J25" t="s">
        <v>383</v>
      </c>
      <c r="K25" s="439">
        <v>0</v>
      </c>
      <c r="L25" s="439">
        <f>0.15*K25</f>
        <v>0</v>
      </c>
      <c r="M25" s="3" t="s">
        <v>500</v>
      </c>
      <c r="N25" t="s">
        <v>384</v>
      </c>
      <c r="O25" s="439">
        <v>0</v>
      </c>
      <c r="P25" s="439">
        <f>0.15*O25</f>
        <v>0</v>
      </c>
      <c r="Q25" s="3" t="s">
        <v>508</v>
      </c>
    </row>
    <row r="26" spans="1:17" x14ac:dyDescent="0.25">
      <c r="A26" s="42"/>
      <c r="B26" s="42"/>
      <c r="C26" s="42"/>
      <c r="D26" s="189"/>
      <c r="E26" s="42"/>
      <c r="F26" s="42"/>
      <c r="G26" s="42"/>
      <c r="H26" s="191"/>
      <c r="I26" s="42"/>
      <c r="J26" s="42"/>
      <c r="K26" s="42"/>
      <c r="L26" s="193"/>
      <c r="M26" s="42"/>
      <c r="N26" s="42"/>
      <c r="O26" s="191"/>
      <c r="P26" s="191"/>
      <c r="Q26" s="42"/>
    </row>
    <row r="27" spans="1:17" x14ac:dyDescent="0.25">
      <c r="A27" s="42" t="s">
        <v>462</v>
      </c>
      <c r="B27" s="42"/>
      <c r="C27" s="42"/>
      <c r="D27" s="189"/>
      <c r="E27" s="42"/>
      <c r="F27" s="42"/>
      <c r="G27" s="42"/>
      <c r="H27" s="191"/>
      <c r="I27" s="42"/>
      <c r="J27" s="42"/>
      <c r="K27" s="42"/>
      <c r="L27" s="193"/>
      <c r="M27" s="42"/>
      <c r="N27" s="42"/>
      <c r="O27" s="191"/>
      <c r="P27" s="191"/>
      <c r="Q27" s="42"/>
    </row>
    <row r="28" spans="1:17" ht="15.6" x14ac:dyDescent="0.35">
      <c r="A28" t="s">
        <v>385</v>
      </c>
      <c r="B28" t="s">
        <v>381</v>
      </c>
      <c r="C28" s="438">
        <v>42.566000000000003</v>
      </c>
      <c r="D28" s="438">
        <f>0.15*C28</f>
        <v>6.3849</v>
      </c>
      <c r="E28" s="3" t="s">
        <v>487</v>
      </c>
      <c r="F28" t="s">
        <v>382</v>
      </c>
      <c r="G28" s="107">
        <v>2.4910000000000001</v>
      </c>
      <c r="H28" s="393">
        <f>0.15*G28</f>
        <v>0.37364999999999998</v>
      </c>
      <c r="I28" t="s">
        <v>463</v>
      </c>
      <c r="J28" t="s">
        <v>383</v>
      </c>
      <c r="K28" s="107">
        <v>6.6E-3</v>
      </c>
      <c r="L28" s="439">
        <f>0.15*K28</f>
        <v>9.8999999999999999E-4</v>
      </c>
      <c r="M28" s="3" t="s">
        <v>501</v>
      </c>
      <c r="N28" t="s">
        <v>384</v>
      </c>
      <c r="O28" s="439">
        <v>1.24E-2</v>
      </c>
      <c r="P28" s="439">
        <f>0.15*O28</f>
        <v>1.8599999999999999E-3</v>
      </c>
      <c r="Q28" s="3" t="s">
        <v>509</v>
      </c>
    </row>
    <row r="29" spans="1:17" ht="15.6" x14ac:dyDescent="0.35">
      <c r="A29" t="s">
        <v>464</v>
      </c>
      <c r="B29" t="s">
        <v>381</v>
      </c>
      <c r="C29" s="438">
        <v>31.396000000000001</v>
      </c>
      <c r="D29" s="438">
        <f>0.15*C29</f>
        <v>4.7093999999999996</v>
      </c>
      <c r="E29" s="3" t="s">
        <v>488</v>
      </c>
      <c r="F29" t="s">
        <v>382</v>
      </c>
      <c r="G29" s="107">
        <v>1.887</v>
      </c>
      <c r="H29" s="393">
        <f>0.15*G29</f>
        <v>0.28304999999999997</v>
      </c>
      <c r="I29" t="s">
        <v>465</v>
      </c>
      <c r="J29" t="s">
        <v>383</v>
      </c>
      <c r="K29" s="107">
        <v>4.8999999999999998E-3</v>
      </c>
      <c r="L29" s="439">
        <f>0.15*K29</f>
        <v>7.3499999999999998E-4</v>
      </c>
      <c r="M29" s="3" t="s">
        <v>502</v>
      </c>
      <c r="N29" t="s">
        <v>384</v>
      </c>
      <c r="O29" s="439">
        <v>2.8E-3</v>
      </c>
      <c r="P29" s="439">
        <f>0.15*O29</f>
        <v>4.1999999999999996E-4</v>
      </c>
      <c r="Q29" s="3" t="s">
        <v>510</v>
      </c>
    </row>
    <row r="30" spans="1:17" x14ac:dyDescent="0.25">
      <c r="A30" s="42"/>
      <c r="B30" s="42"/>
      <c r="C30" s="42"/>
      <c r="D30" s="189"/>
      <c r="E30" s="42"/>
      <c r="F30" s="42"/>
      <c r="G30" s="42"/>
      <c r="H30" s="191"/>
      <c r="I30" s="42"/>
      <c r="J30" s="42"/>
      <c r="K30" s="42"/>
      <c r="L30" s="193"/>
      <c r="M30" s="42"/>
      <c r="N30" s="42"/>
      <c r="O30" s="191"/>
      <c r="P30" s="191"/>
      <c r="Q30" s="42"/>
    </row>
    <row r="31" spans="1:17" ht="15.6" x14ac:dyDescent="0.35">
      <c r="A31" s="329" t="s">
        <v>532</v>
      </c>
      <c r="B31" s="330" t="s">
        <v>381</v>
      </c>
      <c r="C31" s="346">
        <f>IF($B$7="Ammonium Nitrate",IF($B$8="EFMA European Union, 2006",C16,C17),IF($B$7="Urea",IF($B$9="EFMA European Union, 2006",C20,C21),IF($B$7="Ammonium Sulphate",IF($B$10="IFS European Average, 2002",C24,C25),IF($B$7="Calcium Ammonium Nitrate",IF($B$11="EFMA European Union, 2006",C28,C29)))))</f>
        <v>40</v>
      </c>
      <c r="D31" s="346">
        <f>IF($B$7="Ammonium Nitrate",IF($B$8="EFMA European Union, 2006",D16,D17),IF($B$7="Urea",IF($B$9="EFMA European Union, 2006",D20,D21),IF($B$7="Ammonium Sulphate",IF($B$10="IFS European Average, 2002",D24,D25),IF($B$7="Calcium Ammonium Nitrate",IF($B$11="EFMA European Union, 2006",D28,D29)))))</f>
        <v>6</v>
      </c>
      <c r="F31" s="330" t="s">
        <v>382</v>
      </c>
      <c r="G31" s="347">
        <f>IF($B$7="Ammonium Nitrate",IF($B$8="EFMA European Union, 2006",G16,G17),IF($B$7="Urea",IF($B$9="EFMA European Union, 2006",G20,G21),IF($B$7="Ammonium Sulphate",IF($B$10="IFS European Average, 2002",G24,G25),IF($B$7="Calcium Ammonium Nitrate",IF($B$11="EFMA European Union, 2006",G28,G29)))))</f>
        <v>2.343</v>
      </c>
      <c r="H31" s="348">
        <f>IF($B$7="Ammonium Nitrate",IF($B$8="EFMA European Union, 2006",H16,H17),IF($B$7="Urea",IF($B$9="EFMA European Union, 2006",H20,H21),IF($B$7="Ammonium Sulphate",IF($B$10="IFS European Average, 2002",H24,H25),IF($B$7="Calcium Ammonium Nitrate",IF($B$11="EFMA European Union, 2006",H28,H29)))))</f>
        <v>0.35144999999999998</v>
      </c>
      <c r="J31" s="330" t="s">
        <v>383</v>
      </c>
      <c r="K31" s="349">
        <f>IF($B$7="Ammonium Nitrate",IF($B$8="EFMA European Union, 2006",K16,K17),IF($B$7="Urea",IF($B$9="EFMA European Union, 2006",K20,K21),IF($B$7="Ammonium Sulphate",IF($B$10="IFS European Average, 2002",K24,K25),IF($B$7="Calcium Ammonium Nitrate",IF($B$11="EFMA European Union, 2006",K28,K29)))))</f>
        <v>6.2100000000000002E-3</v>
      </c>
      <c r="L31" s="349">
        <f>IF($B$7="Ammonium Nitrate",IF($B$8="EFMA European Union, 2006",L16,L17),IF($B$7="Urea",IF($B$9="EFMA European Union, 2006",L20,L21),IF($B$7="Ammonium Sulphate",IF($B$10="IFS European Average, 2002",L24,L25),IF($B$7="Calcium Ammonium Nitrate",IF($B$11="EFMA European Union, 2006",L28,L29)))))</f>
        <v>9.3150000000000004E-4</v>
      </c>
      <c r="N31" s="330" t="s">
        <v>384</v>
      </c>
      <c r="O31" s="349">
        <f>IF($B$7="Ammonium Nitrate",IF($B$8="EFMA European Union, 2006",O16,O17),IF($B$7="Urea",IF($B$9="EFMA European Union, 2006",O20,O21),IF($B$7="Ammonium Sulphate",IF($B$10="IFS European Average, 2002",O24,O25),IF($B$7="Calcium Ammonium Nitrate",IF($B$11="EFMA European Union, 2006",O28,O29)))))</f>
        <v>1.2500000000000001E-2</v>
      </c>
      <c r="P31" s="348">
        <f>IF($B$7="Ammonium Nitrate",IF($B$8="EFMA European Union, 2006",P16,P17),IF($B$7="Urea",IF($B$9="EFMA European Union, 2006",P20,P21),IF($B$7="Ammonium Sulphate",IF($B$10="IFS European Average, 2002",P24,P25),IF($B$7="Calcium Ammonium Nitrate",IF($B$11="EFMA European Union, 2006",P28,P29)))))</f>
        <v>1.8749999999999999E-3</v>
      </c>
    </row>
  </sheetData>
  <mergeCells count="4">
    <mergeCell ref="B13:E13"/>
    <mergeCell ref="F13:I13"/>
    <mergeCell ref="J13:M13"/>
    <mergeCell ref="N13:Q13"/>
  </mergeCells>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6"/>
  <sheetViews>
    <sheetView workbookViewId="0">
      <pane xSplit="1" ySplit="10" topLeftCell="B11" activePane="bottomRight" state="frozen"/>
      <selection activeCell="E28" sqref="E28"/>
      <selection pane="topRight" activeCell="E28" sqref="E28"/>
      <selection pane="bottomLeft" activeCell="E28" sqref="E28"/>
      <selection pane="bottomRight"/>
    </sheetView>
  </sheetViews>
  <sheetFormatPr defaultRowHeight="13.2" x14ac:dyDescent="0.25"/>
  <cols>
    <col min="1" max="1" width="51.5546875" customWidth="1"/>
    <col min="2" max="2" width="29.33203125" customWidth="1"/>
    <col min="6" max="6" width="15.6640625" customWidth="1"/>
    <col min="10" max="10" width="16.88671875" customWidth="1"/>
    <col min="14" max="14" width="17.109375" customWidth="1"/>
    <col min="15" max="16" width="10.5546875" bestFit="1" customWidth="1"/>
  </cols>
  <sheetData>
    <row r="1" spans="1:17" x14ac:dyDescent="0.25">
      <c r="A1" s="2" t="s">
        <v>240</v>
      </c>
      <c r="B1" s="3" t="s">
        <v>478</v>
      </c>
    </row>
    <row r="2" spans="1:17" ht="15.6" x14ac:dyDescent="0.35">
      <c r="A2" s="2" t="s">
        <v>243</v>
      </c>
      <c r="B2" t="s">
        <v>469</v>
      </c>
    </row>
    <row r="3" spans="1:17" x14ac:dyDescent="0.25">
      <c r="A3" s="2" t="s">
        <v>241</v>
      </c>
      <c r="B3" t="s">
        <v>375</v>
      </c>
    </row>
    <row r="4" spans="1:17" x14ac:dyDescent="0.25">
      <c r="A4" s="2" t="s">
        <v>242</v>
      </c>
      <c r="B4" t="s">
        <v>375</v>
      </c>
    </row>
    <row r="5" spans="1:17" x14ac:dyDescent="0.25">
      <c r="A5" s="2"/>
    </row>
    <row r="6" spans="1:17" x14ac:dyDescent="0.25">
      <c r="A6" s="452" t="s">
        <v>408</v>
      </c>
      <c r="B6" s="453"/>
    </row>
    <row r="7" spans="1:17" s="3" customFormat="1" x14ac:dyDescent="0.25">
      <c r="A7" s="454" t="s">
        <v>531</v>
      </c>
      <c r="B7" s="455" t="str">
        <f>p_fert_type</f>
        <v>Triple Superphosphate</v>
      </c>
    </row>
    <row r="8" spans="1:17" s="3" customFormat="1" x14ac:dyDescent="0.25"/>
    <row r="9" spans="1:17" x14ac:dyDescent="0.25">
      <c r="A9" s="13" t="s">
        <v>470</v>
      </c>
      <c r="B9" s="1611" t="s">
        <v>247</v>
      </c>
      <c r="C9" s="1611"/>
      <c r="D9" s="1611"/>
      <c r="E9" s="1611"/>
      <c r="F9" s="1611" t="s">
        <v>378</v>
      </c>
      <c r="G9" s="1611"/>
      <c r="H9" s="1611"/>
      <c r="I9" s="1611"/>
      <c r="J9" s="1611" t="s">
        <v>379</v>
      </c>
      <c r="K9" s="1611"/>
      <c r="L9" s="1611"/>
      <c r="M9" s="1611"/>
      <c r="N9" s="1611" t="s">
        <v>380</v>
      </c>
      <c r="O9" s="1611"/>
      <c r="P9" s="1611"/>
      <c r="Q9" s="1611"/>
    </row>
    <row r="10" spans="1:17" x14ac:dyDescent="0.25">
      <c r="A10" s="296"/>
      <c r="B10" s="440" t="s">
        <v>246</v>
      </c>
      <c r="C10" s="440" t="s">
        <v>248</v>
      </c>
      <c r="D10" s="440" t="s">
        <v>249</v>
      </c>
      <c r="E10" s="13" t="s">
        <v>27</v>
      </c>
      <c r="F10" s="440" t="s">
        <v>246</v>
      </c>
      <c r="G10" s="440" t="s">
        <v>248</v>
      </c>
      <c r="H10" s="440" t="s">
        <v>249</v>
      </c>
      <c r="I10" s="440" t="s">
        <v>27</v>
      </c>
      <c r="J10" s="440" t="s">
        <v>246</v>
      </c>
      <c r="K10" s="440" t="s">
        <v>248</v>
      </c>
      <c r="L10" s="440" t="s">
        <v>249</v>
      </c>
      <c r="M10" s="440" t="s">
        <v>27</v>
      </c>
      <c r="N10" s="440" t="s">
        <v>246</v>
      </c>
      <c r="O10" s="440" t="s">
        <v>248</v>
      </c>
      <c r="P10" s="440" t="s">
        <v>249</v>
      </c>
      <c r="Q10" s="440" t="s">
        <v>27</v>
      </c>
    </row>
    <row r="11" spans="1:17" ht="15.6" x14ac:dyDescent="0.35">
      <c r="A11" s="353" t="s">
        <v>541</v>
      </c>
      <c r="B11" s="42"/>
      <c r="C11" s="42"/>
      <c r="D11" s="189"/>
      <c r="E11" s="42"/>
      <c r="F11" s="42"/>
      <c r="G11" s="42"/>
      <c r="H11" s="191"/>
      <c r="I11" s="42"/>
      <c r="J11" s="42"/>
      <c r="K11" s="42"/>
      <c r="L11" s="193"/>
      <c r="M11" s="42"/>
      <c r="N11" s="42"/>
      <c r="O11" s="191"/>
      <c r="P11" s="191"/>
      <c r="Q11" s="42"/>
    </row>
    <row r="12" spans="1:17" ht="15.6" x14ac:dyDescent="0.35">
      <c r="A12" s="42" t="s">
        <v>460</v>
      </c>
      <c r="B12" s="443" t="s">
        <v>472</v>
      </c>
      <c r="C12" s="438">
        <v>9.6150000000000002</v>
      </c>
      <c r="D12" s="438">
        <f>0.15*C12</f>
        <v>1.44225</v>
      </c>
      <c r="E12" s="3" t="s">
        <v>511</v>
      </c>
      <c r="F12" s="445" t="s">
        <v>474</v>
      </c>
      <c r="G12" s="393">
        <v>0.59599999999999997</v>
      </c>
      <c r="H12" s="393">
        <f>0.15*G12</f>
        <v>8.9399999999999993E-2</v>
      </c>
      <c r="I12" s="3" t="s">
        <v>512</v>
      </c>
      <c r="J12" s="445" t="s">
        <v>475</v>
      </c>
      <c r="K12" s="462">
        <v>0</v>
      </c>
      <c r="L12" s="462">
        <f>0.15*K12</f>
        <v>0</v>
      </c>
      <c r="M12" s="3" t="s">
        <v>513</v>
      </c>
      <c r="N12" s="447" t="s">
        <v>476</v>
      </c>
      <c r="O12" s="469">
        <v>0</v>
      </c>
      <c r="P12" s="469">
        <f>0.15*O12</f>
        <v>0</v>
      </c>
      <c r="Q12" s="3" t="s">
        <v>514</v>
      </c>
    </row>
    <row r="13" spans="1:17" x14ac:dyDescent="0.25">
      <c r="A13" s="42"/>
      <c r="B13" s="42"/>
      <c r="C13" s="42"/>
      <c r="D13" s="189"/>
      <c r="E13" s="42"/>
      <c r="F13" s="42"/>
      <c r="G13" s="191"/>
      <c r="H13" s="191"/>
      <c r="I13" s="42"/>
      <c r="J13" s="42"/>
      <c r="K13" s="463"/>
      <c r="L13" s="463"/>
      <c r="M13" s="42"/>
      <c r="N13" s="42"/>
      <c r="O13" s="470"/>
      <c r="P13" s="470"/>
      <c r="Q13" s="42"/>
    </row>
    <row r="14" spans="1:17" ht="15.6" x14ac:dyDescent="0.35">
      <c r="A14" s="353" t="s">
        <v>542</v>
      </c>
      <c r="B14" s="42"/>
      <c r="C14" s="42"/>
      <c r="D14" s="189"/>
      <c r="E14" s="42"/>
      <c r="F14" s="42"/>
      <c r="G14" s="191"/>
      <c r="H14" s="191"/>
      <c r="I14" s="42"/>
      <c r="J14" s="42"/>
      <c r="K14" s="463"/>
      <c r="L14" s="463"/>
      <c r="M14" s="42"/>
      <c r="N14" s="42"/>
      <c r="O14" s="470"/>
      <c r="P14" s="470"/>
      <c r="Q14" s="42"/>
    </row>
    <row r="15" spans="1:17" ht="15.6" x14ac:dyDescent="0.35">
      <c r="A15" t="s">
        <v>385</v>
      </c>
      <c r="B15" s="443" t="s">
        <v>472</v>
      </c>
      <c r="C15" s="438">
        <v>26.138999999999999</v>
      </c>
      <c r="D15" s="438">
        <f>0.15*C15</f>
        <v>3.9208499999999997</v>
      </c>
      <c r="E15" s="3" t="s">
        <v>515</v>
      </c>
      <c r="F15" s="445" t="s">
        <v>474</v>
      </c>
      <c r="G15" s="393">
        <v>1.456</v>
      </c>
      <c r="H15" s="393">
        <f>0.15*G15</f>
        <v>0.21839999999999998</v>
      </c>
      <c r="I15" s="3" t="s">
        <v>516</v>
      </c>
      <c r="J15" s="445" t="s">
        <v>475</v>
      </c>
      <c r="K15" s="462">
        <v>2.82E-3</v>
      </c>
      <c r="L15" s="462">
        <f>0.15*K15</f>
        <v>4.2299999999999998E-4</v>
      </c>
      <c r="M15" s="3" t="s">
        <v>517</v>
      </c>
      <c r="N15" s="447" t="s">
        <v>476</v>
      </c>
      <c r="O15" s="469">
        <v>0</v>
      </c>
      <c r="P15" s="469">
        <f>0.15*O15</f>
        <v>0</v>
      </c>
      <c r="Q15" s="3" t="s">
        <v>518</v>
      </c>
    </row>
    <row r="16" spans="1:17" x14ac:dyDescent="0.25">
      <c r="A16" s="296"/>
      <c r="B16" s="440"/>
      <c r="C16" s="440"/>
      <c r="D16" s="440"/>
      <c r="E16" s="13"/>
      <c r="F16" s="440"/>
      <c r="G16" s="459"/>
      <c r="H16" s="459"/>
      <c r="I16" s="440"/>
      <c r="J16" s="440"/>
      <c r="K16" s="464"/>
      <c r="L16" s="464"/>
      <c r="M16" s="440"/>
      <c r="N16" s="440"/>
      <c r="O16" s="471"/>
      <c r="P16" s="471"/>
      <c r="Q16" s="440"/>
    </row>
    <row r="17" spans="1:17" x14ac:dyDescent="0.25">
      <c r="A17" s="441" t="s">
        <v>473</v>
      </c>
      <c r="B17" s="440"/>
      <c r="C17" s="440"/>
      <c r="D17" s="440"/>
      <c r="E17" s="442"/>
      <c r="F17" s="440"/>
      <c r="G17" s="459"/>
      <c r="H17" s="459"/>
      <c r="I17" s="440"/>
      <c r="J17" s="440"/>
      <c r="K17" s="464"/>
      <c r="L17" s="464"/>
      <c r="M17" s="440"/>
      <c r="N17" s="440"/>
      <c r="O17" s="471"/>
      <c r="P17" s="471"/>
      <c r="Q17" s="440"/>
    </row>
    <row r="18" spans="1:17" ht="15.6" x14ac:dyDescent="0.35">
      <c r="A18" s="441" t="s">
        <v>460</v>
      </c>
      <c r="B18" s="443" t="s">
        <v>472</v>
      </c>
      <c r="C18" s="444">
        <v>1.429</v>
      </c>
      <c r="D18" s="444">
        <f>0.15*C18</f>
        <v>0.21435000000000001</v>
      </c>
      <c r="E18" s="443" t="s">
        <v>519</v>
      </c>
      <c r="F18" s="445" t="s">
        <v>474</v>
      </c>
      <c r="G18" s="446">
        <v>9.5200000000000007E-2</v>
      </c>
      <c r="H18" s="446">
        <f>0.15*G18</f>
        <v>1.4280000000000001E-2</v>
      </c>
      <c r="I18" s="443" t="s">
        <v>520</v>
      </c>
      <c r="J18" s="445" t="s">
        <v>475</v>
      </c>
      <c r="K18" s="465">
        <v>0</v>
      </c>
      <c r="L18" s="465">
        <f>0.15*K18</f>
        <v>0</v>
      </c>
      <c r="M18" s="440" t="s">
        <v>521</v>
      </c>
      <c r="N18" s="447" t="s">
        <v>476</v>
      </c>
      <c r="O18" s="472">
        <v>0</v>
      </c>
      <c r="P18" s="472">
        <f>0.15*O18</f>
        <v>0</v>
      </c>
      <c r="Q18" s="440" t="s">
        <v>522</v>
      </c>
    </row>
    <row r="19" spans="1:17" x14ac:dyDescent="0.25">
      <c r="A19" s="296"/>
      <c r="B19" s="440"/>
      <c r="C19" s="440"/>
      <c r="D19" s="440"/>
      <c r="E19" s="442"/>
      <c r="F19" s="440"/>
      <c r="G19" s="459"/>
      <c r="H19" s="459"/>
      <c r="I19" s="440"/>
      <c r="J19" s="440"/>
      <c r="K19" s="464"/>
      <c r="L19" s="464"/>
      <c r="M19" s="440"/>
      <c r="N19" s="440"/>
      <c r="O19" s="471"/>
      <c r="P19" s="471"/>
      <c r="Q19" s="440"/>
    </row>
    <row r="20" spans="1:17" x14ac:dyDescent="0.25">
      <c r="A20" s="443" t="s">
        <v>471</v>
      </c>
      <c r="B20" s="443"/>
      <c r="C20" s="448"/>
      <c r="D20" s="448"/>
      <c r="E20" s="448"/>
      <c r="F20" s="448"/>
      <c r="G20" s="460"/>
      <c r="H20" s="460"/>
      <c r="I20" s="448"/>
      <c r="J20" s="448"/>
      <c r="K20" s="466"/>
      <c r="L20" s="466"/>
      <c r="M20" s="448"/>
      <c r="N20" s="448"/>
      <c r="O20" s="473"/>
      <c r="P20" s="473"/>
      <c r="Q20" s="443"/>
    </row>
    <row r="21" spans="1:17" ht="15.6" x14ac:dyDescent="0.35">
      <c r="A21" s="443" t="s">
        <v>385</v>
      </c>
      <c r="B21" s="443" t="s">
        <v>472</v>
      </c>
      <c r="C21" s="449">
        <v>13.3125</v>
      </c>
      <c r="D21" s="449">
        <f>0.15*C21</f>
        <v>1.996875</v>
      </c>
      <c r="E21" s="443" t="s">
        <v>523</v>
      </c>
      <c r="F21" s="445" t="s">
        <v>474</v>
      </c>
      <c r="G21" s="450">
        <v>0.70830000000000004</v>
      </c>
      <c r="H21" s="450">
        <f>0.15*G21</f>
        <v>0.10624500000000001</v>
      </c>
      <c r="I21" s="443" t="s">
        <v>524</v>
      </c>
      <c r="J21" s="445" t="s">
        <v>475</v>
      </c>
      <c r="K21" s="467">
        <v>9.0600000000000001E-4</v>
      </c>
      <c r="L21" s="467">
        <f>0.15*K21</f>
        <v>1.359E-4</v>
      </c>
      <c r="M21" s="443" t="s">
        <v>525</v>
      </c>
      <c r="N21" s="447" t="s">
        <v>476</v>
      </c>
      <c r="O21" s="474">
        <v>0</v>
      </c>
      <c r="P21" s="474">
        <f>0.15*O21</f>
        <v>0</v>
      </c>
      <c r="Q21" s="443" t="s">
        <v>526</v>
      </c>
    </row>
    <row r="22" spans="1:17" x14ac:dyDescent="0.25">
      <c r="A22" s="296"/>
      <c r="B22" s="440"/>
      <c r="C22" s="440"/>
      <c r="D22" s="440"/>
      <c r="E22" s="13"/>
      <c r="F22" s="440"/>
      <c r="G22" s="459"/>
      <c r="H22" s="459"/>
      <c r="I22" s="440"/>
      <c r="J22" s="440"/>
      <c r="K22" s="464"/>
      <c r="L22" s="464"/>
      <c r="M22" s="440"/>
      <c r="N22" s="440"/>
      <c r="O22" s="471"/>
      <c r="P22" s="471"/>
      <c r="Q22" s="440"/>
    </row>
    <row r="23" spans="1:17" s="443" customFormat="1" x14ac:dyDescent="0.25">
      <c r="A23" s="443" t="s">
        <v>468</v>
      </c>
      <c r="G23" s="461"/>
      <c r="H23" s="461"/>
      <c r="K23" s="468"/>
      <c r="L23" s="468"/>
      <c r="O23" s="475"/>
      <c r="P23" s="475"/>
    </row>
    <row r="24" spans="1:17" s="443" customFormat="1" ht="15.6" x14ac:dyDescent="0.35">
      <c r="A24" s="443" t="s">
        <v>460</v>
      </c>
      <c r="B24" s="443" t="s">
        <v>472</v>
      </c>
      <c r="C24" s="451">
        <v>2.8</v>
      </c>
      <c r="D24" s="449">
        <f>0.15*C24</f>
        <v>0.42</v>
      </c>
      <c r="E24" s="443" t="s">
        <v>527</v>
      </c>
      <c r="F24" s="445" t="s">
        <v>474</v>
      </c>
      <c r="G24" s="450">
        <f>(C24/1.073)*0.076502</f>
        <v>0.19963243243243242</v>
      </c>
      <c r="H24" s="450">
        <f>0.15*G24</f>
        <v>2.9944864864864862E-2</v>
      </c>
      <c r="I24" s="443" t="s">
        <v>528</v>
      </c>
      <c r="J24" s="445" t="s">
        <v>475</v>
      </c>
      <c r="K24" s="467">
        <f>(C24/1.073)*0.0000096</f>
        <v>2.5051258154706428E-5</v>
      </c>
      <c r="L24" s="467">
        <f>0.15*K24</f>
        <v>3.757688723205964E-6</v>
      </c>
      <c r="M24" s="443" t="s">
        <v>529</v>
      </c>
      <c r="N24" s="447" t="s">
        <v>476</v>
      </c>
      <c r="O24" s="474">
        <f>(C24/1.073)*0.000000751</f>
        <v>1.9597390493942216E-6</v>
      </c>
      <c r="P24" s="474">
        <f>0.15*O24</f>
        <v>2.9396085740913322E-7</v>
      </c>
      <c r="Q24" s="443" t="s">
        <v>530</v>
      </c>
    </row>
    <row r="25" spans="1:17" x14ac:dyDescent="0.25">
      <c r="G25" s="190"/>
      <c r="H25" s="190"/>
      <c r="K25" s="12"/>
      <c r="L25" s="12"/>
      <c r="O25" s="476"/>
      <c r="P25" s="476"/>
    </row>
    <row r="26" spans="1:17" s="2" customFormat="1" ht="15.6" x14ac:dyDescent="0.35">
      <c r="A26" s="2" t="s">
        <v>533</v>
      </c>
      <c r="B26" s="443" t="s">
        <v>472</v>
      </c>
      <c r="C26" s="456">
        <f>IF($B$7="Monoammonium Phosphate",C12,IF($B$7="Diammonium Phosphate",C15,IF($B$7="Single Superphosphate",C18,IF($B$7="Triple Superphosphate",C21,C24))))</f>
        <v>13.3125</v>
      </c>
      <c r="D26" s="456">
        <f>IF($B$7="Monoammonium Phosphate",D12,IF($B$7="Diammonium Phosphate",D15,IF($B$7="Single Superphosphate",D18,IF($B$7="Triple Superphosphate",D21,D24))))</f>
        <v>1.996875</v>
      </c>
      <c r="F26" s="445" t="s">
        <v>474</v>
      </c>
      <c r="G26" s="457">
        <f>IF($B$7="Monoammonium Phosphate",G12,IF($B$7="Diammonium Phosphate",G15,IF($B$7="Single Superphosphate",G18,IF($B$7="Triple Superphosphate",G21,G24))))</f>
        <v>0.70830000000000004</v>
      </c>
      <c r="H26" s="457">
        <f>IF($B$7="Monoammonium Phosphate",H12,IF($B$7="Diammonium Phosphate",H15,IF($B$7="Single Superphosphate",H18,IF($B$7="Triple Superphosphate",H21,H24))))</f>
        <v>0.10624500000000001</v>
      </c>
      <c r="J26" s="445" t="s">
        <v>475</v>
      </c>
      <c r="K26" s="458">
        <f>IF($B$7="Monoammonium Phosphate",K12,IF($B$7="Diammonium Phosphate",K15,IF($B$7="Single Superphosphate",K18,IF($B$7="Triple Superphosphate",K21,K24))))</f>
        <v>9.0600000000000001E-4</v>
      </c>
      <c r="L26" s="458">
        <f>IF($B$7="Monoammonium Phosphate",L12,IF($B$7="Diammonium Phosphate",L15,IF($B$7="Single Superphosphate",L18,IF($B$7="Triple Superphosphate",L21,L24))))</f>
        <v>1.359E-4</v>
      </c>
      <c r="N26" s="447" t="s">
        <v>476</v>
      </c>
      <c r="O26" s="477">
        <f>IF($B$7="Monoammonium Phosphate",O12,IF($B$7="Diammonium Phosphate",O15,IF($B$7="Single Superphosphate",O18,IF($B$7="Triple Superphosphate",O21,O24))))</f>
        <v>0</v>
      </c>
      <c r="P26" s="477">
        <f>IF($B$7="Monoammonium Phosphate",P12,IF($B$7="Diammonium Phosphate",P15,IF($B$7="Single Superphosphate",P18,IF($B$7="Triple Superphosphate",P21,P24))))</f>
        <v>0</v>
      </c>
    </row>
  </sheetData>
  <mergeCells count="4">
    <mergeCell ref="B9:E9"/>
    <mergeCell ref="F9:I9"/>
    <mergeCell ref="J9:M9"/>
    <mergeCell ref="N9:Q9"/>
  </mergeCells>
  <pageMargins left="0.7" right="0.7" top="0.75" bottom="0.75"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17"/>
  <sheetViews>
    <sheetView workbookViewId="0"/>
  </sheetViews>
  <sheetFormatPr defaultRowHeight="13.2" x14ac:dyDescent="0.25"/>
  <cols>
    <col min="1" max="1" width="41.5546875" customWidth="1"/>
    <col min="2" max="2" width="28.109375" customWidth="1"/>
    <col min="6" max="6" width="14.6640625" customWidth="1"/>
    <col min="10" max="10" width="14.88671875" customWidth="1"/>
    <col min="14" max="14" width="15.109375" customWidth="1"/>
    <col min="15" max="15" width="10.109375" bestFit="1" customWidth="1"/>
    <col min="16" max="16" width="9.5546875" bestFit="1" customWidth="1"/>
  </cols>
  <sheetData>
    <row r="1" spans="1:17" x14ac:dyDescent="0.25">
      <c r="A1" s="2" t="s">
        <v>240</v>
      </c>
      <c r="B1" t="s">
        <v>1016</v>
      </c>
    </row>
    <row r="2" spans="1:17" ht="15.6" x14ac:dyDescent="0.35">
      <c r="A2" s="2" t="s">
        <v>243</v>
      </c>
      <c r="B2" t="s">
        <v>1017</v>
      </c>
    </row>
    <row r="3" spans="1:17" x14ac:dyDescent="0.25">
      <c r="A3" s="2" t="s">
        <v>241</v>
      </c>
      <c r="B3" t="s">
        <v>375</v>
      </c>
    </row>
    <row r="4" spans="1:17" x14ac:dyDescent="0.25">
      <c r="A4" s="2" t="s">
        <v>242</v>
      </c>
      <c r="B4" t="s">
        <v>375</v>
      </c>
    </row>
    <row r="5" spans="1:17" x14ac:dyDescent="0.25">
      <c r="A5" s="2"/>
    </row>
    <row r="6" spans="1:17" x14ac:dyDescent="0.25">
      <c r="A6" s="437" t="s">
        <v>408</v>
      </c>
      <c r="B6" s="102"/>
    </row>
    <row r="7" spans="1:17" x14ac:dyDescent="0.25">
      <c r="A7" s="850" t="s">
        <v>1018</v>
      </c>
      <c r="B7" s="114" t="str">
        <f>k_fert_source</f>
        <v>BIOGRACE EC Database</v>
      </c>
    </row>
    <row r="8" spans="1:17" x14ac:dyDescent="0.25">
      <c r="A8" s="844"/>
    </row>
    <row r="9" spans="1:17" x14ac:dyDescent="0.25">
      <c r="A9" s="13" t="s">
        <v>1019</v>
      </c>
      <c r="B9" s="1611" t="s">
        <v>247</v>
      </c>
      <c r="C9" s="1611"/>
      <c r="D9" s="1611"/>
      <c r="E9" s="1611"/>
      <c r="F9" s="1611" t="s">
        <v>378</v>
      </c>
      <c r="G9" s="1611"/>
      <c r="H9" s="1611"/>
      <c r="I9" s="1611"/>
      <c r="J9" s="1611" t="s">
        <v>379</v>
      </c>
      <c r="K9" s="1611"/>
      <c r="L9" s="1611"/>
      <c r="M9" s="1611"/>
      <c r="N9" s="1611" t="s">
        <v>380</v>
      </c>
      <c r="O9" s="1611"/>
      <c r="P9" s="1611"/>
      <c r="Q9" s="1611"/>
    </row>
    <row r="10" spans="1:17" x14ac:dyDescent="0.25">
      <c r="A10" s="296"/>
      <c r="B10" s="440" t="s">
        <v>246</v>
      </c>
      <c r="C10" s="440" t="s">
        <v>248</v>
      </c>
      <c r="D10" s="440" t="s">
        <v>249</v>
      </c>
      <c r="E10" s="13" t="s">
        <v>27</v>
      </c>
      <c r="F10" s="440" t="s">
        <v>246</v>
      </c>
      <c r="G10" s="440" t="s">
        <v>248</v>
      </c>
      <c r="H10" s="440" t="s">
        <v>249</v>
      </c>
      <c r="I10" s="440" t="s">
        <v>27</v>
      </c>
      <c r="J10" s="440" t="s">
        <v>246</v>
      </c>
      <c r="K10" s="440" t="s">
        <v>248</v>
      </c>
      <c r="L10" s="440" t="s">
        <v>249</v>
      </c>
      <c r="M10" s="440" t="s">
        <v>27</v>
      </c>
      <c r="N10" s="440" t="s">
        <v>246</v>
      </c>
      <c r="O10" s="440" t="s">
        <v>248</v>
      </c>
      <c r="P10" s="440" t="s">
        <v>249</v>
      </c>
      <c r="Q10" s="440" t="s">
        <v>27</v>
      </c>
    </row>
    <row r="11" spans="1:17" x14ac:dyDescent="0.25">
      <c r="A11" t="s">
        <v>1020</v>
      </c>
      <c r="C11" s="42"/>
      <c r="D11" s="42"/>
      <c r="E11" s="42"/>
      <c r="F11" s="42"/>
      <c r="G11" s="42"/>
      <c r="H11" s="42"/>
      <c r="I11" s="42"/>
      <c r="J11" s="42"/>
      <c r="K11" s="42"/>
      <c r="L11" s="42"/>
      <c r="M11" s="42"/>
      <c r="N11" s="42"/>
      <c r="O11" s="42"/>
      <c r="P11" s="42"/>
    </row>
    <row r="12" spans="1:17" ht="15.6" x14ac:dyDescent="0.35">
      <c r="A12" t="s">
        <v>1021</v>
      </c>
      <c r="B12" t="s">
        <v>1022</v>
      </c>
      <c r="C12" s="438">
        <v>29.155999999999999</v>
      </c>
      <c r="D12" s="438">
        <v>3.093</v>
      </c>
      <c r="E12" t="s">
        <v>1023</v>
      </c>
      <c r="F12" s="66" t="s">
        <v>1024</v>
      </c>
      <c r="G12" s="294">
        <v>1.655</v>
      </c>
      <c r="H12" s="294">
        <v>0.24199999999999999</v>
      </c>
      <c r="I12" t="s">
        <v>1025</v>
      </c>
      <c r="J12" s="66" t="s">
        <v>1026</v>
      </c>
      <c r="K12" s="462">
        <v>2.64E-3</v>
      </c>
      <c r="L12" s="462">
        <v>3.57E-4</v>
      </c>
      <c r="M12" t="s">
        <v>1027</v>
      </c>
      <c r="N12" s="829" t="s">
        <v>1028</v>
      </c>
      <c r="O12" s="394">
        <v>4.57E-5</v>
      </c>
      <c r="P12" s="394">
        <v>4.95E-6</v>
      </c>
      <c r="Q12" s="192" t="s">
        <v>1029</v>
      </c>
    </row>
    <row r="13" spans="1:17" ht="15.6" x14ac:dyDescent="0.35">
      <c r="A13" t="s">
        <v>1030</v>
      </c>
      <c r="B13" t="s">
        <v>1022</v>
      </c>
      <c r="C13" s="438">
        <v>29.629000000000001</v>
      </c>
      <c r="D13" s="438">
        <v>3.0939999999999999</v>
      </c>
      <c r="E13" t="s">
        <v>1031</v>
      </c>
      <c r="F13" s="66" t="s">
        <v>1024</v>
      </c>
      <c r="G13" s="294">
        <v>1.6850000000000001</v>
      </c>
      <c r="H13" s="294">
        <v>0.24199999999999999</v>
      </c>
      <c r="I13" t="s">
        <v>1032</v>
      </c>
      <c r="J13" s="66" t="s">
        <v>1026</v>
      </c>
      <c r="K13" s="462">
        <v>2.66E-3</v>
      </c>
      <c r="L13" s="462">
        <v>3.57E-4</v>
      </c>
      <c r="M13" t="s">
        <v>1033</v>
      </c>
      <c r="N13" s="829" t="s">
        <v>1028</v>
      </c>
      <c r="O13" s="394">
        <v>5.2500000000000002E-5</v>
      </c>
      <c r="P13" s="394">
        <v>4.9699999999999998E-6</v>
      </c>
      <c r="Q13" t="s">
        <v>1034</v>
      </c>
    </row>
    <row r="14" spans="1:17" ht="15.6" x14ac:dyDescent="0.35">
      <c r="A14" t="s">
        <v>1035</v>
      </c>
      <c r="B14" t="s">
        <v>1022</v>
      </c>
      <c r="C14" s="438">
        <v>9.6790000000000003</v>
      </c>
      <c r="D14" s="438">
        <f>0.15*C14</f>
        <v>1.4518500000000001</v>
      </c>
      <c r="E14" t="s">
        <v>1036</v>
      </c>
      <c r="F14" s="66" t="s">
        <v>1024</v>
      </c>
      <c r="G14" s="294">
        <v>0.5363</v>
      </c>
      <c r="H14" s="294">
        <f>0.15*G14</f>
        <v>8.0445000000000003E-2</v>
      </c>
      <c r="I14" t="s">
        <v>1037</v>
      </c>
      <c r="J14" s="66" t="s">
        <v>1026</v>
      </c>
      <c r="K14" s="462">
        <v>1.5709000000000001E-3</v>
      </c>
      <c r="L14" s="462">
        <f>0.15*K14</f>
        <v>2.3563499999999999E-4</v>
      </c>
      <c r="M14" t="s">
        <v>1038</v>
      </c>
      <c r="N14" s="829" t="s">
        <v>1028</v>
      </c>
      <c r="O14" s="394">
        <v>1.2300000000000001E-5</v>
      </c>
      <c r="P14" s="394">
        <f>0.15*O14</f>
        <v>1.8450000000000001E-6</v>
      </c>
      <c r="Q14" t="s">
        <v>1039</v>
      </c>
    </row>
    <row r="15" spans="1:17" ht="15.6" x14ac:dyDescent="0.35">
      <c r="A15" t="s">
        <v>385</v>
      </c>
      <c r="B15" s="844" t="s">
        <v>1022</v>
      </c>
      <c r="C15" s="438">
        <v>8.35</v>
      </c>
      <c r="D15" s="438">
        <f>0.15*C15</f>
        <v>1.2524999999999999</v>
      </c>
      <c r="E15" t="s">
        <v>1040</v>
      </c>
      <c r="F15" s="66" t="s">
        <v>1024</v>
      </c>
      <c r="G15" s="294">
        <v>0.48330000000000001</v>
      </c>
      <c r="H15" s="294">
        <f>0.15*G15</f>
        <v>7.2495000000000004E-2</v>
      </c>
      <c r="I15" t="s">
        <v>1041</v>
      </c>
      <c r="J15" s="66" t="s">
        <v>1026</v>
      </c>
      <c r="K15" s="462">
        <v>7.2499999999999995E-4</v>
      </c>
      <c r="L15" s="462">
        <f>0.15*K15</f>
        <v>1.0874999999999999E-4</v>
      </c>
      <c r="M15" t="s">
        <v>1042</v>
      </c>
      <c r="N15" s="829" t="s">
        <v>1028</v>
      </c>
      <c r="O15" s="394">
        <v>0</v>
      </c>
      <c r="P15" s="394">
        <f>0.15*O15</f>
        <v>0</v>
      </c>
      <c r="Q15" t="s">
        <v>1043</v>
      </c>
    </row>
    <row r="16" spans="1:17" x14ac:dyDescent="0.25">
      <c r="C16" s="42"/>
      <c r="D16" s="42"/>
      <c r="E16" s="42"/>
      <c r="F16" s="42"/>
      <c r="G16" s="150"/>
      <c r="H16" s="150"/>
      <c r="I16" s="42"/>
      <c r="J16" s="42"/>
      <c r="K16" s="463"/>
      <c r="L16" s="463"/>
      <c r="M16" s="42"/>
      <c r="N16" s="42"/>
      <c r="O16" s="797"/>
      <c r="P16" s="797"/>
    </row>
    <row r="17" spans="1:16" ht="15.6" x14ac:dyDescent="0.35">
      <c r="A17" s="2" t="s">
        <v>1044</v>
      </c>
      <c r="B17" s="844" t="s">
        <v>1022</v>
      </c>
      <c r="C17" s="297">
        <f>IF($B$7="NNFCC United Kingdom, 1996",C12,(IF($B$7="CT Database United Kingdom, 1996",C13,(IF($B$7="BIOGRACE EC Database",C14, C15)))))</f>
        <v>9.6790000000000003</v>
      </c>
      <c r="D17" s="297">
        <f>IF($B$7="NNFCC United Kingdom, 1996",D12,(IF($B$7="CT Database United Kingdom, 1996",D13,(IF($B$7="BIOGRACE EC Database",D14, D15)))))</f>
        <v>1.4518500000000001</v>
      </c>
      <c r="F17" s="66" t="s">
        <v>1045</v>
      </c>
      <c r="G17" s="297">
        <f>IF($B$7="NNFCC United Kingdom, 1996",G12,(IF($B$7="CT Database United Kingdom, 1996",G13,(IF($B$7="BIOGRACE EC Database",G14, G15)))))</f>
        <v>0.5363</v>
      </c>
      <c r="H17" s="608">
        <f>IF($B$7="NNFCC United Kingdom, 1996",H12,(IF($B$7="CT Database United Kingdom, 1996",H13,(IF($B$7="BIOGRACE EC Database",H14, H15)))))</f>
        <v>8.0445000000000003E-2</v>
      </c>
      <c r="J17" s="66" t="s">
        <v>1046</v>
      </c>
      <c r="K17" s="851">
        <f>IF($B$7="NNFCC United Kingdom, 1996",K12,(IF($B$7="CT Database United Kingdom, 1996",K13,(IF($B$7="BIOGRACE EC Database",K14, K15)))))</f>
        <v>1.5709000000000001E-3</v>
      </c>
      <c r="L17" s="851">
        <f>IF($B$7="NNFCC United Kingdom, 1996",L12,(IF($B$7="CT Database United Kingdom, 1996",L13,(IF($B$7="BIOGRACE EC Database",L14, L15)))))</f>
        <v>2.3563499999999999E-4</v>
      </c>
      <c r="N17" s="829" t="s">
        <v>1047</v>
      </c>
      <c r="O17" s="851">
        <f>IF($B$7="NNFCC United Kingdom, 1996",O12,(IF($B$7="CT Database United Kingdom, 1996",O13,(IF($B$7="BIOGRACE EC Database",O14, O15)))))</f>
        <v>1.2300000000000001E-5</v>
      </c>
      <c r="P17" s="851">
        <f>IF($B$7="NNFCC United Kingdom, 1996",P12,(IF($B$7="CT Database United Kingdom, 1996",P13,(IF($B$7="BIOGRACE EC Database",P14, P15)))))</f>
        <v>1.8450000000000001E-6</v>
      </c>
    </row>
  </sheetData>
  <mergeCells count="4">
    <mergeCell ref="B9:E9"/>
    <mergeCell ref="F9:I9"/>
    <mergeCell ref="J9:M9"/>
    <mergeCell ref="N9:Q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4"/>
  <sheetViews>
    <sheetView workbookViewId="0"/>
  </sheetViews>
  <sheetFormatPr defaultRowHeight="13.2" x14ac:dyDescent="0.25"/>
  <cols>
    <col min="1" max="1" width="76.6640625" customWidth="1"/>
  </cols>
  <sheetData>
    <row r="1" spans="1:1" x14ac:dyDescent="0.25">
      <c r="A1" s="2" t="s">
        <v>953</v>
      </c>
    </row>
    <row r="3" spans="1:1" ht="39.6" x14ac:dyDescent="0.25">
      <c r="A3" s="936" t="s">
        <v>1597</v>
      </c>
    </row>
    <row r="4" spans="1:1" x14ac:dyDescent="0.25">
      <c r="A4" s="782"/>
    </row>
    <row r="5" spans="1:1" ht="26.4" x14ac:dyDescent="0.25">
      <c r="A5" s="786" t="s">
        <v>956</v>
      </c>
    </row>
    <row r="6" spans="1:1" x14ac:dyDescent="0.25">
      <c r="A6" s="782"/>
    </row>
    <row r="7" spans="1:1" ht="39.75" customHeight="1" x14ac:dyDescent="0.25">
      <c r="A7" s="936" t="s">
        <v>1775</v>
      </c>
    </row>
    <row r="8" spans="1:1" x14ac:dyDescent="0.25">
      <c r="A8" s="782"/>
    </row>
    <row r="9" spans="1:1" ht="39.6" x14ac:dyDescent="0.25">
      <c r="A9" s="786" t="s">
        <v>957</v>
      </c>
    </row>
    <row r="10" spans="1:1" x14ac:dyDescent="0.25">
      <c r="A10" s="782"/>
    </row>
    <row r="11" spans="1:1" ht="63.75" customHeight="1" x14ac:dyDescent="0.25">
      <c r="A11" s="936" t="s">
        <v>958</v>
      </c>
    </row>
    <row r="12" spans="1:1" x14ac:dyDescent="0.25">
      <c r="A12" s="782"/>
    </row>
    <row r="13" spans="1:1" ht="26.4" x14ac:dyDescent="0.25">
      <c r="A13" s="937" t="s">
        <v>1176</v>
      </c>
    </row>
    <row r="14" spans="1:1" x14ac:dyDescent="0.25">
      <c r="A14" s="782"/>
    </row>
    <row r="15" spans="1:1" x14ac:dyDescent="0.25">
      <c r="A15" s="782"/>
    </row>
    <row r="16" spans="1:1" x14ac:dyDescent="0.25">
      <c r="A16" s="782"/>
    </row>
    <row r="17" spans="1:1" x14ac:dyDescent="0.25">
      <c r="A17" s="782"/>
    </row>
    <row r="18" spans="1:1" x14ac:dyDescent="0.25">
      <c r="A18" s="782"/>
    </row>
    <row r="19" spans="1:1" x14ac:dyDescent="0.25">
      <c r="A19" s="782"/>
    </row>
    <row r="20" spans="1:1" x14ac:dyDescent="0.25">
      <c r="A20" s="782"/>
    </row>
    <row r="21" spans="1:1" x14ac:dyDescent="0.25">
      <c r="A21" s="782"/>
    </row>
    <row r="22" spans="1:1" x14ac:dyDescent="0.25">
      <c r="A22" s="782"/>
    </row>
    <row r="23" spans="1:1" x14ac:dyDescent="0.25">
      <c r="A23" s="782"/>
    </row>
    <row r="24" spans="1:1" x14ac:dyDescent="0.25">
      <c r="A24" s="782"/>
    </row>
    <row r="25" spans="1:1" x14ac:dyDescent="0.25">
      <c r="A25" s="782"/>
    </row>
    <row r="26" spans="1:1" x14ac:dyDescent="0.25">
      <c r="A26" s="782"/>
    </row>
    <row r="27" spans="1:1" x14ac:dyDescent="0.25">
      <c r="A27" s="782"/>
    </row>
    <row r="28" spans="1:1" x14ac:dyDescent="0.25">
      <c r="A28" s="782"/>
    </row>
    <row r="29" spans="1:1" x14ac:dyDescent="0.25">
      <c r="A29" s="782"/>
    </row>
    <row r="30" spans="1:1" x14ac:dyDescent="0.25">
      <c r="A30" s="782"/>
    </row>
    <row r="31" spans="1:1" x14ac:dyDescent="0.25">
      <c r="A31" s="782"/>
    </row>
    <row r="32" spans="1:1" x14ac:dyDescent="0.25">
      <c r="A32" s="782"/>
    </row>
    <row r="33" spans="1:1" x14ac:dyDescent="0.25">
      <c r="A33" s="782"/>
    </row>
    <row r="34" spans="1:1" x14ac:dyDescent="0.25">
      <c r="A34" s="782"/>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Q20"/>
  <sheetViews>
    <sheetView workbookViewId="0"/>
  </sheetViews>
  <sheetFormatPr defaultRowHeight="13.2" x14ac:dyDescent="0.25"/>
  <cols>
    <col min="1" max="1" width="41.5546875" customWidth="1"/>
    <col min="2" max="2" width="28.109375" customWidth="1"/>
    <col min="6" max="6" width="17" customWidth="1"/>
    <col min="10" max="10" width="16.88671875" customWidth="1"/>
    <col min="14" max="14" width="16.33203125" customWidth="1"/>
    <col min="15" max="15" width="10.109375" bestFit="1" customWidth="1"/>
    <col min="16" max="16" width="9.5546875" bestFit="1" customWidth="1"/>
  </cols>
  <sheetData>
    <row r="1" spans="1:17" x14ac:dyDescent="0.25">
      <c r="A1" s="2" t="s">
        <v>240</v>
      </c>
      <c r="B1" t="s">
        <v>1048</v>
      </c>
    </row>
    <row r="2" spans="1:17" x14ac:dyDescent="0.25">
      <c r="A2" s="2" t="s">
        <v>243</v>
      </c>
      <c r="B2" s="844" t="s">
        <v>1116</v>
      </c>
    </row>
    <row r="3" spans="1:17" x14ac:dyDescent="0.25">
      <c r="A3" s="2" t="s">
        <v>241</v>
      </c>
      <c r="B3" t="s">
        <v>375</v>
      </c>
    </row>
    <row r="4" spans="1:17" x14ac:dyDescent="0.25">
      <c r="A4" s="2" t="s">
        <v>242</v>
      </c>
      <c r="B4" t="s">
        <v>375</v>
      </c>
    </row>
    <row r="5" spans="1:17" x14ac:dyDescent="0.25">
      <c r="A5" s="844"/>
    </row>
    <row r="6" spans="1:17" x14ac:dyDescent="0.25">
      <c r="A6" s="437" t="s">
        <v>408</v>
      </c>
      <c r="B6" s="102"/>
    </row>
    <row r="7" spans="1:17" x14ac:dyDescent="0.25">
      <c r="A7" s="846" t="s">
        <v>1049</v>
      </c>
      <c r="B7" s="113" t="str">
        <f>lime_fert_source</f>
        <v>BIOGRACE EC Database</v>
      </c>
    </row>
    <row r="8" spans="1:17" x14ac:dyDescent="0.25">
      <c r="A8" s="890" t="s">
        <v>1099</v>
      </c>
      <c r="B8" s="114" t="str">
        <f>lime_type</f>
        <v>CaCO3</v>
      </c>
    </row>
    <row r="9" spans="1:17" x14ac:dyDescent="0.25">
      <c r="A9" s="844"/>
    </row>
    <row r="10" spans="1:17" x14ac:dyDescent="0.25">
      <c r="A10" s="13" t="s">
        <v>1050</v>
      </c>
      <c r="B10" s="1611" t="s">
        <v>247</v>
      </c>
      <c r="C10" s="1611"/>
      <c r="D10" s="1611"/>
      <c r="E10" s="1611"/>
      <c r="F10" s="1611" t="s">
        <v>378</v>
      </c>
      <c r="G10" s="1611"/>
      <c r="H10" s="1611"/>
      <c r="I10" s="1611"/>
      <c r="J10" s="1611" t="s">
        <v>379</v>
      </c>
      <c r="K10" s="1611"/>
      <c r="L10" s="1611"/>
      <c r="M10" s="1611"/>
      <c r="N10" s="1611" t="s">
        <v>380</v>
      </c>
      <c r="O10" s="1611"/>
      <c r="P10" s="1611"/>
      <c r="Q10" s="1611"/>
    </row>
    <row r="11" spans="1:17" x14ac:dyDescent="0.25">
      <c r="A11" s="296"/>
      <c r="B11" s="440" t="s">
        <v>246</v>
      </c>
      <c r="C11" s="440" t="s">
        <v>248</v>
      </c>
      <c r="D11" s="440" t="s">
        <v>249</v>
      </c>
      <c r="E11" s="13" t="s">
        <v>27</v>
      </c>
      <c r="F11" s="440" t="s">
        <v>246</v>
      </c>
      <c r="G11" s="440" t="s">
        <v>248</v>
      </c>
      <c r="H11" s="440" t="s">
        <v>249</v>
      </c>
      <c r="I11" s="440" t="s">
        <v>27</v>
      </c>
      <c r="J11" s="440" t="s">
        <v>246</v>
      </c>
      <c r="K11" s="440" t="s">
        <v>248</v>
      </c>
      <c r="L11" s="440" t="s">
        <v>249</v>
      </c>
      <c r="M11" s="440" t="s">
        <v>27</v>
      </c>
      <c r="N11" s="440" t="s">
        <v>246</v>
      </c>
      <c r="O11" s="440" t="s">
        <v>248</v>
      </c>
      <c r="P11" s="440" t="s">
        <v>249</v>
      </c>
      <c r="Q11" s="440" t="s">
        <v>27</v>
      </c>
    </row>
    <row r="12" spans="1:17" x14ac:dyDescent="0.25">
      <c r="A12" t="s">
        <v>1048</v>
      </c>
      <c r="C12" s="42"/>
      <c r="D12" s="42"/>
      <c r="E12" s="42"/>
      <c r="F12" s="42"/>
      <c r="G12" s="42"/>
      <c r="H12" s="42"/>
      <c r="I12" s="42"/>
      <c r="J12" s="42"/>
      <c r="K12" s="42"/>
      <c r="L12" s="42"/>
      <c r="M12" s="42"/>
      <c r="N12" s="42"/>
      <c r="O12" s="42"/>
      <c r="P12" s="42"/>
    </row>
    <row r="13" spans="1:17" ht="15.6" x14ac:dyDescent="0.35">
      <c r="A13" t="s">
        <v>1021</v>
      </c>
      <c r="B13" t="s">
        <v>1051</v>
      </c>
      <c r="C13" s="294">
        <v>1.29</v>
      </c>
      <c r="D13" s="294">
        <v>5.3199999999999997E-2</v>
      </c>
      <c r="E13" t="s">
        <v>1052</v>
      </c>
      <c r="F13" s="66" t="s">
        <v>1045</v>
      </c>
      <c r="G13" s="439">
        <v>5.7700000000000001E-2</v>
      </c>
      <c r="H13" s="439">
        <v>2.2899999999999999E-3</v>
      </c>
      <c r="I13" t="s">
        <v>1053</v>
      </c>
      <c r="J13" s="66" t="s">
        <v>1046</v>
      </c>
      <c r="K13" s="171">
        <v>1.1400000000000001E-4</v>
      </c>
      <c r="L13" s="171">
        <v>6.0000000000000002E-6</v>
      </c>
      <c r="M13" t="s">
        <v>1054</v>
      </c>
      <c r="N13" s="829" t="s">
        <v>1047</v>
      </c>
      <c r="O13" s="394">
        <v>6.3899999999999998E-6</v>
      </c>
      <c r="P13" s="394">
        <v>2.2600000000000001E-7</v>
      </c>
      <c r="Q13" s="192" t="s">
        <v>1055</v>
      </c>
    </row>
    <row r="14" spans="1:17" ht="15.6" x14ac:dyDescent="0.35">
      <c r="A14" t="s">
        <v>1030</v>
      </c>
      <c r="B14" t="s">
        <v>1051</v>
      </c>
      <c r="C14" s="294">
        <v>1.5744</v>
      </c>
      <c r="D14" s="294">
        <v>5.7200000000000001E-2</v>
      </c>
      <c r="E14" s="844" t="s">
        <v>1106</v>
      </c>
      <c r="F14" s="66" t="s">
        <v>1045</v>
      </c>
      <c r="G14" s="439">
        <v>7.5600000000000001E-2</v>
      </c>
      <c r="H14" s="439">
        <v>2.6099999999999999E-3</v>
      </c>
      <c r="I14" t="s">
        <v>1056</v>
      </c>
      <c r="J14" s="66" t="s">
        <v>1046</v>
      </c>
      <c r="K14" s="171">
        <v>1.2769999999999999E-4</v>
      </c>
      <c r="L14" s="171">
        <v>6.3300000000000004E-6</v>
      </c>
      <c r="M14" t="s">
        <v>1057</v>
      </c>
      <c r="N14" s="829" t="s">
        <v>1047</v>
      </c>
      <c r="O14" s="394">
        <v>1.0499999999999999E-5</v>
      </c>
      <c r="P14" s="394">
        <v>3.3799999999999998E-7</v>
      </c>
      <c r="Q14" t="s">
        <v>1058</v>
      </c>
    </row>
    <row r="15" spans="1:17" ht="15.6" x14ac:dyDescent="0.35">
      <c r="A15" s="822" t="s">
        <v>1035</v>
      </c>
      <c r="B15" t="s">
        <v>1051</v>
      </c>
      <c r="C15" s="294">
        <v>1.1060000000000001</v>
      </c>
      <c r="D15" s="294">
        <f>0.15*C15</f>
        <v>0.16590000000000002</v>
      </c>
      <c r="E15" t="s">
        <v>1059</v>
      </c>
      <c r="F15" s="66" t="s">
        <v>1045</v>
      </c>
      <c r="G15" s="439">
        <v>6.6729999999999998E-2</v>
      </c>
      <c r="H15" s="439">
        <f>0.15*G15</f>
        <v>1.0009499999999999E-2</v>
      </c>
      <c r="I15" t="s">
        <v>1060</v>
      </c>
      <c r="J15" s="66" t="s">
        <v>1046</v>
      </c>
      <c r="K15" s="171">
        <v>1.21E-4</v>
      </c>
      <c r="L15" s="171">
        <f>0.15*K15</f>
        <v>1.8150000000000001E-5</v>
      </c>
      <c r="M15" t="s">
        <v>1061</v>
      </c>
      <c r="N15" s="829" t="s">
        <v>1047</v>
      </c>
      <c r="O15" s="394">
        <v>1.025E-5</v>
      </c>
      <c r="P15" s="394">
        <f>0.15*O15</f>
        <v>1.5374999999999999E-6</v>
      </c>
      <c r="Q15" t="s">
        <v>1062</v>
      </c>
    </row>
    <row r="16" spans="1:17" x14ac:dyDescent="0.25">
      <c r="C16" s="294"/>
      <c r="D16" s="294"/>
      <c r="F16" s="66"/>
      <c r="G16" s="439"/>
      <c r="H16" s="439"/>
      <c r="J16" s="66"/>
      <c r="K16" s="171"/>
      <c r="L16" s="171"/>
      <c r="N16" s="829"/>
      <c r="O16" s="394"/>
      <c r="P16" s="394"/>
    </row>
    <row r="17" spans="1:17" ht="15.6" x14ac:dyDescent="0.25">
      <c r="A17" t="s">
        <v>1035</v>
      </c>
      <c r="B17" t="s">
        <v>973</v>
      </c>
      <c r="C17" s="294">
        <v>1.9735200000000002</v>
      </c>
      <c r="D17" s="294">
        <f>0.15*C17</f>
        <v>0.29602800000000001</v>
      </c>
      <c r="E17" t="s">
        <v>1059</v>
      </c>
      <c r="F17" s="66" t="s">
        <v>1094</v>
      </c>
      <c r="G17" s="439">
        <v>0.119116</v>
      </c>
      <c r="H17" s="294">
        <f>0.15*G17</f>
        <v>1.7867399999999999E-2</v>
      </c>
      <c r="I17" t="s">
        <v>1060</v>
      </c>
      <c r="J17" s="66" t="s">
        <v>1095</v>
      </c>
      <c r="K17" s="171">
        <v>2.1589999999999999E-4</v>
      </c>
      <c r="L17" s="171">
        <f>0.15*K17</f>
        <v>3.2384999999999996E-5</v>
      </c>
      <c r="M17" t="s">
        <v>1061</v>
      </c>
      <c r="N17" s="829" t="s">
        <v>1096</v>
      </c>
      <c r="O17" s="394">
        <v>1.8300000000000001E-5</v>
      </c>
      <c r="P17" s="171">
        <f>0.15*O17</f>
        <v>2.745E-6</v>
      </c>
      <c r="Q17" t="s">
        <v>1062</v>
      </c>
    </row>
    <row r="18" spans="1:17" x14ac:dyDescent="0.25">
      <c r="C18" s="294"/>
      <c r="D18" s="294"/>
      <c r="F18" s="66"/>
      <c r="G18" s="439"/>
      <c r="H18" s="439"/>
      <c r="J18" s="66"/>
      <c r="K18" s="171"/>
      <c r="L18" s="171"/>
      <c r="N18" s="829"/>
      <c r="O18" s="394"/>
      <c r="P18" s="394"/>
    </row>
    <row r="19" spans="1:17" ht="15.6" x14ac:dyDescent="0.25">
      <c r="A19" s="2" t="s">
        <v>1063</v>
      </c>
      <c r="B19" s="844" t="s">
        <v>1098</v>
      </c>
      <c r="C19" s="297">
        <f>IF(AND($B$7="NNFCC United Kingdom, 1996",$B$8="CaCO3"),$C$13,(IF(AND($B$7="CT Database United Kingdom, 1996",$B$8="CaCO3"),$C$14,IF(AND($B$7="BIOGRACE EC Database",$B$8="CaCO3"),$C$15,$C$17))))</f>
        <v>1.1060000000000001</v>
      </c>
      <c r="D19" s="297">
        <f>IF(AND($B$7="NNFCC United Kingdom, 1996",$B$8="CaCO3"),D13,(IF(AND($B$7="CT Database United Kingdom, 1996",$B$8="CaCO3"),D14,IF(AND($B$7="BIOGRACE EC Database",$B$8="CaCO3"),D15,D17))))</f>
        <v>0.16590000000000002</v>
      </c>
      <c r="F19" s="843" t="s">
        <v>1112</v>
      </c>
      <c r="G19" s="297">
        <f>IF(AND($B$7="NNFCC United Kingdom, 1996",$B$8="CaCO3"),G13,(IF(AND($B$7="CT Database United Kingdom, 1996",$B$8="CaCO3"),G14,IF(AND($B$7="BIOGRACE EC Database",$B$8="CaCO3"),G15,G17))))</f>
        <v>6.6729999999999998E-2</v>
      </c>
      <c r="H19" s="297">
        <f>IF(AND($B$7="NNFCC United Kingdom, 1996",$B$8="CaCO3"),H13,(IF(AND($B$7="CT Database United Kingdom, 1996",$B$8="CaCO3"),H14,IF(AND($B$7="BIOGRACE EC Database",$B$8="CaCO3"),H15,H17))))</f>
        <v>1.0009499999999999E-2</v>
      </c>
      <c r="J19" s="843" t="s">
        <v>1113</v>
      </c>
      <c r="K19" s="297">
        <f>IF(AND($B$7="NNFCC United Kingdom, 1996",$B$8="CaCO3"),K13,(IF(AND($B$7="CT Database United Kingdom, 1996",$B$8="CaCO3"),K14,IF(AND($B$7="BIOGRACE EC Database",$B$8="CaCO3"),K15,K17))))</f>
        <v>1.21E-4</v>
      </c>
      <c r="L19" s="297">
        <f>IF(AND($B$7="NNFCC United Kingdom, 1996",$B$8="CaCO3"),L13,(IF(AND($B$7="CT Database United Kingdom, 1996",$B$8="CaCO3"),L14,IF(AND($B$7="BIOGRACE EC Database",$B$8="CaCO3"),L15,L17))))</f>
        <v>1.8150000000000001E-5</v>
      </c>
      <c r="N19" s="849" t="s">
        <v>1114</v>
      </c>
      <c r="O19" s="394">
        <f>IF(AND($B$7="NNFCC United Kingdom, 1996",$B$8="CaCO3"),O13,(IF(AND($B$7="CT Database United Kingdom, 1996",$B$8="CaCO3"),O14,IF(AND($B$7="BIOGRACE EC Database",$B$8="CaCO3"),O15,O17))))</f>
        <v>1.025E-5</v>
      </c>
      <c r="P19" s="297">
        <f>IF(AND($B$7="NNFCC United Kingdom, 1996",$B$8="CaCO3"),P13,(IF(AND($B$7="CT Database United Kingdom, 1996",$B$8="CaCO3"),P14,IF(AND($B$7="BIOGRACE EC Database",$B$8="CaCO3"),P15,P17))))</f>
        <v>1.5374999999999999E-6</v>
      </c>
    </row>
    <row r="20" spans="1:17" x14ac:dyDescent="0.25">
      <c r="C20" s="297"/>
      <c r="D20" s="297"/>
      <c r="F20" s="66"/>
      <c r="G20" s="297"/>
      <c r="H20" s="297"/>
      <c r="J20" s="66"/>
      <c r="K20" s="297"/>
      <c r="L20" s="297"/>
      <c r="N20" s="66"/>
      <c r="O20" s="394"/>
      <c r="P20" s="297"/>
    </row>
  </sheetData>
  <mergeCells count="4">
    <mergeCell ref="B10:E10"/>
    <mergeCell ref="F10:I10"/>
    <mergeCell ref="J10:M10"/>
    <mergeCell ref="N10:Q10"/>
  </mergeCells>
  <pageMargins left="0.7" right="0.7" top="0.75" bottom="0.75" header="0.3" footer="0.3"/>
  <pageSetup orientation="portrait" horizontalDpi="360" verticalDpi="36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Q16"/>
  <sheetViews>
    <sheetView workbookViewId="0">
      <pane xSplit="1" ySplit="10" topLeftCell="B11" activePane="bottomRight" state="frozen"/>
      <selection pane="topRight" activeCell="B1" sqref="B1"/>
      <selection pane="bottomLeft" activeCell="A13" sqref="A13"/>
      <selection pane="bottomRight"/>
    </sheetView>
  </sheetViews>
  <sheetFormatPr defaultRowHeight="13.2" x14ac:dyDescent="0.25"/>
  <cols>
    <col min="1" max="1" width="48.5546875" style="956" customWidth="1"/>
    <col min="2" max="2" width="28.109375" style="956" customWidth="1"/>
    <col min="3" max="5" width="9.109375" style="956"/>
    <col min="6" max="6" width="17" style="956" customWidth="1"/>
    <col min="7" max="9" width="9.109375" style="956"/>
    <col min="10" max="10" width="16.88671875" style="956" customWidth="1"/>
    <col min="11" max="13" width="9.109375" style="956"/>
    <col min="14" max="14" width="16.33203125" style="956" customWidth="1"/>
    <col min="15" max="15" width="10.109375" style="956" bestFit="1" customWidth="1"/>
    <col min="16" max="16" width="9.5546875" style="956" bestFit="1" customWidth="1"/>
    <col min="17" max="256" width="9.109375" style="956"/>
    <col min="257" max="257" width="45.5546875" style="956" customWidth="1"/>
    <col min="258" max="258" width="28.109375" style="956" customWidth="1"/>
    <col min="259" max="261" width="9.109375" style="956"/>
    <col min="262" max="262" width="17" style="956" customWidth="1"/>
    <col min="263" max="265" width="9.109375" style="956"/>
    <col min="266" max="266" width="16.88671875" style="956" customWidth="1"/>
    <col min="267" max="269" width="9.109375" style="956"/>
    <col min="270" max="270" width="16.33203125" style="956" customWidth="1"/>
    <col min="271" max="271" width="10.109375" style="956" bestFit="1" customWidth="1"/>
    <col min="272" max="272" width="9.5546875" style="956" bestFit="1" customWidth="1"/>
    <col min="273" max="512" width="9.109375" style="956"/>
    <col min="513" max="513" width="45.5546875" style="956" customWidth="1"/>
    <col min="514" max="514" width="28.109375" style="956" customWidth="1"/>
    <col min="515" max="517" width="9.109375" style="956"/>
    <col min="518" max="518" width="17" style="956" customWidth="1"/>
    <col min="519" max="521" width="9.109375" style="956"/>
    <col min="522" max="522" width="16.88671875" style="956" customWidth="1"/>
    <col min="523" max="525" width="9.109375" style="956"/>
    <col min="526" max="526" width="16.33203125" style="956" customWidth="1"/>
    <col min="527" max="527" width="10.109375" style="956" bestFit="1" customWidth="1"/>
    <col min="528" max="528" width="9.5546875" style="956" bestFit="1" customWidth="1"/>
    <col min="529" max="768" width="9.109375" style="956"/>
    <col min="769" max="769" width="45.5546875" style="956" customWidth="1"/>
    <col min="770" max="770" width="28.109375" style="956" customWidth="1"/>
    <col min="771" max="773" width="9.109375" style="956"/>
    <col min="774" max="774" width="17" style="956" customWidth="1"/>
    <col min="775" max="777" width="9.109375" style="956"/>
    <col min="778" max="778" width="16.88671875" style="956" customWidth="1"/>
    <col min="779" max="781" width="9.109375" style="956"/>
    <col min="782" max="782" width="16.33203125" style="956" customWidth="1"/>
    <col min="783" max="783" width="10.109375" style="956" bestFit="1" customWidth="1"/>
    <col min="784" max="784" width="9.5546875" style="956" bestFit="1" customWidth="1"/>
    <col min="785" max="1024" width="9.109375" style="956"/>
    <col min="1025" max="1025" width="45.5546875" style="956" customWidth="1"/>
    <col min="1026" max="1026" width="28.109375" style="956" customWidth="1"/>
    <col min="1027" max="1029" width="9.109375" style="956"/>
    <col min="1030" max="1030" width="17" style="956" customWidth="1"/>
    <col min="1031" max="1033" width="9.109375" style="956"/>
    <col min="1034" max="1034" width="16.88671875" style="956" customWidth="1"/>
    <col min="1035" max="1037" width="9.109375" style="956"/>
    <col min="1038" max="1038" width="16.33203125" style="956" customWidth="1"/>
    <col min="1039" max="1039" width="10.109375" style="956" bestFit="1" customWidth="1"/>
    <col min="1040" max="1040" width="9.5546875" style="956" bestFit="1" customWidth="1"/>
    <col min="1041" max="1280" width="9.109375" style="956"/>
    <col min="1281" max="1281" width="45.5546875" style="956" customWidth="1"/>
    <col min="1282" max="1282" width="28.109375" style="956" customWidth="1"/>
    <col min="1283" max="1285" width="9.109375" style="956"/>
    <col min="1286" max="1286" width="17" style="956" customWidth="1"/>
    <col min="1287" max="1289" width="9.109375" style="956"/>
    <col min="1290" max="1290" width="16.88671875" style="956" customWidth="1"/>
    <col min="1291" max="1293" width="9.109375" style="956"/>
    <col min="1294" max="1294" width="16.33203125" style="956" customWidth="1"/>
    <col min="1295" max="1295" width="10.109375" style="956" bestFit="1" customWidth="1"/>
    <col min="1296" max="1296" width="9.5546875" style="956" bestFit="1" customWidth="1"/>
    <col min="1297" max="1536" width="9.109375" style="956"/>
    <col min="1537" max="1537" width="45.5546875" style="956" customWidth="1"/>
    <col min="1538" max="1538" width="28.109375" style="956" customWidth="1"/>
    <col min="1539" max="1541" width="9.109375" style="956"/>
    <col min="1542" max="1542" width="17" style="956" customWidth="1"/>
    <col min="1543" max="1545" width="9.109375" style="956"/>
    <col min="1546" max="1546" width="16.88671875" style="956" customWidth="1"/>
    <col min="1547" max="1549" width="9.109375" style="956"/>
    <col min="1550" max="1550" width="16.33203125" style="956" customWidth="1"/>
    <col min="1551" max="1551" width="10.109375" style="956" bestFit="1" customWidth="1"/>
    <col min="1552" max="1552" width="9.5546875" style="956" bestFit="1" customWidth="1"/>
    <col min="1553" max="1792" width="9.109375" style="956"/>
    <col min="1793" max="1793" width="45.5546875" style="956" customWidth="1"/>
    <col min="1794" max="1794" width="28.109375" style="956" customWidth="1"/>
    <col min="1795" max="1797" width="9.109375" style="956"/>
    <col min="1798" max="1798" width="17" style="956" customWidth="1"/>
    <col min="1799" max="1801" width="9.109375" style="956"/>
    <col min="1802" max="1802" width="16.88671875" style="956" customWidth="1"/>
    <col min="1803" max="1805" width="9.109375" style="956"/>
    <col min="1806" max="1806" width="16.33203125" style="956" customWidth="1"/>
    <col min="1807" max="1807" width="10.109375" style="956" bestFit="1" customWidth="1"/>
    <col min="1808" max="1808" width="9.5546875" style="956" bestFit="1" customWidth="1"/>
    <col min="1809" max="2048" width="9.109375" style="956"/>
    <col min="2049" max="2049" width="45.5546875" style="956" customWidth="1"/>
    <col min="2050" max="2050" width="28.109375" style="956" customWidth="1"/>
    <col min="2051" max="2053" width="9.109375" style="956"/>
    <col min="2054" max="2054" width="17" style="956" customWidth="1"/>
    <col min="2055" max="2057" width="9.109375" style="956"/>
    <col min="2058" max="2058" width="16.88671875" style="956" customWidth="1"/>
    <col min="2059" max="2061" width="9.109375" style="956"/>
    <col min="2062" max="2062" width="16.33203125" style="956" customWidth="1"/>
    <col min="2063" max="2063" width="10.109375" style="956" bestFit="1" customWidth="1"/>
    <col min="2064" max="2064" width="9.5546875" style="956" bestFit="1" customWidth="1"/>
    <col min="2065" max="2304" width="9.109375" style="956"/>
    <col min="2305" max="2305" width="45.5546875" style="956" customWidth="1"/>
    <col min="2306" max="2306" width="28.109375" style="956" customWidth="1"/>
    <col min="2307" max="2309" width="9.109375" style="956"/>
    <col min="2310" max="2310" width="17" style="956" customWidth="1"/>
    <col min="2311" max="2313" width="9.109375" style="956"/>
    <col min="2314" max="2314" width="16.88671875" style="956" customWidth="1"/>
    <col min="2315" max="2317" width="9.109375" style="956"/>
    <col min="2318" max="2318" width="16.33203125" style="956" customWidth="1"/>
    <col min="2319" max="2319" width="10.109375" style="956" bestFit="1" customWidth="1"/>
    <col min="2320" max="2320" width="9.5546875" style="956" bestFit="1" customWidth="1"/>
    <col min="2321" max="2560" width="9.109375" style="956"/>
    <col min="2561" max="2561" width="45.5546875" style="956" customWidth="1"/>
    <col min="2562" max="2562" width="28.109375" style="956" customWidth="1"/>
    <col min="2563" max="2565" width="9.109375" style="956"/>
    <col min="2566" max="2566" width="17" style="956" customWidth="1"/>
    <col min="2567" max="2569" width="9.109375" style="956"/>
    <col min="2570" max="2570" width="16.88671875" style="956" customWidth="1"/>
    <col min="2571" max="2573" width="9.109375" style="956"/>
    <col min="2574" max="2574" width="16.33203125" style="956" customWidth="1"/>
    <col min="2575" max="2575" width="10.109375" style="956" bestFit="1" customWidth="1"/>
    <col min="2576" max="2576" width="9.5546875" style="956" bestFit="1" customWidth="1"/>
    <col min="2577" max="2816" width="9.109375" style="956"/>
    <col min="2817" max="2817" width="45.5546875" style="956" customWidth="1"/>
    <col min="2818" max="2818" width="28.109375" style="956" customWidth="1"/>
    <col min="2819" max="2821" width="9.109375" style="956"/>
    <col min="2822" max="2822" width="17" style="956" customWidth="1"/>
    <col min="2823" max="2825" width="9.109375" style="956"/>
    <col min="2826" max="2826" width="16.88671875" style="956" customWidth="1"/>
    <col min="2827" max="2829" width="9.109375" style="956"/>
    <col min="2830" max="2830" width="16.33203125" style="956" customWidth="1"/>
    <col min="2831" max="2831" width="10.109375" style="956" bestFit="1" customWidth="1"/>
    <col min="2832" max="2832" width="9.5546875" style="956" bestFit="1" customWidth="1"/>
    <col min="2833" max="3072" width="9.109375" style="956"/>
    <col min="3073" max="3073" width="45.5546875" style="956" customWidth="1"/>
    <col min="3074" max="3074" width="28.109375" style="956" customWidth="1"/>
    <col min="3075" max="3077" width="9.109375" style="956"/>
    <col min="3078" max="3078" width="17" style="956" customWidth="1"/>
    <col min="3079" max="3081" width="9.109375" style="956"/>
    <col min="3082" max="3082" width="16.88671875" style="956" customWidth="1"/>
    <col min="3083" max="3085" width="9.109375" style="956"/>
    <col min="3086" max="3086" width="16.33203125" style="956" customWidth="1"/>
    <col min="3087" max="3087" width="10.109375" style="956" bestFit="1" customWidth="1"/>
    <col min="3088" max="3088" width="9.5546875" style="956" bestFit="1" customWidth="1"/>
    <col min="3089" max="3328" width="9.109375" style="956"/>
    <col min="3329" max="3329" width="45.5546875" style="956" customWidth="1"/>
    <col min="3330" max="3330" width="28.109375" style="956" customWidth="1"/>
    <col min="3331" max="3333" width="9.109375" style="956"/>
    <col min="3334" max="3334" width="17" style="956" customWidth="1"/>
    <col min="3335" max="3337" width="9.109375" style="956"/>
    <col min="3338" max="3338" width="16.88671875" style="956" customWidth="1"/>
    <col min="3339" max="3341" width="9.109375" style="956"/>
    <col min="3342" max="3342" width="16.33203125" style="956" customWidth="1"/>
    <col min="3343" max="3343" width="10.109375" style="956" bestFit="1" customWidth="1"/>
    <col min="3344" max="3344" width="9.5546875" style="956" bestFit="1" customWidth="1"/>
    <col min="3345" max="3584" width="9.109375" style="956"/>
    <col min="3585" max="3585" width="45.5546875" style="956" customWidth="1"/>
    <col min="3586" max="3586" width="28.109375" style="956" customWidth="1"/>
    <col min="3587" max="3589" width="9.109375" style="956"/>
    <col min="3590" max="3590" width="17" style="956" customWidth="1"/>
    <col min="3591" max="3593" width="9.109375" style="956"/>
    <col min="3594" max="3594" width="16.88671875" style="956" customWidth="1"/>
    <col min="3595" max="3597" width="9.109375" style="956"/>
    <col min="3598" max="3598" width="16.33203125" style="956" customWidth="1"/>
    <col min="3599" max="3599" width="10.109375" style="956" bestFit="1" customWidth="1"/>
    <col min="3600" max="3600" width="9.5546875" style="956" bestFit="1" customWidth="1"/>
    <col min="3601" max="3840" width="9.109375" style="956"/>
    <col min="3841" max="3841" width="45.5546875" style="956" customWidth="1"/>
    <col min="3842" max="3842" width="28.109375" style="956" customWidth="1"/>
    <col min="3843" max="3845" width="9.109375" style="956"/>
    <col min="3846" max="3846" width="17" style="956" customWidth="1"/>
    <col min="3847" max="3849" width="9.109375" style="956"/>
    <col min="3850" max="3850" width="16.88671875" style="956" customWidth="1"/>
    <col min="3851" max="3853" width="9.109375" style="956"/>
    <col min="3854" max="3854" width="16.33203125" style="956" customWidth="1"/>
    <col min="3855" max="3855" width="10.109375" style="956" bestFit="1" customWidth="1"/>
    <col min="3856" max="3856" width="9.5546875" style="956" bestFit="1" customWidth="1"/>
    <col min="3857" max="4096" width="9.109375" style="956"/>
    <col min="4097" max="4097" width="45.5546875" style="956" customWidth="1"/>
    <col min="4098" max="4098" width="28.109375" style="956" customWidth="1"/>
    <col min="4099" max="4101" width="9.109375" style="956"/>
    <col min="4102" max="4102" width="17" style="956" customWidth="1"/>
    <col min="4103" max="4105" width="9.109375" style="956"/>
    <col min="4106" max="4106" width="16.88671875" style="956" customWidth="1"/>
    <col min="4107" max="4109" width="9.109375" style="956"/>
    <col min="4110" max="4110" width="16.33203125" style="956" customWidth="1"/>
    <col min="4111" max="4111" width="10.109375" style="956" bestFit="1" customWidth="1"/>
    <col min="4112" max="4112" width="9.5546875" style="956" bestFit="1" customWidth="1"/>
    <col min="4113" max="4352" width="9.109375" style="956"/>
    <col min="4353" max="4353" width="45.5546875" style="956" customWidth="1"/>
    <col min="4354" max="4354" width="28.109375" style="956" customWidth="1"/>
    <col min="4355" max="4357" width="9.109375" style="956"/>
    <col min="4358" max="4358" width="17" style="956" customWidth="1"/>
    <col min="4359" max="4361" width="9.109375" style="956"/>
    <col min="4362" max="4362" width="16.88671875" style="956" customWidth="1"/>
    <col min="4363" max="4365" width="9.109375" style="956"/>
    <col min="4366" max="4366" width="16.33203125" style="956" customWidth="1"/>
    <col min="4367" max="4367" width="10.109375" style="956" bestFit="1" customWidth="1"/>
    <col min="4368" max="4368" width="9.5546875" style="956" bestFit="1" customWidth="1"/>
    <col min="4369" max="4608" width="9.109375" style="956"/>
    <col min="4609" max="4609" width="45.5546875" style="956" customWidth="1"/>
    <col min="4610" max="4610" width="28.109375" style="956" customWidth="1"/>
    <col min="4611" max="4613" width="9.109375" style="956"/>
    <col min="4614" max="4614" width="17" style="956" customWidth="1"/>
    <col min="4615" max="4617" width="9.109375" style="956"/>
    <col min="4618" max="4618" width="16.88671875" style="956" customWidth="1"/>
    <col min="4619" max="4621" width="9.109375" style="956"/>
    <col min="4622" max="4622" width="16.33203125" style="956" customWidth="1"/>
    <col min="4623" max="4623" width="10.109375" style="956" bestFit="1" customWidth="1"/>
    <col min="4624" max="4624" width="9.5546875" style="956" bestFit="1" customWidth="1"/>
    <col min="4625" max="4864" width="9.109375" style="956"/>
    <col min="4865" max="4865" width="45.5546875" style="956" customWidth="1"/>
    <col min="4866" max="4866" width="28.109375" style="956" customWidth="1"/>
    <col min="4867" max="4869" width="9.109375" style="956"/>
    <col min="4870" max="4870" width="17" style="956" customWidth="1"/>
    <col min="4871" max="4873" width="9.109375" style="956"/>
    <col min="4874" max="4874" width="16.88671875" style="956" customWidth="1"/>
    <col min="4875" max="4877" width="9.109375" style="956"/>
    <col min="4878" max="4878" width="16.33203125" style="956" customWidth="1"/>
    <col min="4879" max="4879" width="10.109375" style="956" bestFit="1" customWidth="1"/>
    <col min="4880" max="4880" width="9.5546875" style="956" bestFit="1" customWidth="1"/>
    <col min="4881" max="5120" width="9.109375" style="956"/>
    <col min="5121" max="5121" width="45.5546875" style="956" customWidth="1"/>
    <col min="5122" max="5122" width="28.109375" style="956" customWidth="1"/>
    <col min="5123" max="5125" width="9.109375" style="956"/>
    <col min="5126" max="5126" width="17" style="956" customWidth="1"/>
    <col min="5127" max="5129" width="9.109375" style="956"/>
    <col min="5130" max="5130" width="16.88671875" style="956" customWidth="1"/>
    <col min="5131" max="5133" width="9.109375" style="956"/>
    <col min="5134" max="5134" width="16.33203125" style="956" customWidth="1"/>
    <col min="5135" max="5135" width="10.109375" style="956" bestFit="1" customWidth="1"/>
    <col min="5136" max="5136" width="9.5546875" style="956" bestFit="1" customWidth="1"/>
    <col min="5137" max="5376" width="9.109375" style="956"/>
    <col min="5377" max="5377" width="45.5546875" style="956" customWidth="1"/>
    <col min="5378" max="5378" width="28.109375" style="956" customWidth="1"/>
    <col min="5379" max="5381" width="9.109375" style="956"/>
    <col min="5382" max="5382" width="17" style="956" customWidth="1"/>
    <col min="5383" max="5385" width="9.109375" style="956"/>
    <col min="5386" max="5386" width="16.88671875" style="956" customWidth="1"/>
    <col min="5387" max="5389" width="9.109375" style="956"/>
    <col min="5390" max="5390" width="16.33203125" style="956" customWidth="1"/>
    <col min="5391" max="5391" width="10.109375" style="956" bestFit="1" customWidth="1"/>
    <col min="5392" max="5392" width="9.5546875" style="956" bestFit="1" customWidth="1"/>
    <col min="5393" max="5632" width="9.109375" style="956"/>
    <col min="5633" max="5633" width="45.5546875" style="956" customWidth="1"/>
    <col min="5634" max="5634" width="28.109375" style="956" customWidth="1"/>
    <col min="5635" max="5637" width="9.109375" style="956"/>
    <col min="5638" max="5638" width="17" style="956" customWidth="1"/>
    <col min="5639" max="5641" width="9.109375" style="956"/>
    <col min="5642" max="5642" width="16.88671875" style="956" customWidth="1"/>
    <col min="5643" max="5645" width="9.109375" style="956"/>
    <col min="5646" max="5646" width="16.33203125" style="956" customWidth="1"/>
    <col min="5647" max="5647" width="10.109375" style="956" bestFit="1" customWidth="1"/>
    <col min="5648" max="5648" width="9.5546875" style="956" bestFit="1" customWidth="1"/>
    <col min="5649" max="5888" width="9.109375" style="956"/>
    <col min="5889" max="5889" width="45.5546875" style="956" customWidth="1"/>
    <col min="5890" max="5890" width="28.109375" style="956" customWidth="1"/>
    <col min="5891" max="5893" width="9.109375" style="956"/>
    <col min="5894" max="5894" width="17" style="956" customWidth="1"/>
    <col min="5895" max="5897" width="9.109375" style="956"/>
    <col min="5898" max="5898" width="16.88671875" style="956" customWidth="1"/>
    <col min="5899" max="5901" width="9.109375" style="956"/>
    <col min="5902" max="5902" width="16.33203125" style="956" customWidth="1"/>
    <col min="5903" max="5903" width="10.109375" style="956" bestFit="1" customWidth="1"/>
    <col min="5904" max="5904" width="9.5546875" style="956" bestFit="1" customWidth="1"/>
    <col min="5905" max="6144" width="9.109375" style="956"/>
    <col min="6145" max="6145" width="45.5546875" style="956" customWidth="1"/>
    <col min="6146" max="6146" width="28.109375" style="956" customWidth="1"/>
    <col min="6147" max="6149" width="9.109375" style="956"/>
    <col min="6150" max="6150" width="17" style="956" customWidth="1"/>
    <col min="6151" max="6153" width="9.109375" style="956"/>
    <col min="6154" max="6154" width="16.88671875" style="956" customWidth="1"/>
    <col min="6155" max="6157" width="9.109375" style="956"/>
    <col min="6158" max="6158" width="16.33203125" style="956" customWidth="1"/>
    <col min="6159" max="6159" width="10.109375" style="956" bestFit="1" customWidth="1"/>
    <col min="6160" max="6160" width="9.5546875" style="956" bestFit="1" customWidth="1"/>
    <col min="6161" max="6400" width="9.109375" style="956"/>
    <col min="6401" max="6401" width="45.5546875" style="956" customWidth="1"/>
    <col min="6402" max="6402" width="28.109375" style="956" customWidth="1"/>
    <col min="6403" max="6405" width="9.109375" style="956"/>
    <col min="6406" max="6406" width="17" style="956" customWidth="1"/>
    <col min="6407" max="6409" width="9.109375" style="956"/>
    <col min="6410" max="6410" width="16.88671875" style="956" customWidth="1"/>
    <col min="6411" max="6413" width="9.109375" style="956"/>
    <col min="6414" max="6414" width="16.33203125" style="956" customWidth="1"/>
    <col min="6415" max="6415" width="10.109375" style="956" bestFit="1" customWidth="1"/>
    <col min="6416" max="6416" width="9.5546875" style="956" bestFit="1" customWidth="1"/>
    <col min="6417" max="6656" width="9.109375" style="956"/>
    <col min="6657" max="6657" width="45.5546875" style="956" customWidth="1"/>
    <col min="6658" max="6658" width="28.109375" style="956" customWidth="1"/>
    <col min="6659" max="6661" width="9.109375" style="956"/>
    <col min="6662" max="6662" width="17" style="956" customWidth="1"/>
    <col min="6663" max="6665" width="9.109375" style="956"/>
    <col min="6666" max="6666" width="16.88671875" style="956" customWidth="1"/>
    <col min="6667" max="6669" width="9.109375" style="956"/>
    <col min="6670" max="6670" width="16.33203125" style="956" customWidth="1"/>
    <col min="6671" max="6671" width="10.109375" style="956" bestFit="1" customWidth="1"/>
    <col min="6672" max="6672" width="9.5546875" style="956" bestFit="1" customWidth="1"/>
    <col min="6673" max="6912" width="9.109375" style="956"/>
    <col min="6913" max="6913" width="45.5546875" style="956" customWidth="1"/>
    <col min="6914" max="6914" width="28.109375" style="956" customWidth="1"/>
    <col min="6915" max="6917" width="9.109375" style="956"/>
    <col min="6918" max="6918" width="17" style="956" customWidth="1"/>
    <col min="6919" max="6921" width="9.109375" style="956"/>
    <col min="6922" max="6922" width="16.88671875" style="956" customWidth="1"/>
    <col min="6923" max="6925" width="9.109375" style="956"/>
    <col min="6926" max="6926" width="16.33203125" style="956" customWidth="1"/>
    <col min="6927" max="6927" width="10.109375" style="956" bestFit="1" customWidth="1"/>
    <col min="6928" max="6928" width="9.5546875" style="956" bestFit="1" customWidth="1"/>
    <col min="6929" max="7168" width="9.109375" style="956"/>
    <col min="7169" max="7169" width="45.5546875" style="956" customWidth="1"/>
    <col min="7170" max="7170" width="28.109375" style="956" customWidth="1"/>
    <col min="7171" max="7173" width="9.109375" style="956"/>
    <col min="7174" max="7174" width="17" style="956" customWidth="1"/>
    <col min="7175" max="7177" width="9.109375" style="956"/>
    <col min="7178" max="7178" width="16.88671875" style="956" customWidth="1"/>
    <col min="7179" max="7181" width="9.109375" style="956"/>
    <col min="7182" max="7182" width="16.33203125" style="956" customWidth="1"/>
    <col min="7183" max="7183" width="10.109375" style="956" bestFit="1" customWidth="1"/>
    <col min="7184" max="7184" width="9.5546875" style="956" bestFit="1" customWidth="1"/>
    <col min="7185" max="7424" width="9.109375" style="956"/>
    <col min="7425" max="7425" width="45.5546875" style="956" customWidth="1"/>
    <col min="7426" max="7426" width="28.109375" style="956" customWidth="1"/>
    <col min="7427" max="7429" width="9.109375" style="956"/>
    <col min="7430" max="7430" width="17" style="956" customWidth="1"/>
    <col min="7431" max="7433" width="9.109375" style="956"/>
    <col min="7434" max="7434" width="16.88671875" style="956" customWidth="1"/>
    <col min="7435" max="7437" width="9.109375" style="956"/>
    <col min="7438" max="7438" width="16.33203125" style="956" customWidth="1"/>
    <col min="7439" max="7439" width="10.109375" style="956" bestFit="1" customWidth="1"/>
    <col min="7440" max="7440" width="9.5546875" style="956" bestFit="1" customWidth="1"/>
    <col min="7441" max="7680" width="9.109375" style="956"/>
    <col min="7681" max="7681" width="45.5546875" style="956" customWidth="1"/>
    <col min="7682" max="7682" width="28.109375" style="956" customWidth="1"/>
    <col min="7683" max="7685" width="9.109375" style="956"/>
    <col min="7686" max="7686" width="17" style="956" customWidth="1"/>
    <col min="7687" max="7689" width="9.109375" style="956"/>
    <col min="7690" max="7690" width="16.88671875" style="956" customWidth="1"/>
    <col min="7691" max="7693" width="9.109375" style="956"/>
    <col min="7694" max="7694" width="16.33203125" style="956" customWidth="1"/>
    <col min="7695" max="7695" width="10.109375" style="956" bestFit="1" customWidth="1"/>
    <col min="7696" max="7696" width="9.5546875" style="956" bestFit="1" customWidth="1"/>
    <col min="7697" max="7936" width="9.109375" style="956"/>
    <col min="7937" max="7937" width="45.5546875" style="956" customWidth="1"/>
    <col min="7938" max="7938" width="28.109375" style="956" customWidth="1"/>
    <col min="7939" max="7941" width="9.109375" style="956"/>
    <col min="7942" max="7942" width="17" style="956" customWidth="1"/>
    <col min="7943" max="7945" width="9.109375" style="956"/>
    <col min="7946" max="7946" width="16.88671875" style="956" customWidth="1"/>
    <col min="7947" max="7949" width="9.109375" style="956"/>
    <col min="7950" max="7950" width="16.33203125" style="956" customWidth="1"/>
    <col min="7951" max="7951" width="10.109375" style="956" bestFit="1" customWidth="1"/>
    <col min="7952" max="7952" width="9.5546875" style="956" bestFit="1" customWidth="1"/>
    <col min="7953" max="8192" width="9.109375" style="956"/>
    <col min="8193" max="8193" width="45.5546875" style="956" customWidth="1"/>
    <col min="8194" max="8194" width="28.109375" style="956" customWidth="1"/>
    <col min="8195" max="8197" width="9.109375" style="956"/>
    <col min="8198" max="8198" width="17" style="956" customWidth="1"/>
    <col min="8199" max="8201" width="9.109375" style="956"/>
    <col min="8202" max="8202" width="16.88671875" style="956" customWidth="1"/>
    <col min="8203" max="8205" width="9.109375" style="956"/>
    <col min="8206" max="8206" width="16.33203125" style="956" customWidth="1"/>
    <col min="8207" max="8207" width="10.109375" style="956" bestFit="1" customWidth="1"/>
    <col min="8208" max="8208" width="9.5546875" style="956" bestFit="1" customWidth="1"/>
    <col min="8209" max="8448" width="9.109375" style="956"/>
    <col min="8449" max="8449" width="45.5546875" style="956" customWidth="1"/>
    <col min="8450" max="8450" width="28.109375" style="956" customWidth="1"/>
    <col min="8451" max="8453" width="9.109375" style="956"/>
    <col min="8454" max="8454" width="17" style="956" customWidth="1"/>
    <col min="8455" max="8457" width="9.109375" style="956"/>
    <col min="8458" max="8458" width="16.88671875" style="956" customWidth="1"/>
    <col min="8459" max="8461" width="9.109375" style="956"/>
    <col min="8462" max="8462" width="16.33203125" style="956" customWidth="1"/>
    <col min="8463" max="8463" width="10.109375" style="956" bestFit="1" customWidth="1"/>
    <col min="8464" max="8464" width="9.5546875" style="956" bestFit="1" customWidth="1"/>
    <col min="8465" max="8704" width="9.109375" style="956"/>
    <col min="8705" max="8705" width="45.5546875" style="956" customWidth="1"/>
    <col min="8706" max="8706" width="28.109375" style="956" customWidth="1"/>
    <col min="8707" max="8709" width="9.109375" style="956"/>
    <col min="8710" max="8710" width="17" style="956" customWidth="1"/>
    <col min="8711" max="8713" width="9.109375" style="956"/>
    <col min="8714" max="8714" width="16.88671875" style="956" customWidth="1"/>
    <col min="8715" max="8717" width="9.109375" style="956"/>
    <col min="8718" max="8718" width="16.33203125" style="956" customWidth="1"/>
    <col min="8719" max="8719" width="10.109375" style="956" bestFit="1" customWidth="1"/>
    <col min="8720" max="8720" width="9.5546875" style="956" bestFit="1" customWidth="1"/>
    <col min="8721" max="8960" width="9.109375" style="956"/>
    <col min="8961" max="8961" width="45.5546875" style="956" customWidth="1"/>
    <col min="8962" max="8962" width="28.109375" style="956" customWidth="1"/>
    <col min="8963" max="8965" width="9.109375" style="956"/>
    <col min="8966" max="8966" width="17" style="956" customWidth="1"/>
    <col min="8967" max="8969" width="9.109375" style="956"/>
    <col min="8970" max="8970" width="16.88671875" style="956" customWidth="1"/>
    <col min="8971" max="8973" width="9.109375" style="956"/>
    <col min="8974" max="8974" width="16.33203125" style="956" customWidth="1"/>
    <col min="8975" max="8975" width="10.109375" style="956" bestFit="1" customWidth="1"/>
    <col min="8976" max="8976" width="9.5546875" style="956" bestFit="1" customWidth="1"/>
    <col min="8977" max="9216" width="9.109375" style="956"/>
    <col min="9217" max="9217" width="45.5546875" style="956" customWidth="1"/>
    <col min="9218" max="9218" width="28.109375" style="956" customWidth="1"/>
    <col min="9219" max="9221" width="9.109375" style="956"/>
    <col min="9222" max="9222" width="17" style="956" customWidth="1"/>
    <col min="9223" max="9225" width="9.109375" style="956"/>
    <col min="9226" max="9226" width="16.88671875" style="956" customWidth="1"/>
    <col min="9227" max="9229" width="9.109375" style="956"/>
    <col min="9230" max="9230" width="16.33203125" style="956" customWidth="1"/>
    <col min="9231" max="9231" width="10.109375" style="956" bestFit="1" customWidth="1"/>
    <col min="9232" max="9232" width="9.5546875" style="956" bestFit="1" customWidth="1"/>
    <col min="9233" max="9472" width="9.109375" style="956"/>
    <col min="9473" max="9473" width="45.5546875" style="956" customWidth="1"/>
    <col min="9474" max="9474" width="28.109375" style="956" customWidth="1"/>
    <col min="9475" max="9477" width="9.109375" style="956"/>
    <col min="9478" max="9478" width="17" style="956" customWidth="1"/>
    <col min="9479" max="9481" width="9.109375" style="956"/>
    <col min="9482" max="9482" width="16.88671875" style="956" customWidth="1"/>
    <col min="9483" max="9485" width="9.109375" style="956"/>
    <col min="9486" max="9486" width="16.33203125" style="956" customWidth="1"/>
    <col min="9487" max="9487" width="10.109375" style="956" bestFit="1" customWidth="1"/>
    <col min="9488" max="9488" width="9.5546875" style="956" bestFit="1" customWidth="1"/>
    <col min="9489" max="9728" width="9.109375" style="956"/>
    <col min="9729" max="9729" width="45.5546875" style="956" customWidth="1"/>
    <col min="9730" max="9730" width="28.109375" style="956" customWidth="1"/>
    <col min="9731" max="9733" width="9.109375" style="956"/>
    <col min="9734" max="9734" width="17" style="956" customWidth="1"/>
    <col min="9735" max="9737" width="9.109375" style="956"/>
    <col min="9738" max="9738" width="16.88671875" style="956" customWidth="1"/>
    <col min="9739" max="9741" width="9.109375" style="956"/>
    <col min="9742" max="9742" width="16.33203125" style="956" customWidth="1"/>
    <col min="9743" max="9743" width="10.109375" style="956" bestFit="1" customWidth="1"/>
    <col min="9744" max="9744" width="9.5546875" style="956" bestFit="1" customWidth="1"/>
    <col min="9745" max="9984" width="9.109375" style="956"/>
    <col min="9985" max="9985" width="45.5546875" style="956" customWidth="1"/>
    <col min="9986" max="9986" width="28.109375" style="956" customWidth="1"/>
    <col min="9987" max="9989" width="9.109375" style="956"/>
    <col min="9990" max="9990" width="17" style="956" customWidth="1"/>
    <col min="9991" max="9993" width="9.109375" style="956"/>
    <col min="9994" max="9994" width="16.88671875" style="956" customWidth="1"/>
    <col min="9995" max="9997" width="9.109375" style="956"/>
    <col min="9998" max="9998" width="16.33203125" style="956" customWidth="1"/>
    <col min="9999" max="9999" width="10.109375" style="956" bestFit="1" customWidth="1"/>
    <col min="10000" max="10000" width="9.5546875" style="956" bestFit="1" customWidth="1"/>
    <col min="10001" max="10240" width="9.109375" style="956"/>
    <col min="10241" max="10241" width="45.5546875" style="956" customWidth="1"/>
    <col min="10242" max="10242" width="28.109375" style="956" customWidth="1"/>
    <col min="10243" max="10245" width="9.109375" style="956"/>
    <col min="10246" max="10246" width="17" style="956" customWidth="1"/>
    <col min="10247" max="10249" width="9.109375" style="956"/>
    <col min="10250" max="10250" width="16.88671875" style="956" customWidth="1"/>
    <col min="10251" max="10253" width="9.109375" style="956"/>
    <col min="10254" max="10254" width="16.33203125" style="956" customWidth="1"/>
    <col min="10255" max="10255" width="10.109375" style="956" bestFit="1" customWidth="1"/>
    <col min="10256" max="10256" width="9.5546875" style="956" bestFit="1" customWidth="1"/>
    <col min="10257" max="10496" width="9.109375" style="956"/>
    <col min="10497" max="10497" width="45.5546875" style="956" customWidth="1"/>
    <col min="10498" max="10498" width="28.109375" style="956" customWidth="1"/>
    <col min="10499" max="10501" width="9.109375" style="956"/>
    <col min="10502" max="10502" width="17" style="956" customWidth="1"/>
    <col min="10503" max="10505" width="9.109375" style="956"/>
    <col min="10506" max="10506" width="16.88671875" style="956" customWidth="1"/>
    <col min="10507" max="10509" width="9.109375" style="956"/>
    <col min="10510" max="10510" width="16.33203125" style="956" customWidth="1"/>
    <col min="10511" max="10511" width="10.109375" style="956" bestFit="1" customWidth="1"/>
    <col min="10512" max="10512" width="9.5546875" style="956" bestFit="1" customWidth="1"/>
    <col min="10513" max="10752" width="9.109375" style="956"/>
    <col min="10753" max="10753" width="45.5546875" style="956" customWidth="1"/>
    <col min="10754" max="10754" width="28.109375" style="956" customWidth="1"/>
    <col min="10755" max="10757" width="9.109375" style="956"/>
    <col min="10758" max="10758" width="17" style="956" customWidth="1"/>
    <col min="10759" max="10761" width="9.109375" style="956"/>
    <col min="10762" max="10762" width="16.88671875" style="956" customWidth="1"/>
    <col min="10763" max="10765" width="9.109375" style="956"/>
    <col min="10766" max="10766" width="16.33203125" style="956" customWidth="1"/>
    <col min="10767" max="10767" width="10.109375" style="956" bestFit="1" customWidth="1"/>
    <col min="10768" max="10768" width="9.5546875" style="956" bestFit="1" customWidth="1"/>
    <col min="10769" max="11008" width="9.109375" style="956"/>
    <col min="11009" max="11009" width="45.5546875" style="956" customWidth="1"/>
    <col min="11010" max="11010" width="28.109375" style="956" customWidth="1"/>
    <col min="11011" max="11013" width="9.109375" style="956"/>
    <col min="11014" max="11014" width="17" style="956" customWidth="1"/>
    <col min="11015" max="11017" width="9.109375" style="956"/>
    <col min="11018" max="11018" width="16.88671875" style="956" customWidth="1"/>
    <col min="11019" max="11021" width="9.109375" style="956"/>
    <col min="11022" max="11022" width="16.33203125" style="956" customWidth="1"/>
    <col min="11023" max="11023" width="10.109375" style="956" bestFit="1" customWidth="1"/>
    <col min="11024" max="11024" width="9.5546875" style="956" bestFit="1" customWidth="1"/>
    <col min="11025" max="11264" width="9.109375" style="956"/>
    <col min="11265" max="11265" width="45.5546875" style="956" customWidth="1"/>
    <col min="11266" max="11266" width="28.109375" style="956" customWidth="1"/>
    <col min="11267" max="11269" width="9.109375" style="956"/>
    <col min="11270" max="11270" width="17" style="956" customWidth="1"/>
    <col min="11271" max="11273" width="9.109375" style="956"/>
    <col min="11274" max="11274" width="16.88671875" style="956" customWidth="1"/>
    <col min="11275" max="11277" width="9.109375" style="956"/>
    <col min="11278" max="11278" width="16.33203125" style="956" customWidth="1"/>
    <col min="11279" max="11279" width="10.109375" style="956" bestFit="1" customWidth="1"/>
    <col min="11280" max="11280" width="9.5546875" style="956" bestFit="1" customWidth="1"/>
    <col min="11281" max="11520" width="9.109375" style="956"/>
    <col min="11521" max="11521" width="45.5546875" style="956" customWidth="1"/>
    <col min="11522" max="11522" width="28.109375" style="956" customWidth="1"/>
    <col min="11523" max="11525" width="9.109375" style="956"/>
    <col min="11526" max="11526" width="17" style="956" customWidth="1"/>
    <col min="11527" max="11529" width="9.109375" style="956"/>
    <col min="11530" max="11530" width="16.88671875" style="956" customWidth="1"/>
    <col min="11531" max="11533" width="9.109375" style="956"/>
    <col min="11534" max="11534" width="16.33203125" style="956" customWidth="1"/>
    <col min="11535" max="11535" width="10.109375" style="956" bestFit="1" customWidth="1"/>
    <col min="11536" max="11536" width="9.5546875" style="956" bestFit="1" customWidth="1"/>
    <col min="11537" max="11776" width="9.109375" style="956"/>
    <col min="11777" max="11777" width="45.5546875" style="956" customWidth="1"/>
    <col min="11778" max="11778" width="28.109375" style="956" customWidth="1"/>
    <col min="11779" max="11781" width="9.109375" style="956"/>
    <col min="11782" max="11782" width="17" style="956" customWidth="1"/>
    <col min="11783" max="11785" width="9.109375" style="956"/>
    <col min="11786" max="11786" width="16.88671875" style="956" customWidth="1"/>
    <col min="11787" max="11789" width="9.109375" style="956"/>
    <col min="11790" max="11790" width="16.33203125" style="956" customWidth="1"/>
    <col min="11791" max="11791" width="10.109375" style="956" bestFit="1" customWidth="1"/>
    <col min="11792" max="11792" width="9.5546875" style="956" bestFit="1" customWidth="1"/>
    <col min="11793" max="12032" width="9.109375" style="956"/>
    <col min="12033" max="12033" width="45.5546875" style="956" customWidth="1"/>
    <col min="12034" max="12034" width="28.109375" style="956" customWidth="1"/>
    <col min="12035" max="12037" width="9.109375" style="956"/>
    <col min="12038" max="12038" width="17" style="956" customWidth="1"/>
    <col min="12039" max="12041" width="9.109375" style="956"/>
    <col min="12042" max="12042" width="16.88671875" style="956" customWidth="1"/>
    <col min="12043" max="12045" width="9.109375" style="956"/>
    <col min="12046" max="12046" width="16.33203125" style="956" customWidth="1"/>
    <col min="12047" max="12047" width="10.109375" style="956" bestFit="1" customWidth="1"/>
    <col min="12048" max="12048" width="9.5546875" style="956" bestFit="1" customWidth="1"/>
    <col min="12049" max="12288" width="9.109375" style="956"/>
    <col min="12289" max="12289" width="45.5546875" style="956" customWidth="1"/>
    <col min="12290" max="12290" width="28.109375" style="956" customWidth="1"/>
    <col min="12291" max="12293" width="9.109375" style="956"/>
    <col min="12294" max="12294" width="17" style="956" customWidth="1"/>
    <col min="12295" max="12297" width="9.109375" style="956"/>
    <col min="12298" max="12298" width="16.88671875" style="956" customWidth="1"/>
    <col min="12299" max="12301" width="9.109375" style="956"/>
    <col min="12302" max="12302" width="16.33203125" style="956" customWidth="1"/>
    <col min="12303" max="12303" width="10.109375" style="956" bestFit="1" customWidth="1"/>
    <col min="12304" max="12304" width="9.5546875" style="956" bestFit="1" customWidth="1"/>
    <col min="12305" max="12544" width="9.109375" style="956"/>
    <col min="12545" max="12545" width="45.5546875" style="956" customWidth="1"/>
    <col min="12546" max="12546" width="28.109375" style="956" customWidth="1"/>
    <col min="12547" max="12549" width="9.109375" style="956"/>
    <col min="12550" max="12550" width="17" style="956" customWidth="1"/>
    <col min="12551" max="12553" width="9.109375" style="956"/>
    <col min="12554" max="12554" width="16.88671875" style="956" customWidth="1"/>
    <col min="12555" max="12557" width="9.109375" style="956"/>
    <col min="12558" max="12558" width="16.33203125" style="956" customWidth="1"/>
    <col min="12559" max="12559" width="10.109375" style="956" bestFit="1" customWidth="1"/>
    <col min="12560" max="12560" width="9.5546875" style="956" bestFit="1" customWidth="1"/>
    <col min="12561" max="12800" width="9.109375" style="956"/>
    <col min="12801" max="12801" width="45.5546875" style="956" customWidth="1"/>
    <col min="12802" max="12802" width="28.109375" style="956" customWidth="1"/>
    <col min="12803" max="12805" width="9.109375" style="956"/>
    <col min="12806" max="12806" width="17" style="956" customWidth="1"/>
    <col min="12807" max="12809" width="9.109375" style="956"/>
    <col min="12810" max="12810" width="16.88671875" style="956" customWidth="1"/>
    <col min="12811" max="12813" width="9.109375" style="956"/>
    <col min="12814" max="12814" width="16.33203125" style="956" customWidth="1"/>
    <col min="12815" max="12815" width="10.109375" style="956" bestFit="1" customWidth="1"/>
    <col min="12816" max="12816" width="9.5546875" style="956" bestFit="1" customWidth="1"/>
    <col min="12817" max="13056" width="9.109375" style="956"/>
    <col min="13057" max="13057" width="45.5546875" style="956" customWidth="1"/>
    <col min="13058" max="13058" width="28.109375" style="956" customWidth="1"/>
    <col min="13059" max="13061" width="9.109375" style="956"/>
    <col min="13062" max="13062" width="17" style="956" customWidth="1"/>
    <col min="13063" max="13065" width="9.109375" style="956"/>
    <col min="13066" max="13066" width="16.88671875" style="956" customWidth="1"/>
    <col min="13067" max="13069" width="9.109375" style="956"/>
    <col min="13070" max="13070" width="16.33203125" style="956" customWidth="1"/>
    <col min="13071" max="13071" width="10.109375" style="956" bestFit="1" customWidth="1"/>
    <col min="13072" max="13072" width="9.5546875" style="956" bestFit="1" customWidth="1"/>
    <col min="13073" max="13312" width="9.109375" style="956"/>
    <col min="13313" max="13313" width="45.5546875" style="956" customWidth="1"/>
    <col min="13314" max="13314" width="28.109375" style="956" customWidth="1"/>
    <col min="13315" max="13317" width="9.109375" style="956"/>
    <col min="13318" max="13318" width="17" style="956" customWidth="1"/>
    <col min="13319" max="13321" width="9.109375" style="956"/>
    <col min="13322" max="13322" width="16.88671875" style="956" customWidth="1"/>
    <col min="13323" max="13325" width="9.109375" style="956"/>
    <col min="13326" max="13326" width="16.33203125" style="956" customWidth="1"/>
    <col min="13327" max="13327" width="10.109375" style="956" bestFit="1" customWidth="1"/>
    <col min="13328" max="13328" width="9.5546875" style="956" bestFit="1" customWidth="1"/>
    <col min="13329" max="13568" width="9.109375" style="956"/>
    <col min="13569" max="13569" width="45.5546875" style="956" customWidth="1"/>
    <col min="13570" max="13570" width="28.109375" style="956" customWidth="1"/>
    <col min="13571" max="13573" width="9.109375" style="956"/>
    <col min="13574" max="13574" width="17" style="956" customWidth="1"/>
    <col min="13575" max="13577" width="9.109375" style="956"/>
    <col min="13578" max="13578" width="16.88671875" style="956" customWidth="1"/>
    <col min="13579" max="13581" width="9.109375" style="956"/>
    <col min="13582" max="13582" width="16.33203125" style="956" customWidth="1"/>
    <col min="13583" max="13583" width="10.109375" style="956" bestFit="1" customWidth="1"/>
    <col min="13584" max="13584" width="9.5546875" style="956" bestFit="1" customWidth="1"/>
    <col min="13585" max="13824" width="9.109375" style="956"/>
    <col min="13825" max="13825" width="45.5546875" style="956" customWidth="1"/>
    <col min="13826" max="13826" width="28.109375" style="956" customWidth="1"/>
    <col min="13827" max="13829" width="9.109375" style="956"/>
    <col min="13830" max="13830" width="17" style="956" customWidth="1"/>
    <col min="13831" max="13833" width="9.109375" style="956"/>
    <col min="13834" max="13834" width="16.88671875" style="956" customWidth="1"/>
    <col min="13835" max="13837" width="9.109375" style="956"/>
    <col min="13838" max="13838" width="16.33203125" style="956" customWidth="1"/>
    <col min="13839" max="13839" width="10.109375" style="956" bestFit="1" customWidth="1"/>
    <col min="13840" max="13840" width="9.5546875" style="956" bestFit="1" customWidth="1"/>
    <col min="13841" max="14080" width="9.109375" style="956"/>
    <col min="14081" max="14081" width="45.5546875" style="956" customWidth="1"/>
    <col min="14082" max="14082" width="28.109375" style="956" customWidth="1"/>
    <col min="14083" max="14085" width="9.109375" style="956"/>
    <col min="14086" max="14086" width="17" style="956" customWidth="1"/>
    <col min="14087" max="14089" width="9.109375" style="956"/>
    <col min="14090" max="14090" width="16.88671875" style="956" customWidth="1"/>
    <col min="14091" max="14093" width="9.109375" style="956"/>
    <col min="14094" max="14094" width="16.33203125" style="956" customWidth="1"/>
    <col min="14095" max="14095" width="10.109375" style="956" bestFit="1" customWidth="1"/>
    <col min="14096" max="14096" width="9.5546875" style="956" bestFit="1" customWidth="1"/>
    <col min="14097" max="14336" width="9.109375" style="956"/>
    <col min="14337" max="14337" width="45.5546875" style="956" customWidth="1"/>
    <col min="14338" max="14338" width="28.109375" style="956" customWidth="1"/>
    <col min="14339" max="14341" width="9.109375" style="956"/>
    <col min="14342" max="14342" width="17" style="956" customWidth="1"/>
    <col min="14343" max="14345" width="9.109375" style="956"/>
    <col min="14346" max="14346" width="16.88671875" style="956" customWidth="1"/>
    <col min="14347" max="14349" width="9.109375" style="956"/>
    <col min="14350" max="14350" width="16.33203125" style="956" customWidth="1"/>
    <col min="14351" max="14351" width="10.109375" style="956" bestFit="1" customWidth="1"/>
    <col min="14352" max="14352" width="9.5546875" style="956" bestFit="1" customWidth="1"/>
    <col min="14353" max="14592" width="9.109375" style="956"/>
    <col min="14593" max="14593" width="45.5546875" style="956" customWidth="1"/>
    <col min="14594" max="14594" width="28.109375" style="956" customWidth="1"/>
    <col min="14595" max="14597" width="9.109375" style="956"/>
    <col min="14598" max="14598" width="17" style="956" customWidth="1"/>
    <col min="14599" max="14601" width="9.109375" style="956"/>
    <col min="14602" max="14602" width="16.88671875" style="956" customWidth="1"/>
    <col min="14603" max="14605" width="9.109375" style="956"/>
    <col min="14606" max="14606" width="16.33203125" style="956" customWidth="1"/>
    <col min="14607" max="14607" width="10.109375" style="956" bestFit="1" customWidth="1"/>
    <col min="14608" max="14608" width="9.5546875" style="956" bestFit="1" customWidth="1"/>
    <col min="14609" max="14848" width="9.109375" style="956"/>
    <col min="14849" max="14849" width="45.5546875" style="956" customWidth="1"/>
    <col min="14850" max="14850" width="28.109375" style="956" customWidth="1"/>
    <col min="14851" max="14853" width="9.109375" style="956"/>
    <col min="14854" max="14854" width="17" style="956" customWidth="1"/>
    <col min="14855" max="14857" width="9.109375" style="956"/>
    <col min="14858" max="14858" width="16.88671875" style="956" customWidth="1"/>
    <col min="14859" max="14861" width="9.109375" style="956"/>
    <col min="14862" max="14862" width="16.33203125" style="956" customWidth="1"/>
    <col min="14863" max="14863" width="10.109375" style="956" bestFit="1" customWidth="1"/>
    <col min="14864" max="14864" width="9.5546875" style="956" bestFit="1" customWidth="1"/>
    <col min="14865" max="15104" width="9.109375" style="956"/>
    <col min="15105" max="15105" width="45.5546875" style="956" customWidth="1"/>
    <col min="15106" max="15106" width="28.109375" style="956" customWidth="1"/>
    <col min="15107" max="15109" width="9.109375" style="956"/>
    <col min="15110" max="15110" width="17" style="956" customWidth="1"/>
    <col min="15111" max="15113" width="9.109375" style="956"/>
    <col min="15114" max="15114" width="16.88671875" style="956" customWidth="1"/>
    <col min="15115" max="15117" width="9.109375" style="956"/>
    <col min="15118" max="15118" width="16.33203125" style="956" customWidth="1"/>
    <col min="15119" max="15119" width="10.109375" style="956" bestFit="1" customWidth="1"/>
    <col min="15120" max="15120" width="9.5546875" style="956" bestFit="1" customWidth="1"/>
    <col min="15121" max="15360" width="9.109375" style="956"/>
    <col min="15361" max="15361" width="45.5546875" style="956" customWidth="1"/>
    <col min="15362" max="15362" width="28.109375" style="956" customWidth="1"/>
    <col min="15363" max="15365" width="9.109375" style="956"/>
    <col min="15366" max="15366" width="17" style="956" customWidth="1"/>
    <col min="15367" max="15369" width="9.109375" style="956"/>
    <col min="15370" max="15370" width="16.88671875" style="956" customWidth="1"/>
    <col min="15371" max="15373" width="9.109375" style="956"/>
    <col min="15374" max="15374" width="16.33203125" style="956" customWidth="1"/>
    <col min="15375" max="15375" width="10.109375" style="956" bestFit="1" customWidth="1"/>
    <col min="15376" max="15376" width="9.5546875" style="956" bestFit="1" customWidth="1"/>
    <col min="15377" max="15616" width="9.109375" style="956"/>
    <col min="15617" max="15617" width="45.5546875" style="956" customWidth="1"/>
    <col min="15618" max="15618" width="28.109375" style="956" customWidth="1"/>
    <col min="15619" max="15621" width="9.109375" style="956"/>
    <col min="15622" max="15622" width="17" style="956" customWidth="1"/>
    <col min="15623" max="15625" width="9.109375" style="956"/>
    <col min="15626" max="15626" width="16.88671875" style="956" customWidth="1"/>
    <col min="15627" max="15629" width="9.109375" style="956"/>
    <col min="15630" max="15630" width="16.33203125" style="956" customWidth="1"/>
    <col min="15631" max="15631" width="10.109375" style="956" bestFit="1" customWidth="1"/>
    <col min="15632" max="15632" width="9.5546875" style="956" bestFit="1" customWidth="1"/>
    <col min="15633" max="15872" width="9.109375" style="956"/>
    <col min="15873" max="15873" width="45.5546875" style="956" customWidth="1"/>
    <col min="15874" max="15874" width="28.109375" style="956" customWidth="1"/>
    <col min="15875" max="15877" width="9.109375" style="956"/>
    <col min="15878" max="15878" width="17" style="956" customWidth="1"/>
    <col min="15879" max="15881" width="9.109375" style="956"/>
    <col min="15882" max="15882" width="16.88671875" style="956" customWidth="1"/>
    <col min="15883" max="15885" width="9.109375" style="956"/>
    <col min="15886" max="15886" width="16.33203125" style="956" customWidth="1"/>
    <col min="15887" max="15887" width="10.109375" style="956" bestFit="1" customWidth="1"/>
    <col min="15888" max="15888" width="9.5546875" style="956" bestFit="1" customWidth="1"/>
    <col min="15889" max="16128" width="9.109375" style="956"/>
    <col min="16129" max="16129" width="45.5546875" style="956" customWidth="1"/>
    <col min="16130" max="16130" width="28.109375" style="956" customWidth="1"/>
    <col min="16131" max="16133" width="9.109375" style="956"/>
    <col min="16134" max="16134" width="17" style="956" customWidth="1"/>
    <col min="16135" max="16137" width="9.109375" style="956"/>
    <col min="16138" max="16138" width="16.88671875" style="956" customWidth="1"/>
    <col min="16139" max="16141" width="9.109375" style="956"/>
    <col min="16142" max="16142" width="16.33203125" style="956" customWidth="1"/>
    <col min="16143" max="16143" width="10.109375" style="956" bestFit="1" customWidth="1"/>
    <col min="16144" max="16144" width="9.5546875" style="956" bestFit="1" customWidth="1"/>
    <col min="16145" max="16384" width="9.109375" style="956"/>
  </cols>
  <sheetData>
    <row r="1" spans="1:17" x14ac:dyDescent="0.25">
      <c r="A1" s="955" t="s">
        <v>240</v>
      </c>
      <c r="B1" s="956" t="s">
        <v>1259</v>
      </c>
    </row>
    <row r="2" spans="1:17" x14ac:dyDescent="0.25">
      <c r="A2" s="955" t="s">
        <v>243</v>
      </c>
      <c r="B2" s="956" t="s">
        <v>1260</v>
      </c>
    </row>
    <row r="3" spans="1:17" x14ac:dyDescent="0.25">
      <c r="A3" s="955" t="s">
        <v>241</v>
      </c>
      <c r="B3" s="956" t="s">
        <v>375</v>
      </c>
    </row>
    <row r="4" spans="1:17" x14ac:dyDescent="0.25">
      <c r="A4" s="955" t="s">
        <v>242</v>
      </c>
      <c r="B4" s="956" t="s">
        <v>375</v>
      </c>
    </row>
    <row r="5" spans="1:17" x14ac:dyDescent="0.25">
      <c r="A5" s="957"/>
    </row>
    <row r="6" spans="1:17" x14ac:dyDescent="0.25">
      <c r="A6" s="1393" t="s">
        <v>408</v>
      </c>
      <c r="B6" s="958"/>
    </row>
    <row r="7" spans="1:17" x14ac:dyDescent="0.25">
      <c r="A7" s="959" t="s">
        <v>1261</v>
      </c>
      <c r="B7" s="960" t="str">
        <f>crop_protect_source</f>
        <v>BIOGRACE EC Database</v>
      </c>
    </row>
    <row r="8" spans="1:17" x14ac:dyDescent="0.25">
      <c r="A8" s="957"/>
    </row>
    <row r="9" spans="1:17" x14ac:dyDescent="0.25">
      <c r="A9" s="961" t="s">
        <v>1259</v>
      </c>
      <c r="B9" s="1612" t="s">
        <v>247</v>
      </c>
      <c r="C9" s="1612"/>
      <c r="D9" s="1612"/>
      <c r="E9" s="1612"/>
      <c r="F9" s="1612" t="s">
        <v>378</v>
      </c>
      <c r="G9" s="1612"/>
      <c r="H9" s="1612"/>
      <c r="I9" s="1612"/>
      <c r="J9" s="1612" t="s">
        <v>379</v>
      </c>
      <c r="K9" s="1612"/>
      <c r="L9" s="1612"/>
      <c r="M9" s="1612"/>
      <c r="N9" s="1612" t="s">
        <v>380</v>
      </c>
      <c r="O9" s="1612"/>
      <c r="P9" s="1612"/>
      <c r="Q9" s="1612"/>
    </row>
    <row r="10" spans="1:17" x14ac:dyDescent="0.25">
      <c r="A10" s="962"/>
      <c r="B10" s="963" t="s">
        <v>246</v>
      </c>
      <c r="C10" s="963" t="s">
        <v>248</v>
      </c>
      <c r="D10" s="963" t="s">
        <v>249</v>
      </c>
      <c r="E10" s="961" t="s">
        <v>27</v>
      </c>
      <c r="F10" s="963" t="s">
        <v>246</v>
      </c>
      <c r="G10" s="963" t="s">
        <v>248</v>
      </c>
      <c r="H10" s="963" t="s">
        <v>249</v>
      </c>
      <c r="I10" s="963" t="s">
        <v>27</v>
      </c>
      <c r="J10" s="963" t="s">
        <v>246</v>
      </c>
      <c r="K10" s="963" t="s">
        <v>248</v>
      </c>
      <c r="L10" s="963" t="s">
        <v>249</v>
      </c>
      <c r="M10" s="963" t="s">
        <v>27</v>
      </c>
      <c r="N10" s="963" t="s">
        <v>246</v>
      </c>
      <c r="O10" s="963" t="s">
        <v>248</v>
      </c>
      <c r="P10" s="963" t="s">
        <v>249</v>
      </c>
      <c r="Q10" s="963" t="s">
        <v>27</v>
      </c>
    </row>
    <row r="11" spans="1:17" x14ac:dyDescent="0.25">
      <c r="A11" s="957" t="s">
        <v>1259</v>
      </c>
      <c r="C11" s="964"/>
      <c r="D11" s="964"/>
      <c r="E11" s="964"/>
      <c r="F11" s="964"/>
      <c r="G11" s="964"/>
      <c r="H11" s="964"/>
      <c r="I11" s="964"/>
      <c r="J11" s="964"/>
      <c r="K11" s="964"/>
      <c r="L11" s="964"/>
      <c r="M11" s="964"/>
      <c r="N11" s="964"/>
      <c r="O11" s="964"/>
      <c r="P11" s="964"/>
    </row>
    <row r="12" spans="1:17" ht="15.6" x14ac:dyDescent="0.25">
      <c r="A12" s="956" t="s">
        <v>1262</v>
      </c>
      <c r="B12" s="956" t="s">
        <v>1263</v>
      </c>
      <c r="C12" s="965">
        <v>230.5</v>
      </c>
      <c r="D12" s="965">
        <v>45.2</v>
      </c>
      <c r="E12" s="956" t="s">
        <v>1264</v>
      </c>
      <c r="F12" s="966" t="s">
        <v>1265</v>
      </c>
      <c r="G12" s="967">
        <v>4.8600000000000003</v>
      </c>
      <c r="H12" s="967">
        <v>1.93</v>
      </c>
      <c r="I12" s="956" t="s">
        <v>1266</v>
      </c>
      <c r="J12" s="966" t="s">
        <v>1267</v>
      </c>
      <c r="K12" s="968">
        <v>1.6299999999999999E-2</v>
      </c>
      <c r="L12" s="968">
        <v>3.32E-3</v>
      </c>
      <c r="M12" s="956" t="s">
        <v>1268</v>
      </c>
      <c r="N12" s="969" t="s">
        <v>1269</v>
      </c>
      <c r="O12" s="970">
        <v>4.2450000000000002E-4</v>
      </c>
      <c r="P12" s="970">
        <v>5.8219999999999995E-4</v>
      </c>
      <c r="Q12" s="971" t="s">
        <v>1270</v>
      </c>
    </row>
    <row r="13" spans="1:17" x14ac:dyDescent="0.25">
      <c r="A13" s="956" t="s">
        <v>1271</v>
      </c>
      <c r="B13" s="956" t="s">
        <v>1263</v>
      </c>
      <c r="C13" s="965">
        <v>230.5</v>
      </c>
      <c r="D13" s="965">
        <v>45.2</v>
      </c>
      <c r="E13" s="956" t="s">
        <v>1264</v>
      </c>
      <c r="F13" s="966" t="s">
        <v>1272</v>
      </c>
      <c r="G13" s="967">
        <v>4.8600000000000003</v>
      </c>
      <c r="H13" s="967">
        <v>1.93</v>
      </c>
      <c r="I13" s="956" t="s">
        <v>1266</v>
      </c>
      <c r="J13" s="966" t="s">
        <v>1273</v>
      </c>
      <c r="K13" s="968">
        <v>1.6299999999999999E-2</v>
      </c>
      <c r="L13" s="968">
        <v>3.32E-3</v>
      </c>
      <c r="M13" s="956" t="s">
        <v>1268</v>
      </c>
      <c r="N13" s="969" t="s">
        <v>1274</v>
      </c>
      <c r="O13" s="970">
        <v>4.2450000000000002E-4</v>
      </c>
      <c r="P13" s="970">
        <v>5.8219999999999995E-4</v>
      </c>
      <c r="Q13" s="956" t="s">
        <v>1270</v>
      </c>
    </row>
    <row r="14" spans="1:17" ht="15.6" x14ac:dyDescent="0.25">
      <c r="A14" s="956" t="s">
        <v>1035</v>
      </c>
      <c r="B14" s="956" t="s">
        <v>1263</v>
      </c>
      <c r="C14" s="965">
        <v>268.39980000000003</v>
      </c>
      <c r="D14" s="965">
        <f>0.15*C14</f>
        <v>40.259970000000003</v>
      </c>
      <c r="E14" s="956" t="s">
        <v>1275</v>
      </c>
      <c r="F14" s="966" t="s">
        <v>1265</v>
      </c>
      <c r="G14" s="967">
        <v>9.8864999999999998</v>
      </c>
      <c r="H14" s="967">
        <f>0.15*G14</f>
        <v>1.4829749999999999</v>
      </c>
      <c r="I14" s="956" t="s">
        <v>1276</v>
      </c>
      <c r="J14" s="966" t="s">
        <v>1267</v>
      </c>
      <c r="K14" s="968">
        <v>2.55271E-2</v>
      </c>
      <c r="L14" s="968">
        <f>0.15*K14</f>
        <v>3.829065E-3</v>
      </c>
      <c r="M14" s="956" t="s">
        <v>1277</v>
      </c>
      <c r="N14" s="969" t="s">
        <v>1269</v>
      </c>
      <c r="O14" s="970">
        <v>1.6814E-3</v>
      </c>
      <c r="P14" s="970">
        <f>0.15*O14</f>
        <v>2.5221E-4</v>
      </c>
      <c r="Q14" s="956" t="s">
        <v>1278</v>
      </c>
    </row>
    <row r="15" spans="1:17" x14ac:dyDescent="0.25">
      <c r="C15" s="972"/>
      <c r="D15" s="972"/>
      <c r="E15" s="964"/>
      <c r="F15" s="964"/>
      <c r="G15" s="972"/>
      <c r="H15" s="972"/>
      <c r="I15" s="964"/>
      <c r="J15" s="964"/>
      <c r="K15" s="973"/>
      <c r="L15" s="973"/>
      <c r="M15" s="964"/>
      <c r="N15" s="964"/>
      <c r="O15" s="974"/>
      <c r="P15" s="974"/>
    </row>
    <row r="16" spans="1:17" ht="15.6" x14ac:dyDescent="0.25">
      <c r="A16" s="955" t="s">
        <v>1279</v>
      </c>
      <c r="B16" s="956" t="s">
        <v>1263</v>
      </c>
      <c r="C16" s="975">
        <f>IF($B$7="NNFCC Germany, 1996",C12,(IF($B$7="CT Database Germany, 1996",C13,C14)))</f>
        <v>268.39980000000003</v>
      </c>
      <c r="D16" s="975">
        <f>IF($B$7="NNFCC Germany, 1996",D12,(IF($B$7="CT Database Germany, 1996",D13,D14)))</f>
        <v>40.259970000000003</v>
      </c>
      <c r="F16" s="966" t="s">
        <v>1265</v>
      </c>
      <c r="G16" s="976">
        <f>IF($B$7="NNFCC Germany, 1996",G12,(IF($B$7="CT Database Germany, 1996",G13,G14)))</f>
        <v>9.8864999999999998</v>
      </c>
      <c r="H16" s="976">
        <f>IF($B$7="NNFCC Germany, 1996",H12,(IF($B$7="CT Database Germany, 1996",H13,H14)))</f>
        <v>1.4829749999999999</v>
      </c>
      <c r="J16" s="966" t="s">
        <v>1267</v>
      </c>
      <c r="K16" s="977">
        <f>IF($B$7="NNFCC Germany, 1996",K12,(IF($B$7="CT Database Germany, 1996",K13,K14)))</f>
        <v>2.55271E-2</v>
      </c>
      <c r="L16" s="977">
        <f>IF($B$7="NNFCC Germany, 1996",L12,(IF($B$7="CT Database Germany, 1996",L13,L14)))</f>
        <v>3.829065E-3</v>
      </c>
      <c r="N16" s="969" t="s">
        <v>1269</v>
      </c>
      <c r="O16" s="978">
        <f>IF($B$7="NNFCC Germany, 1996",O12,(IF($B$7="CT Database Germany, 1996",O13,O14)))</f>
        <v>1.6814E-3</v>
      </c>
      <c r="P16" s="978">
        <f>IF($B$7="NNFCC Germany, 1996",P12,(IF($B$7="CT Database Germany, 1996",P13,P14)))</f>
        <v>2.5221E-4</v>
      </c>
    </row>
  </sheetData>
  <mergeCells count="4">
    <mergeCell ref="B9:E9"/>
    <mergeCell ref="F9:I9"/>
    <mergeCell ref="J9:M9"/>
    <mergeCell ref="N9:Q9"/>
  </mergeCells>
  <pageMargins left="0.75" right="0.75" top="1" bottom="1" header="0.5" footer="0.5"/>
  <pageSetup paperSize="9" orientation="portrait" horizontalDpi="300"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L36"/>
  <sheetViews>
    <sheetView workbookViewId="0"/>
  </sheetViews>
  <sheetFormatPr defaultRowHeight="13.2" x14ac:dyDescent="0.25"/>
  <cols>
    <col min="1" max="1" width="56.5546875" style="943" customWidth="1"/>
    <col min="2" max="2" width="15.5546875" style="943" customWidth="1"/>
    <col min="3" max="3" width="16.5546875" style="943" customWidth="1"/>
    <col min="4" max="4" width="14.5546875" style="943" customWidth="1"/>
    <col min="5" max="5" width="18.5546875" style="943" customWidth="1"/>
    <col min="6" max="8" width="17.33203125" style="943" customWidth="1"/>
    <col min="9" max="9" width="14" style="943" customWidth="1"/>
    <col min="10" max="10" width="9.88671875" style="943" customWidth="1"/>
    <col min="11" max="11" width="15.5546875" style="943" customWidth="1"/>
    <col min="12" max="12" width="17" style="943" customWidth="1"/>
    <col min="13" max="256" width="9.109375" style="943"/>
    <col min="257" max="257" width="56.5546875" style="943" customWidth="1"/>
    <col min="258" max="258" width="15.5546875" style="943" customWidth="1"/>
    <col min="259" max="259" width="16.5546875" style="943" customWidth="1"/>
    <col min="260" max="260" width="14.5546875" style="943" customWidth="1"/>
    <col min="261" max="261" width="18.5546875" style="943" customWidth="1"/>
    <col min="262" max="264" width="17.33203125" style="943" customWidth="1"/>
    <col min="265" max="265" width="14" style="943" customWidth="1"/>
    <col min="266" max="266" width="9.88671875" style="943" customWidth="1"/>
    <col min="267" max="267" width="15.5546875" style="943" customWidth="1"/>
    <col min="268" max="268" width="17" style="943" customWidth="1"/>
    <col min="269" max="512" width="9.109375" style="943"/>
    <col min="513" max="513" width="56.5546875" style="943" customWidth="1"/>
    <col min="514" max="514" width="15.5546875" style="943" customWidth="1"/>
    <col min="515" max="515" width="16.5546875" style="943" customWidth="1"/>
    <col min="516" max="516" width="14.5546875" style="943" customWidth="1"/>
    <col min="517" max="517" width="18.5546875" style="943" customWidth="1"/>
    <col min="518" max="520" width="17.33203125" style="943" customWidth="1"/>
    <col min="521" max="521" width="14" style="943" customWidth="1"/>
    <col min="522" max="522" width="9.88671875" style="943" customWidth="1"/>
    <col min="523" max="523" width="15.5546875" style="943" customWidth="1"/>
    <col min="524" max="524" width="17" style="943" customWidth="1"/>
    <col min="525" max="768" width="9.109375" style="943"/>
    <col min="769" max="769" width="56.5546875" style="943" customWidth="1"/>
    <col min="770" max="770" width="15.5546875" style="943" customWidth="1"/>
    <col min="771" max="771" width="16.5546875" style="943" customWidth="1"/>
    <col min="772" max="772" width="14.5546875" style="943" customWidth="1"/>
    <col min="773" max="773" width="18.5546875" style="943" customWidth="1"/>
    <col min="774" max="776" width="17.33203125" style="943" customWidth="1"/>
    <col min="777" max="777" width="14" style="943" customWidth="1"/>
    <col min="778" max="778" width="9.88671875" style="943" customWidth="1"/>
    <col min="779" max="779" width="15.5546875" style="943" customWidth="1"/>
    <col min="780" max="780" width="17" style="943" customWidth="1"/>
    <col min="781" max="1024" width="9.109375" style="943"/>
    <col min="1025" max="1025" width="56.5546875" style="943" customWidth="1"/>
    <col min="1026" max="1026" width="15.5546875" style="943" customWidth="1"/>
    <col min="1027" max="1027" width="16.5546875" style="943" customWidth="1"/>
    <col min="1028" max="1028" width="14.5546875" style="943" customWidth="1"/>
    <col min="1029" max="1029" width="18.5546875" style="943" customWidth="1"/>
    <col min="1030" max="1032" width="17.33203125" style="943" customWidth="1"/>
    <col min="1033" max="1033" width="14" style="943" customWidth="1"/>
    <col min="1034" max="1034" width="9.88671875" style="943" customWidth="1"/>
    <col min="1035" max="1035" width="15.5546875" style="943" customWidth="1"/>
    <col min="1036" max="1036" width="17" style="943" customWidth="1"/>
    <col min="1037" max="1280" width="9.109375" style="943"/>
    <col min="1281" max="1281" width="56.5546875" style="943" customWidth="1"/>
    <col min="1282" max="1282" width="15.5546875" style="943" customWidth="1"/>
    <col min="1283" max="1283" width="16.5546875" style="943" customWidth="1"/>
    <col min="1284" max="1284" width="14.5546875" style="943" customWidth="1"/>
    <col min="1285" max="1285" width="18.5546875" style="943" customWidth="1"/>
    <col min="1286" max="1288" width="17.33203125" style="943" customWidth="1"/>
    <col min="1289" max="1289" width="14" style="943" customWidth="1"/>
    <col min="1290" max="1290" width="9.88671875" style="943" customWidth="1"/>
    <col min="1291" max="1291" width="15.5546875" style="943" customWidth="1"/>
    <col min="1292" max="1292" width="17" style="943" customWidth="1"/>
    <col min="1293" max="1536" width="9.109375" style="943"/>
    <col min="1537" max="1537" width="56.5546875" style="943" customWidth="1"/>
    <col min="1538" max="1538" width="15.5546875" style="943" customWidth="1"/>
    <col min="1539" max="1539" width="16.5546875" style="943" customWidth="1"/>
    <col min="1540" max="1540" width="14.5546875" style="943" customWidth="1"/>
    <col min="1541" max="1541" width="18.5546875" style="943" customWidth="1"/>
    <col min="1542" max="1544" width="17.33203125" style="943" customWidth="1"/>
    <col min="1545" max="1545" width="14" style="943" customWidth="1"/>
    <col min="1546" max="1546" width="9.88671875" style="943" customWidth="1"/>
    <col min="1547" max="1547" width="15.5546875" style="943" customWidth="1"/>
    <col min="1548" max="1548" width="17" style="943" customWidth="1"/>
    <col min="1549" max="1792" width="9.109375" style="943"/>
    <col min="1793" max="1793" width="56.5546875" style="943" customWidth="1"/>
    <col min="1794" max="1794" width="15.5546875" style="943" customWidth="1"/>
    <col min="1795" max="1795" width="16.5546875" style="943" customWidth="1"/>
    <col min="1796" max="1796" width="14.5546875" style="943" customWidth="1"/>
    <col min="1797" max="1797" width="18.5546875" style="943" customWidth="1"/>
    <col min="1798" max="1800" width="17.33203125" style="943" customWidth="1"/>
    <col min="1801" max="1801" width="14" style="943" customWidth="1"/>
    <col min="1802" max="1802" width="9.88671875" style="943" customWidth="1"/>
    <col min="1803" max="1803" width="15.5546875" style="943" customWidth="1"/>
    <col min="1804" max="1804" width="17" style="943" customWidth="1"/>
    <col min="1805" max="2048" width="9.109375" style="943"/>
    <col min="2049" max="2049" width="56.5546875" style="943" customWidth="1"/>
    <col min="2050" max="2050" width="15.5546875" style="943" customWidth="1"/>
    <col min="2051" max="2051" width="16.5546875" style="943" customWidth="1"/>
    <col min="2052" max="2052" width="14.5546875" style="943" customWidth="1"/>
    <col min="2053" max="2053" width="18.5546875" style="943" customWidth="1"/>
    <col min="2054" max="2056" width="17.33203125" style="943" customWidth="1"/>
    <col min="2057" max="2057" width="14" style="943" customWidth="1"/>
    <col min="2058" max="2058" width="9.88671875" style="943" customWidth="1"/>
    <col min="2059" max="2059" width="15.5546875" style="943" customWidth="1"/>
    <col min="2060" max="2060" width="17" style="943" customWidth="1"/>
    <col min="2061" max="2304" width="9.109375" style="943"/>
    <col min="2305" max="2305" width="56.5546875" style="943" customWidth="1"/>
    <col min="2306" max="2306" width="15.5546875" style="943" customWidth="1"/>
    <col min="2307" max="2307" width="16.5546875" style="943" customWidth="1"/>
    <col min="2308" max="2308" width="14.5546875" style="943" customWidth="1"/>
    <col min="2309" max="2309" width="18.5546875" style="943" customWidth="1"/>
    <col min="2310" max="2312" width="17.33203125" style="943" customWidth="1"/>
    <col min="2313" max="2313" width="14" style="943" customWidth="1"/>
    <col min="2314" max="2314" width="9.88671875" style="943" customWidth="1"/>
    <col min="2315" max="2315" width="15.5546875" style="943" customWidth="1"/>
    <col min="2316" max="2316" width="17" style="943" customWidth="1"/>
    <col min="2317" max="2560" width="9.109375" style="943"/>
    <col min="2561" max="2561" width="56.5546875" style="943" customWidth="1"/>
    <col min="2562" max="2562" width="15.5546875" style="943" customWidth="1"/>
    <col min="2563" max="2563" width="16.5546875" style="943" customWidth="1"/>
    <col min="2564" max="2564" width="14.5546875" style="943" customWidth="1"/>
    <col min="2565" max="2565" width="18.5546875" style="943" customWidth="1"/>
    <col min="2566" max="2568" width="17.33203125" style="943" customWidth="1"/>
    <col min="2569" max="2569" width="14" style="943" customWidth="1"/>
    <col min="2570" max="2570" width="9.88671875" style="943" customWidth="1"/>
    <col min="2571" max="2571" width="15.5546875" style="943" customWidth="1"/>
    <col min="2572" max="2572" width="17" style="943" customWidth="1"/>
    <col min="2573" max="2816" width="9.109375" style="943"/>
    <col min="2817" max="2817" width="56.5546875" style="943" customWidth="1"/>
    <col min="2818" max="2818" width="15.5546875" style="943" customWidth="1"/>
    <col min="2819" max="2819" width="16.5546875" style="943" customWidth="1"/>
    <col min="2820" max="2820" width="14.5546875" style="943" customWidth="1"/>
    <col min="2821" max="2821" width="18.5546875" style="943" customWidth="1"/>
    <col min="2822" max="2824" width="17.33203125" style="943" customWidth="1"/>
    <col min="2825" max="2825" width="14" style="943" customWidth="1"/>
    <col min="2826" max="2826" width="9.88671875" style="943" customWidth="1"/>
    <col min="2827" max="2827" width="15.5546875" style="943" customWidth="1"/>
    <col min="2828" max="2828" width="17" style="943" customWidth="1"/>
    <col min="2829" max="3072" width="9.109375" style="943"/>
    <col min="3073" max="3073" width="56.5546875" style="943" customWidth="1"/>
    <col min="3074" max="3074" width="15.5546875" style="943" customWidth="1"/>
    <col min="3075" max="3075" width="16.5546875" style="943" customWidth="1"/>
    <col min="3076" max="3076" width="14.5546875" style="943" customWidth="1"/>
    <col min="3077" max="3077" width="18.5546875" style="943" customWidth="1"/>
    <col min="3078" max="3080" width="17.33203125" style="943" customWidth="1"/>
    <col min="3081" max="3081" width="14" style="943" customWidth="1"/>
    <col min="3082" max="3082" width="9.88671875" style="943" customWidth="1"/>
    <col min="3083" max="3083" width="15.5546875" style="943" customWidth="1"/>
    <col min="3084" max="3084" width="17" style="943" customWidth="1"/>
    <col min="3085" max="3328" width="9.109375" style="943"/>
    <col min="3329" max="3329" width="56.5546875" style="943" customWidth="1"/>
    <col min="3330" max="3330" width="15.5546875" style="943" customWidth="1"/>
    <col min="3331" max="3331" width="16.5546875" style="943" customWidth="1"/>
    <col min="3332" max="3332" width="14.5546875" style="943" customWidth="1"/>
    <col min="3333" max="3333" width="18.5546875" style="943" customWidth="1"/>
    <col min="3334" max="3336" width="17.33203125" style="943" customWidth="1"/>
    <col min="3337" max="3337" width="14" style="943" customWidth="1"/>
    <col min="3338" max="3338" width="9.88671875" style="943" customWidth="1"/>
    <col min="3339" max="3339" width="15.5546875" style="943" customWidth="1"/>
    <col min="3340" max="3340" width="17" style="943" customWidth="1"/>
    <col min="3341" max="3584" width="9.109375" style="943"/>
    <col min="3585" max="3585" width="56.5546875" style="943" customWidth="1"/>
    <col min="3586" max="3586" width="15.5546875" style="943" customWidth="1"/>
    <col min="3587" max="3587" width="16.5546875" style="943" customWidth="1"/>
    <col min="3588" max="3588" width="14.5546875" style="943" customWidth="1"/>
    <col min="3589" max="3589" width="18.5546875" style="943" customWidth="1"/>
    <col min="3590" max="3592" width="17.33203125" style="943" customWidth="1"/>
    <col min="3593" max="3593" width="14" style="943" customWidth="1"/>
    <col min="3594" max="3594" width="9.88671875" style="943" customWidth="1"/>
    <col min="3595" max="3595" width="15.5546875" style="943" customWidth="1"/>
    <col min="3596" max="3596" width="17" style="943" customWidth="1"/>
    <col min="3597" max="3840" width="9.109375" style="943"/>
    <col min="3841" max="3841" width="56.5546875" style="943" customWidth="1"/>
    <col min="3842" max="3842" width="15.5546875" style="943" customWidth="1"/>
    <col min="3843" max="3843" width="16.5546875" style="943" customWidth="1"/>
    <col min="3844" max="3844" width="14.5546875" style="943" customWidth="1"/>
    <col min="3845" max="3845" width="18.5546875" style="943" customWidth="1"/>
    <col min="3846" max="3848" width="17.33203125" style="943" customWidth="1"/>
    <col min="3849" max="3849" width="14" style="943" customWidth="1"/>
    <col min="3850" max="3850" width="9.88671875" style="943" customWidth="1"/>
    <col min="3851" max="3851" width="15.5546875" style="943" customWidth="1"/>
    <col min="3852" max="3852" width="17" style="943" customWidth="1"/>
    <col min="3853" max="4096" width="9.109375" style="943"/>
    <col min="4097" max="4097" width="56.5546875" style="943" customWidth="1"/>
    <col min="4098" max="4098" width="15.5546875" style="943" customWidth="1"/>
    <col min="4099" max="4099" width="16.5546875" style="943" customWidth="1"/>
    <col min="4100" max="4100" width="14.5546875" style="943" customWidth="1"/>
    <col min="4101" max="4101" width="18.5546875" style="943" customWidth="1"/>
    <col min="4102" max="4104" width="17.33203125" style="943" customWidth="1"/>
    <col min="4105" max="4105" width="14" style="943" customWidth="1"/>
    <col min="4106" max="4106" width="9.88671875" style="943" customWidth="1"/>
    <col min="4107" max="4107" width="15.5546875" style="943" customWidth="1"/>
    <col min="4108" max="4108" width="17" style="943" customWidth="1"/>
    <col min="4109" max="4352" width="9.109375" style="943"/>
    <col min="4353" max="4353" width="56.5546875" style="943" customWidth="1"/>
    <col min="4354" max="4354" width="15.5546875" style="943" customWidth="1"/>
    <col min="4355" max="4355" width="16.5546875" style="943" customWidth="1"/>
    <col min="4356" max="4356" width="14.5546875" style="943" customWidth="1"/>
    <col min="4357" max="4357" width="18.5546875" style="943" customWidth="1"/>
    <col min="4358" max="4360" width="17.33203125" style="943" customWidth="1"/>
    <col min="4361" max="4361" width="14" style="943" customWidth="1"/>
    <col min="4362" max="4362" width="9.88671875" style="943" customWidth="1"/>
    <col min="4363" max="4363" width="15.5546875" style="943" customWidth="1"/>
    <col min="4364" max="4364" width="17" style="943" customWidth="1"/>
    <col min="4365" max="4608" width="9.109375" style="943"/>
    <col min="4609" max="4609" width="56.5546875" style="943" customWidth="1"/>
    <col min="4610" max="4610" width="15.5546875" style="943" customWidth="1"/>
    <col min="4611" max="4611" width="16.5546875" style="943" customWidth="1"/>
    <col min="4612" max="4612" width="14.5546875" style="943" customWidth="1"/>
    <col min="4613" max="4613" width="18.5546875" style="943" customWidth="1"/>
    <col min="4614" max="4616" width="17.33203125" style="943" customWidth="1"/>
    <col min="4617" max="4617" width="14" style="943" customWidth="1"/>
    <col min="4618" max="4618" width="9.88671875" style="943" customWidth="1"/>
    <col min="4619" max="4619" width="15.5546875" style="943" customWidth="1"/>
    <col min="4620" max="4620" width="17" style="943" customWidth="1"/>
    <col min="4621" max="4864" width="9.109375" style="943"/>
    <col min="4865" max="4865" width="56.5546875" style="943" customWidth="1"/>
    <col min="4866" max="4866" width="15.5546875" style="943" customWidth="1"/>
    <col min="4867" max="4867" width="16.5546875" style="943" customWidth="1"/>
    <col min="4868" max="4868" width="14.5546875" style="943" customWidth="1"/>
    <col min="4869" max="4869" width="18.5546875" style="943" customWidth="1"/>
    <col min="4870" max="4872" width="17.33203125" style="943" customWidth="1"/>
    <col min="4873" max="4873" width="14" style="943" customWidth="1"/>
    <col min="4874" max="4874" width="9.88671875" style="943" customWidth="1"/>
    <col min="4875" max="4875" width="15.5546875" style="943" customWidth="1"/>
    <col min="4876" max="4876" width="17" style="943" customWidth="1"/>
    <col min="4877" max="5120" width="9.109375" style="943"/>
    <col min="5121" max="5121" width="56.5546875" style="943" customWidth="1"/>
    <col min="5122" max="5122" width="15.5546875" style="943" customWidth="1"/>
    <col min="5123" max="5123" width="16.5546875" style="943" customWidth="1"/>
    <col min="5124" max="5124" width="14.5546875" style="943" customWidth="1"/>
    <col min="5125" max="5125" width="18.5546875" style="943" customWidth="1"/>
    <col min="5126" max="5128" width="17.33203125" style="943" customWidth="1"/>
    <col min="5129" max="5129" width="14" style="943" customWidth="1"/>
    <col min="5130" max="5130" width="9.88671875" style="943" customWidth="1"/>
    <col min="5131" max="5131" width="15.5546875" style="943" customWidth="1"/>
    <col min="5132" max="5132" width="17" style="943" customWidth="1"/>
    <col min="5133" max="5376" width="9.109375" style="943"/>
    <col min="5377" max="5377" width="56.5546875" style="943" customWidth="1"/>
    <col min="5378" max="5378" width="15.5546875" style="943" customWidth="1"/>
    <col min="5379" max="5379" width="16.5546875" style="943" customWidth="1"/>
    <col min="5380" max="5380" width="14.5546875" style="943" customWidth="1"/>
    <col min="5381" max="5381" width="18.5546875" style="943" customWidth="1"/>
    <col min="5382" max="5384" width="17.33203125" style="943" customWidth="1"/>
    <col min="5385" max="5385" width="14" style="943" customWidth="1"/>
    <col min="5386" max="5386" width="9.88671875" style="943" customWidth="1"/>
    <col min="5387" max="5387" width="15.5546875" style="943" customWidth="1"/>
    <col min="5388" max="5388" width="17" style="943" customWidth="1"/>
    <col min="5389" max="5632" width="9.109375" style="943"/>
    <col min="5633" max="5633" width="56.5546875" style="943" customWidth="1"/>
    <col min="5634" max="5634" width="15.5546875" style="943" customWidth="1"/>
    <col min="5635" max="5635" width="16.5546875" style="943" customWidth="1"/>
    <col min="5636" max="5636" width="14.5546875" style="943" customWidth="1"/>
    <col min="5637" max="5637" width="18.5546875" style="943" customWidth="1"/>
    <col min="5638" max="5640" width="17.33203125" style="943" customWidth="1"/>
    <col min="5641" max="5641" width="14" style="943" customWidth="1"/>
    <col min="5642" max="5642" width="9.88671875" style="943" customWidth="1"/>
    <col min="5643" max="5643" width="15.5546875" style="943" customWidth="1"/>
    <col min="5644" max="5644" width="17" style="943" customWidth="1"/>
    <col min="5645" max="5888" width="9.109375" style="943"/>
    <col min="5889" max="5889" width="56.5546875" style="943" customWidth="1"/>
    <col min="5890" max="5890" width="15.5546875" style="943" customWidth="1"/>
    <col min="5891" max="5891" width="16.5546875" style="943" customWidth="1"/>
    <col min="5892" max="5892" width="14.5546875" style="943" customWidth="1"/>
    <col min="5893" max="5893" width="18.5546875" style="943" customWidth="1"/>
    <col min="5894" max="5896" width="17.33203125" style="943" customWidth="1"/>
    <col min="5897" max="5897" width="14" style="943" customWidth="1"/>
    <col min="5898" max="5898" width="9.88671875" style="943" customWidth="1"/>
    <col min="5899" max="5899" width="15.5546875" style="943" customWidth="1"/>
    <col min="5900" max="5900" width="17" style="943" customWidth="1"/>
    <col min="5901" max="6144" width="9.109375" style="943"/>
    <col min="6145" max="6145" width="56.5546875" style="943" customWidth="1"/>
    <col min="6146" max="6146" width="15.5546875" style="943" customWidth="1"/>
    <col min="6147" max="6147" width="16.5546875" style="943" customWidth="1"/>
    <col min="6148" max="6148" width="14.5546875" style="943" customWidth="1"/>
    <col min="6149" max="6149" width="18.5546875" style="943" customWidth="1"/>
    <col min="6150" max="6152" width="17.33203125" style="943" customWidth="1"/>
    <col min="6153" max="6153" width="14" style="943" customWidth="1"/>
    <col min="6154" max="6154" width="9.88671875" style="943" customWidth="1"/>
    <col min="6155" max="6155" width="15.5546875" style="943" customWidth="1"/>
    <col min="6156" max="6156" width="17" style="943" customWidth="1"/>
    <col min="6157" max="6400" width="9.109375" style="943"/>
    <col min="6401" max="6401" width="56.5546875" style="943" customWidth="1"/>
    <col min="6402" max="6402" width="15.5546875" style="943" customWidth="1"/>
    <col min="6403" max="6403" width="16.5546875" style="943" customWidth="1"/>
    <col min="6404" max="6404" width="14.5546875" style="943" customWidth="1"/>
    <col min="6405" max="6405" width="18.5546875" style="943" customWidth="1"/>
    <col min="6406" max="6408" width="17.33203125" style="943" customWidth="1"/>
    <col min="6409" max="6409" width="14" style="943" customWidth="1"/>
    <col min="6410" max="6410" width="9.88671875" style="943" customWidth="1"/>
    <col min="6411" max="6411" width="15.5546875" style="943" customWidth="1"/>
    <col min="6412" max="6412" width="17" style="943" customWidth="1"/>
    <col min="6413" max="6656" width="9.109375" style="943"/>
    <col min="6657" max="6657" width="56.5546875" style="943" customWidth="1"/>
    <col min="6658" max="6658" width="15.5546875" style="943" customWidth="1"/>
    <col min="6659" max="6659" width="16.5546875" style="943" customWidth="1"/>
    <col min="6660" max="6660" width="14.5546875" style="943" customWidth="1"/>
    <col min="6661" max="6661" width="18.5546875" style="943" customWidth="1"/>
    <col min="6662" max="6664" width="17.33203125" style="943" customWidth="1"/>
    <col min="6665" max="6665" width="14" style="943" customWidth="1"/>
    <col min="6666" max="6666" width="9.88671875" style="943" customWidth="1"/>
    <col min="6667" max="6667" width="15.5546875" style="943" customWidth="1"/>
    <col min="6668" max="6668" width="17" style="943" customWidth="1"/>
    <col min="6669" max="6912" width="9.109375" style="943"/>
    <col min="6913" max="6913" width="56.5546875" style="943" customWidth="1"/>
    <col min="6914" max="6914" width="15.5546875" style="943" customWidth="1"/>
    <col min="6915" max="6915" width="16.5546875" style="943" customWidth="1"/>
    <col min="6916" max="6916" width="14.5546875" style="943" customWidth="1"/>
    <col min="6917" max="6917" width="18.5546875" style="943" customWidth="1"/>
    <col min="6918" max="6920" width="17.33203125" style="943" customWidth="1"/>
    <col min="6921" max="6921" width="14" style="943" customWidth="1"/>
    <col min="6922" max="6922" width="9.88671875" style="943" customWidth="1"/>
    <col min="6923" max="6923" width="15.5546875" style="943" customWidth="1"/>
    <col min="6924" max="6924" width="17" style="943" customWidth="1"/>
    <col min="6925" max="7168" width="9.109375" style="943"/>
    <col min="7169" max="7169" width="56.5546875" style="943" customWidth="1"/>
    <col min="7170" max="7170" width="15.5546875" style="943" customWidth="1"/>
    <col min="7171" max="7171" width="16.5546875" style="943" customWidth="1"/>
    <col min="7172" max="7172" width="14.5546875" style="943" customWidth="1"/>
    <col min="7173" max="7173" width="18.5546875" style="943" customWidth="1"/>
    <col min="7174" max="7176" width="17.33203125" style="943" customWidth="1"/>
    <col min="7177" max="7177" width="14" style="943" customWidth="1"/>
    <col min="7178" max="7178" width="9.88671875" style="943" customWidth="1"/>
    <col min="7179" max="7179" width="15.5546875" style="943" customWidth="1"/>
    <col min="7180" max="7180" width="17" style="943" customWidth="1"/>
    <col min="7181" max="7424" width="9.109375" style="943"/>
    <col min="7425" max="7425" width="56.5546875" style="943" customWidth="1"/>
    <col min="7426" max="7426" width="15.5546875" style="943" customWidth="1"/>
    <col min="7427" max="7427" width="16.5546875" style="943" customWidth="1"/>
    <col min="7428" max="7428" width="14.5546875" style="943" customWidth="1"/>
    <col min="7429" max="7429" width="18.5546875" style="943" customWidth="1"/>
    <col min="7430" max="7432" width="17.33203125" style="943" customWidth="1"/>
    <col min="7433" max="7433" width="14" style="943" customWidth="1"/>
    <col min="7434" max="7434" width="9.88671875" style="943" customWidth="1"/>
    <col min="7435" max="7435" width="15.5546875" style="943" customWidth="1"/>
    <col min="7436" max="7436" width="17" style="943" customWidth="1"/>
    <col min="7437" max="7680" width="9.109375" style="943"/>
    <col min="7681" max="7681" width="56.5546875" style="943" customWidth="1"/>
    <col min="7682" max="7682" width="15.5546875" style="943" customWidth="1"/>
    <col min="7683" max="7683" width="16.5546875" style="943" customWidth="1"/>
    <col min="7684" max="7684" width="14.5546875" style="943" customWidth="1"/>
    <col min="7685" max="7685" width="18.5546875" style="943" customWidth="1"/>
    <col min="7686" max="7688" width="17.33203125" style="943" customWidth="1"/>
    <col min="7689" max="7689" width="14" style="943" customWidth="1"/>
    <col min="7690" max="7690" width="9.88671875" style="943" customWidth="1"/>
    <col min="7691" max="7691" width="15.5546875" style="943" customWidth="1"/>
    <col min="7692" max="7692" width="17" style="943" customWidth="1"/>
    <col min="7693" max="7936" width="9.109375" style="943"/>
    <col min="7937" max="7937" width="56.5546875" style="943" customWidth="1"/>
    <col min="7938" max="7938" width="15.5546875" style="943" customWidth="1"/>
    <col min="7939" max="7939" width="16.5546875" style="943" customWidth="1"/>
    <col min="7940" max="7940" width="14.5546875" style="943" customWidth="1"/>
    <col min="7941" max="7941" width="18.5546875" style="943" customWidth="1"/>
    <col min="7942" max="7944" width="17.33203125" style="943" customWidth="1"/>
    <col min="7945" max="7945" width="14" style="943" customWidth="1"/>
    <col min="7946" max="7946" width="9.88671875" style="943" customWidth="1"/>
    <col min="7947" max="7947" width="15.5546875" style="943" customWidth="1"/>
    <col min="7948" max="7948" width="17" style="943" customWidth="1"/>
    <col min="7949" max="8192" width="9.109375" style="943"/>
    <col min="8193" max="8193" width="56.5546875" style="943" customWidth="1"/>
    <col min="8194" max="8194" width="15.5546875" style="943" customWidth="1"/>
    <col min="8195" max="8195" width="16.5546875" style="943" customWidth="1"/>
    <col min="8196" max="8196" width="14.5546875" style="943" customWidth="1"/>
    <col min="8197" max="8197" width="18.5546875" style="943" customWidth="1"/>
    <col min="8198" max="8200" width="17.33203125" style="943" customWidth="1"/>
    <col min="8201" max="8201" width="14" style="943" customWidth="1"/>
    <col min="8202" max="8202" width="9.88671875" style="943" customWidth="1"/>
    <col min="8203" max="8203" width="15.5546875" style="943" customWidth="1"/>
    <col min="8204" max="8204" width="17" style="943" customWidth="1"/>
    <col min="8205" max="8448" width="9.109375" style="943"/>
    <col min="8449" max="8449" width="56.5546875" style="943" customWidth="1"/>
    <col min="8450" max="8450" width="15.5546875" style="943" customWidth="1"/>
    <col min="8451" max="8451" width="16.5546875" style="943" customWidth="1"/>
    <col min="8452" max="8452" width="14.5546875" style="943" customWidth="1"/>
    <col min="8453" max="8453" width="18.5546875" style="943" customWidth="1"/>
    <col min="8454" max="8456" width="17.33203125" style="943" customWidth="1"/>
    <col min="8457" max="8457" width="14" style="943" customWidth="1"/>
    <col min="8458" max="8458" width="9.88671875" style="943" customWidth="1"/>
    <col min="8459" max="8459" width="15.5546875" style="943" customWidth="1"/>
    <col min="8460" max="8460" width="17" style="943" customWidth="1"/>
    <col min="8461" max="8704" width="9.109375" style="943"/>
    <col min="8705" max="8705" width="56.5546875" style="943" customWidth="1"/>
    <col min="8706" max="8706" width="15.5546875" style="943" customWidth="1"/>
    <col min="8707" max="8707" width="16.5546875" style="943" customWidth="1"/>
    <col min="8708" max="8708" width="14.5546875" style="943" customWidth="1"/>
    <col min="8709" max="8709" width="18.5546875" style="943" customWidth="1"/>
    <col min="8710" max="8712" width="17.33203125" style="943" customWidth="1"/>
    <col min="8713" max="8713" width="14" style="943" customWidth="1"/>
    <col min="8714" max="8714" width="9.88671875" style="943" customWidth="1"/>
    <col min="8715" max="8715" width="15.5546875" style="943" customWidth="1"/>
    <col min="8716" max="8716" width="17" style="943" customWidth="1"/>
    <col min="8717" max="8960" width="9.109375" style="943"/>
    <col min="8961" max="8961" width="56.5546875" style="943" customWidth="1"/>
    <col min="8962" max="8962" width="15.5546875" style="943" customWidth="1"/>
    <col min="8963" max="8963" width="16.5546875" style="943" customWidth="1"/>
    <col min="8964" max="8964" width="14.5546875" style="943" customWidth="1"/>
    <col min="8965" max="8965" width="18.5546875" style="943" customWidth="1"/>
    <col min="8966" max="8968" width="17.33203125" style="943" customWidth="1"/>
    <col min="8969" max="8969" width="14" style="943" customWidth="1"/>
    <col min="8970" max="8970" width="9.88671875" style="943" customWidth="1"/>
    <col min="8971" max="8971" width="15.5546875" style="943" customWidth="1"/>
    <col min="8972" max="8972" width="17" style="943" customWidth="1"/>
    <col min="8973" max="9216" width="9.109375" style="943"/>
    <col min="9217" max="9217" width="56.5546875" style="943" customWidth="1"/>
    <col min="9218" max="9218" width="15.5546875" style="943" customWidth="1"/>
    <col min="9219" max="9219" width="16.5546875" style="943" customWidth="1"/>
    <col min="9220" max="9220" width="14.5546875" style="943" customWidth="1"/>
    <col min="9221" max="9221" width="18.5546875" style="943" customWidth="1"/>
    <col min="9222" max="9224" width="17.33203125" style="943" customWidth="1"/>
    <col min="9225" max="9225" width="14" style="943" customWidth="1"/>
    <col min="9226" max="9226" width="9.88671875" style="943" customWidth="1"/>
    <col min="9227" max="9227" width="15.5546875" style="943" customWidth="1"/>
    <col min="9228" max="9228" width="17" style="943" customWidth="1"/>
    <col min="9229" max="9472" width="9.109375" style="943"/>
    <col min="9473" max="9473" width="56.5546875" style="943" customWidth="1"/>
    <col min="9474" max="9474" width="15.5546875" style="943" customWidth="1"/>
    <col min="9475" max="9475" width="16.5546875" style="943" customWidth="1"/>
    <col min="9476" max="9476" width="14.5546875" style="943" customWidth="1"/>
    <col min="9477" max="9477" width="18.5546875" style="943" customWidth="1"/>
    <col min="9478" max="9480" width="17.33203125" style="943" customWidth="1"/>
    <col min="9481" max="9481" width="14" style="943" customWidth="1"/>
    <col min="9482" max="9482" width="9.88671875" style="943" customWidth="1"/>
    <col min="9483" max="9483" width="15.5546875" style="943" customWidth="1"/>
    <col min="9484" max="9484" width="17" style="943" customWidth="1"/>
    <col min="9485" max="9728" width="9.109375" style="943"/>
    <col min="9729" max="9729" width="56.5546875" style="943" customWidth="1"/>
    <col min="9730" max="9730" width="15.5546875" style="943" customWidth="1"/>
    <col min="9731" max="9731" width="16.5546875" style="943" customWidth="1"/>
    <col min="9732" max="9732" width="14.5546875" style="943" customWidth="1"/>
    <col min="9733" max="9733" width="18.5546875" style="943" customWidth="1"/>
    <col min="9734" max="9736" width="17.33203125" style="943" customWidth="1"/>
    <col min="9737" max="9737" width="14" style="943" customWidth="1"/>
    <col min="9738" max="9738" width="9.88671875" style="943" customWidth="1"/>
    <col min="9739" max="9739" width="15.5546875" style="943" customWidth="1"/>
    <col min="9740" max="9740" width="17" style="943" customWidth="1"/>
    <col min="9741" max="9984" width="9.109375" style="943"/>
    <col min="9985" max="9985" width="56.5546875" style="943" customWidth="1"/>
    <col min="9986" max="9986" width="15.5546875" style="943" customWidth="1"/>
    <col min="9987" max="9987" width="16.5546875" style="943" customWidth="1"/>
    <col min="9988" max="9988" width="14.5546875" style="943" customWidth="1"/>
    <col min="9989" max="9989" width="18.5546875" style="943" customWidth="1"/>
    <col min="9990" max="9992" width="17.33203125" style="943" customWidth="1"/>
    <col min="9993" max="9993" width="14" style="943" customWidth="1"/>
    <col min="9994" max="9994" width="9.88671875" style="943" customWidth="1"/>
    <col min="9995" max="9995" width="15.5546875" style="943" customWidth="1"/>
    <col min="9996" max="9996" width="17" style="943" customWidth="1"/>
    <col min="9997" max="10240" width="9.109375" style="943"/>
    <col min="10241" max="10241" width="56.5546875" style="943" customWidth="1"/>
    <col min="10242" max="10242" width="15.5546875" style="943" customWidth="1"/>
    <col min="10243" max="10243" width="16.5546875" style="943" customWidth="1"/>
    <col min="10244" max="10244" width="14.5546875" style="943" customWidth="1"/>
    <col min="10245" max="10245" width="18.5546875" style="943" customWidth="1"/>
    <col min="10246" max="10248" width="17.33203125" style="943" customWidth="1"/>
    <col min="10249" max="10249" width="14" style="943" customWidth="1"/>
    <col min="10250" max="10250" width="9.88671875" style="943" customWidth="1"/>
    <col min="10251" max="10251" width="15.5546875" style="943" customWidth="1"/>
    <col min="10252" max="10252" width="17" style="943" customWidth="1"/>
    <col min="10253" max="10496" width="9.109375" style="943"/>
    <col min="10497" max="10497" width="56.5546875" style="943" customWidth="1"/>
    <col min="10498" max="10498" width="15.5546875" style="943" customWidth="1"/>
    <col min="10499" max="10499" width="16.5546875" style="943" customWidth="1"/>
    <col min="10500" max="10500" width="14.5546875" style="943" customWidth="1"/>
    <col min="10501" max="10501" width="18.5546875" style="943" customWidth="1"/>
    <col min="10502" max="10504" width="17.33203125" style="943" customWidth="1"/>
    <col min="10505" max="10505" width="14" style="943" customWidth="1"/>
    <col min="10506" max="10506" width="9.88671875" style="943" customWidth="1"/>
    <col min="10507" max="10507" width="15.5546875" style="943" customWidth="1"/>
    <col min="10508" max="10508" width="17" style="943" customWidth="1"/>
    <col min="10509" max="10752" width="9.109375" style="943"/>
    <col min="10753" max="10753" width="56.5546875" style="943" customWidth="1"/>
    <col min="10754" max="10754" width="15.5546875" style="943" customWidth="1"/>
    <col min="10755" max="10755" width="16.5546875" style="943" customWidth="1"/>
    <col min="10756" max="10756" width="14.5546875" style="943" customWidth="1"/>
    <col min="10757" max="10757" width="18.5546875" style="943" customWidth="1"/>
    <col min="10758" max="10760" width="17.33203125" style="943" customWidth="1"/>
    <col min="10761" max="10761" width="14" style="943" customWidth="1"/>
    <col min="10762" max="10762" width="9.88671875" style="943" customWidth="1"/>
    <col min="10763" max="10763" width="15.5546875" style="943" customWidth="1"/>
    <col min="10764" max="10764" width="17" style="943" customWidth="1"/>
    <col min="10765" max="11008" width="9.109375" style="943"/>
    <col min="11009" max="11009" width="56.5546875" style="943" customWidth="1"/>
    <col min="11010" max="11010" width="15.5546875" style="943" customWidth="1"/>
    <col min="11011" max="11011" width="16.5546875" style="943" customWidth="1"/>
    <col min="11012" max="11012" width="14.5546875" style="943" customWidth="1"/>
    <col min="11013" max="11013" width="18.5546875" style="943" customWidth="1"/>
    <col min="11014" max="11016" width="17.33203125" style="943" customWidth="1"/>
    <col min="11017" max="11017" width="14" style="943" customWidth="1"/>
    <col min="11018" max="11018" width="9.88671875" style="943" customWidth="1"/>
    <col min="11019" max="11019" width="15.5546875" style="943" customWidth="1"/>
    <col min="11020" max="11020" width="17" style="943" customWidth="1"/>
    <col min="11021" max="11264" width="9.109375" style="943"/>
    <col min="11265" max="11265" width="56.5546875" style="943" customWidth="1"/>
    <col min="11266" max="11266" width="15.5546875" style="943" customWidth="1"/>
    <col min="11267" max="11267" width="16.5546875" style="943" customWidth="1"/>
    <col min="11268" max="11268" width="14.5546875" style="943" customWidth="1"/>
    <col min="11269" max="11269" width="18.5546875" style="943" customWidth="1"/>
    <col min="11270" max="11272" width="17.33203125" style="943" customWidth="1"/>
    <col min="11273" max="11273" width="14" style="943" customWidth="1"/>
    <col min="11274" max="11274" width="9.88671875" style="943" customWidth="1"/>
    <col min="11275" max="11275" width="15.5546875" style="943" customWidth="1"/>
    <col min="11276" max="11276" width="17" style="943" customWidth="1"/>
    <col min="11277" max="11520" width="9.109375" style="943"/>
    <col min="11521" max="11521" width="56.5546875" style="943" customWidth="1"/>
    <col min="11522" max="11522" width="15.5546875" style="943" customWidth="1"/>
    <col min="11523" max="11523" width="16.5546875" style="943" customWidth="1"/>
    <col min="11524" max="11524" width="14.5546875" style="943" customWidth="1"/>
    <col min="11525" max="11525" width="18.5546875" style="943" customWidth="1"/>
    <col min="11526" max="11528" width="17.33203125" style="943" customWidth="1"/>
    <col min="11529" max="11529" width="14" style="943" customWidth="1"/>
    <col min="11530" max="11530" width="9.88671875" style="943" customWidth="1"/>
    <col min="11531" max="11531" width="15.5546875" style="943" customWidth="1"/>
    <col min="11532" max="11532" width="17" style="943" customWidth="1"/>
    <col min="11533" max="11776" width="9.109375" style="943"/>
    <col min="11777" max="11777" width="56.5546875" style="943" customWidth="1"/>
    <col min="11778" max="11778" width="15.5546875" style="943" customWidth="1"/>
    <col min="11779" max="11779" width="16.5546875" style="943" customWidth="1"/>
    <col min="11780" max="11780" width="14.5546875" style="943" customWidth="1"/>
    <col min="11781" max="11781" width="18.5546875" style="943" customWidth="1"/>
    <col min="11782" max="11784" width="17.33203125" style="943" customWidth="1"/>
    <col min="11785" max="11785" width="14" style="943" customWidth="1"/>
    <col min="11786" max="11786" width="9.88671875" style="943" customWidth="1"/>
    <col min="11787" max="11787" width="15.5546875" style="943" customWidth="1"/>
    <col min="11788" max="11788" width="17" style="943" customWidth="1"/>
    <col min="11789" max="12032" width="9.109375" style="943"/>
    <col min="12033" max="12033" width="56.5546875" style="943" customWidth="1"/>
    <col min="12034" max="12034" width="15.5546875" style="943" customWidth="1"/>
    <col min="12035" max="12035" width="16.5546875" style="943" customWidth="1"/>
    <col min="12036" max="12036" width="14.5546875" style="943" customWidth="1"/>
    <col min="12037" max="12037" width="18.5546875" style="943" customWidth="1"/>
    <col min="12038" max="12040" width="17.33203125" style="943" customWidth="1"/>
    <col min="12041" max="12041" width="14" style="943" customWidth="1"/>
    <col min="12042" max="12042" width="9.88671875" style="943" customWidth="1"/>
    <col min="12043" max="12043" width="15.5546875" style="943" customWidth="1"/>
    <col min="12044" max="12044" width="17" style="943" customWidth="1"/>
    <col min="12045" max="12288" width="9.109375" style="943"/>
    <col min="12289" max="12289" width="56.5546875" style="943" customWidth="1"/>
    <col min="12290" max="12290" width="15.5546875" style="943" customWidth="1"/>
    <col min="12291" max="12291" width="16.5546875" style="943" customWidth="1"/>
    <col min="12292" max="12292" width="14.5546875" style="943" customWidth="1"/>
    <col min="12293" max="12293" width="18.5546875" style="943" customWidth="1"/>
    <col min="12294" max="12296" width="17.33203125" style="943" customWidth="1"/>
    <col min="12297" max="12297" width="14" style="943" customWidth="1"/>
    <col min="12298" max="12298" width="9.88671875" style="943" customWidth="1"/>
    <col min="12299" max="12299" width="15.5546875" style="943" customWidth="1"/>
    <col min="12300" max="12300" width="17" style="943" customWidth="1"/>
    <col min="12301" max="12544" width="9.109375" style="943"/>
    <col min="12545" max="12545" width="56.5546875" style="943" customWidth="1"/>
    <col min="12546" max="12546" width="15.5546875" style="943" customWidth="1"/>
    <col min="12547" max="12547" width="16.5546875" style="943" customWidth="1"/>
    <col min="12548" max="12548" width="14.5546875" style="943" customWidth="1"/>
    <col min="12549" max="12549" width="18.5546875" style="943" customWidth="1"/>
    <col min="12550" max="12552" width="17.33203125" style="943" customWidth="1"/>
    <col min="12553" max="12553" width="14" style="943" customWidth="1"/>
    <col min="12554" max="12554" width="9.88671875" style="943" customWidth="1"/>
    <col min="12555" max="12555" width="15.5546875" style="943" customWidth="1"/>
    <col min="12556" max="12556" width="17" style="943" customWidth="1"/>
    <col min="12557" max="12800" width="9.109375" style="943"/>
    <col min="12801" max="12801" width="56.5546875" style="943" customWidth="1"/>
    <col min="12802" max="12802" width="15.5546875" style="943" customWidth="1"/>
    <col min="12803" max="12803" width="16.5546875" style="943" customWidth="1"/>
    <col min="12804" max="12804" width="14.5546875" style="943" customWidth="1"/>
    <col min="12805" max="12805" width="18.5546875" style="943" customWidth="1"/>
    <col min="12806" max="12808" width="17.33203125" style="943" customWidth="1"/>
    <col min="12809" max="12809" width="14" style="943" customWidth="1"/>
    <col min="12810" max="12810" width="9.88671875" style="943" customWidth="1"/>
    <col min="12811" max="12811" width="15.5546875" style="943" customWidth="1"/>
    <col min="12812" max="12812" width="17" style="943" customWidth="1"/>
    <col min="12813" max="13056" width="9.109375" style="943"/>
    <col min="13057" max="13057" width="56.5546875" style="943" customWidth="1"/>
    <col min="13058" max="13058" width="15.5546875" style="943" customWidth="1"/>
    <col min="13059" max="13059" width="16.5546875" style="943" customWidth="1"/>
    <col min="13060" max="13060" width="14.5546875" style="943" customWidth="1"/>
    <col min="13061" max="13061" width="18.5546875" style="943" customWidth="1"/>
    <col min="13062" max="13064" width="17.33203125" style="943" customWidth="1"/>
    <col min="13065" max="13065" width="14" style="943" customWidth="1"/>
    <col min="13066" max="13066" width="9.88671875" style="943" customWidth="1"/>
    <col min="13067" max="13067" width="15.5546875" style="943" customWidth="1"/>
    <col min="13068" max="13068" width="17" style="943" customWidth="1"/>
    <col min="13069" max="13312" width="9.109375" style="943"/>
    <col min="13313" max="13313" width="56.5546875" style="943" customWidth="1"/>
    <col min="13314" max="13314" width="15.5546875" style="943" customWidth="1"/>
    <col min="13315" max="13315" width="16.5546875" style="943" customWidth="1"/>
    <col min="13316" max="13316" width="14.5546875" style="943" customWidth="1"/>
    <col min="13317" max="13317" width="18.5546875" style="943" customWidth="1"/>
    <col min="13318" max="13320" width="17.33203125" style="943" customWidth="1"/>
    <col min="13321" max="13321" width="14" style="943" customWidth="1"/>
    <col min="13322" max="13322" width="9.88671875" style="943" customWidth="1"/>
    <col min="13323" max="13323" width="15.5546875" style="943" customWidth="1"/>
    <col min="13324" max="13324" width="17" style="943" customWidth="1"/>
    <col min="13325" max="13568" width="9.109375" style="943"/>
    <col min="13569" max="13569" width="56.5546875" style="943" customWidth="1"/>
    <col min="13570" max="13570" width="15.5546875" style="943" customWidth="1"/>
    <col min="13571" max="13571" width="16.5546875" style="943" customWidth="1"/>
    <col min="13572" max="13572" width="14.5546875" style="943" customWidth="1"/>
    <col min="13573" max="13573" width="18.5546875" style="943" customWidth="1"/>
    <col min="13574" max="13576" width="17.33203125" style="943" customWidth="1"/>
    <col min="13577" max="13577" width="14" style="943" customWidth="1"/>
    <col min="13578" max="13578" width="9.88671875" style="943" customWidth="1"/>
    <col min="13579" max="13579" width="15.5546875" style="943" customWidth="1"/>
    <col min="13580" max="13580" width="17" style="943" customWidth="1"/>
    <col min="13581" max="13824" width="9.109375" style="943"/>
    <col min="13825" max="13825" width="56.5546875" style="943" customWidth="1"/>
    <col min="13826" max="13826" width="15.5546875" style="943" customWidth="1"/>
    <col min="13827" max="13827" width="16.5546875" style="943" customWidth="1"/>
    <col min="13828" max="13828" width="14.5546875" style="943" customWidth="1"/>
    <col min="13829" max="13829" width="18.5546875" style="943" customWidth="1"/>
    <col min="13830" max="13832" width="17.33203125" style="943" customWidth="1"/>
    <col min="13833" max="13833" width="14" style="943" customWidth="1"/>
    <col min="13834" max="13834" width="9.88671875" style="943" customWidth="1"/>
    <col min="13835" max="13835" width="15.5546875" style="943" customWidth="1"/>
    <col min="13836" max="13836" width="17" style="943" customWidth="1"/>
    <col min="13837" max="14080" width="9.109375" style="943"/>
    <col min="14081" max="14081" width="56.5546875" style="943" customWidth="1"/>
    <col min="14082" max="14082" width="15.5546875" style="943" customWidth="1"/>
    <col min="14083" max="14083" width="16.5546875" style="943" customWidth="1"/>
    <col min="14084" max="14084" width="14.5546875" style="943" customWidth="1"/>
    <col min="14085" max="14085" width="18.5546875" style="943" customWidth="1"/>
    <col min="14086" max="14088" width="17.33203125" style="943" customWidth="1"/>
    <col min="14089" max="14089" width="14" style="943" customWidth="1"/>
    <col min="14090" max="14090" width="9.88671875" style="943" customWidth="1"/>
    <col min="14091" max="14091" width="15.5546875" style="943" customWidth="1"/>
    <col min="14092" max="14092" width="17" style="943" customWidth="1"/>
    <col min="14093" max="14336" width="9.109375" style="943"/>
    <col min="14337" max="14337" width="56.5546875" style="943" customWidth="1"/>
    <col min="14338" max="14338" width="15.5546875" style="943" customWidth="1"/>
    <col min="14339" max="14339" width="16.5546875" style="943" customWidth="1"/>
    <col min="14340" max="14340" width="14.5546875" style="943" customWidth="1"/>
    <col min="14341" max="14341" width="18.5546875" style="943" customWidth="1"/>
    <col min="14342" max="14344" width="17.33203125" style="943" customWidth="1"/>
    <col min="14345" max="14345" width="14" style="943" customWidth="1"/>
    <col min="14346" max="14346" width="9.88671875" style="943" customWidth="1"/>
    <col min="14347" max="14347" width="15.5546875" style="943" customWidth="1"/>
    <col min="14348" max="14348" width="17" style="943" customWidth="1"/>
    <col min="14349" max="14592" width="9.109375" style="943"/>
    <col min="14593" max="14593" width="56.5546875" style="943" customWidth="1"/>
    <col min="14594" max="14594" width="15.5546875" style="943" customWidth="1"/>
    <col min="14595" max="14595" width="16.5546875" style="943" customWidth="1"/>
    <col min="14596" max="14596" width="14.5546875" style="943" customWidth="1"/>
    <col min="14597" max="14597" width="18.5546875" style="943" customWidth="1"/>
    <col min="14598" max="14600" width="17.33203125" style="943" customWidth="1"/>
    <col min="14601" max="14601" width="14" style="943" customWidth="1"/>
    <col min="14602" max="14602" width="9.88671875" style="943" customWidth="1"/>
    <col min="14603" max="14603" width="15.5546875" style="943" customWidth="1"/>
    <col min="14604" max="14604" width="17" style="943" customWidth="1"/>
    <col min="14605" max="14848" width="9.109375" style="943"/>
    <col min="14849" max="14849" width="56.5546875" style="943" customWidth="1"/>
    <col min="14850" max="14850" width="15.5546875" style="943" customWidth="1"/>
    <col min="14851" max="14851" width="16.5546875" style="943" customWidth="1"/>
    <col min="14852" max="14852" width="14.5546875" style="943" customWidth="1"/>
    <col min="14853" max="14853" width="18.5546875" style="943" customWidth="1"/>
    <col min="14854" max="14856" width="17.33203125" style="943" customWidth="1"/>
    <col min="14857" max="14857" width="14" style="943" customWidth="1"/>
    <col min="14858" max="14858" width="9.88671875" style="943" customWidth="1"/>
    <col min="14859" max="14859" width="15.5546875" style="943" customWidth="1"/>
    <col min="14860" max="14860" width="17" style="943" customWidth="1"/>
    <col min="14861" max="15104" width="9.109375" style="943"/>
    <col min="15105" max="15105" width="56.5546875" style="943" customWidth="1"/>
    <col min="15106" max="15106" width="15.5546875" style="943" customWidth="1"/>
    <col min="15107" max="15107" width="16.5546875" style="943" customWidth="1"/>
    <col min="15108" max="15108" width="14.5546875" style="943" customWidth="1"/>
    <col min="15109" max="15109" width="18.5546875" style="943" customWidth="1"/>
    <col min="15110" max="15112" width="17.33203125" style="943" customWidth="1"/>
    <col min="15113" max="15113" width="14" style="943" customWidth="1"/>
    <col min="15114" max="15114" width="9.88671875" style="943" customWidth="1"/>
    <col min="15115" max="15115" width="15.5546875" style="943" customWidth="1"/>
    <col min="15116" max="15116" width="17" style="943" customWidth="1"/>
    <col min="15117" max="15360" width="9.109375" style="943"/>
    <col min="15361" max="15361" width="56.5546875" style="943" customWidth="1"/>
    <col min="15362" max="15362" width="15.5546875" style="943" customWidth="1"/>
    <col min="15363" max="15363" width="16.5546875" style="943" customWidth="1"/>
    <col min="15364" max="15364" width="14.5546875" style="943" customWidth="1"/>
    <col min="15365" max="15365" width="18.5546875" style="943" customWidth="1"/>
    <col min="15366" max="15368" width="17.33203125" style="943" customWidth="1"/>
    <col min="15369" max="15369" width="14" style="943" customWidth="1"/>
    <col min="15370" max="15370" width="9.88671875" style="943" customWidth="1"/>
    <col min="15371" max="15371" width="15.5546875" style="943" customWidth="1"/>
    <col min="15372" max="15372" width="17" style="943" customWidth="1"/>
    <col min="15373" max="15616" width="9.109375" style="943"/>
    <col min="15617" max="15617" width="56.5546875" style="943" customWidth="1"/>
    <col min="15618" max="15618" width="15.5546875" style="943" customWidth="1"/>
    <col min="15619" max="15619" width="16.5546875" style="943" customWidth="1"/>
    <col min="15620" max="15620" width="14.5546875" style="943" customWidth="1"/>
    <col min="15621" max="15621" width="18.5546875" style="943" customWidth="1"/>
    <col min="15622" max="15624" width="17.33203125" style="943" customWidth="1"/>
    <col min="15625" max="15625" width="14" style="943" customWidth="1"/>
    <col min="15626" max="15626" width="9.88671875" style="943" customWidth="1"/>
    <col min="15627" max="15627" width="15.5546875" style="943" customWidth="1"/>
    <col min="15628" max="15628" width="17" style="943" customWidth="1"/>
    <col min="15629" max="15872" width="9.109375" style="943"/>
    <col min="15873" max="15873" width="56.5546875" style="943" customWidth="1"/>
    <col min="15874" max="15874" width="15.5546875" style="943" customWidth="1"/>
    <col min="15875" max="15875" width="16.5546875" style="943" customWidth="1"/>
    <col min="15876" max="15876" width="14.5546875" style="943" customWidth="1"/>
    <col min="15877" max="15877" width="18.5546875" style="943" customWidth="1"/>
    <col min="15878" max="15880" width="17.33203125" style="943" customWidth="1"/>
    <col min="15881" max="15881" width="14" style="943" customWidth="1"/>
    <col min="15882" max="15882" width="9.88671875" style="943" customWidth="1"/>
    <col min="15883" max="15883" width="15.5546875" style="943" customWidth="1"/>
    <col min="15884" max="15884" width="17" style="943" customWidth="1"/>
    <col min="15885" max="16128" width="9.109375" style="943"/>
    <col min="16129" max="16129" width="56.5546875" style="943" customWidth="1"/>
    <col min="16130" max="16130" width="15.5546875" style="943" customWidth="1"/>
    <col min="16131" max="16131" width="16.5546875" style="943" customWidth="1"/>
    <col min="16132" max="16132" width="14.5546875" style="943" customWidth="1"/>
    <col min="16133" max="16133" width="18.5546875" style="943" customWidth="1"/>
    <col min="16134" max="16136" width="17.33203125" style="943" customWidth="1"/>
    <col min="16137" max="16137" width="14" style="943" customWidth="1"/>
    <col min="16138" max="16138" width="9.88671875" style="943" customWidth="1"/>
    <col min="16139" max="16139" width="15.5546875" style="943" customWidth="1"/>
    <col min="16140" max="16140" width="17" style="943" customWidth="1"/>
    <col min="16141" max="16384" width="9.109375" style="943"/>
  </cols>
  <sheetData>
    <row r="1" spans="1:12" x14ac:dyDescent="0.25">
      <c r="A1" s="942" t="s">
        <v>1181</v>
      </c>
    </row>
    <row r="2" spans="1:12" s="944" customFormat="1" x14ac:dyDescent="0.25"/>
    <row r="3" spans="1:12" s="944" customFormat="1" x14ac:dyDescent="0.25">
      <c r="A3" s="1399" t="s">
        <v>408</v>
      </c>
      <c r="B3" s="1394"/>
      <c r="C3" s="1395"/>
    </row>
    <row r="4" spans="1:12" s="944" customFormat="1" x14ac:dyDescent="0.25">
      <c r="A4" s="1396" t="s">
        <v>1182</v>
      </c>
      <c r="B4" s="1397" t="s">
        <v>371</v>
      </c>
      <c r="C4" s="1398">
        <f>mms</f>
        <v>0</v>
      </c>
    </row>
    <row r="5" spans="1:12" x14ac:dyDescent="0.25">
      <c r="A5" s="944"/>
    </row>
    <row r="6" spans="1:12" ht="39.75" customHeight="1" x14ac:dyDescent="0.25">
      <c r="A6" s="945" t="s">
        <v>1183</v>
      </c>
      <c r="B6" s="946" t="s">
        <v>1184</v>
      </c>
      <c r="C6" s="946" t="s">
        <v>27</v>
      </c>
      <c r="D6" s="946" t="s">
        <v>1185</v>
      </c>
      <c r="E6" s="946" t="s">
        <v>27</v>
      </c>
      <c r="F6" s="946" t="s">
        <v>1186</v>
      </c>
      <c r="G6" s="946" t="s">
        <v>1187</v>
      </c>
      <c r="H6" s="946" t="s">
        <v>27</v>
      </c>
      <c r="I6" s="946" t="s">
        <v>1188</v>
      </c>
      <c r="J6" s="946" t="s">
        <v>27</v>
      </c>
      <c r="K6" s="946" t="s">
        <v>1189</v>
      </c>
      <c r="L6" s="946"/>
    </row>
    <row r="7" spans="1:12" x14ac:dyDescent="0.25">
      <c r="A7" s="944" t="s">
        <v>1190</v>
      </c>
      <c r="B7" s="947">
        <v>6</v>
      </c>
      <c r="C7" s="944" t="s">
        <v>1191</v>
      </c>
      <c r="D7" s="948">
        <v>40</v>
      </c>
      <c r="E7" s="944" t="s">
        <v>1192</v>
      </c>
      <c r="F7" s="949">
        <f>(B7/1000)*(100-($C$4*D7))/100</f>
        <v>6.0000000000000001E-3</v>
      </c>
      <c r="G7" s="947">
        <v>25</v>
      </c>
      <c r="H7" s="950" t="s">
        <v>1193</v>
      </c>
      <c r="I7" s="948">
        <v>32.700000000000003</v>
      </c>
      <c r="J7" s="944" t="s">
        <v>1194</v>
      </c>
      <c r="K7" s="951">
        <f>(G7/100)*(I7/100)</f>
        <v>8.1750000000000003E-2</v>
      </c>
    </row>
    <row r="8" spans="1:12" x14ac:dyDescent="0.25">
      <c r="A8" s="952" t="s">
        <v>1195</v>
      </c>
      <c r="B8" s="947">
        <v>7</v>
      </c>
      <c r="C8" s="944" t="s">
        <v>1191</v>
      </c>
      <c r="D8" s="948">
        <v>45</v>
      </c>
      <c r="E8" s="944" t="s">
        <v>1196</v>
      </c>
      <c r="F8" s="949">
        <f t="shared" ref="F8:F30" si="0">(B8/1000)*(100-($C$4*D8))/100</f>
        <v>7.000000000000001E-3</v>
      </c>
      <c r="G8" s="953">
        <v>25</v>
      </c>
      <c r="H8" s="950" t="s">
        <v>1193</v>
      </c>
      <c r="I8" s="947">
        <v>35</v>
      </c>
      <c r="J8" s="944" t="s">
        <v>1197</v>
      </c>
      <c r="K8" s="951">
        <f t="shared" ref="K8:K30" si="1">(G8/100)*(I8/100)</f>
        <v>8.7499999999999994E-2</v>
      </c>
    </row>
    <row r="9" spans="1:12" x14ac:dyDescent="0.25">
      <c r="A9" s="952" t="s">
        <v>1198</v>
      </c>
      <c r="B9" s="947">
        <v>6</v>
      </c>
      <c r="C9" s="944" t="s">
        <v>1191</v>
      </c>
      <c r="D9" s="948">
        <v>12</v>
      </c>
      <c r="E9" s="944" t="s">
        <v>1199</v>
      </c>
      <c r="F9" s="949">
        <f t="shared" si="0"/>
        <v>6.0000000000000001E-3</v>
      </c>
      <c r="G9" s="953">
        <v>25</v>
      </c>
      <c r="H9" s="950" t="s">
        <v>1193</v>
      </c>
      <c r="I9" s="948">
        <v>40.6</v>
      </c>
      <c r="J9" s="944" t="s">
        <v>1200</v>
      </c>
      <c r="K9" s="951">
        <f t="shared" si="1"/>
        <v>0.10150000000000001</v>
      </c>
    </row>
    <row r="10" spans="1:12" x14ac:dyDescent="0.25">
      <c r="A10" s="952" t="s">
        <v>1201</v>
      </c>
      <c r="B10" s="947">
        <v>7</v>
      </c>
      <c r="C10" s="944" t="s">
        <v>1191</v>
      </c>
      <c r="D10" s="948">
        <v>12</v>
      </c>
      <c r="E10" s="944" t="s">
        <v>1202</v>
      </c>
      <c r="F10" s="949">
        <f t="shared" si="0"/>
        <v>7.000000000000001E-3</v>
      </c>
      <c r="G10" s="953">
        <v>30</v>
      </c>
      <c r="H10" s="950" t="s">
        <v>1193</v>
      </c>
      <c r="I10" s="948">
        <v>32.700000000000003</v>
      </c>
      <c r="J10" s="944" t="s">
        <v>1203</v>
      </c>
      <c r="K10" s="951">
        <f t="shared" si="1"/>
        <v>9.8100000000000007E-2</v>
      </c>
    </row>
    <row r="11" spans="1:12" x14ac:dyDescent="0.25">
      <c r="A11" s="952" t="s">
        <v>1204</v>
      </c>
      <c r="B11" s="947">
        <v>6</v>
      </c>
      <c r="C11" s="944" t="s">
        <v>1205</v>
      </c>
      <c r="D11" s="948">
        <v>12</v>
      </c>
      <c r="E11" s="944" t="s">
        <v>1206</v>
      </c>
      <c r="F11" s="949">
        <f t="shared" si="0"/>
        <v>6.0000000000000001E-3</v>
      </c>
      <c r="G11" s="953">
        <v>25</v>
      </c>
      <c r="H11" s="950" t="s">
        <v>1207</v>
      </c>
      <c r="I11" s="948">
        <v>40.6</v>
      </c>
      <c r="J11" s="944" t="s">
        <v>1208</v>
      </c>
      <c r="K11" s="951">
        <f t="shared" si="1"/>
        <v>0.10150000000000001</v>
      </c>
    </row>
    <row r="12" spans="1:12" x14ac:dyDescent="0.25">
      <c r="A12" s="952" t="s">
        <v>1209</v>
      </c>
      <c r="B12" s="947">
        <v>16</v>
      </c>
      <c r="C12" s="944" t="s">
        <v>1210</v>
      </c>
      <c r="D12" s="948">
        <v>55</v>
      </c>
      <c r="E12" s="944" t="s">
        <v>1211</v>
      </c>
      <c r="F12" s="949">
        <f t="shared" si="0"/>
        <v>1.6E-2</v>
      </c>
      <c r="G12" s="953">
        <v>35</v>
      </c>
      <c r="H12" s="950" t="s">
        <v>1212</v>
      </c>
      <c r="I12" s="948">
        <v>35.6</v>
      </c>
      <c r="J12" s="944" t="s">
        <v>1213</v>
      </c>
      <c r="K12" s="951">
        <f t="shared" si="1"/>
        <v>0.1246</v>
      </c>
    </row>
    <row r="13" spans="1:12" x14ac:dyDescent="0.25">
      <c r="A13" s="952" t="s">
        <v>1214</v>
      </c>
      <c r="B13" s="947">
        <v>30</v>
      </c>
      <c r="C13" s="944" t="s">
        <v>1210</v>
      </c>
      <c r="D13" s="948">
        <v>40</v>
      </c>
      <c r="E13" s="944" t="s">
        <v>1215</v>
      </c>
      <c r="F13" s="949">
        <f t="shared" si="0"/>
        <v>0.03</v>
      </c>
      <c r="G13" s="953">
        <v>60</v>
      </c>
      <c r="H13" s="950" t="s">
        <v>1212</v>
      </c>
      <c r="I13" s="948">
        <v>41.2</v>
      </c>
      <c r="J13" s="944" t="s">
        <v>1216</v>
      </c>
      <c r="K13" s="951">
        <f t="shared" si="1"/>
        <v>0.2472</v>
      </c>
    </row>
    <row r="14" spans="1:12" x14ac:dyDescent="0.25">
      <c r="A14" s="952" t="s">
        <v>1217</v>
      </c>
      <c r="B14" s="947">
        <v>30</v>
      </c>
      <c r="C14" s="944" t="s">
        <v>1210</v>
      </c>
      <c r="D14" s="948">
        <v>40</v>
      </c>
      <c r="E14" s="944" t="s">
        <v>1218</v>
      </c>
      <c r="F14" s="949">
        <f t="shared" si="0"/>
        <v>0.03</v>
      </c>
      <c r="G14" s="953">
        <v>60</v>
      </c>
      <c r="H14" s="950" t="s">
        <v>1219</v>
      </c>
      <c r="I14" s="948">
        <v>41.2</v>
      </c>
      <c r="J14" s="944" t="s">
        <v>1220</v>
      </c>
      <c r="K14" s="951">
        <f t="shared" si="1"/>
        <v>0.2472</v>
      </c>
    </row>
    <row r="15" spans="1:12" x14ac:dyDescent="0.25">
      <c r="A15" s="952" t="s">
        <v>1221</v>
      </c>
      <c r="B15" s="947">
        <v>6.5</v>
      </c>
      <c r="C15" s="944" t="s">
        <v>1210</v>
      </c>
      <c r="D15" s="948">
        <v>55</v>
      </c>
      <c r="E15" s="944" t="s">
        <v>1222</v>
      </c>
      <c r="F15" s="949">
        <f t="shared" si="0"/>
        <v>6.5000000000000006E-3</v>
      </c>
      <c r="G15" s="953">
        <v>25</v>
      </c>
      <c r="H15" s="950" t="s">
        <v>1193</v>
      </c>
      <c r="I15" s="948">
        <v>35.6</v>
      </c>
      <c r="J15" s="944" t="s">
        <v>1223</v>
      </c>
      <c r="K15" s="951">
        <f t="shared" si="1"/>
        <v>8.900000000000001E-2</v>
      </c>
    </row>
    <row r="16" spans="1:12" x14ac:dyDescent="0.25">
      <c r="A16" s="952" t="s">
        <v>1224</v>
      </c>
      <c r="B16" s="947">
        <v>2.6</v>
      </c>
      <c r="C16" s="944" t="s">
        <v>1225</v>
      </c>
      <c r="D16" s="948">
        <v>40</v>
      </c>
      <c r="E16" s="944" t="s">
        <v>1226</v>
      </c>
      <c r="F16" s="949">
        <f t="shared" si="0"/>
        <v>2.5999999999999999E-3</v>
      </c>
      <c r="G16" s="953">
        <v>6</v>
      </c>
      <c r="H16" s="950" t="s">
        <v>1227</v>
      </c>
      <c r="I16" s="948">
        <v>32.700000000000003</v>
      </c>
      <c r="J16" s="944" t="s">
        <v>1194</v>
      </c>
      <c r="K16" s="951">
        <f t="shared" si="1"/>
        <v>1.9619999999999999E-2</v>
      </c>
    </row>
    <row r="17" spans="1:11" x14ac:dyDescent="0.25">
      <c r="A17" s="952" t="s">
        <v>1228</v>
      </c>
      <c r="B17" s="947">
        <v>2.6</v>
      </c>
      <c r="C17" s="944" t="s">
        <v>1229</v>
      </c>
      <c r="D17" s="948">
        <v>40</v>
      </c>
      <c r="E17" s="944" t="s">
        <v>1230</v>
      </c>
      <c r="F17" s="949">
        <f t="shared" si="0"/>
        <v>2.5999999999999999E-3</v>
      </c>
      <c r="G17" s="953">
        <v>6</v>
      </c>
      <c r="H17" s="950" t="s">
        <v>1231</v>
      </c>
      <c r="I17" s="948">
        <v>32.700000000000003</v>
      </c>
      <c r="J17" s="944" t="s">
        <v>1203</v>
      </c>
      <c r="K17" s="951">
        <f t="shared" si="1"/>
        <v>1.9619999999999999E-2</v>
      </c>
    </row>
    <row r="18" spans="1:11" x14ac:dyDescent="0.25">
      <c r="A18" s="952" t="s">
        <v>1232</v>
      </c>
      <c r="B18" s="947">
        <v>3.6</v>
      </c>
      <c r="C18" s="944" t="s">
        <v>1233</v>
      </c>
      <c r="D18" s="948">
        <v>48</v>
      </c>
      <c r="E18" s="944" t="s">
        <v>1234</v>
      </c>
      <c r="F18" s="949">
        <f t="shared" si="0"/>
        <v>3.5999999999999999E-3</v>
      </c>
      <c r="G18" s="953">
        <v>4</v>
      </c>
      <c r="H18" s="950" t="s">
        <v>1235</v>
      </c>
      <c r="I18" s="947">
        <v>35</v>
      </c>
      <c r="J18" s="944" t="s">
        <v>1197</v>
      </c>
      <c r="K18" s="951">
        <f t="shared" si="1"/>
        <v>1.3999999999999999E-2</v>
      </c>
    </row>
    <row r="19" spans="1:11" x14ac:dyDescent="0.25">
      <c r="A19" s="952" t="s">
        <v>1236</v>
      </c>
      <c r="B19" s="947">
        <v>1.5</v>
      </c>
      <c r="C19" s="944" t="s">
        <v>1225</v>
      </c>
      <c r="D19" s="948">
        <v>40</v>
      </c>
      <c r="E19" s="944" t="s">
        <v>1226</v>
      </c>
      <c r="F19" s="949">
        <f t="shared" si="0"/>
        <v>1.5E-3</v>
      </c>
      <c r="G19" s="953">
        <v>1.5</v>
      </c>
      <c r="H19" s="950" t="s">
        <v>1227</v>
      </c>
      <c r="I19" s="948">
        <v>32.700000000000003</v>
      </c>
      <c r="J19" s="944" t="s">
        <v>1194</v>
      </c>
      <c r="K19" s="951">
        <f t="shared" si="1"/>
        <v>4.9049999999999996E-3</v>
      </c>
    </row>
    <row r="20" spans="1:11" x14ac:dyDescent="0.25">
      <c r="A20" s="952" t="s">
        <v>1237</v>
      </c>
      <c r="B20" s="947">
        <v>2</v>
      </c>
      <c r="C20" s="944" t="s">
        <v>1225</v>
      </c>
      <c r="D20" s="948">
        <v>40</v>
      </c>
      <c r="E20" s="944" t="s">
        <v>1226</v>
      </c>
      <c r="F20" s="949">
        <f t="shared" si="0"/>
        <v>2E-3</v>
      </c>
      <c r="G20" s="953">
        <v>2</v>
      </c>
      <c r="H20" s="950" t="s">
        <v>1227</v>
      </c>
      <c r="I20" s="948">
        <v>32.700000000000003</v>
      </c>
      <c r="J20" s="944" t="s">
        <v>1194</v>
      </c>
      <c r="K20" s="951">
        <f t="shared" si="1"/>
        <v>6.5400000000000007E-3</v>
      </c>
    </row>
    <row r="21" spans="1:11" x14ac:dyDescent="0.25">
      <c r="A21" s="952" t="s">
        <v>1238</v>
      </c>
      <c r="B21" s="947">
        <v>3</v>
      </c>
      <c r="C21" s="944" t="s">
        <v>1225</v>
      </c>
      <c r="D21" s="948">
        <v>40</v>
      </c>
      <c r="E21" s="944" t="s">
        <v>1226</v>
      </c>
      <c r="F21" s="949">
        <f t="shared" si="0"/>
        <v>3.0000000000000001E-3</v>
      </c>
      <c r="G21" s="953">
        <v>3</v>
      </c>
      <c r="H21" s="950" t="s">
        <v>1227</v>
      </c>
      <c r="I21" s="948">
        <v>32.700000000000003</v>
      </c>
      <c r="J21" s="944" t="s">
        <v>1194</v>
      </c>
      <c r="K21" s="951">
        <f t="shared" si="1"/>
        <v>9.8099999999999993E-3</v>
      </c>
    </row>
    <row r="22" spans="1:11" x14ac:dyDescent="0.25">
      <c r="A22" s="952" t="s">
        <v>1239</v>
      </c>
      <c r="B22" s="947">
        <v>4</v>
      </c>
      <c r="C22" s="944" t="s">
        <v>1225</v>
      </c>
      <c r="D22" s="948">
        <v>40</v>
      </c>
      <c r="E22" s="944" t="s">
        <v>1192</v>
      </c>
      <c r="F22" s="949">
        <f t="shared" si="0"/>
        <v>4.0000000000000001E-3</v>
      </c>
      <c r="G22" s="953">
        <v>20</v>
      </c>
      <c r="H22" s="950" t="s">
        <v>1227</v>
      </c>
      <c r="I22" s="948">
        <v>32.700000000000003</v>
      </c>
      <c r="J22" s="944" t="s">
        <v>1194</v>
      </c>
      <c r="K22" s="951">
        <f t="shared" si="1"/>
        <v>6.54E-2</v>
      </c>
    </row>
    <row r="23" spans="1:11" x14ac:dyDescent="0.25">
      <c r="A23" s="952" t="s">
        <v>1240</v>
      </c>
      <c r="B23" s="947">
        <v>3.6</v>
      </c>
      <c r="C23" s="944" t="s">
        <v>1233</v>
      </c>
      <c r="D23" s="948">
        <v>48</v>
      </c>
      <c r="E23" s="944" t="s">
        <v>1234</v>
      </c>
      <c r="F23" s="949">
        <f t="shared" si="0"/>
        <v>3.5999999999999999E-3</v>
      </c>
      <c r="G23" s="953">
        <v>3</v>
      </c>
      <c r="H23" s="950" t="s">
        <v>1235</v>
      </c>
      <c r="I23" s="947">
        <v>35</v>
      </c>
      <c r="J23" s="944" t="s">
        <v>1197</v>
      </c>
      <c r="K23" s="951">
        <f t="shared" si="1"/>
        <v>1.0499999999999999E-2</v>
      </c>
    </row>
    <row r="24" spans="1:11" x14ac:dyDescent="0.25">
      <c r="A24" s="952" t="s">
        <v>1241</v>
      </c>
      <c r="B24" s="947">
        <v>5</v>
      </c>
      <c r="C24" s="944" t="s">
        <v>1233</v>
      </c>
      <c r="D24" s="948">
        <v>45</v>
      </c>
      <c r="E24" s="944" t="s">
        <v>1196</v>
      </c>
      <c r="F24" s="949">
        <f t="shared" si="0"/>
        <v>5.0000000000000001E-3</v>
      </c>
      <c r="G24" s="953">
        <v>20</v>
      </c>
      <c r="H24" s="950" t="s">
        <v>1235</v>
      </c>
      <c r="I24" s="947">
        <v>35</v>
      </c>
      <c r="J24" s="944" t="s">
        <v>1197</v>
      </c>
      <c r="K24" s="951">
        <f t="shared" si="1"/>
        <v>6.9999999999999993E-2</v>
      </c>
    </row>
    <row r="25" spans="1:11" x14ac:dyDescent="0.25">
      <c r="A25" s="952" t="s">
        <v>1242</v>
      </c>
      <c r="B25" s="947">
        <v>2</v>
      </c>
      <c r="C25" s="944" t="s">
        <v>1243</v>
      </c>
      <c r="D25" s="948">
        <v>48</v>
      </c>
      <c r="E25" s="944" t="s">
        <v>1244</v>
      </c>
      <c r="F25" s="949">
        <f t="shared" si="0"/>
        <v>2E-3</v>
      </c>
      <c r="G25" s="953">
        <v>4</v>
      </c>
      <c r="H25" s="950" t="s">
        <v>1245</v>
      </c>
      <c r="I25" s="947">
        <v>34</v>
      </c>
      <c r="J25" s="944" t="s">
        <v>1246</v>
      </c>
      <c r="K25" s="951">
        <f t="shared" si="1"/>
        <v>1.3600000000000001E-2</v>
      </c>
    </row>
    <row r="26" spans="1:11" x14ac:dyDescent="0.25">
      <c r="A26" s="952" t="s">
        <v>1247</v>
      </c>
      <c r="B26" s="947">
        <v>11</v>
      </c>
      <c r="C26" s="944" t="s">
        <v>1243</v>
      </c>
      <c r="D26" s="948">
        <v>45</v>
      </c>
      <c r="E26" s="944" t="s">
        <v>1248</v>
      </c>
      <c r="F26" s="949">
        <f t="shared" si="0"/>
        <v>1.0999999999999999E-2</v>
      </c>
      <c r="G26" s="953">
        <v>25</v>
      </c>
      <c r="H26" s="950" t="s">
        <v>1245</v>
      </c>
      <c r="I26" s="948">
        <v>33.6</v>
      </c>
      <c r="J26" s="944" t="s">
        <v>1249</v>
      </c>
      <c r="K26" s="951">
        <f t="shared" si="1"/>
        <v>8.4000000000000005E-2</v>
      </c>
    </row>
    <row r="27" spans="1:11" x14ac:dyDescent="0.25">
      <c r="A27" s="952" t="s">
        <v>1250</v>
      </c>
      <c r="B27" s="947">
        <v>40</v>
      </c>
      <c r="C27" s="944" t="s">
        <v>1243</v>
      </c>
      <c r="D27" s="948">
        <v>45</v>
      </c>
      <c r="E27" s="944" t="s">
        <v>1248</v>
      </c>
      <c r="F27" s="949">
        <f t="shared" si="0"/>
        <v>0.04</v>
      </c>
      <c r="G27" s="953">
        <v>95</v>
      </c>
      <c r="H27" s="950" t="s">
        <v>1245</v>
      </c>
      <c r="I27" s="948">
        <v>27.8</v>
      </c>
      <c r="J27" s="944" t="s">
        <v>1251</v>
      </c>
      <c r="K27" s="951">
        <f t="shared" si="1"/>
        <v>0.2641</v>
      </c>
    </row>
    <row r="28" spans="1:11" x14ac:dyDescent="0.25">
      <c r="A28" s="952" t="s">
        <v>1252</v>
      </c>
      <c r="B28" s="947">
        <v>8.5</v>
      </c>
      <c r="C28" s="944" t="s">
        <v>1243</v>
      </c>
      <c r="D28" s="948">
        <v>45</v>
      </c>
      <c r="E28" s="944" t="s">
        <v>1248</v>
      </c>
      <c r="F28" s="949">
        <f t="shared" si="0"/>
        <v>8.5000000000000006E-3</v>
      </c>
      <c r="G28" s="953">
        <v>40</v>
      </c>
      <c r="H28" s="950" t="s">
        <v>1245</v>
      </c>
      <c r="I28" s="947">
        <v>34</v>
      </c>
      <c r="J28" s="944" t="s">
        <v>1246</v>
      </c>
      <c r="K28" s="951">
        <f t="shared" si="1"/>
        <v>0.13600000000000001</v>
      </c>
    </row>
    <row r="29" spans="1:11" x14ac:dyDescent="0.25">
      <c r="A29" s="952" t="s">
        <v>1253</v>
      </c>
      <c r="B29" s="947">
        <v>11</v>
      </c>
      <c r="C29" s="944" t="s">
        <v>1243</v>
      </c>
      <c r="D29" s="948">
        <v>45</v>
      </c>
      <c r="E29" s="944" t="s">
        <v>1248</v>
      </c>
      <c r="F29" s="949">
        <f t="shared" si="0"/>
        <v>1.0999999999999999E-2</v>
      </c>
      <c r="G29" s="953">
        <v>60</v>
      </c>
      <c r="H29" s="950" t="s">
        <v>1245</v>
      </c>
      <c r="I29" s="947">
        <v>34</v>
      </c>
      <c r="J29" s="944" t="s">
        <v>1246</v>
      </c>
      <c r="K29" s="951">
        <f t="shared" si="1"/>
        <v>0.20400000000000001</v>
      </c>
    </row>
    <row r="30" spans="1:11" x14ac:dyDescent="0.25">
      <c r="A30" s="952" t="s">
        <v>1254</v>
      </c>
      <c r="B30" s="947">
        <v>30</v>
      </c>
      <c r="C30" s="944" t="s">
        <v>1255</v>
      </c>
      <c r="D30" s="948">
        <v>40</v>
      </c>
      <c r="E30" s="944" t="s">
        <v>1256</v>
      </c>
      <c r="F30" s="949">
        <f t="shared" si="0"/>
        <v>0.03</v>
      </c>
      <c r="G30" s="953">
        <v>60</v>
      </c>
      <c r="H30" s="944" t="s">
        <v>1257</v>
      </c>
      <c r="I30" s="948">
        <v>41.2</v>
      </c>
      <c r="J30" s="944" t="s">
        <v>1258</v>
      </c>
      <c r="K30" s="951">
        <f t="shared" si="1"/>
        <v>0.2472</v>
      </c>
    </row>
    <row r="31" spans="1:11" x14ac:dyDescent="0.25">
      <c r="B31" s="947"/>
      <c r="D31" s="948"/>
      <c r="F31" s="954"/>
      <c r="G31" s="954"/>
      <c r="H31" s="954"/>
    </row>
    <row r="32" spans="1:11" x14ac:dyDescent="0.25">
      <c r="B32" s="947"/>
      <c r="D32" s="948"/>
      <c r="F32" s="954"/>
      <c r="G32" s="954"/>
      <c r="H32" s="954"/>
    </row>
    <row r="33" spans="2:8" x14ac:dyDescent="0.25">
      <c r="B33" s="947"/>
      <c r="D33" s="948"/>
      <c r="F33" s="954"/>
      <c r="G33" s="954"/>
      <c r="H33" s="954"/>
    </row>
    <row r="34" spans="2:8" x14ac:dyDescent="0.25">
      <c r="B34" s="947"/>
      <c r="D34" s="948"/>
      <c r="F34" s="954"/>
      <c r="G34" s="954"/>
      <c r="H34" s="954"/>
    </row>
    <row r="35" spans="2:8" x14ac:dyDescent="0.25">
      <c r="B35" s="947"/>
      <c r="D35" s="948"/>
      <c r="F35" s="954"/>
      <c r="G35" s="954"/>
      <c r="H35" s="954"/>
    </row>
    <row r="36" spans="2:8" x14ac:dyDescent="0.25">
      <c r="B36" s="947"/>
      <c r="D36" s="948"/>
      <c r="F36" s="954"/>
      <c r="G36" s="954"/>
      <c r="H36" s="954"/>
    </row>
  </sheetData>
  <pageMargins left="0.75" right="0.75" top="1" bottom="1" header="0.5" footer="0.5"/>
  <pageSetup paperSize="9" orientation="portrait" horizontalDpi="300" verticalDpi="300"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2"/>
  </sheetPr>
  <dimension ref="A1:D21"/>
  <sheetViews>
    <sheetView workbookViewId="0"/>
  </sheetViews>
  <sheetFormatPr defaultRowHeight="13.2" x14ac:dyDescent="0.25"/>
  <cols>
    <col min="1" max="1" width="50.88671875" style="956" customWidth="1"/>
    <col min="2" max="2" width="19.33203125" style="956" customWidth="1"/>
    <col min="3" max="3" width="18.109375" style="956" customWidth="1"/>
    <col min="4" max="4" width="23" style="956" customWidth="1"/>
    <col min="5" max="256" width="9.109375" style="956"/>
    <col min="257" max="257" width="39.88671875" style="956" customWidth="1"/>
    <col min="258" max="258" width="19.33203125" style="956" customWidth="1"/>
    <col min="259" max="259" width="18.109375" style="956" customWidth="1"/>
    <col min="260" max="260" width="23" style="956" customWidth="1"/>
    <col min="261" max="512" width="9.109375" style="956"/>
    <col min="513" max="513" width="39.88671875" style="956" customWidth="1"/>
    <col min="514" max="514" width="19.33203125" style="956" customWidth="1"/>
    <col min="515" max="515" width="18.109375" style="956" customWidth="1"/>
    <col min="516" max="516" width="23" style="956" customWidth="1"/>
    <col min="517" max="768" width="9.109375" style="956"/>
    <col min="769" max="769" width="39.88671875" style="956" customWidth="1"/>
    <col min="770" max="770" width="19.33203125" style="956" customWidth="1"/>
    <col min="771" max="771" width="18.109375" style="956" customWidth="1"/>
    <col min="772" max="772" width="23" style="956" customWidth="1"/>
    <col min="773" max="1024" width="9.109375" style="956"/>
    <col min="1025" max="1025" width="39.88671875" style="956" customWidth="1"/>
    <col min="1026" max="1026" width="19.33203125" style="956" customWidth="1"/>
    <col min="1027" max="1027" width="18.109375" style="956" customWidth="1"/>
    <col min="1028" max="1028" width="23" style="956" customWidth="1"/>
    <col min="1029" max="1280" width="9.109375" style="956"/>
    <col min="1281" max="1281" width="39.88671875" style="956" customWidth="1"/>
    <col min="1282" max="1282" width="19.33203125" style="956" customWidth="1"/>
    <col min="1283" max="1283" width="18.109375" style="956" customWidth="1"/>
    <col min="1284" max="1284" width="23" style="956" customWidth="1"/>
    <col min="1285" max="1536" width="9.109375" style="956"/>
    <col min="1537" max="1537" width="39.88671875" style="956" customWidth="1"/>
    <col min="1538" max="1538" width="19.33203125" style="956" customWidth="1"/>
    <col min="1539" max="1539" width="18.109375" style="956" customWidth="1"/>
    <col min="1540" max="1540" width="23" style="956" customWidth="1"/>
    <col min="1541" max="1792" width="9.109375" style="956"/>
    <col min="1793" max="1793" width="39.88671875" style="956" customWidth="1"/>
    <col min="1794" max="1794" width="19.33203125" style="956" customWidth="1"/>
    <col min="1795" max="1795" width="18.109375" style="956" customWidth="1"/>
    <col min="1796" max="1796" width="23" style="956" customWidth="1"/>
    <col min="1797" max="2048" width="9.109375" style="956"/>
    <col min="2049" max="2049" width="39.88671875" style="956" customWidth="1"/>
    <col min="2050" max="2050" width="19.33203125" style="956" customWidth="1"/>
    <col min="2051" max="2051" width="18.109375" style="956" customWidth="1"/>
    <col min="2052" max="2052" width="23" style="956" customWidth="1"/>
    <col min="2053" max="2304" width="9.109375" style="956"/>
    <col min="2305" max="2305" width="39.88671875" style="956" customWidth="1"/>
    <col min="2306" max="2306" width="19.33203125" style="956" customWidth="1"/>
    <col min="2307" max="2307" width="18.109375" style="956" customWidth="1"/>
    <col min="2308" max="2308" width="23" style="956" customWidth="1"/>
    <col min="2309" max="2560" width="9.109375" style="956"/>
    <col min="2561" max="2561" width="39.88671875" style="956" customWidth="1"/>
    <col min="2562" max="2562" width="19.33203125" style="956" customWidth="1"/>
    <col min="2563" max="2563" width="18.109375" style="956" customWidth="1"/>
    <col min="2564" max="2564" width="23" style="956" customWidth="1"/>
    <col min="2565" max="2816" width="9.109375" style="956"/>
    <col min="2817" max="2817" width="39.88671875" style="956" customWidth="1"/>
    <col min="2818" max="2818" width="19.33203125" style="956" customWidth="1"/>
    <col min="2819" max="2819" width="18.109375" style="956" customWidth="1"/>
    <col min="2820" max="2820" width="23" style="956" customWidth="1"/>
    <col min="2821" max="3072" width="9.109375" style="956"/>
    <col min="3073" max="3073" width="39.88671875" style="956" customWidth="1"/>
    <col min="3074" max="3074" width="19.33203125" style="956" customWidth="1"/>
    <col min="3075" max="3075" width="18.109375" style="956" customWidth="1"/>
    <col min="3076" max="3076" width="23" style="956" customWidth="1"/>
    <col min="3077" max="3328" width="9.109375" style="956"/>
    <col min="3329" max="3329" width="39.88671875" style="956" customWidth="1"/>
    <col min="3330" max="3330" width="19.33203125" style="956" customWidth="1"/>
    <col min="3331" max="3331" width="18.109375" style="956" customWidth="1"/>
    <col min="3332" max="3332" width="23" style="956" customWidth="1"/>
    <col min="3333" max="3584" width="9.109375" style="956"/>
    <col min="3585" max="3585" width="39.88671875" style="956" customWidth="1"/>
    <col min="3586" max="3586" width="19.33203125" style="956" customWidth="1"/>
    <col min="3587" max="3587" width="18.109375" style="956" customWidth="1"/>
    <col min="3588" max="3588" width="23" style="956" customWidth="1"/>
    <col min="3589" max="3840" width="9.109375" style="956"/>
    <col min="3841" max="3841" width="39.88671875" style="956" customWidth="1"/>
    <col min="3842" max="3842" width="19.33203125" style="956" customWidth="1"/>
    <col min="3843" max="3843" width="18.109375" style="956" customWidth="1"/>
    <col min="3844" max="3844" width="23" style="956" customWidth="1"/>
    <col min="3845" max="4096" width="9.109375" style="956"/>
    <col min="4097" max="4097" width="39.88671875" style="956" customWidth="1"/>
    <col min="4098" max="4098" width="19.33203125" style="956" customWidth="1"/>
    <col min="4099" max="4099" width="18.109375" style="956" customWidth="1"/>
    <col min="4100" max="4100" width="23" style="956" customWidth="1"/>
    <col min="4101" max="4352" width="9.109375" style="956"/>
    <col min="4353" max="4353" width="39.88671875" style="956" customWidth="1"/>
    <col min="4354" max="4354" width="19.33203125" style="956" customWidth="1"/>
    <col min="4355" max="4355" width="18.109375" style="956" customWidth="1"/>
    <col min="4356" max="4356" width="23" style="956" customWidth="1"/>
    <col min="4357" max="4608" width="9.109375" style="956"/>
    <col min="4609" max="4609" width="39.88671875" style="956" customWidth="1"/>
    <col min="4610" max="4610" width="19.33203125" style="956" customWidth="1"/>
    <col min="4611" max="4611" width="18.109375" style="956" customWidth="1"/>
    <col min="4612" max="4612" width="23" style="956" customWidth="1"/>
    <col min="4613" max="4864" width="9.109375" style="956"/>
    <col min="4865" max="4865" width="39.88671875" style="956" customWidth="1"/>
    <col min="4866" max="4866" width="19.33203125" style="956" customWidth="1"/>
    <col min="4867" max="4867" width="18.109375" style="956" customWidth="1"/>
    <col min="4868" max="4868" width="23" style="956" customWidth="1"/>
    <col min="4869" max="5120" width="9.109375" style="956"/>
    <col min="5121" max="5121" width="39.88671875" style="956" customWidth="1"/>
    <col min="5122" max="5122" width="19.33203125" style="956" customWidth="1"/>
    <col min="5123" max="5123" width="18.109375" style="956" customWidth="1"/>
    <col min="5124" max="5124" width="23" style="956" customWidth="1"/>
    <col min="5125" max="5376" width="9.109375" style="956"/>
    <col min="5377" max="5377" width="39.88671875" style="956" customWidth="1"/>
    <col min="5378" max="5378" width="19.33203125" style="956" customWidth="1"/>
    <col min="5379" max="5379" width="18.109375" style="956" customWidth="1"/>
    <col min="5380" max="5380" width="23" style="956" customWidth="1"/>
    <col min="5381" max="5632" width="9.109375" style="956"/>
    <col min="5633" max="5633" width="39.88671875" style="956" customWidth="1"/>
    <col min="5634" max="5634" width="19.33203125" style="956" customWidth="1"/>
    <col min="5635" max="5635" width="18.109375" style="956" customWidth="1"/>
    <col min="5636" max="5636" width="23" style="956" customWidth="1"/>
    <col min="5637" max="5888" width="9.109375" style="956"/>
    <col min="5889" max="5889" width="39.88671875" style="956" customWidth="1"/>
    <col min="5890" max="5890" width="19.33203125" style="956" customWidth="1"/>
    <col min="5891" max="5891" width="18.109375" style="956" customWidth="1"/>
    <col min="5892" max="5892" width="23" style="956" customWidth="1"/>
    <col min="5893" max="6144" width="9.109375" style="956"/>
    <col min="6145" max="6145" width="39.88671875" style="956" customWidth="1"/>
    <col min="6146" max="6146" width="19.33203125" style="956" customWidth="1"/>
    <col min="6147" max="6147" width="18.109375" style="956" customWidth="1"/>
    <col min="6148" max="6148" width="23" style="956" customWidth="1"/>
    <col min="6149" max="6400" width="9.109375" style="956"/>
    <col min="6401" max="6401" width="39.88671875" style="956" customWidth="1"/>
    <col min="6402" max="6402" width="19.33203125" style="956" customWidth="1"/>
    <col min="6403" max="6403" width="18.109375" style="956" customWidth="1"/>
    <col min="6404" max="6404" width="23" style="956" customWidth="1"/>
    <col min="6405" max="6656" width="9.109375" style="956"/>
    <col min="6657" max="6657" width="39.88671875" style="956" customWidth="1"/>
    <col min="6658" max="6658" width="19.33203125" style="956" customWidth="1"/>
    <col min="6659" max="6659" width="18.109375" style="956" customWidth="1"/>
    <col min="6660" max="6660" width="23" style="956" customWidth="1"/>
    <col min="6661" max="6912" width="9.109375" style="956"/>
    <col min="6913" max="6913" width="39.88671875" style="956" customWidth="1"/>
    <col min="6914" max="6914" width="19.33203125" style="956" customWidth="1"/>
    <col min="6915" max="6915" width="18.109375" style="956" customWidth="1"/>
    <col min="6916" max="6916" width="23" style="956" customWidth="1"/>
    <col min="6917" max="7168" width="9.109375" style="956"/>
    <col min="7169" max="7169" width="39.88671875" style="956" customWidth="1"/>
    <col min="7170" max="7170" width="19.33203125" style="956" customWidth="1"/>
    <col min="7171" max="7171" width="18.109375" style="956" customWidth="1"/>
    <col min="7172" max="7172" width="23" style="956" customWidth="1"/>
    <col min="7173" max="7424" width="9.109375" style="956"/>
    <col min="7425" max="7425" width="39.88671875" style="956" customWidth="1"/>
    <col min="7426" max="7426" width="19.33203125" style="956" customWidth="1"/>
    <col min="7427" max="7427" width="18.109375" style="956" customWidth="1"/>
    <col min="7428" max="7428" width="23" style="956" customWidth="1"/>
    <col min="7429" max="7680" width="9.109375" style="956"/>
    <col min="7681" max="7681" width="39.88671875" style="956" customWidth="1"/>
    <col min="7682" max="7682" width="19.33203125" style="956" customWidth="1"/>
    <col min="7683" max="7683" width="18.109375" style="956" customWidth="1"/>
    <col min="7684" max="7684" width="23" style="956" customWidth="1"/>
    <col min="7685" max="7936" width="9.109375" style="956"/>
    <col min="7937" max="7937" width="39.88671875" style="956" customWidth="1"/>
    <col min="7938" max="7938" width="19.33203125" style="956" customWidth="1"/>
    <col min="7939" max="7939" width="18.109375" style="956" customWidth="1"/>
    <col min="7940" max="7940" width="23" style="956" customWidth="1"/>
    <col min="7941" max="8192" width="9.109375" style="956"/>
    <col min="8193" max="8193" width="39.88671875" style="956" customWidth="1"/>
    <col min="8194" max="8194" width="19.33203125" style="956" customWidth="1"/>
    <col min="8195" max="8195" width="18.109375" style="956" customWidth="1"/>
    <col min="8196" max="8196" width="23" style="956" customWidth="1"/>
    <col min="8197" max="8448" width="9.109375" style="956"/>
    <col min="8449" max="8449" width="39.88671875" style="956" customWidth="1"/>
    <col min="8450" max="8450" width="19.33203125" style="956" customWidth="1"/>
    <col min="8451" max="8451" width="18.109375" style="956" customWidth="1"/>
    <col min="8452" max="8452" width="23" style="956" customWidth="1"/>
    <col min="8453" max="8704" width="9.109375" style="956"/>
    <col min="8705" max="8705" width="39.88671875" style="956" customWidth="1"/>
    <col min="8706" max="8706" width="19.33203125" style="956" customWidth="1"/>
    <col min="8707" max="8707" width="18.109375" style="956" customWidth="1"/>
    <col min="8708" max="8708" width="23" style="956" customWidth="1"/>
    <col min="8709" max="8960" width="9.109375" style="956"/>
    <col min="8961" max="8961" width="39.88671875" style="956" customWidth="1"/>
    <col min="8962" max="8962" width="19.33203125" style="956" customWidth="1"/>
    <col min="8963" max="8963" width="18.109375" style="956" customWidth="1"/>
    <col min="8964" max="8964" width="23" style="956" customWidth="1"/>
    <col min="8965" max="9216" width="9.109375" style="956"/>
    <col min="9217" max="9217" width="39.88671875" style="956" customWidth="1"/>
    <col min="9218" max="9218" width="19.33203125" style="956" customWidth="1"/>
    <col min="9219" max="9219" width="18.109375" style="956" customWidth="1"/>
    <col min="9220" max="9220" width="23" style="956" customWidth="1"/>
    <col min="9221" max="9472" width="9.109375" style="956"/>
    <col min="9473" max="9473" width="39.88671875" style="956" customWidth="1"/>
    <col min="9474" max="9474" width="19.33203125" style="956" customWidth="1"/>
    <col min="9475" max="9475" width="18.109375" style="956" customWidth="1"/>
    <col min="9476" max="9476" width="23" style="956" customWidth="1"/>
    <col min="9477" max="9728" width="9.109375" style="956"/>
    <col min="9729" max="9729" width="39.88671875" style="956" customWidth="1"/>
    <col min="9730" max="9730" width="19.33203125" style="956" customWidth="1"/>
    <col min="9731" max="9731" width="18.109375" style="956" customWidth="1"/>
    <col min="9732" max="9732" width="23" style="956" customWidth="1"/>
    <col min="9733" max="9984" width="9.109375" style="956"/>
    <col min="9985" max="9985" width="39.88671875" style="956" customWidth="1"/>
    <col min="9986" max="9986" width="19.33203125" style="956" customWidth="1"/>
    <col min="9987" max="9987" width="18.109375" style="956" customWidth="1"/>
    <col min="9988" max="9988" width="23" style="956" customWidth="1"/>
    <col min="9989" max="10240" width="9.109375" style="956"/>
    <col min="10241" max="10241" width="39.88671875" style="956" customWidth="1"/>
    <col min="10242" max="10242" width="19.33203125" style="956" customWidth="1"/>
    <col min="10243" max="10243" width="18.109375" style="956" customWidth="1"/>
    <col min="10244" max="10244" width="23" style="956" customWidth="1"/>
    <col min="10245" max="10496" width="9.109375" style="956"/>
    <col min="10497" max="10497" width="39.88671875" style="956" customWidth="1"/>
    <col min="10498" max="10498" width="19.33203125" style="956" customWidth="1"/>
    <col min="10499" max="10499" width="18.109375" style="956" customWidth="1"/>
    <col min="10500" max="10500" width="23" style="956" customWidth="1"/>
    <col min="10501" max="10752" width="9.109375" style="956"/>
    <col min="10753" max="10753" width="39.88671875" style="956" customWidth="1"/>
    <col min="10754" max="10754" width="19.33203125" style="956" customWidth="1"/>
    <col min="10755" max="10755" width="18.109375" style="956" customWidth="1"/>
    <col min="10756" max="10756" width="23" style="956" customWidth="1"/>
    <col min="10757" max="11008" width="9.109375" style="956"/>
    <col min="11009" max="11009" width="39.88671875" style="956" customWidth="1"/>
    <col min="11010" max="11010" width="19.33203125" style="956" customWidth="1"/>
    <col min="11011" max="11011" width="18.109375" style="956" customWidth="1"/>
    <col min="11012" max="11012" width="23" style="956" customWidth="1"/>
    <col min="11013" max="11264" width="9.109375" style="956"/>
    <col min="11265" max="11265" width="39.88671875" style="956" customWidth="1"/>
    <col min="11266" max="11266" width="19.33203125" style="956" customWidth="1"/>
    <col min="11267" max="11267" width="18.109375" style="956" customWidth="1"/>
    <col min="11268" max="11268" width="23" style="956" customWidth="1"/>
    <col min="11269" max="11520" width="9.109375" style="956"/>
    <col min="11521" max="11521" width="39.88671875" style="956" customWidth="1"/>
    <col min="11522" max="11522" width="19.33203125" style="956" customWidth="1"/>
    <col min="11523" max="11523" width="18.109375" style="956" customWidth="1"/>
    <col min="11524" max="11524" width="23" style="956" customWidth="1"/>
    <col min="11525" max="11776" width="9.109375" style="956"/>
    <col min="11777" max="11777" width="39.88671875" style="956" customWidth="1"/>
    <col min="11778" max="11778" width="19.33203125" style="956" customWidth="1"/>
    <col min="11779" max="11779" width="18.109375" style="956" customWidth="1"/>
    <col min="11780" max="11780" width="23" style="956" customWidth="1"/>
    <col min="11781" max="12032" width="9.109375" style="956"/>
    <col min="12033" max="12033" width="39.88671875" style="956" customWidth="1"/>
    <col min="12034" max="12034" width="19.33203125" style="956" customWidth="1"/>
    <col min="12035" max="12035" width="18.109375" style="956" customWidth="1"/>
    <col min="12036" max="12036" width="23" style="956" customWidth="1"/>
    <col min="12037" max="12288" width="9.109375" style="956"/>
    <col min="12289" max="12289" width="39.88671875" style="956" customWidth="1"/>
    <col min="12290" max="12290" width="19.33203125" style="956" customWidth="1"/>
    <col min="12291" max="12291" width="18.109375" style="956" customWidth="1"/>
    <col min="12292" max="12292" width="23" style="956" customWidth="1"/>
    <col min="12293" max="12544" width="9.109375" style="956"/>
    <col min="12545" max="12545" width="39.88671875" style="956" customWidth="1"/>
    <col min="12546" max="12546" width="19.33203125" style="956" customWidth="1"/>
    <col min="12547" max="12547" width="18.109375" style="956" customWidth="1"/>
    <col min="12548" max="12548" width="23" style="956" customWidth="1"/>
    <col min="12549" max="12800" width="9.109375" style="956"/>
    <col min="12801" max="12801" width="39.88671875" style="956" customWidth="1"/>
    <col min="12802" max="12802" width="19.33203125" style="956" customWidth="1"/>
    <col min="12803" max="12803" width="18.109375" style="956" customWidth="1"/>
    <col min="12804" max="12804" width="23" style="956" customWidth="1"/>
    <col min="12805" max="13056" width="9.109375" style="956"/>
    <col min="13057" max="13057" width="39.88671875" style="956" customWidth="1"/>
    <col min="13058" max="13058" width="19.33203125" style="956" customWidth="1"/>
    <col min="13059" max="13059" width="18.109375" style="956" customWidth="1"/>
    <col min="13060" max="13060" width="23" style="956" customWidth="1"/>
    <col min="13061" max="13312" width="9.109375" style="956"/>
    <col min="13313" max="13313" width="39.88671875" style="956" customWidth="1"/>
    <col min="13314" max="13314" width="19.33203125" style="956" customWidth="1"/>
    <col min="13315" max="13315" width="18.109375" style="956" customWidth="1"/>
    <col min="13316" max="13316" width="23" style="956" customWidth="1"/>
    <col min="13317" max="13568" width="9.109375" style="956"/>
    <col min="13569" max="13569" width="39.88671875" style="956" customWidth="1"/>
    <col min="13570" max="13570" width="19.33203125" style="956" customWidth="1"/>
    <col min="13571" max="13571" width="18.109375" style="956" customWidth="1"/>
    <col min="13572" max="13572" width="23" style="956" customWidth="1"/>
    <col min="13573" max="13824" width="9.109375" style="956"/>
    <col min="13825" max="13825" width="39.88671875" style="956" customWidth="1"/>
    <col min="13826" max="13826" width="19.33203125" style="956" customWidth="1"/>
    <col min="13827" max="13827" width="18.109375" style="956" customWidth="1"/>
    <col min="13828" max="13828" width="23" style="956" customWidth="1"/>
    <col min="13829" max="14080" width="9.109375" style="956"/>
    <col min="14081" max="14081" width="39.88671875" style="956" customWidth="1"/>
    <col min="14082" max="14082" width="19.33203125" style="956" customWidth="1"/>
    <col min="14083" max="14083" width="18.109375" style="956" customWidth="1"/>
    <col min="14084" max="14084" width="23" style="956" customWidth="1"/>
    <col min="14085" max="14336" width="9.109375" style="956"/>
    <col min="14337" max="14337" width="39.88671875" style="956" customWidth="1"/>
    <col min="14338" max="14338" width="19.33203125" style="956" customWidth="1"/>
    <col min="14339" max="14339" width="18.109375" style="956" customWidth="1"/>
    <col min="14340" max="14340" width="23" style="956" customWidth="1"/>
    <col min="14341" max="14592" width="9.109375" style="956"/>
    <col min="14593" max="14593" width="39.88671875" style="956" customWidth="1"/>
    <col min="14594" max="14594" width="19.33203125" style="956" customWidth="1"/>
    <col min="14595" max="14595" width="18.109375" style="956" customWidth="1"/>
    <col min="14596" max="14596" width="23" style="956" customWidth="1"/>
    <col min="14597" max="14848" width="9.109375" style="956"/>
    <col min="14849" max="14849" width="39.88671875" style="956" customWidth="1"/>
    <col min="14850" max="14850" width="19.33203125" style="956" customWidth="1"/>
    <col min="14851" max="14851" width="18.109375" style="956" customWidth="1"/>
    <col min="14852" max="14852" width="23" style="956" customWidth="1"/>
    <col min="14853" max="15104" width="9.109375" style="956"/>
    <col min="15105" max="15105" width="39.88671875" style="956" customWidth="1"/>
    <col min="15106" max="15106" width="19.33203125" style="956" customWidth="1"/>
    <col min="15107" max="15107" width="18.109375" style="956" customWidth="1"/>
    <col min="15108" max="15108" width="23" style="956" customWidth="1"/>
    <col min="15109" max="15360" width="9.109375" style="956"/>
    <col min="15361" max="15361" width="39.88671875" style="956" customWidth="1"/>
    <col min="15362" max="15362" width="19.33203125" style="956" customWidth="1"/>
    <col min="15363" max="15363" width="18.109375" style="956" customWidth="1"/>
    <col min="15364" max="15364" width="23" style="956" customWidth="1"/>
    <col min="15365" max="15616" width="9.109375" style="956"/>
    <col min="15617" max="15617" width="39.88671875" style="956" customWidth="1"/>
    <col min="15618" max="15618" width="19.33203125" style="956" customWidth="1"/>
    <col min="15619" max="15619" width="18.109375" style="956" customWidth="1"/>
    <col min="15620" max="15620" width="23" style="956" customWidth="1"/>
    <col min="15621" max="15872" width="9.109375" style="956"/>
    <col min="15873" max="15873" width="39.88671875" style="956" customWidth="1"/>
    <col min="15874" max="15874" width="19.33203125" style="956" customWidth="1"/>
    <col min="15875" max="15875" width="18.109375" style="956" customWidth="1"/>
    <col min="15876" max="15876" width="23" style="956" customWidth="1"/>
    <col min="15877" max="16128" width="9.109375" style="956"/>
    <col min="16129" max="16129" width="39.88671875" style="956" customWidth="1"/>
    <col min="16130" max="16130" width="19.33203125" style="956" customWidth="1"/>
    <col min="16131" max="16131" width="18.109375" style="956" customWidth="1"/>
    <col min="16132" max="16132" width="23" style="956" customWidth="1"/>
    <col min="16133" max="16384" width="9.109375" style="956"/>
  </cols>
  <sheetData>
    <row r="1" spans="1:4" x14ac:dyDescent="0.25">
      <c r="A1" s="955" t="s">
        <v>1460</v>
      </c>
    </row>
    <row r="3" spans="1:4" x14ac:dyDescent="0.25">
      <c r="A3" s="452" t="s">
        <v>408</v>
      </c>
      <c r="B3" s="1261"/>
      <c r="C3" s="1262"/>
    </row>
    <row r="4" spans="1:4" x14ac:dyDescent="0.25">
      <c r="A4" s="1217" t="s">
        <v>1666</v>
      </c>
      <c r="B4" s="1263"/>
      <c r="C4" s="1425" t="str">
        <f>fm_type</f>
        <v>Whole Maize</v>
      </c>
    </row>
    <row r="5" spans="1:4" x14ac:dyDescent="0.25">
      <c r="A5" s="1217" t="s">
        <v>1656</v>
      </c>
      <c r="B5" s="1263" t="s">
        <v>1461</v>
      </c>
      <c r="C5" s="1264">
        <f>Unitflowchart!S19</f>
        <v>40.630000000000003</v>
      </c>
    </row>
    <row r="6" spans="1:4" x14ac:dyDescent="0.25">
      <c r="A6" s="1217" t="s">
        <v>1677</v>
      </c>
      <c r="B6" s="1263" t="s">
        <v>37</v>
      </c>
      <c r="C6" s="1264">
        <f>Unitflowchart!S26</f>
        <v>68</v>
      </c>
    </row>
    <row r="7" spans="1:4" x14ac:dyDescent="0.25">
      <c r="A7" s="1265"/>
      <c r="B7" s="1265"/>
      <c r="C7" s="1265"/>
    </row>
    <row r="8" spans="1:4" x14ac:dyDescent="0.25">
      <c r="A8" s="1266" t="s">
        <v>1680</v>
      </c>
      <c r="B8" s="1266" t="s">
        <v>1462</v>
      </c>
      <c r="C8" s="1267">
        <f>C5*(100-C6)/100</f>
        <v>13.001600000000002</v>
      </c>
    </row>
    <row r="9" spans="1:4" x14ac:dyDescent="0.25">
      <c r="A9" s="1266" t="s">
        <v>1679</v>
      </c>
      <c r="B9" s="1266" t="s">
        <v>1462</v>
      </c>
      <c r="C9" s="1267">
        <f>IF(C4="Stover",((C8*100/35)-C8),0)</f>
        <v>0</v>
      </c>
      <c r="D9" s="956" t="s">
        <v>1678</v>
      </c>
    </row>
    <row r="10" spans="1:4" x14ac:dyDescent="0.25">
      <c r="A10" s="1266" t="s">
        <v>1463</v>
      </c>
      <c r="B10" s="1266" t="s">
        <v>37</v>
      </c>
      <c r="C10" s="1268">
        <v>0.6</v>
      </c>
      <c r="D10" s="956" t="s">
        <v>1464</v>
      </c>
    </row>
    <row r="11" spans="1:4" x14ac:dyDescent="0.25">
      <c r="A11" s="1266" t="s">
        <v>1465</v>
      </c>
      <c r="B11" s="1266" t="s">
        <v>37</v>
      </c>
      <c r="C11" s="1268">
        <v>44.6</v>
      </c>
      <c r="D11" s="956" t="s">
        <v>1466</v>
      </c>
    </row>
    <row r="12" spans="1:4" x14ac:dyDescent="0.25">
      <c r="A12" s="1266" t="s">
        <v>1467</v>
      </c>
      <c r="B12" s="1266" t="s">
        <v>1462</v>
      </c>
      <c r="C12" s="1267">
        <f>0.22*(C8+C9)</f>
        <v>2.8603520000000002</v>
      </c>
      <c r="D12" s="956" t="s">
        <v>1464</v>
      </c>
    </row>
    <row r="13" spans="1:4" x14ac:dyDescent="0.25">
      <c r="A13" s="1266" t="s">
        <v>1468</v>
      </c>
      <c r="B13" s="1266" t="s">
        <v>37</v>
      </c>
      <c r="C13" s="1268">
        <v>0.7</v>
      </c>
      <c r="D13" s="956" t="s">
        <v>1464</v>
      </c>
    </row>
    <row r="14" spans="1:4" x14ac:dyDescent="0.25">
      <c r="A14" s="1266" t="s">
        <v>1469</v>
      </c>
      <c r="B14" s="1266" t="s">
        <v>37</v>
      </c>
      <c r="C14" s="1268">
        <v>44.6</v>
      </c>
      <c r="D14" s="956" t="s">
        <v>1470</v>
      </c>
    </row>
    <row r="15" spans="1:4" x14ac:dyDescent="0.25">
      <c r="A15" s="1266" t="s">
        <v>1324</v>
      </c>
      <c r="B15" s="1266" t="s">
        <v>37</v>
      </c>
      <c r="C15" s="1268">
        <v>23</v>
      </c>
      <c r="D15" s="956" t="s">
        <v>1471</v>
      </c>
    </row>
    <row r="16" spans="1:4" x14ac:dyDescent="0.25">
      <c r="A16" s="964"/>
      <c r="B16" s="964"/>
    </row>
    <row r="17" spans="1:4" ht="30" customHeight="1" x14ac:dyDescent="0.25">
      <c r="A17" s="964"/>
      <c r="C17" s="1269" t="s">
        <v>1472</v>
      </c>
      <c r="D17" s="1270" t="s">
        <v>1473</v>
      </c>
    </row>
    <row r="18" spans="1:4" ht="39.6" x14ac:dyDescent="0.25">
      <c r="A18" s="1271"/>
      <c r="B18" s="1270" t="s">
        <v>1474</v>
      </c>
      <c r="C18" s="1272">
        <f>(C9*C10/100)*1000</f>
        <v>0</v>
      </c>
      <c r="D18" s="1272">
        <f>((C9*C11/100)*1000*(C15/100)*(44/12))</f>
        <v>0</v>
      </c>
    </row>
    <row r="19" spans="1:4" ht="39.6" x14ac:dyDescent="0.25">
      <c r="A19" s="1271"/>
      <c r="B19" s="1270" t="s">
        <v>1475</v>
      </c>
      <c r="C19" s="1272">
        <f>(C12*C13/100)*1000</f>
        <v>20.022464000000003</v>
      </c>
      <c r="D19" s="1272">
        <f>(C12*C14/100)*1000*(C15/100)*(44/12)</f>
        <v>1075.8546632533335</v>
      </c>
    </row>
    <row r="20" spans="1:4" x14ac:dyDescent="0.25">
      <c r="A20" s="1271"/>
      <c r="B20" s="955" t="s">
        <v>369</v>
      </c>
      <c r="C20" s="1273">
        <f>SUM(C18:C19)</f>
        <v>20.022464000000003</v>
      </c>
      <c r="D20" s="1273">
        <f>SUM(D18:D19)</f>
        <v>1075.8546632533335</v>
      </c>
    </row>
    <row r="21" spans="1:4" x14ac:dyDescent="0.25">
      <c r="A21" s="966"/>
      <c r="B21" s="964"/>
    </row>
  </sheetData>
  <pageMargins left="0.75" right="0.75" top="1" bottom="1" header="0.5" footer="0.5"/>
  <pageSetup paperSize="9" orientation="portrait" horizontalDpi="300" verticalDpi="30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1" topLeftCell="B12" activePane="bottomRight" state="frozen"/>
      <selection pane="topRight"/>
      <selection pane="bottomLeft"/>
      <selection pane="bottomRight"/>
    </sheetView>
  </sheetViews>
  <sheetFormatPr defaultColWidth="9.109375" defaultRowHeight="13.2" x14ac:dyDescent="0.25"/>
  <cols>
    <col min="1" max="1" width="46.44140625" style="116" customWidth="1"/>
    <col min="2" max="2" width="15.33203125" style="116" customWidth="1"/>
    <col min="3" max="3" width="11.5546875" style="116" customWidth="1"/>
    <col min="4" max="9" width="9.109375" style="116"/>
    <col min="10" max="10" width="13.33203125" style="116" customWidth="1"/>
    <col min="11" max="11" width="14.33203125" style="116" customWidth="1"/>
    <col min="12" max="15" width="9.109375" style="116"/>
    <col min="16" max="16" width="17.5546875" style="116" customWidth="1"/>
    <col min="17" max="17" width="17.6640625" style="116" customWidth="1"/>
    <col min="18" max="21" width="9.109375" style="116"/>
    <col min="22" max="22" width="15.6640625" style="116" customWidth="1"/>
    <col min="23" max="23" width="18" style="116" customWidth="1"/>
    <col min="24" max="27" width="9.109375" style="116"/>
    <col min="28" max="28" width="17.109375" style="116" customWidth="1"/>
    <col min="29" max="29" width="17.6640625" style="116" customWidth="1"/>
    <col min="30" max="16384" width="9.109375" style="116"/>
  </cols>
  <sheetData>
    <row r="1" spans="1:29" x14ac:dyDescent="0.25">
      <c r="A1" s="149" t="s">
        <v>240</v>
      </c>
      <c r="B1" s="289" t="s">
        <v>663</v>
      </c>
    </row>
    <row r="2" spans="1:29" x14ac:dyDescent="0.25">
      <c r="A2" s="149" t="s">
        <v>243</v>
      </c>
      <c r="B2" s="116" t="s">
        <v>170</v>
      </c>
    </row>
    <row r="3" spans="1:29" x14ac:dyDescent="0.25">
      <c r="A3" s="149" t="s">
        <v>241</v>
      </c>
      <c r="B3" s="116" t="s">
        <v>171</v>
      </c>
    </row>
    <row r="4" spans="1:29" x14ac:dyDescent="0.25">
      <c r="A4" s="149" t="s">
        <v>242</v>
      </c>
      <c r="B4" s="1">
        <v>2001</v>
      </c>
    </row>
    <row r="5" spans="1:29" x14ac:dyDescent="0.25">
      <c r="A5" s="149"/>
    </row>
    <row r="6" spans="1:29" x14ac:dyDescent="0.25">
      <c r="A6" s="564" t="s">
        <v>408</v>
      </c>
      <c r="B6" s="407"/>
      <c r="C6" s="408"/>
      <c r="E6" s="854"/>
    </row>
    <row r="7" spans="1:29" x14ac:dyDescent="0.25">
      <c r="A7" s="571" t="s">
        <v>571</v>
      </c>
      <c r="B7" s="572" t="s">
        <v>431</v>
      </c>
      <c r="C7" s="570">
        <f>Unitflowchart!S301</f>
        <v>44</v>
      </c>
    </row>
    <row r="8" spans="1:29" x14ac:dyDescent="0.25">
      <c r="A8" s="409" t="s">
        <v>363</v>
      </c>
      <c r="B8" s="410" t="s">
        <v>364</v>
      </c>
      <c r="C8" s="411">
        <f>include_machinery</f>
        <v>0</v>
      </c>
    </row>
    <row r="10" spans="1:29" x14ac:dyDescent="0.25">
      <c r="A10" s="117" t="s">
        <v>245</v>
      </c>
      <c r="B10" s="117" t="s">
        <v>244</v>
      </c>
      <c r="C10" s="117"/>
      <c r="D10" s="117"/>
      <c r="E10" s="194" t="s">
        <v>27</v>
      </c>
      <c r="F10" s="117" t="s">
        <v>247</v>
      </c>
      <c r="G10" s="117"/>
      <c r="H10" s="117"/>
      <c r="I10" s="194" t="s">
        <v>27</v>
      </c>
      <c r="J10" s="117" t="s">
        <v>91</v>
      </c>
      <c r="K10" s="117"/>
      <c r="L10" s="117" t="s">
        <v>251</v>
      </c>
      <c r="M10" s="117"/>
      <c r="N10" s="117"/>
      <c r="O10" s="194" t="s">
        <v>27</v>
      </c>
      <c r="P10" s="117" t="s">
        <v>365</v>
      </c>
      <c r="Q10" s="117"/>
      <c r="R10" s="117" t="s">
        <v>253</v>
      </c>
      <c r="S10" s="117"/>
      <c r="T10" s="117"/>
      <c r="U10" s="194" t="s">
        <v>27</v>
      </c>
      <c r="V10" s="117" t="s">
        <v>366</v>
      </c>
      <c r="W10" s="117"/>
      <c r="X10" s="117" t="s">
        <v>255</v>
      </c>
      <c r="Y10" s="117"/>
      <c r="Z10" s="117"/>
      <c r="AA10" s="194" t="s">
        <v>27</v>
      </c>
      <c r="AB10" s="117" t="s">
        <v>367</v>
      </c>
      <c r="AC10" s="117"/>
    </row>
    <row r="11" spans="1:29" x14ac:dyDescent="0.25">
      <c r="A11" s="310" t="s">
        <v>92</v>
      </c>
      <c r="B11" s="117" t="s">
        <v>246</v>
      </c>
      <c r="C11" s="117" t="s">
        <v>248</v>
      </c>
      <c r="D11" s="117" t="s">
        <v>249</v>
      </c>
      <c r="E11" s="194"/>
      <c r="F11" s="117" t="s">
        <v>246</v>
      </c>
      <c r="G11" s="117" t="s">
        <v>248</v>
      </c>
      <c r="H11" s="117" t="s">
        <v>249</v>
      </c>
      <c r="I11" s="194"/>
      <c r="J11" s="117" t="s">
        <v>248</v>
      </c>
      <c r="K11" s="117" t="s">
        <v>249</v>
      </c>
      <c r="L11" s="117" t="s">
        <v>246</v>
      </c>
      <c r="M11" s="117" t="s">
        <v>248</v>
      </c>
      <c r="N11" s="117" t="s">
        <v>249</v>
      </c>
      <c r="O11" s="194"/>
      <c r="P11" s="117" t="s">
        <v>248</v>
      </c>
      <c r="Q11" s="117" t="s">
        <v>249</v>
      </c>
      <c r="R11" s="117" t="s">
        <v>246</v>
      </c>
      <c r="S11" s="117" t="s">
        <v>248</v>
      </c>
      <c r="T11" s="117" t="s">
        <v>249</v>
      </c>
      <c r="U11" s="194"/>
      <c r="V11" s="117" t="s">
        <v>248</v>
      </c>
      <c r="W11" s="117" t="s">
        <v>249</v>
      </c>
      <c r="X11" s="117" t="s">
        <v>246</v>
      </c>
      <c r="Y11" s="117" t="s">
        <v>248</v>
      </c>
      <c r="Z11" s="117" t="s">
        <v>249</v>
      </c>
      <c r="AA11" s="194"/>
      <c r="AB11" s="117" t="s">
        <v>248</v>
      </c>
      <c r="AC11" s="117" t="s">
        <v>249</v>
      </c>
    </row>
    <row r="12" spans="1:29" x14ac:dyDescent="0.25">
      <c r="A12" s="117"/>
      <c r="B12" s="117"/>
      <c r="C12" s="117"/>
      <c r="D12" s="117"/>
      <c r="E12" s="194"/>
      <c r="F12" s="117"/>
      <c r="G12" s="117"/>
      <c r="H12" s="117"/>
      <c r="I12" s="194"/>
      <c r="J12" s="117"/>
      <c r="K12" s="117"/>
      <c r="L12" s="117"/>
      <c r="M12" s="117"/>
      <c r="N12" s="117"/>
      <c r="O12" s="194"/>
      <c r="P12" s="117"/>
      <c r="Q12" s="117"/>
      <c r="R12" s="117"/>
      <c r="S12" s="117"/>
      <c r="T12" s="117"/>
      <c r="U12" s="194"/>
      <c r="V12" s="117"/>
      <c r="W12" s="117"/>
      <c r="X12" s="117"/>
      <c r="Y12" s="117"/>
      <c r="Z12" s="117"/>
      <c r="AA12" s="194"/>
      <c r="AB12" s="117"/>
      <c r="AC12" s="117"/>
    </row>
    <row r="13" spans="1:29" x14ac:dyDescent="0.25">
      <c r="A13" s="311" t="s">
        <v>658</v>
      </c>
      <c r="B13" s="312"/>
      <c r="C13" s="312"/>
      <c r="D13" s="312"/>
      <c r="E13" s="313"/>
      <c r="F13" s="312"/>
      <c r="G13" s="312"/>
      <c r="H13" s="312"/>
      <c r="I13" s="313"/>
      <c r="J13" s="312"/>
      <c r="K13" s="312"/>
      <c r="L13" s="312"/>
      <c r="M13" s="312"/>
      <c r="N13" s="312"/>
      <c r="O13" s="313"/>
      <c r="P13" s="312"/>
      <c r="Q13" s="312"/>
      <c r="R13" s="312"/>
      <c r="S13" s="312"/>
      <c r="T13" s="312"/>
      <c r="U13" s="313"/>
      <c r="V13" s="312"/>
      <c r="W13" s="312"/>
      <c r="X13" s="312"/>
      <c r="Y13" s="312"/>
      <c r="Z13" s="312"/>
      <c r="AA13" s="313"/>
      <c r="AB13" s="312"/>
      <c r="AC13" s="312"/>
    </row>
    <row r="14" spans="1:29" ht="12.75" customHeight="1" x14ac:dyDescent="0.25">
      <c r="A14" s="314" t="s">
        <v>839</v>
      </c>
      <c r="B14" s="314" t="s">
        <v>17</v>
      </c>
      <c r="C14" s="568">
        <v>0.62658255419993736</v>
      </c>
      <c r="D14" s="568">
        <v>2.9449380047397056E-2</v>
      </c>
      <c r="E14" s="853" t="s">
        <v>1068</v>
      </c>
      <c r="F14" s="314" t="s">
        <v>6</v>
      </c>
      <c r="G14" s="569">
        <v>1.073</v>
      </c>
      <c r="H14" s="569">
        <v>0</v>
      </c>
      <c r="I14" s="312" t="s">
        <v>1161</v>
      </c>
      <c r="J14" s="573">
        <f>C14*G14</f>
        <v>0.67232308065653279</v>
      </c>
      <c r="K14" s="573">
        <f>SQRT(((D14*G14)^2)+((C14*H14)^2))</f>
        <v>3.1599184790857042E-2</v>
      </c>
      <c r="L14" s="312" t="s">
        <v>7</v>
      </c>
      <c r="M14" s="569">
        <v>7.6999999999999999E-2</v>
      </c>
      <c r="N14" s="569">
        <v>0</v>
      </c>
      <c r="O14" s="312" t="s">
        <v>1162</v>
      </c>
      <c r="P14" s="578">
        <f>C14*M14</f>
        <v>4.8246856673395178E-2</v>
      </c>
      <c r="Q14" s="578">
        <f>SQRT(((D14*M14)^2)+((C14*N14)^2))</f>
        <v>2.2676022636495732E-3</v>
      </c>
      <c r="R14" s="312" t="s">
        <v>8</v>
      </c>
      <c r="S14" s="569">
        <v>1.5999999999999999E-5</v>
      </c>
      <c r="T14" s="569">
        <v>0</v>
      </c>
      <c r="U14" s="312" t="s">
        <v>1163</v>
      </c>
      <c r="V14" s="589">
        <f>C14*S14</f>
        <v>1.0025320867198998E-5</v>
      </c>
      <c r="W14" s="589">
        <f>SQRT(((D14*S14)^2)+((C14*T14)^2))</f>
        <v>4.7119008075835288E-7</v>
      </c>
      <c r="X14" s="312" t="s">
        <v>9</v>
      </c>
      <c r="Y14" s="569">
        <v>2.0800000000000001E-5</v>
      </c>
      <c r="Z14" s="569">
        <v>0</v>
      </c>
      <c r="AA14" s="312" t="s">
        <v>1164</v>
      </c>
      <c r="AB14" s="390">
        <f>C14*Y14</f>
        <v>1.3032917127358698E-5</v>
      </c>
      <c r="AC14" s="390">
        <f>SQRT(((D14*Y14)^2)+((C14*Z14)^2))</f>
        <v>6.1254710498585883E-7</v>
      </c>
    </row>
    <row r="15" spans="1:29" ht="12.75" customHeight="1" x14ac:dyDescent="0.25">
      <c r="A15" s="314" t="s">
        <v>840</v>
      </c>
      <c r="B15" s="314" t="s">
        <v>17</v>
      </c>
      <c r="C15" s="568">
        <v>0.14145560868509663</v>
      </c>
      <c r="D15" s="568">
        <v>1.0363501866666666E-2</v>
      </c>
      <c r="E15" s="317" t="s">
        <v>94</v>
      </c>
      <c r="F15" s="314" t="s">
        <v>6</v>
      </c>
      <c r="G15" s="568">
        <v>1</v>
      </c>
      <c r="H15" s="568">
        <v>0</v>
      </c>
      <c r="I15" s="317"/>
      <c r="J15" s="505">
        <f>$C15*$G15*$C$8</f>
        <v>0</v>
      </c>
      <c r="K15" s="505">
        <f>SQRT((($D15*$G15)^2)+(($C15*$H15)^2))*$C$8</f>
        <v>0</v>
      </c>
      <c r="L15" s="314" t="s">
        <v>220</v>
      </c>
      <c r="M15" s="568">
        <v>6.0333866666666663E-3</v>
      </c>
      <c r="N15" s="568">
        <v>6.9987285333333339E-4</v>
      </c>
      <c r="O15" s="317" t="s">
        <v>95</v>
      </c>
      <c r="P15" s="578">
        <f>M15*$C$8</f>
        <v>0</v>
      </c>
      <c r="Q15" s="578">
        <f>N15*$C$8</f>
        <v>0</v>
      </c>
      <c r="R15" s="314" t="s">
        <v>221</v>
      </c>
      <c r="S15" s="568">
        <v>9.5547959999999994E-6</v>
      </c>
      <c r="T15" s="568">
        <v>1.1083563360000001E-6</v>
      </c>
      <c r="U15" s="317" t="s">
        <v>96</v>
      </c>
      <c r="V15" s="589">
        <f>S15*$C$8</f>
        <v>0</v>
      </c>
      <c r="W15" s="589">
        <f>T15*$C$8</f>
        <v>0</v>
      </c>
      <c r="X15" s="314" t="s">
        <v>222</v>
      </c>
      <c r="Y15" s="568">
        <v>4.7570933333333328E-7</v>
      </c>
      <c r="Z15" s="568">
        <v>5.5182282666666666E-8</v>
      </c>
      <c r="AA15" s="317" t="s">
        <v>97</v>
      </c>
      <c r="AB15" s="390">
        <f>Y15*$C$8</f>
        <v>0</v>
      </c>
      <c r="AC15" s="390">
        <f>Z15*$C$8</f>
        <v>0</v>
      </c>
    </row>
    <row r="16" spans="1:29" ht="15" customHeight="1" x14ac:dyDescent="0.25">
      <c r="A16" s="314" t="s">
        <v>223</v>
      </c>
      <c r="B16" s="314" t="s">
        <v>11</v>
      </c>
      <c r="C16" s="568">
        <v>2</v>
      </c>
      <c r="D16" s="568">
        <f>C16*15/100</f>
        <v>0.3</v>
      </c>
      <c r="E16" s="317" t="s">
        <v>659</v>
      </c>
      <c r="F16" s="314"/>
      <c r="G16" s="319"/>
      <c r="H16" s="319"/>
      <c r="I16" s="317"/>
      <c r="J16" s="505">
        <f>($C$16/100)*$J$15</f>
        <v>0</v>
      </c>
      <c r="K16" s="505">
        <f>SQRT(((($D$16/100)*J15)^2)+((($C$16/100)*K15)^2))</f>
        <v>0</v>
      </c>
      <c r="L16" s="314"/>
      <c r="M16" s="319"/>
      <c r="N16" s="319"/>
      <c r="O16" s="317" t="s">
        <v>98</v>
      </c>
      <c r="P16" s="579">
        <f>($C$16/100)*$P15</f>
        <v>0</v>
      </c>
      <c r="Q16" s="579">
        <f>SQRT(((($D$16/100)*$P15)^2)+((($C$16/100)*$Q15)^2))</f>
        <v>0</v>
      </c>
      <c r="R16" s="314"/>
      <c r="S16" s="319"/>
      <c r="T16" s="319"/>
      <c r="U16" s="317" t="s">
        <v>117</v>
      </c>
      <c r="V16" s="590">
        <f>($C$16/100)*$V15</f>
        <v>0</v>
      </c>
      <c r="W16" s="590">
        <f>SQRT(((($D$16/100)*$V15)^2)+((($C$16/100)*$W15)^2))</f>
        <v>0</v>
      </c>
      <c r="X16" s="314"/>
      <c r="Y16" s="319"/>
      <c r="Z16" s="319"/>
      <c r="AA16" s="317" t="s">
        <v>118</v>
      </c>
      <c r="AB16" s="584">
        <f>($C$16/100)*$AB15</f>
        <v>0</v>
      </c>
      <c r="AC16" s="584">
        <f>SQRT(((($D$16/100)*$AB15)^2)+((($C$16/100)*$AC15)^2))</f>
        <v>0</v>
      </c>
    </row>
    <row r="17" spans="1:29" x14ac:dyDescent="0.25">
      <c r="A17" s="314"/>
      <c r="B17" s="314"/>
      <c r="C17" s="314"/>
      <c r="D17" s="314"/>
      <c r="E17" s="317"/>
      <c r="F17" s="314"/>
      <c r="G17" s="314"/>
      <c r="H17" s="314"/>
      <c r="I17" s="317"/>
      <c r="J17" s="503"/>
      <c r="K17" s="503"/>
      <c r="L17" s="314"/>
      <c r="M17" s="314"/>
      <c r="N17" s="314"/>
      <c r="O17" s="317"/>
      <c r="P17" s="580"/>
      <c r="Q17" s="580"/>
      <c r="R17" s="314"/>
      <c r="S17" s="314"/>
      <c r="T17" s="314"/>
      <c r="U17" s="317"/>
      <c r="V17" s="591"/>
      <c r="W17" s="591"/>
      <c r="X17" s="314"/>
      <c r="Y17" s="314"/>
      <c r="Z17" s="314"/>
      <c r="AA17" s="317"/>
      <c r="AB17" s="585"/>
      <c r="AC17" s="585"/>
    </row>
    <row r="18" spans="1:29" x14ac:dyDescent="0.25">
      <c r="A18" s="320" t="s">
        <v>18</v>
      </c>
      <c r="B18" s="320"/>
      <c r="C18" s="320"/>
      <c r="D18" s="320"/>
      <c r="E18" s="321"/>
      <c r="F18" s="320"/>
      <c r="G18" s="320"/>
      <c r="H18" s="320"/>
      <c r="I18" s="321"/>
      <c r="J18" s="504">
        <f>SUM(J14:J16)</f>
        <v>0.67232308065653279</v>
      </c>
      <c r="K18" s="504">
        <f>SQRT((K14^2)+(K15^2)+(K16^2))</f>
        <v>3.1599184790857042E-2</v>
      </c>
      <c r="L18" s="320"/>
      <c r="M18" s="320"/>
      <c r="N18" s="320"/>
      <c r="O18" s="321"/>
      <c r="P18" s="581">
        <f>SUM(P14:P16)</f>
        <v>4.8246856673395178E-2</v>
      </c>
      <c r="Q18" s="581">
        <f>SQRT((Q14^2)+(Q15^2)+(Q16^2))</f>
        <v>2.2676022636495732E-3</v>
      </c>
      <c r="R18" s="320"/>
      <c r="S18" s="320"/>
      <c r="T18" s="320"/>
      <c r="U18" s="321"/>
      <c r="V18" s="592">
        <f>SUM(V14:V16)</f>
        <v>1.0025320867198998E-5</v>
      </c>
      <c r="W18" s="592">
        <f>SQRT((W14^2)+(W15^2)+(W16^2))</f>
        <v>4.7119008075835288E-7</v>
      </c>
      <c r="X18" s="320"/>
      <c r="Y18" s="320"/>
      <c r="Z18" s="320"/>
      <c r="AA18" s="321"/>
      <c r="AB18" s="586">
        <f>SUM(AB14:AB16)</f>
        <v>1.3032917127358698E-5</v>
      </c>
      <c r="AC18" s="586">
        <f>SQRT((AC14^2)+(AC15^2)+(AC16^2))</f>
        <v>6.1254710498585883E-7</v>
      </c>
    </row>
    <row r="19" spans="1:29" x14ac:dyDescent="0.25">
      <c r="J19" s="574"/>
      <c r="K19" s="574"/>
      <c r="P19" s="323"/>
      <c r="Q19" s="323"/>
      <c r="V19" s="324"/>
      <c r="W19" s="324"/>
      <c r="AB19" s="587"/>
      <c r="AC19" s="587"/>
    </row>
    <row r="20" spans="1:29" x14ac:dyDescent="0.25">
      <c r="A20" s="322" t="s">
        <v>660</v>
      </c>
      <c r="J20" s="574"/>
      <c r="K20" s="574"/>
      <c r="P20" s="323"/>
      <c r="Q20" s="323"/>
      <c r="V20" s="324"/>
      <c r="W20" s="324"/>
      <c r="AB20" s="587"/>
      <c r="AC20" s="587"/>
    </row>
    <row r="21" spans="1:29" ht="14.25" customHeight="1" x14ac:dyDescent="0.25">
      <c r="A21" s="314" t="s">
        <v>839</v>
      </c>
      <c r="B21" s="314" t="s">
        <v>17</v>
      </c>
      <c r="C21" s="568">
        <v>0.56099542181382334</v>
      </c>
      <c r="D21" s="568">
        <v>2.6366784825249696E-2</v>
      </c>
      <c r="E21" s="853" t="s">
        <v>1068</v>
      </c>
      <c r="F21" s="314" t="s">
        <v>6</v>
      </c>
      <c r="G21" s="569">
        <v>1.073</v>
      </c>
      <c r="H21" s="569">
        <v>0</v>
      </c>
      <c r="I21" s="312" t="s">
        <v>1161</v>
      </c>
      <c r="J21" s="573">
        <f>C21*G21</f>
        <v>0.60194808760623242</v>
      </c>
      <c r="K21" s="573">
        <f>SQRT(((D21*G21)^2)+((C21*H21)^2))</f>
        <v>2.8291560117492922E-2</v>
      </c>
      <c r="L21" s="312" t="s">
        <v>7</v>
      </c>
      <c r="M21" s="569">
        <v>7.6999999999999999E-2</v>
      </c>
      <c r="N21" s="569">
        <v>0</v>
      </c>
      <c r="O21" s="312" t="s">
        <v>1162</v>
      </c>
      <c r="P21" s="578">
        <f>C21*M21</f>
        <v>4.3196647479664396E-2</v>
      </c>
      <c r="Q21" s="578">
        <f>SQRT(((D21*M21)^2)+((C21*N21)^2))</f>
        <v>2.0302424315442264E-3</v>
      </c>
      <c r="R21" s="312" t="s">
        <v>8</v>
      </c>
      <c r="S21" s="569">
        <v>1.5999999999999999E-5</v>
      </c>
      <c r="T21" s="569">
        <v>0</v>
      </c>
      <c r="U21" s="312" t="s">
        <v>1163</v>
      </c>
      <c r="V21" s="589">
        <f>C21*S21</f>
        <v>8.9759267490211735E-6</v>
      </c>
      <c r="W21" s="589">
        <f>SQRT(((D21*S21)^2)+((C21*T21)^2))</f>
        <v>4.2186855720399514E-7</v>
      </c>
      <c r="X21" s="312" t="s">
        <v>9</v>
      </c>
      <c r="Y21" s="569">
        <v>2.0800000000000001E-5</v>
      </c>
      <c r="Z21" s="569">
        <v>0</v>
      </c>
      <c r="AA21" s="312" t="s">
        <v>1164</v>
      </c>
      <c r="AB21" s="390">
        <f>C21*Y21</f>
        <v>1.1668704773727526E-5</v>
      </c>
      <c r="AC21" s="390">
        <f>SQRT(((D21*Y21)^2)+((C21*Z21)^2))</f>
        <v>5.484291243651937E-7</v>
      </c>
    </row>
    <row r="22" spans="1:29" ht="15" customHeight="1" x14ac:dyDescent="0.25">
      <c r="A22" s="314" t="s">
        <v>840</v>
      </c>
      <c r="B22" s="314" t="s">
        <v>17</v>
      </c>
      <c r="C22" s="568">
        <v>0.12661999111841793</v>
      </c>
      <c r="D22" s="568">
        <v>8.3218218039215683E-3</v>
      </c>
      <c r="E22" s="317" t="s">
        <v>94</v>
      </c>
      <c r="F22" s="314" t="s">
        <v>6</v>
      </c>
      <c r="G22" s="568">
        <v>1</v>
      </c>
      <c r="H22" s="568">
        <v>0</v>
      </c>
      <c r="I22" s="317"/>
      <c r="J22" s="505">
        <f>$C22*$G22*$C$8</f>
        <v>0</v>
      </c>
      <c r="K22" s="505">
        <f>SQRT((($D22*$G22)^2)+(($C22*$H22)^2))*$C$8</f>
        <v>0</v>
      </c>
      <c r="L22" s="314" t="s">
        <v>220</v>
      </c>
      <c r="M22" s="568">
        <v>4.8447686274509802E-3</v>
      </c>
      <c r="N22" s="568">
        <v>5.619931607843137E-4</v>
      </c>
      <c r="O22" s="317" t="s">
        <v>95</v>
      </c>
      <c r="P22" s="578">
        <f>M22*$C$8</f>
        <v>0</v>
      </c>
      <c r="Q22" s="578">
        <f>N22*$C$8</f>
        <v>0</v>
      </c>
      <c r="R22" s="314" t="s">
        <v>221</v>
      </c>
      <c r="S22" s="568">
        <v>7.6724364705882355E-6</v>
      </c>
      <c r="T22" s="568">
        <v>8.9000263058823523E-7</v>
      </c>
      <c r="U22" s="317" t="s">
        <v>96</v>
      </c>
      <c r="V22" s="589">
        <f>S22*$C$8</f>
        <v>0</v>
      </c>
      <c r="W22" s="589">
        <f>T22*$C$8</f>
        <v>0</v>
      </c>
      <c r="X22" s="314" t="s">
        <v>222</v>
      </c>
      <c r="Y22" s="568">
        <v>3.8199137254901959E-7</v>
      </c>
      <c r="Z22" s="568">
        <v>4.4310999215686275E-8</v>
      </c>
      <c r="AA22" s="317" t="s">
        <v>97</v>
      </c>
      <c r="AB22" s="390">
        <f>Y22*$C$8</f>
        <v>0</v>
      </c>
      <c r="AC22" s="390">
        <f>Z22*$C$8</f>
        <v>0</v>
      </c>
    </row>
    <row r="23" spans="1:29" ht="14.25" customHeight="1" x14ac:dyDescent="0.25">
      <c r="A23" s="314" t="s">
        <v>223</v>
      </c>
      <c r="B23" s="314" t="s">
        <v>11</v>
      </c>
      <c r="C23" s="568">
        <v>2</v>
      </c>
      <c r="D23" s="568">
        <f>C23*15/100</f>
        <v>0.3</v>
      </c>
      <c r="E23" s="317" t="s">
        <v>659</v>
      </c>
      <c r="F23" s="314"/>
      <c r="G23" s="319"/>
      <c r="H23" s="319"/>
      <c r="I23" s="317"/>
      <c r="J23" s="505">
        <f>($C$16/100)*$J$15</f>
        <v>0</v>
      </c>
      <c r="K23" s="505">
        <f>SQRT(((($D$16/100)*J22)^2)+((($C$16/100)*K22)^2))</f>
        <v>0</v>
      </c>
      <c r="L23" s="314"/>
      <c r="M23" s="319"/>
      <c r="N23" s="319"/>
      <c r="O23" s="317" t="s">
        <v>98</v>
      </c>
      <c r="P23" s="579">
        <f>($C$16/100)*$P22</f>
        <v>0</v>
      </c>
      <c r="Q23" s="579">
        <f>SQRT(((($D$16/100)*$P22)^2)+((($C$16/100)*$Q22)^2))</f>
        <v>0</v>
      </c>
      <c r="R23" s="314"/>
      <c r="S23" s="319"/>
      <c r="T23" s="319"/>
      <c r="U23" s="317" t="s">
        <v>117</v>
      </c>
      <c r="V23" s="590">
        <f>($C$16/100)*$V22</f>
        <v>0</v>
      </c>
      <c r="W23" s="590">
        <f>SQRT(((($D$16/100)*$V22)^2)+((($C$16/100)*$W22)^2))</f>
        <v>0</v>
      </c>
      <c r="X23" s="314"/>
      <c r="Y23" s="319"/>
      <c r="Z23" s="319"/>
      <c r="AA23" s="317" t="s">
        <v>118</v>
      </c>
      <c r="AB23" s="584">
        <f>($C$16/100)*$AB22</f>
        <v>0</v>
      </c>
      <c r="AC23" s="584">
        <f>SQRT(((($D$16/100)*$AB22)^2)+((($C$16/100)*$AC22)^2))</f>
        <v>0</v>
      </c>
    </row>
    <row r="24" spans="1:29" x14ac:dyDescent="0.25">
      <c r="A24" s="314"/>
      <c r="B24" s="314"/>
      <c r="C24" s="314"/>
      <c r="D24" s="314"/>
      <c r="E24" s="317"/>
      <c r="F24" s="314"/>
      <c r="G24" s="314"/>
      <c r="H24" s="314"/>
      <c r="I24" s="317"/>
      <c r="J24" s="503"/>
      <c r="K24" s="503"/>
      <c r="L24" s="314"/>
      <c r="M24" s="314"/>
      <c r="N24" s="314"/>
      <c r="O24" s="317"/>
      <c r="P24" s="580"/>
      <c r="Q24" s="580"/>
      <c r="R24" s="314"/>
      <c r="S24" s="314"/>
      <c r="T24" s="314"/>
      <c r="U24" s="317"/>
      <c r="V24" s="591"/>
      <c r="W24" s="591"/>
      <c r="X24" s="314"/>
      <c r="Y24" s="314"/>
      <c r="Z24" s="314"/>
      <c r="AA24" s="317"/>
      <c r="AB24" s="585"/>
      <c r="AC24" s="585"/>
    </row>
    <row r="25" spans="1:29" x14ac:dyDescent="0.25">
      <c r="A25" s="320" t="s">
        <v>18</v>
      </c>
      <c r="B25" s="320"/>
      <c r="C25" s="320"/>
      <c r="D25" s="320"/>
      <c r="E25" s="321"/>
      <c r="F25" s="320"/>
      <c r="G25" s="320"/>
      <c r="H25" s="320"/>
      <c r="I25" s="321"/>
      <c r="J25" s="504">
        <f>SUM(J21:J23)</f>
        <v>0.60194808760623242</v>
      </c>
      <c r="K25" s="504">
        <f>SQRT((K21^2)+(K22^2)+(K23^2))</f>
        <v>2.8291560117492922E-2</v>
      </c>
      <c r="L25" s="320"/>
      <c r="M25" s="320"/>
      <c r="N25" s="320"/>
      <c r="O25" s="321"/>
      <c r="P25" s="581">
        <f>SUM(P21:P23)</f>
        <v>4.3196647479664396E-2</v>
      </c>
      <c r="Q25" s="581">
        <f>SQRT((Q21^2)+(Q22^2)+(Q23^2))</f>
        <v>2.0302424315442264E-3</v>
      </c>
      <c r="R25" s="320"/>
      <c r="S25" s="320"/>
      <c r="T25" s="320"/>
      <c r="U25" s="321"/>
      <c r="V25" s="592">
        <f>SUM(V21:V23)</f>
        <v>8.9759267490211735E-6</v>
      </c>
      <c r="W25" s="592">
        <f>SQRT((W21^2)+(W22^2)+(W23^2))</f>
        <v>4.2186855720399514E-7</v>
      </c>
      <c r="X25" s="320"/>
      <c r="Y25" s="320"/>
      <c r="Z25" s="320"/>
      <c r="AA25" s="321"/>
      <c r="AB25" s="586">
        <f>SUM(AB21:AB23)</f>
        <v>1.1668704773727526E-5</v>
      </c>
      <c r="AC25" s="586">
        <f>SQRT((AC21^2)+(AC22^2)+(AC23^2))</f>
        <v>5.484291243651937E-7</v>
      </c>
    </row>
    <row r="26" spans="1:29" x14ac:dyDescent="0.25">
      <c r="J26" s="574"/>
      <c r="K26" s="574"/>
      <c r="P26" s="323"/>
      <c r="Q26" s="323"/>
      <c r="V26" s="324"/>
      <c r="W26" s="324"/>
      <c r="AB26" s="587"/>
      <c r="AC26" s="587"/>
    </row>
    <row r="27" spans="1:29" x14ac:dyDescent="0.25">
      <c r="A27" s="149" t="s">
        <v>368</v>
      </c>
      <c r="J27" s="575"/>
      <c r="K27" s="575"/>
      <c r="P27" s="323"/>
      <c r="Q27" s="323"/>
      <c r="V27" s="324"/>
      <c r="W27" s="324"/>
      <c r="AB27" s="587"/>
      <c r="AC27" s="587"/>
    </row>
    <row r="28" spans="1:29" x14ac:dyDescent="0.25">
      <c r="A28" s="149" t="s">
        <v>839</v>
      </c>
      <c r="J28" s="576">
        <f>IF($C$7=44,J14,J21)</f>
        <v>0.67232308065653279</v>
      </c>
      <c r="K28" s="576">
        <f>IF($C$7=44,K14,K21)</f>
        <v>3.1599184790857042E-2</v>
      </c>
      <c r="P28" s="576">
        <f>IF($C$7=44,P14,P21)</f>
        <v>4.8246856673395178E-2</v>
      </c>
      <c r="Q28" s="576">
        <f>IF($C$7=44,Q14,Q21)</f>
        <v>2.2676022636495732E-3</v>
      </c>
      <c r="V28" s="906">
        <f>IF($C$7=44,V14,V21)</f>
        <v>1.0025320867198998E-5</v>
      </c>
      <c r="W28" s="906">
        <f>IF($C$7=44,W14,W21)</f>
        <v>4.7119008075835288E-7</v>
      </c>
      <c r="X28" s="907"/>
      <c r="Y28" s="907"/>
      <c r="Z28" s="907"/>
      <c r="AA28" s="907"/>
      <c r="AB28" s="906">
        <f>IF($C$7=44,AB14,AB21)</f>
        <v>1.3032917127358698E-5</v>
      </c>
      <c r="AC28" s="906">
        <f>IF($C$7=44,AC14,AC21)</f>
        <v>6.1254710498585883E-7</v>
      </c>
    </row>
    <row r="29" spans="1:29" x14ac:dyDescent="0.25">
      <c r="A29" s="149" t="s">
        <v>841</v>
      </c>
      <c r="J29" s="576">
        <f t="shared" ref="J29:K32" si="0">IF($C$7=44,J15,J22)</f>
        <v>0</v>
      </c>
      <c r="K29" s="576">
        <f t="shared" si="0"/>
        <v>0</v>
      </c>
      <c r="P29" s="576">
        <f t="shared" ref="P29:Q29" si="1">IF($C$7=44,P15,P22)</f>
        <v>0</v>
      </c>
      <c r="Q29" s="576">
        <f t="shared" si="1"/>
        <v>0</v>
      </c>
      <c r="V29" s="906">
        <f t="shared" ref="V29:W29" si="2">IF($C$7=44,V15,V22)</f>
        <v>0</v>
      </c>
      <c r="W29" s="906">
        <f t="shared" si="2"/>
        <v>0</v>
      </c>
      <c r="X29" s="907"/>
      <c r="Y29" s="907"/>
      <c r="Z29" s="907"/>
      <c r="AA29" s="907"/>
      <c r="AB29" s="906">
        <f t="shared" ref="AB29:AC29" si="3">IF($C$7=44,AB15,AB22)</f>
        <v>0</v>
      </c>
      <c r="AC29" s="906">
        <f t="shared" si="3"/>
        <v>0</v>
      </c>
    </row>
    <row r="30" spans="1:29" x14ac:dyDescent="0.25">
      <c r="A30" s="149" t="s">
        <v>223</v>
      </c>
      <c r="J30" s="576">
        <f t="shared" si="0"/>
        <v>0</v>
      </c>
      <c r="K30" s="576">
        <f t="shared" si="0"/>
        <v>0</v>
      </c>
      <c r="P30" s="576">
        <f t="shared" ref="P30:Q30" si="4">IF($C$7=44,P16,P23)</f>
        <v>0</v>
      </c>
      <c r="Q30" s="576">
        <f t="shared" si="4"/>
        <v>0</v>
      </c>
      <c r="V30" s="906">
        <f t="shared" ref="V30:W30" si="5">IF($C$7=44,V16,V23)</f>
        <v>0</v>
      </c>
      <c r="W30" s="906">
        <f t="shared" si="5"/>
        <v>0</v>
      </c>
      <c r="X30" s="907"/>
      <c r="Y30" s="907"/>
      <c r="Z30" s="907"/>
      <c r="AA30" s="907"/>
      <c r="AB30" s="906">
        <f t="shared" ref="AB30:AC30" si="6">IF($C$7=44,AB16,AB23)</f>
        <v>0</v>
      </c>
      <c r="AC30" s="906">
        <f t="shared" si="6"/>
        <v>0</v>
      </c>
    </row>
    <row r="31" spans="1:29" x14ac:dyDescent="0.25">
      <c r="A31" s="2"/>
      <c r="J31" s="574"/>
      <c r="K31" s="574"/>
      <c r="P31" s="574"/>
      <c r="Q31" s="574"/>
      <c r="V31" s="909"/>
      <c r="W31" s="909"/>
      <c r="X31" s="907"/>
      <c r="Y31" s="907"/>
      <c r="Z31" s="907"/>
      <c r="AA31" s="907"/>
      <c r="AB31" s="909"/>
      <c r="AC31" s="909"/>
    </row>
    <row r="32" spans="1:29" x14ac:dyDescent="0.25">
      <c r="A32" s="2" t="s">
        <v>369</v>
      </c>
      <c r="J32" s="577">
        <f t="shared" si="0"/>
        <v>0.67232308065653279</v>
      </c>
      <c r="K32" s="577">
        <f t="shared" si="0"/>
        <v>3.1599184790857042E-2</v>
      </c>
      <c r="P32" s="577">
        <f t="shared" ref="P32:Q32" si="7">IF($C$7=44,P18,P25)</f>
        <v>4.8246856673395178E-2</v>
      </c>
      <c r="Q32" s="577">
        <f t="shared" si="7"/>
        <v>2.2676022636495732E-3</v>
      </c>
      <c r="V32" s="910">
        <f t="shared" ref="V32:W32" si="8">IF($C$7=44,V18,V25)</f>
        <v>1.0025320867198998E-5</v>
      </c>
      <c r="W32" s="910">
        <f t="shared" si="8"/>
        <v>4.7119008075835288E-7</v>
      </c>
      <c r="X32" s="907"/>
      <c r="Y32" s="907"/>
      <c r="Z32" s="907"/>
      <c r="AA32" s="907"/>
      <c r="AB32" s="910">
        <f t="shared" ref="AB32:AC32" si="9">IF($C$7=44,AB18,AB25)</f>
        <v>1.3032917127358698E-5</v>
      </c>
      <c r="AC32" s="910">
        <f t="shared" si="9"/>
        <v>6.1254710498585883E-7</v>
      </c>
    </row>
  </sheetData>
  <pageMargins left="0.75" right="0.75" top="1" bottom="1" header="0.5" footer="0.5"/>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1" topLeftCell="B12" activePane="bottomRight" state="frozen"/>
      <selection pane="topRight"/>
      <selection pane="bottomLeft"/>
      <selection pane="bottomRight"/>
    </sheetView>
  </sheetViews>
  <sheetFormatPr defaultColWidth="9.109375" defaultRowHeight="13.2" x14ac:dyDescent="0.25"/>
  <cols>
    <col min="1" max="1" width="46.44140625" style="116" customWidth="1"/>
    <col min="2" max="2" width="15.33203125" style="116" customWidth="1"/>
    <col min="3" max="3" width="11.5546875" style="116" customWidth="1"/>
    <col min="4" max="9" width="9.109375" style="116"/>
    <col min="10" max="10" width="13.33203125" style="116" customWidth="1"/>
    <col min="11" max="11" width="14.33203125" style="116" customWidth="1"/>
    <col min="12" max="15" width="9.109375" style="116"/>
    <col min="16" max="16" width="17.5546875" style="116" customWidth="1"/>
    <col min="17" max="17" width="17.6640625" style="116" customWidth="1"/>
    <col min="18" max="21" width="9.109375" style="116"/>
    <col min="22" max="22" width="15.6640625" style="116" customWidth="1"/>
    <col min="23" max="23" width="18" style="116" customWidth="1"/>
    <col min="24" max="27" width="9.109375" style="116"/>
    <col min="28" max="28" width="17.109375" style="116" customWidth="1"/>
    <col min="29" max="29" width="17.6640625" style="116" customWidth="1"/>
    <col min="30" max="16384" width="9.109375" style="116"/>
  </cols>
  <sheetData>
    <row r="1" spans="1:29" x14ac:dyDescent="0.25">
      <c r="A1" s="149" t="s">
        <v>240</v>
      </c>
      <c r="B1" s="289" t="s">
        <v>663</v>
      </c>
    </row>
    <row r="2" spans="1:29" x14ac:dyDescent="0.25">
      <c r="A2" s="149" t="s">
        <v>243</v>
      </c>
      <c r="B2" s="116" t="s">
        <v>170</v>
      </c>
    </row>
    <row r="3" spans="1:29" x14ac:dyDescent="0.25">
      <c r="A3" s="149" t="s">
        <v>241</v>
      </c>
      <c r="B3" s="116" t="s">
        <v>171</v>
      </c>
    </row>
    <row r="4" spans="1:29" x14ac:dyDescent="0.25">
      <c r="A4" s="149" t="s">
        <v>242</v>
      </c>
      <c r="B4" s="1">
        <v>2001</v>
      </c>
    </row>
    <row r="5" spans="1:29" x14ac:dyDescent="0.25">
      <c r="A5" s="149"/>
    </row>
    <row r="6" spans="1:29" x14ac:dyDescent="0.25">
      <c r="A6" s="564" t="s">
        <v>408</v>
      </c>
      <c r="B6" s="407"/>
      <c r="C6" s="408"/>
      <c r="E6" s="854"/>
    </row>
    <row r="7" spans="1:29" x14ac:dyDescent="0.25">
      <c r="A7" s="571" t="s">
        <v>571</v>
      </c>
      <c r="B7" s="572" t="s">
        <v>431</v>
      </c>
      <c r="C7" s="570">
        <f>Unitflowchart!S301</f>
        <v>44</v>
      </c>
    </row>
    <row r="8" spans="1:29" x14ac:dyDescent="0.25">
      <c r="A8" s="409" t="s">
        <v>363</v>
      </c>
      <c r="B8" s="410" t="s">
        <v>364</v>
      </c>
      <c r="C8" s="411">
        <f>include_machinery</f>
        <v>0</v>
      </c>
    </row>
    <row r="10" spans="1:29" x14ac:dyDescent="0.25">
      <c r="A10" s="117" t="s">
        <v>245</v>
      </c>
      <c r="B10" s="117" t="s">
        <v>244</v>
      </c>
      <c r="C10" s="117"/>
      <c r="D10" s="117"/>
      <c r="E10" s="194" t="s">
        <v>27</v>
      </c>
      <c r="F10" s="117" t="s">
        <v>247</v>
      </c>
      <c r="G10" s="117"/>
      <c r="H10" s="117"/>
      <c r="I10" s="194" t="s">
        <v>27</v>
      </c>
      <c r="J10" s="117" t="s">
        <v>91</v>
      </c>
      <c r="K10" s="117"/>
      <c r="L10" s="117" t="s">
        <v>251</v>
      </c>
      <c r="M10" s="117"/>
      <c r="N10" s="117"/>
      <c r="O10" s="194" t="s">
        <v>27</v>
      </c>
      <c r="P10" s="117" t="s">
        <v>365</v>
      </c>
      <c r="Q10" s="117"/>
      <c r="R10" s="117" t="s">
        <v>253</v>
      </c>
      <c r="S10" s="117"/>
      <c r="T10" s="117"/>
      <c r="U10" s="194" t="s">
        <v>27</v>
      </c>
      <c r="V10" s="117" t="s">
        <v>366</v>
      </c>
      <c r="W10" s="117"/>
      <c r="X10" s="117" t="s">
        <v>255</v>
      </c>
      <c r="Y10" s="117"/>
      <c r="Z10" s="117"/>
      <c r="AA10" s="194" t="s">
        <v>27</v>
      </c>
      <c r="AB10" s="117" t="s">
        <v>367</v>
      </c>
      <c r="AC10" s="117"/>
    </row>
    <row r="11" spans="1:29" x14ac:dyDescent="0.25">
      <c r="A11" s="310" t="s">
        <v>92</v>
      </c>
      <c r="B11" s="117" t="s">
        <v>246</v>
      </c>
      <c r="C11" s="117" t="s">
        <v>248</v>
      </c>
      <c r="D11" s="117" t="s">
        <v>249</v>
      </c>
      <c r="E11" s="194"/>
      <c r="F11" s="117" t="s">
        <v>246</v>
      </c>
      <c r="G11" s="117" t="s">
        <v>248</v>
      </c>
      <c r="H11" s="117" t="s">
        <v>249</v>
      </c>
      <c r="I11" s="194"/>
      <c r="J11" s="117" t="s">
        <v>248</v>
      </c>
      <c r="K11" s="117" t="s">
        <v>249</v>
      </c>
      <c r="L11" s="117" t="s">
        <v>246</v>
      </c>
      <c r="M11" s="117" t="s">
        <v>248</v>
      </c>
      <c r="N11" s="117" t="s">
        <v>249</v>
      </c>
      <c r="O11" s="194"/>
      <c r="P11" s="117" t="s">
        <v>248</v>
      </c>
      <c r="Q11" s="117" t="s">
        <v>249</v>
      </c>
      <c r="R11" s="117" t="s">
        <v>246</v>
      </c>
      <c r="S11" s="117" t="s">
        <v>248</v>
      </c>
      <c r="T11" s="117" t="s">
        <v>249</v>
      </c>
      <c r="U11" s="194"/>
      <c r="V11" s="117" t="s">
        <v>248</v>
      </c>
      <c r="W11" s="117" t="s">
        <v>249</v>
      </c>
      <c r="X11" s="117" t="s">
        <v>246</v>
      </c>
      <c r="Y11" s="117" t="s">
        <v>248</v>
      </c>
      <c r="Z11" s="117" t="s">
        <v>249</v>
      </c>
      <c r="AA11" s="194"/>
      <c r="AB11" s="117" t="s">
        <v>248</v>
      </c>
      <c r="AC11" s="117" t="s">
        <v>249</v>
      </c>
    </row>
    <row r="12" spans="1:29" x14ac:dyDescent="0.25">
      <c r="A12" s="117"/>
      <c r="B12" s="117"/>
      <c r="C12" s="117"/>
      <c r="D12" s="117"/>
      <c r="E12" s="194"/>
      <c r="F12" s="117"/>
      <c r="G12" s="117"/>
      <c r="H12" s="117"/>
      <c r="I12" s="194"/>
      <c r="J12" s="117"/>
      <c r="K12" s="117"/>
      <c r="L12" s="117"/>
      <c r="M12" s="117"/>
      <c r="N12" s="117"/>
      <c r="O12" s="194"/>
      <c r="P12" s="117"/>
      <c r="Q12" s="117"/>
      <c r="R12" s="117"/>
      <c r="S12" s="117"/>
      <c r="T12" s="117"/>
      <c r="U12" s="194"/>
      <c r="V12" s="117"/>
      <c r="W12" s="117"/>
      <c r="X12" s="117"/>
      <c r="Y12" s="117"/>
      <c r="Z12" s="117"/>
      <c r="AA12" s="194"/>
      <c r="AB12" s="117"/>
      <c r="AC12" s="117"/>
    </row>
    <row r="13" spans="1:29" x14ac:dyDescent="0.25">
      <c r="A13" s="311" t="s">
        <v>658</v>
      </c>
      <c r="B13" s="312"/>
      <c r="C13" s="312"/>
      <c r="D13" s="312"/>
      <c r="E13" s="313"/>
      <c r="F13" s="312"/>
      <c r="G13" s="312"/>
      <c r="H13" s="312"/>
      <c r="I13" s="313"/>
      <c r="J13" s="312"/>
      <c r="K13" s="312"/>
      <c r="L13" s="312"/>
      <c r="M13" s="312"/>
      <c r="N13" s="312"/>
      <c r="O13" s="313"/>
      <c r="P13" s="312"/>
      <c r="Q13" s="312"/>
      <c r="R13" s="312"/>
      <c r="S13" s="312"/>
      <c r="T13" s="312"/>
      <c r="U13" s="313"/>
      <c r="V13" s="312"/>
      <c r="W13" s="312"/>
      <c r="X13" s="312"/>
      <c r="Y13" s="312"/>
      <c r="Z13" s="312"/>
      <c r="AA13" s="313"/>
      <c r="AB13" s="312"/>
      <c r="AC13" s="312"/>
    </row>
    <row r="14" spans="1:29" ht="12.75" customHeight="1" x14ac:dyDescent="0.25">
      <c r="A14" s="314" t="s">
        <v>839</v>
      </c>
      <c r="B14" s="314" t="s">
        <v>17</v>
      </c>
      <c r="C14" s="568">
        <v>0.62658255419993736</v>
      </c>
      <c r="D14" s="568">
        <v>2.9449380047397056E-2</v>
      </c>
      <c r="E14" s="853" t="s">
        <v>1068</v>
      </c>
      <c r="F14" s="314" t="s">
        <v>6</v>
      </c>
      <c r="G14" s="569">
        <v>1.073</v>
      </c>
      <c r="H14" s="569">
        <v>0</v>
      </c>
      <c r="I14" s="312" t="s">
        <v>1161</v>
      </c>
      <c r="J14" s="573">
        <f>C14*G14</f>
        <v>0.67232308065653279</v>
      </c>
      <c r="K14" s="573">
        <f>SQRT(((D14*G14)^2)+((C14*H14)^2))</f>
        <v>3.1599184790857042E-2</v>
      </c>
      <c r="L14" s="312" t="s">
        <v>7</v>
      </c>
      <c r="M14" s="569">
        <v>7.6999999999999999E-2</v>
      </c>
      <c r="N14" s="569">
        <v>0</v>
      </c>
      <c r="O14" s="312" t="s">
        <v>1162</v>
      </c>
      <c r="P14" s="578">
        <f>C14*M14</f>
        <v>4.8246856673395178E-2</v>
      </c>
      <c r="Q14" s="578">
        <f>SQRT(((D14*M14)^2)+((C14*N14)^2))</f>
        <v>2.2676022636495732E-3</v>
      </c>
      <c r="R14" s="312" t="s">
        <v>8</v>
      </c>
      <c r="S14" s="569">
        <v>1.5999999999999999E-5</v>
      </c>
      <c r="T14" s="569">
        <v>0</v>
      </c>
      <c r="U14" s="312" t="s">
        <v>1163</v>
      </c>
      <c r="V14" s="589">
        <f>C14*S14</f>
        <v>1.0025320867198998E-5</v>
      </c>
      <c r="W14" s="589">
        <f>SQRT(((D14*S14)^2)+((C14*T14)^2))</f>
        <v>4.7119008075835288E-7</v>
      </c>
      <c r="X14" s="312" t="s">
        <v>9</v>
      </c>
      <c r="Y14" s="569">
        <v>2.0800000000000001E-5</v>
      </c>
      <c r="Z14" s="569">
        <v>0</v>
      </c>
      <c r="AA14" s="312" t="s">
        <v>1164</v>
      </c>
      <c r="AB14" s="390">
        <f>C14*Y14</f>
        <v>1.3032917127358698E-5</v>
      </c>
      <c r="AC14" s="390">
        <f>SQRT(((D14*Y14)^2)+((C14*Z14)^2))</f>
        <v>6.1254710498585883E-7</v>
      </c>
    </row>
    <row r="15" spans="1:29" ht="12.75" customHeight="1" x14ac:dyDescent="0.25">
      <c r="A15" s="314" t="s">
        <v>840</v>
      </c>
      <c r="B15" s="314" t="s">
        <v>17</v>
      </c>
      <c r="C15" s="568">
        <v>0.14145560868509663</v>
      </c>
      <c r="D15" s="568">
        <v>1.0363501866666666E-2</v>
      </c>
      <c r="E15" s="317" t="s">
        <v>94</v>
      </c>
      <c r="F15" s="314" t="s">
        <v>6</v>
      </c>
      <c r="G15" s="568">
        <v>1</v>
      </c>
      <c r="H15" s="568">
        <v>0</v>
      </c>
      <c r="I15" s="317"/>
      <c r="J15" s="505">
        <f>$C15*$G15*$C$8</f>
        <v>0</v>
      </c>
      <c r="K15" s="505">
        <f>SQRT((($D15*$G15)^2)+(($C15*$H15)^2))*$C$8</f>
        <v>0</v>
      </c>
      <c r="L15" s="314" t="s">
        <v>220</v>
      </c>
      <c r="M15" s="568">
        <v>6.0333866666666663E-3</v>
      </c>
      <c r="N15" s="568">
        <v>6.9987285333333339E-4</v>
      </c>
      <c r="O15" s="317" t="s">
        <v>95</v>
      </c>
      <c r="P15" s="578">
        <f>M15*$C$8</f>
        <v>0</v>
      </c>
      <c r="Q15" s="578">
        <f>N15*$C$8</f>
        <v>0</v>
      </c>
      <c r="R15" s="314" t="s">
        <v>221</v>
      </c>
      <c r="S15" s="568">
        <v>9.5547959999999994E-6</v>
      </c>
      <c r="T15" s="568">
        <v>1.1083563360000001E-6</v>
      </c>
      <c r="U15" s="317" t="s">
        <v>96</v>
      </c>
      <c r="V15" s="589">
        <f>S15*$C$8</f>
        <v>0</v>
      </c>
      <c r="W15" s="589">
        <f>T15*$C$8</f>
        <v>0</v>
      </c>
      <c r="X15" s="314" t="s">
        <v>222</v>
      </c>
      <c r="Y15" s="568">
        <v>4.7570933333333328E-7</v>
      </c>
      <c r="Z15" s="568">
        <v>5.5182282666666666E-8</v>
      </c>
      <c r="AA15" s="317" t="s">
        <v>97</v>
      </c>
      <c r="AB15" s="390">
        <f>Y15*$C$8</f>
        <v>0</v>
      </c>
      <c r="AC15" s="390">
        <f>Z15*$C$8</f>
        <v>0</v>
      </c>
    </row>
    <row r="16" spans="1:29" ht="15" customHeight="1" x14ac:dyDescent="0.25">
      <c r="A16" s="314" t="s">
        <v>223</v>
      </c>
      <c r="B16" s="314" t="s">
        <v>11</v>
      </c>
      <c r="C16" s="568">
        <v>2</v>
      </c>
      <c r="D16" s="568">
        <f>C16*15/100</f>
        <v>0.3</v>
      </c>
      <c r="E16" s="317" t="s">
        <v>659</v>
      </c>
      <c r="F16" s="314"/>
      <c r="G16" s="319"/>
      <c r="H16" s="319"/>
      <c r="I16" s="317"/>
      <c r="J16" s="505">
        <f>($C$16/100)*$J$15</f>
        <v>0</v>
      </c>
      <c r="K16" s="505">
        <f>SQRT(((($D$16/100)*J15)^2)+((($C$16/100)*K15)^2))</f>
        <v>0</v>
      </c>
      <c r="L16" s="314"/>
      <c r="M16" s="319"/>
      <c r="N16" s="319"/>
      <c r="O16" s="317" t="s">
        <v>98</v>
      </c>
      <c r="P16" s="579">
        <f>($C$16/100)*$P15</f>
        <v>0</v>
      </c>
      <c r="Q16" s="579">
        <f>SQRT(((($D$16/100)*$P15)^2)+((($C$16/100)*$Q15)^2))</f>
        <v>0</v>
      </c>
      <c r="R16" s="314"/>
      <c r="S16" s="319"/>
      <c r="T16" s="319"/>
      <c r="U16" s="317" t="s">
        <v>117</v>
      </c>
      <c r="V16" s="590">
        <f>($C$16/100)*$V15</f>
        <v>0</v>
      </c>
      <c r="W16" s="590">
        <f>SQRT(((($D$16/100)*$V15)^2)+((($C$16/100)*$W15)^2))</f>
        <v>0</v>
      </c>
      <c r="X16" s="314"/>
      <c r="Y16" s="319"/>
      <c r="Z16" s="319"/>
      <c r="AA16" s="317" t="s">
        <v>118</v>
      </c>
      <c r="AB16" s="584">
        <f>($C$16/100)*$AB15</f>
        <v>0</v>
      </c>
      <c r="AC16" s="584">
        <f>SQRT(((($D$16/100)*$AB15)^2)+((($C$16/100)*$AC15)^2))</f>
        <v>0</v>
      </c>
    </row>
    <row r="17" spans="1:29" x14ac:dyDescent="0.25">
      <c r="A17" s="314"/>
      <c r="B17" s="314"/>
      <c r="C17" s="314"/>
      <c r="D17" s="314"/>
      <c r="E17" s="317"/>
      <c r="F17" s="314"/>
      <c r="G17" s="314"/>
      <c r="H17" s="314"/>
      <c r="I17" s="317"/>
      <c r="J17" s="503"/>
      <c r="K17" s="503"/>
      <c r="L17" s="314"/>
      <c r="M17" s="314"/>
      <c r="N17" s="314"/>
      <c r="O17" s="317"/>
      <c r="P17" s="580"/>
      <c r="Q17" s="580"/>
      <c r="R17" s="314"/>
      <c r="S17" s="314"/>
      <c r="T17" s="314"/>
      <c r="U17" s="317"/>
      <c r="V17" s="591"/>
      <c r="W17" s="591"/>
      <c r="X17" s="314"/>
      <c r="Y17" s="314"/>
      <c r="Z17" s="314"/>
      <c r="AA17" s="317"/>
      <c r="AB17" s="585"/>
      <c r="AC17" s="585"/>
    </row>
    <row r="18" spans="1:29" x14ac:dyDescent="0.25">
      <c r="A18" s="320" t="s">
        <v>18</v>
      </c>
      <c r="B18" s="320"/>
      <c r="C18" s="320"/>
      <c r="D18" s="320"/>
      <c r="E18" s="321"/>
      <c r="F18" s="320"/>
      <c r="G18" s="320"/>
      <c r="H18" s="320"/>
      <c r="I18" s="321"/>
      <c r="J18" s="504">
        <f>SUM(J14:J16)</f>
        <v>0.67232308065653279</v>
      </c>
      <c r="K18" s="504">
        <f>SQRT((K14^2)+(K15^2)+(K16^2))</f>
        <v>3.1599184790857042E-2</v>
      </c>
      <c r="L18" s="320"/>
      <c r="M18" s="320"/>
      <c r="N18" s="320"/>
      <c r="O18" s="321"/>
      <c r="P18" s="581">
        <f>SUM(P14:P16)</f>
        <v>4.8246856673395178E-2</v>
      </c>
      <c r="Q18" s="581">
        <f>SQRT((Q14^2)+(Q15^2)+(Q16^2))</f>
        <v>2.2676022636495732E-3</v>
      </c>
      <c r="R18" s="320"/>
      <c r="S18" s="320"/>
      <c r="T18" s="320"/>
      <c r="U18" s="321"/>
      <c r="V18" s="592">
        <f>SUM(V14:V16)</f>
        <v>1.0025320867198998E-5</v>
      </c>
      <c r="W18" s="592">
        <f>SQRT((W14^2)+(W15^2)+(W16^2))</f>
        <v>4.7119008075835288E-7</v>
      </c>
      <c r="X18" s="320"/>
      <c r="Y18" s="320"/>
      <c r="Z18" s="320"/>
      <c r="AA18" s="321"/>
      <c r="AB18" s="586">
        <f>SUM(AB14:AB16)</f>
        <v>1.3032917127358698E-5</v>
      </c>
      <c r="AC18" s="586">
        <f>SQRT((AC14^2)+(AC15^2)+(AC16^2))</f>
        <v>6.1254710498585883E-7</v>
      </c>
    </row>
    <row r="19" spans="1:29" x14ac:dyDescent="0.25">
      <c r="J19" s="574"/>
      <c r="K19" s="574"/>
      <c r="P19" s="323"/>
      <c r="Q19" s="323"/>
      <c r="V19" s="324"/>
      <c r="W19" s="324"/>
      <c r="AB19" s="587"/>
      <c r="AC19" s="587"/>
    </row>
    <row r="20" spans="1:29" x14ac:dyDescent="0.25">
      <c r="A20" s="322" t="s">
        <v>660</v>
      </c>
      <c r="J20" s="574"/>
      <c r="K20" s="574"/>
      <c r="P20" s="323"/>
      <c r="Q20" s="323"/>
      <c r="V20" s="324"/>
      <c r="W20" s="324"/>
      <c r="AB20" s="587"/>
      <c r="AC20" s="587"/>
    </row>
    <row r="21" spans="1:29" ht="14.25" customHeight="1" x14ac:dyDescent="0.25">
      <c r="A21" s="314" t="s">
        <v>839</v>
      </c>
      <c r="B21" s="314" t="s">
        <v>17</v>
      </c>
      <c r="C21" s="568">
        <v>0.56099542181382334</v>
      </c>
      <c r="D21" s="568">
        <v>2.6366784825249696E-2</v>
      </c>
      <c r="E21" s="853" t="s">
        <v>1068</v>
      </c>
      <c r="F21" s="314" t="s">
        <v>6</v>
      </c>
      <c r="G21" s="569">
        <v>1.073</v>
      </c>
      <c r="H21" s="569">
        <v>0</v>
      </c>
      <c r="I21" s="312" t="s">
        <v>1161</v>
      </c>
      <c r="J21" s="573">
        <f>C21*G21</f>
        <v>0.60194808760623242</v>
      </c>
      <c r="K21" s="573">
        <f>SQRT(((D21*G21)^2)+((C21*H21)^2))</f>
        <v>2.8291560117492922E-2</v>
      </c>
      <c r="L21" s="312" t="s">
        <v>7</v>
      </c>
      <c r="M21" s="569">
        <v>7.6999999999999999E-2</v>
      </c>
      <c r="N21" s="569">
        <v>0</v>
      </c>
      <c r="O21" s="312" t="s">
        <v>1162</v>
      </c>
      <c r="P21" s="578">
        <f>C21*M21</f>
        <v>4.3196647479664396E-2</v>
      </c>
      <c r="Q21" s="578">
        <f>SQRT(((D21*M21)^2)+((C21*N21)^2))</f>
        <v>2.0302424315442264E-3</v>
      </c>
      <c r="R21" s="312" t="s">
        <v>8</v>
      </c>
      <c r="S21" s="569">
        <v>1.5999999999999999E-5</v>
      </c>
      <c r="T21" s="569">
        <v>0</v>
      </c>
      <c r="U21" s="312" t="s">
        <v>1163</v>
      </c>
      <c r="V21" s="589">
        <f>C21*S21</f>
        <v>8.9759267490211735E-6</v>
      </c>
      <c r="W21" s="589">
        <f>SQRT(((D21*S21)^2)+((C21*T21)^2))</f>
        <v>4.2186855720399514E-7</v>
      </c>
      <c r="X21" s="312" t="s">
        <v>9</v>
      </c>
      <c r="Y21" s="569">
        <v>2.0800000000000001E-5</v>
      </c>
      <c r="Z21" s="569">
        <v>0</v>
      </c>
      <c r="AA21" s="312" t="s">
        <v>1164</v>
      </c>
      <c r="AB21" s="390">
        <f>C21*Y21</f>
        <v>1.1668704773727526E-5</v>
      </c>
      <c r="AC21" s="390">
        <f>SQRT(((D21*Y21)^2)+((C21*Z21)^2))</f>
        <v>5.484291243651937E-7</v>
      </c>
    </row>
    <row r="22" spans="1:29" ht="15" customHeight="1" x14ac:dyDescent="0.25">
      <c r="A22" s="314" t="s">
        <v>840</v>
      </c>
      <c r="B22" s="314" t="s">
        <v>17</v>
      </c>
      <c r="C22" s="568">
        <v>0.12661999111841793</v>
      </c>
      <c r="D22" s="568">
        <v>8.3218218039215683E-3</v>
      </c>
      <c r="E22" s="317" t="s">
        <v>94</v>
      </c>
      <c r="F22" s="314" t="s">
        <v>6</v>
      </c>
      <c r="G22" s="568">
        <v>1</v>
      </c>
      <c r="H22" s="568">
        <v>0</v>
      </c>
      <c r="I22" s="317"/>
      <c r="J22" s="505">
        <f>$C22*$G22*$C$8</f>
        <v>0</v>
      </c>
      <c r="K22" s="505">
        <f>SQRT((($D22*$G22)^2)+(($C22*$H22)^2))*$C$8</f>
        <v>0</v>
      </c>
      <c r="L22" s="314" t="s">
        <v>220</v>
      </c>
      <c r="M22" s="568">
        <v>4.8447686274509802E-3</v>
      </c>
      <c r="N22" s="568">
        <v>5.619931607843137E-4</v>
      </c>
      <c r="O22" s="317" t="s">
        <v>95</v>
      </c>
      <c r="P22" s="578">
        <f>M22*$C$8</f>
        <v>0</v>
      </c>
      <c r="Q22" s="578">
        <f>N22*$C$8</f>
        <v>0</v>
      </c>
      <c r="R22" s="314" t="s">
        <v>221</v>
      </c>
      <c r="S22" s="568">
        <v>7.6724364705882355E-6</v>
      </c>
      <c r="T22" s="568">
        <v>8.9000263058823523E-7</v>
      </c>
      <c r="U22" s="317" t="s">
        <v>96</v>
      </c>
      <c r="V22" s="589">
        <f>S22*$C$8</f>
        <v>0</v>
      </c>
      <c r="W22" s="589">
        <f>T22*$C$8</f>
        <v>0</v>
      </c>
      <c r="X22" s="314" t="s">
        <v>222</v>
      </c>
      <c r="Y22" s="568">
        <v>3.8199137254901959E-7</v>
      </c>
      <c r="Z22" s="568">
        <v>4.4310999215686275E-8</v>
      </c>
      <c r="AA22" s="317" t="s">
        <v>97</v>
      </c>
      <c r="AB22" s="390">
        <f>Y22*$C$8</f>
        <v>0</v>
      </c>
      <c r="AC22" s="390">
        <f>Z22*$C$8</f>
        <v>0</v>
      </c>
    </row>
    <row r="23" spans="1:29" ht="14.25" customHeight="1" x14ac:dyDescent="0.25">
      <c r="A23" s="314" t="s">
        <v>223</v>
      </c>
      <c r="B23" s="314" t="s">
        <v>11</v>
      </c>
      <c r="C23" s="568">
        <v>2</v>
      </c>
      <c r="D23" s="568">
        <f>C23*15/100</f>
        <v>0.3</v>
      </c>
      <c r="E23" s="317" t="s">
        <v>659</v>
      </c>
      <c r="F23" s="314"/>
      <c r="G23" s="319"/>
      <c r="H23" s="319"/>
      <c r="I23" s="317"/>
      <c r="J23" s="505">
        <f>($C$16/100)*$J$15</f>
        <v>0</v>
      </c>
      <c r="K23" s="505">
        <f>SQRT(((($D$16/100)*J22)^2)+((($C$16/100)*K22)^2))</f>
        <v>0</v>
      </c>
      <c r="L23" s="314"/>
      <c r="M23" s="319"/>
      <c r="N23" s="319"/>
      <c r="O23" s="317" t="s">
        <v>98</v>
      </c>
      <c r="P23" s="579">
        <f>($C$16/100)*$P22</f>
        <v>0</v>
      </c>
      <c r="Q23" s="579">
        <f>SQRT(((($D$16/100)*$P22)^2)+((($C$16/100)*$Q22)^2))</f>
        <v>0</v>
      </c>
      <c r="R23" s="314"/>
      <c r="S23" s="319"/>
      <c r="T23" s="319"/>
      <c r="U23" s="317" t="s">
        <v>117</v>
      </c>
      <c r="V23" s="590">
        <f>($C$16/100)*$V22</f>
        <v>0</v>
      </c>
      <c r="W23" s="590">
        <f>SQRT(((($D$16/100)*$V22)^2)+((($C$16/100)*$W22)^2))</f>
        <v>0</v>
      </c>
      <c r="X23" s="314"/>
      <c r="Y23" s="319"/>
      <c r="Z23" s="319"/>
      <c r="AA23" s="317" t="s">
        <v>118</v>
      </c>
      <c r="AB23" s="584">
        <f>($C$16/100)*$AB22</f>
        <v>0</v>
      </c>
      <c r="AC23" s="584">
        <f>SQRT(((($D$16/100)*$AB22)^2)+((($C$16/100)*$AC22)^2))</f>
        <v>0</v>
      </c>
    </row>
    <row r="24" spans="1:29" x14ac:dyDescent="0.25">
      <c r="A24" s="314"/>
      <c r="B24" s="314"/>
      <c r="C24" s="314"/>
      <c r="D24" s="314"/>
      <c r="E24" s="317"/>
      <c r="F24" s="314"/>
      <c r="G24" s="314"/>
      <c r="H24" s="314"/>
      <c r="I24" s="317"/>
      <c r="J24" s="503"/>
      <c r="K24" s="503"/>
      <c r="L24" s="314"/>
      <c r="M24" s="314"/>
      <c r="N24" s="314"/>
      <c r="O24" s="317"/>
      <c r="P24" s="580"/>
      <c r="Q24" s="580"/>
      <c r="R24" s="314"/>
      <c r="S24" s="314"/>
      <c r="T24" s="314"/>
      <c r="U24" s="317"/>
      <c r="V24" s="591"/>
      <c r="W24" s="591"/>
      <c r="X24" s="314"/>
      <c r="Y24" s="314"/>
      <c r="Z24" s="314"/>
      <c r="AA24" s="317"/>
      <c r="AB24" s="585"/>
      <c r="AC24" s="585"/>
    </row>
    <row r="25" spans="1:29" x14ac:dyDescent="0.25">
      <c r="A25" s="320" t="s">
        <v>18</v>
      </c>
      <c r="B25" s="320"/>
      <c r="C25" s="320"/>
      <c r="D25" s="320"/>
      <c r="E25" s="321"/>
      <c r="F25" s="320"/>
      <c r="G25" s="320"/>
      <c r="H25" s="320"/>
      <c r="I25" s="321"/>
      <c r="J25" s="504">
        <f>SUM(J21:J23)</f>
        <v>0.60194808760623242</v>
      </c>
      <c r="K25" s="504">
        <f>SQRT((K21^2)+(K22^2)+(K23^2))</f>
        <v>2.8291560117492922E-2</v>
      </c>
      <c r="L25" s="320"/>
      <c r="M25" s="320"/>
      <c r="N25" s="320"/>
      <c r="O25" s="321"/>
      <c r="P25" s="581">
        <f>SUM(P21:P23)</f>
        <v>4.3196647479664396E-2</v>
      </c>
      <c r="Q25" s="581">
        <f>SQRT((Q21^2)+(Q22^2)+(Q23^2))</f>
        <v>2.0302424315442264E-3</v>
      </c>
      <c r="R25" s="320"/>
      <c r="S25" s="320"/>
      <c r="T25" s="320"/>
      <c r="U25" s="321"/>
      <c r="V25" s="592">
        <f>SUM(V21:V23)</f>
        <v>8.9759267490211735E-6</v>
      </c>
      <c r="W25" s="592">
        <f>SQRT((W21^2)+(W22^2)+(W23^2))</f>
        <v>4.2186855720399514E-7</v>
      </c>
      <c r="X25" s="320"/>
      <c r="Y25" s="320"/>
      <c r="Z25" s="320"/>
      <c r="AA25" s="321"/>
      <c r="AB25" s="586">
        <f>SUM(AB21:AB23)</f>
        <v>1.1668704773727526E-5</v>
      </c>
      <c r="AC25" s="586">
        <f>SQRT((AC21^2)+(AC22^2)+(AC23^2))</f>
        <v>5.484291243651937E-7</v>
      </c>
    </row>
    <row r="26" spans="1:29" x14ac:dyDescent="0.25">
      <c r="J26" s="574"/>
      <c r="K26" s="574"/>
      <c r="P26" s="323"/>
      <c r="Q26" s="323"/>
      <c r="V26" s="324"/>
      <c r="W26" s="324"/>
      <c r="AB26" s="587"/>
      <c r="AC26" s="587"/>
    </row>
    <row r="27" spans="1:29" x14ac:dyDescent="0.25">
      <c r="A27" s="149" t="s">
        <v>368</v>
      </c>
      <c r="J27" s="575"/>
      <c r="K27" s="575"/>
      <c r="P27" s="323"/>
      <c r="Q27" s="323"/>
      <c r="V27" s="324"/>
      <c r="W27" s="324"/>
      <c r="AB27" s="587"/>
      <c r="AC27" s="587"/>
    </row>
    <row r="28" spans="1:29" x14ac:dyDescent="0.25">
      <c r="A28" s="149" t="s">
        <v>839</v>
      </c>
      <c r="J28" s="576">
        <f>IF($C$7=44,J14,J21)</f>
        <v>0.67232308065653279</v>
      </c>
      <c r="K28" s="576">
        <f>IF($C$7=44,K14,K21)</f>
        <v>3.1599184790857042E-2</v>
      </c>
      <c r="P28" s="576">
        <f>IF($C$7=44,P14,P21)</f>
        <v>4.8246856673395178E-2</v>
      </c>
      <c r="Q28" s="576">
        <f>IF($C$7=44,Q14,Q21)</f>
        <v>2.2676022636495732E-3</v>
      </c>
      <c r="V28" s="906">
        <f>IF($C$7=44,V14,V21)</f>
        <v>1.0025320867198998E-5</v>
      </c>
      <c r="W28" s="906">
        <f>IF($C$7=44,W14,W21)</f>
        <v>4.7119008075835288E-7</v>
      </c>
      <c r="X28" s="907"/>
      <c r="Y28" s="907"/>
      <c r="Z28" s="907"/>
      <c r="AA28" s="907"/>
      <c r="AB28" s="906">
        <f>IF($C$7=44,AB14,AB21)</f>
        <v>1.3032917127358698E-5</v>
      </c>
      <c r="AC28" s="906">
        <f>IF($C$7=44,AC14,AC21)</f>
        <v>6.1254710498585883E-7</v>
      </c>
    </row>
    <row r="29" spans="1:29" x14ac:dyDescent="0.25">
      <c r="A29" s="149" t="s">
        <v>841</v>
      </c>
      <c r="J29" s="576">
        <f t="shared" ref="J29:K32" si="0">IF($C$7=44,J15,J22)</f>
        <v>0</v>
      </c>
      <c r="K29" s="576">
        <f t="shared" si="0"/>
        <v>0</v>
      </c>
      <c r="P29" s="576">
        <f t="shared" ref="P29:Q29" si="1">IF($C$7=44,P15,P22)</f>
        <v>0</v>
      </c>
      <c r="Q29" s="576">
        <f t="shared" si="1"/>
        <v>0</v>
      </c>
      <c r="V29" s="906">
        <f t="shared" ref="V29:W29" si="2">IF($C$7=44,V15,V22)</f>
        <v>0</v>
      </c>
      <c r="W29" s="906">
        <f t="shared" si="2"/>
        <v>0</v>
      </c>
      <c r="X29" s="907"/>
      <c r="Y29" s="907"/>
      <c r="Z29" s="907"/>
      <c r="AA29" s="907"/>
      <c r="AB29" s="906">
        <f t="shared" ref="AB29:AC29" si="3">IF($C$7=44,AB15,AB22)</f>
        <v>0</v>
      </c>
      <c r="AC29" s="906">
        <f t="shared" si="3"/>
        <v>0</v>
      </c>
    </row>
    <row r="30" spans="1:29" x14ac:dyDescent="0.25">
      <c r="A30" s="149" t="s">
        <v>223</v>
      </c>
      <c r="J30" s="576">
        <f t="shared" si="0"/>
        <v>0</v>
      </c>
      <c r="K30" s="576">
        <f t="shared" si="0"/>
        <v>0</v>
      </c>
      <c r="P30" s="576">
        <f t="shared" ref="P30:Q30" si="4">IF($C$7=44,P16,P23)</f>
        <v>0</v>
      </c>
      <c r="Q30" s="576">
        <f t="shared" si="4"/>
        <v>0</v>
      </c>
      <c r="V30" s="906">
        <f t="shared" ref="V30:W30" si="5">IF($C$7=44,V16,V23)</f>
        <v>0</v>
      </c>
      <c r="W30" s="906">
        <f t="shared" si="5"/>
        <v>0</v>
      </c>
      <c r="X30" s="907"/>
      <c r="Y30" s="907"/>
      <c r="Z30" s="907"/>
      <c r="AA30" s="907"/>
      <c r="AB30" s="906">
        <f t="shared" ref="AB30:AC30" si="6">IF($C$7=44,AB16,AB23)</f>
        <v>0</v>
      </c>
      <c r="AC30" s="906">
        <f t="shared" si="6"/>
        <v>0</v>
      </c>
    </row>
    <row r="31" spans="1:29" x14ac:dyDescent="0.25">
      <c r="A31" s="2"/>
      <c r="J31" s="575"/>
      <c r="K31" s="575"/>
      <c r="P31" s="575"/>
      <c r="Q31" s="575"/>
      <c r="V31" s="908"/>
      <c r="W31" s="908"/>
      <c r="X31" s="907"/>
      <c r="Y31" s="907"/>
      <c r="Z31" s="907"/>
      <c r="AA31" s="907"/>
      <c r="AB31" s="908"/>
      <c r="AC31" s="908"/>
    </row>
    <row r="32" spans="1:29" x14ac:dyDescent="0.25">
      <c r="A32" s="2" t="s">
        <v>369</v>
      </c>
      <c r="J32" s="576">
        <f t="shared" si="0"/>
        <v>0.67232308065653279</v>
      </c>
      <c r="K32" s="576">
        <f t="shared" ref="K32" si="7">IF($C$7=44,K18,K25)</f>
        <v>3.1599184790857042E-2</v>
      </c>
      <c r="P32" s="576">
        <f t="shared" ref="P32:Q32" si="8">IF($C$7=44,P18,P25)</f>
        <v>4.8246856673395178E-2</v>
      </c>
      <c r="Q32" s="576">
        <f t="shared" si="8"/>
        <v>2.2676022636495732E-3</v>
      </c>
      <c r="V32" s="906">
        <f t="shared" ref="V32:W32" si="9">IF($C$7=44,V18,V25)</f>
        <v>1.0025320867198998E-5</v>
      </c>
      <c r="W32" s="906">
        <f t="shared" si="9"/>
        <v>4.7119008075835288E-7</v>
      </c>
      <c r="X32" s="907"/>
      <c r="Y32" s="907"/>
      <c r="Z32" s="907"/>
      <c r="AA32" s="907"/>
      <c r="AB32" s="906">
        <f t="shared" ref="AB32:AC32" si="10">IF($C$7=44,AB18,AB25)</f>
        <v>1.3032917127358698E-5</v>
      </c>
      <c r="AC32" s="906">
        <f t="shared" si="10"/>
        <v>6.1254710498585883E-7</v>
      </c>
    </row>
  </sheetData>
  <pageMargins left="0.75" right="0.75" top="1" bottom="1" header="0.5" footer="0.5"/>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42.44140625" customWidth="1"/>
    <col min="2" max="2" width="22.6640625" customWidth="1"/>
    <col min="10" max="10" width="18.5546875" customWidth="1"/>
    <col min="11" max="11" width="17.109375" customWidth="1"/>
    <col min="16" max="16" width="24.109375" customWidth="1"/>
    <col min="17" max="17" width="20" customWidth="1"/>
    <col min="19" max="20" width="11.5546875" bestFit="1" customWidth="1"/>
    <col min="22" max="22" width="20.109375" customWidth="1"/>
    <col min="23" max="23" width="18.44140625" customWidth="1"/>
    <col min="25" max="26" width="13.6640625" bestFit="1" customWidth="1"/>
    <col min="28" max="28" width="18.88671875" customWidth="1"/>
    <col min="29" max="29" width="24" customWidth="1"/>
  </cols>
  <sheetData>
    <row r="1" spans="1:29" x14ac:dyDescent="0.25">
      <c r="A1" s="2" t="s">
        <v>240</v>
      </c>
      <c r="B1" t="s">
        <v>172</v>
      </c>
    </row>
    <row r="2" spans="1:29" x14ac:dyDescent="0.25">
      <c r="A2" s="2" t="s">
        <v>243</v>
      </c>
      <c r="B2" t="s">
        <v>170</v>
      </c>
    </row>
    <row r="3" spans="1:29" x14ac:dyDescent="0.25">
      <c r="A3" s="2" t="s">
        <v>241</v>
      </c>
      <c r="B3" t="s">
        <v>171</v>
      </c>
    </row>
    <row r="4" spans="1:29" x14ac:dyDescent="0.25">
      <c r="A4" s="2" t="s">
        <v>242</v>
      </c>
      <c r="B4" s="1">
        <v>2001</v>
      </c>
    </row>
    <row r="5" spans="1:29" x14ac:dyDescent="0.25">
      <c r="A5" s="2"/>
      <c r="B5" s="1"/>
    </row>
    <row r="6" spans="1:29" x14ac:dyDescent="0.25">
      <c r="A6" s="452" t="s">
        <v>408</v>
      </c>
      <c r="B6" s="700"/>
    </row>
    <row r="7" spans="1:29" x14ac:dyDescent="0.25">
      <c r="A7" s="454" t="s">
        <v>645</v>
      </c>
      <c r="B7" s="642">
        <f>include_machinery</f>
        <v>0</v>
      </c>
    </row>
    <row r="8" spans="1:29" s="42" customFormat="1" x14ac:dyDescent="0.25">
      <c r="A8" s="42" t="s">
        <v>245</v>
      </c>
      <c r="B8" s="42" t="s">
        <v>244</v>
      </c>
      <c r="E8" s="42" t="s">
        <v>27</v>
      </c>
      <c r="F8" s="42" t="s">
        <v>247</v>
      </c>
      <c r="I8" s="42" t="s">
        <v>27</v>
      </c>
      <c r="J8" s="42" t="s">
        <v>173</v>
      </c>
      <c r="L8" s="42" t="s">
        <v>251</v>
      </c>
      <c r="O8" s="42" t="s">
        <v>27</v>
      </c>
      <c r="P8" s="42" t="s">
        <v>174</v>
      </c>
      <c r="R8" s="42" t="s">
        <v>253</v>
      </c>
      <c r="U8" s="42" t="s">
        <v>27</v>
      </c>
      <c r="V8" s="42" t="s">
        <v>175</v>
      </c>
      <c r="X8" s="42" t="s">
        <v>255</v>
      </c>
      <c r="AA8" s="42" t="s">
        <v>27</v>
      </c>
      <c r="AB8" s="42" t="s">
        <v>176</v>
      </c>
    </row>
    <row r="9" spans="1:29" s="42" customFormat="1" x14ac:dyDescent="0.25">
      <c r="B9" s="42" t="s">
        <v>246</v>
      </c>
      <c r="C9" s="42" t="s">
        <v>248</v>
      </c>
      <c r="D9" s="42" t="s">
        <v>249</v>
      </c>
      <c r="F9" s="42" t="s">
        <v>246</v>
      </c>
      <c r="G9" s="42" t="s">
        <v>248</v>
      </c>
      <c r="H9" s="42" t="s">
        <v>249</v>
      </c>
      <c r="J9" s="42" t="s">
        <v>248</v>
      </c>
      <c r="K9" s="42" t="s">
        <v>249</v>
      </c>
      <c r="L9" s="42" t="s">
        <v>246</v>
      </c>
      <c r="M9" s="42" t="s">
        <v>248</v>
      </c>
      <c r="N9" s="42" t="s">
        <v>249</v>
      </c>
      <c r="P9" s="42" t="s">
        <v>248</v>
      </c>
      <c r="Q9" s="42" t="s">
        <v>249</v>
      </c>
      <c r="R9" s="42" t="s">
        <v>246</v>
      </c>
      <c r="S9" s="42" t="s">
        <v>248</v>
      </c>
      <c r="T9" s="42" t="s">
        <v>249</v>
      </c>
      <c r="V9" s="42" t="s">
        <v>248</v>
      </c>
      <c r="W9" s="42" t="s">
        <v>249</v>
      </c>
      <c r="X9" s="42" t="s">
        <v>246</v>
      </c>
      <c r="Y9" s="42" t="s">
        <v>248</v>
      </c>
      <c r="Z9" s="42" t="s">
        <v>249</v>
      </c>
      <c r="AB9" s="42" t="s">
        <v>248</v>
      </c>
      <c r="AC9" s="42" t="s">
        <v>249</v>
      </c>
    </row>
    <row r="10" spans="1:29" x14ac:dyDescent="0.25">
      <c r="A10" s="2" t="s">
        <v>177</v>
      </c>
      <c r="C10" s="1"/>
      <c r="D10" s="1"/>
      <c r="E10" s="1"/>
      <c r="G10" s="1"/>
      <c r="H10" s="1"/>
      <c r="I10" s="1"/>
      <c r="J10" s="1"/>
      <c r="K10" s="1"/>
    </row>
    <row r="11" spans="1:29" x14ac:dyDescent="0.25">
      <c r="A11" t="s">
        <v>178</v>
      </c>
      <c r="B11" t="s">
        <v>179</v>
      </c>
      <c r="C11" s="483">
        <v>0.432</v>
      </c>
      <c r="D11" s="483">
        <v>0</v>
      </c>
      <c r="E11" s="1" t="s">
        <v>757</v>
      </c>
      <c r="F11" t="s">
        <v>6</v>
      </c>
      <c r="G11" s="8">
        <v>1.073</v>
      </c>
      <c r="H11" s="8">
        <v>0</v>
      </c>
      <c r="I11" s="1" t="s">
        <v>759</v>
      </c>
      <c r="J11" s="573">
        <f>$C11*G11</f>
        <v>0.46353599999999995</v>
      </c>
      <c r="K11" s="573">
        <f>SQRT((($D11*G11)^2)+(($C11*H11)^2))</f>
        <v>0</v>
      </c>
      <c r="L11" t="s">
        <v>7</v>
      </c>
      <c r="M11" s="485">
        <v>7.6502000000000001E-2</v>
      </c>
      <c r="N11" s="485">
        <v>0</v>
      </c>
      <c r="O11" s="1" t="s">
        <v>760</v>
      </c>
      <c r="P11" s="487">
        <f>$C11*M11</f>
        <v>3.3048863999999997E-2</v>
      </c>
      <c r="Q11" s="487">
        <f>SQRT((($D11*M11)^2)+(($C11*N11)^2))</f>
        <v>0</v>
      </c>
      <c r="R11" t="s">
        <v>8</v>
      </c>
      <c r="S11" s="610">
        <v>9.5999999999999996E-6</v>
      </c>
      <c r="T11" s="610">
        <v>0</v>
      </c>
      <c r="U11" s="1" t="s">
        <v>752</v>
      </c>
      <c r="V11" s="614">
        <f>$C11*S11</f>
        <v>4.1471999999999999E-6</v>
      </c>
      <c r="W11" s="614">
        <f>SQRT((($D11*S11)^2)+(($C11*T11)^2))</f>
        <v>0</v>
      </c>
      <c r="X11" t="s">
        <v>9</v>
      </c>
      <c r="Y11" s="498">
        <v>7.5099999999999999E-7</v>
      </c>
      <c r="Z11" s="498">
        <v>0</v>
      </c>
      <c r="AA11" s="1" t="s">
        <v>754</v>
      </c>
      <c r="AB11" s="621">
        <f>$C11*Y11</f>
        <v>3.24432E-7</v>
      </c>
      <c r="AC11" s="621">
        <f>SQRT((($D11*Y11)^2)+(($C11*Z11)^2))</f>
        <v>0</v>
      </c>
    </row>
    <row r="12" spans="1:29" x14ac:dyDescent="0.25">
      <c r="A12" t="s">
        <v>219</v>
      </c>
      <c r="B12" t="s">
        <v>179</v>
      </c>
      <c r="C12" s="497">
        <v>7.0000000000000001E-3</v>
      </c>
      <c r="D12" s="497">
        <v>0</v>
      </c>
      <c r="E12" t="s">
        <v>758</v>
      </c>
      <c r="F12" t="s">
        <v>6</v>
      </c>
      <c r="G12" s="8">
        <v>1</v>
      </c>
      <c r="H12" s="8">
        <v>0</v>
      </c>
      <c r="J12" s="573">
        <f>$C7*$C12*G12</f>
        <v>0</v>
      </c>
      <c r="K12" s="573">
        <f>$C7*SQRT((($D12*G12)^2)+(($C12*H12)^2))</f>
        <v>0</v>
      </c>
      <c r="L12" t="s">
        <v>220</v>
      </c>
      <c r="M12" s="494">
        <v>3.2000000000000003E-4</v>
      </c>
      <c r="N12" s="494">
        <v>0</v>
      </c>
      <c r="O12" s="1" t="s">
        <v>763</v>
      </c>
      <c r="P12" s="487">
        <f>$C7*$M12</f>
        <v>0</v>
      </c>
      <c r="Q12" s="487">
        <f>$C7*$N12</f>
        <v>0</v>
      </c>
      <c r="R12" t="s">
        <v>221</v>
      </c>
      <c r="S12" s="498">
        <v>8.6000000000000002E-7</v>
      </c>
      <c r="T12" s="498">
        <v>0</v>
      </c>
      <c r="U12" s="1" t="s">
        <v>762</v>
      </c>
      <c r="V12" s="614">
        <f>$C7*$S12</f>
        <v>0</v>
      </c>
      <c r="W12" s="614">
        <f>$C7*$T12</f>
        <v>0</v>
      </c>
      <c r="X12" t="s">
        <v>222</v>
      </c>
      <c r="Y12" s="624">
        <v>9.1999999999999997E-9</v>
      </c>
      <c r="Z12" s="624">
        <v>0</v>
      </c>
      <c r="AA12" s="1" t="s">
        <v>761</v>
      </c>
      <c r="AB12" s="621">
        <f>$C7*$Y12</f>
        <v>0</v>
      </c>
      <c r="AC12" s="621">
        <f>$C7*$Z12</f>
        <v>0</v>
      </c>
    </row>
    <row r="13" spans="1:29" x14ac:dyDescent="0.25">
      <c r="A13" t="s">
        <v>223</v>
      </c>
      <c r="B13" t="s">
        <v>224</v>
      </c>
      <c r="C13" s="414">
        <v>1712</v>
      </c>
      <c r="D13" s="414">
        <v>0</v>
      </c>
      <c r="E13" s="1" t="s">
        <v>756</v>
      </c>
      <c r="G13" s="1"/>
      <c r="H13" s="1"/>
      <c r="I13" s="1"/>
      <c r="J13" s="573">
        <f>($C$13/100)*J12</f>
        <v>0</v>
      </c>
      <c r="K13" s="573">
        <f>SQRT(((($D$13/100)*J12)^2)+((($C$13/100)*K12)^2))</f>
        <v>0</v>
      </c>
      <c r="M13" s="1"/>
      <c r="N13" s="1"/>
      <c r="O13" s="1"/>
      <c r="P13" s="487">
        <f>($C$13/100)*P12</f>
        <v>0</v>
      </c>
      <c r="Q13" s="487">
        <f>SQRT(((($D$13/100)*P12)^2)+((($C$13/100)*Q12)^2))</f>
        <v>0</v>
      </c>
      <c r="S13" s="1"/>
      <c r="T13" s="1"/>
      <c r="U13" s="1"/>
      <c r="V13" s="614">
        <f>($C$13/100)*V12</f>
        <v>0</v>
      </c>
      <c r="W13" s="614">
        <f>SQRT(((($D$13/100)*V12)^2)+((($C$13/100)*W12)^2))</f>
        <v>0</v>
      </c>
      <c r="Y13" s="1"/>
      <c r="Z13" s="1"/>
      <c r="AA13" s="1"/>
      <c r="AB13" s="621">
        <f>($C$13/100)*AB12</f>
        <v>0</v>
      </c>
      <c r="AC13" s="621">
        <f>SQRT(((($D$13/100)*AB12)^2)+((($C$13/100)*AC12)^2))</f>
        <v>0</v>
      </c>
    </row>
    <row r="14" spans="1:29" x14ac:dyDescent="0.25">
      <c r="C14" s="1"/>
      <c r="D14" s="1"/>
      <c r="E14" s="1"/>
      <c r="G14" s="1"/>
      <c r="H14" s="1"/>
      <c r="I14" s="1"/>
      <c r="J14" s="574"/>
      <c r="K14" s="574"/>
      <c r="M14" s="1"/>
      <c r="N14" s="1"/>
      <c r="O14" s="1"/>
      <c r="P14" s="488"/>
      <c r="Q14" s="488"/>
      <c r="S14" s="1"/>
      <c r="T14" s="1"/>
      <c r="U14" s="1"/>
      <c r="V14" s="615"/>
      <c r="W14" s="615"/>
      <c r="Y14" s="1"/>
      <c r="Z14" s="1"/>
      <c r="AA14" s="1"/>
      <c r="AB14" s="622"/>
      <c r="AC14" s="622"/>
    </row>
    <row r="15" spans="1:29" x14ac:dyDescent="0.25">
      <c r="A15" s="2" t="s">
        <v>18</v>
      </c>
      <c r="B15" s="2"/>
      <c r="C15" s="4"/>
      <c r="D15" s="4"/>
      <c r="E15" s="4"/>
      <c r="F15" s="2"/>
      <c r="G15" s="4"/>
      <c r="H15" s="4"/>
      <c r="I15" s="4"/>
      <c r="J15" s="604">
        <f>SUM(J11:J13)</f>
        <v>0.46353599999999995</v>
      </c>
      <c r="K15" s="604">
        <f>SQRT((K11^2)+(K12^2)+(K13^2))</f>
        <v>0</v>
      </c>
      <c r="L15" s="2"/>
      <c r="M15" s="4"/>
      <c r="N15" s="4"/>
      <c r="O15" s="4"/>
      <c r="P15" s="489">
        <f>SUM(P11:P13)</f>
        <v>3.3048863999999997E-2</v>
      </c>
      <c r="Q15" s="489">
        <f>SQRT((Q11^2)+(Q12^2)+(Q13^2))</f>
        <v>0</v>
      </c>
      <c r="R15" s="2"/>
      <c r="S15" s="4"/>
      <c r="T15" s="4"/>
      <c r="U15" s="4"/>
      <c r="V15" s="616">
        <f>SUM(V11:V13)</f>
        <v>4.1471999999999999E-6</v>
      </c>
      <c r="W15" s="616">
        <f>SQRT((W11^2)+(W12^2)+(W13^2))</f>
        <v>0</v>
      </c>
      <c r="X15" s="2"/>
      <c r="Y15" s="4"/>
      <c r="Z15" s="4"/>
      <c r="AA15" s="4"/>
      <c r="AB15" s="623">
        <f>SUM(AB11:AB13)</f>
        <v>3.24432E-7</v>
      </c>
      <c r="AC15" s="623">
        <f>SQRT((AC11^2)+(AC12^2)+(AC13^2))</f>
        <v>0</v>
      </c>
    </row>
  </sheetData>
  <phoneticPr fontId="0"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41.33203125" customWidth="1"/>
    <col min="2" max="2" width="18.109375" customWidth="1"/>
    <col min="10" max="10" width="17.109375" customWidth="1"/>
    <col min="11" max="11" width="17.6640625" customWidth="1"/>
    <col min="16" max="16" width="21.44140625" customWidth="1"/>
    <col min="17" max="17" width="23" customWidth="1"/>
    <col min="19" max="20" width="10.5546875" bestFit="1" customWidth="1"/>
    <col min="22" max="22" width="19.44140625" customWidth="1"/>
    <col min="23" max="23" width="19.6640625" customWidth="1"/>
    <col min="25" max="26" width="12.5546875" bestFit="1" customWidth="1"/>
    <col min="28" max="28" width="19.109375" customWidth="1"/>
    <col min="29" max="29" width="24.109375" customWidth="1"/>
  </cols>
  <sheetData>
    <row r="1" spans="1:29" x14ac:dyDescent="0.25">
      <c r="A1" s="2" t="s">
        <v>240</v>
      </c>
      <c r="B1" t="s">
        <v>225</v>
      </c>
    </row>
    <row r="2" spans="1:29" x14ac:dyDescent="0.25">
      <c r="A2" s="2" t="s">
        <v>243</v>
      </c>
      <c r="B2" t="s">
        <v>170</v>
      </c>
    </row>
    <row r="3" spans="1:29" x14ac:dyDescent="0.25">
      <c r="A3" s="2" t="s">
        <v>241</v>
      </c>
      <c r="B3" t="s">
        <v>171</v>
      </c>
    </row>
    <row r="4" spans="1:29" x14ac:dyDescent="0.25">
      <c r="A4" s="2" t="s">
        <v>242</v>
      </c>
      <c r="B4" s="1">
        <v>2001</v>
      </c>
    </row>
    <row r="5" spans="1:29" s="3" customFormat="1" x14ac:dyDescent="0.25">
      <c r="B5" s="327"/>
    </row>
    <row r="6" spans="1:29" s="3" customFormat="1" x14ac:dyDescent="0.25">
      <c r="A6" s="452" t="s">
        <v>408</v>
      </c>
      <c r="B6" s="701"/>
    </row>
    <row r="7" spans="1:29" s="3" customFormat="1" x14ac:dyDescent="0.25">
      <c r="A7" s="454" t="s">
        <v>850</v>
      </c>
      <c r="B7" s="702">
        <f>include_machinery</f>
        <v>0</v>
      </c>
    </row>
    <row r="8" spans="1:29" s="42" customFormat="1" x14ac:dyDescent="0.25">
      <c r="A8" s="42" t="s">
        <v>245</v>
      </c>
      <c r="B8" s="42" t="s">
        <v>244</v>
      </c>
      <c r="E8" s="42" t="s">
        <v>27</v>
      </c>
      <c r="F8" s="42" t="s">
        <v>247</v>
      </c>
      <c r="I8" s="42" t="s">
        <v>27</v>
      </c>
      <c r="J8" s="42" t="s">
        <v>173</v>
      </c>
      <c r="L8" s="42" t="s">
        <v>251</v>
      </c>
      <c r="O8" s="42" t="s">
        <v>27</v>
      </c>
      <c r="P8" s="42" t="s">
        <v>174</v>
      </c>
      <c r="R8" s="42" t="s">
        <v>253</v>
      </c>
      <c r="U8" s="42" t="s">
        <v>27</v>
      </c>
      <c r="V8" s="42" t="s">
        <v>175</v>
      </c>
      <c r="X8" s="42" t="s">
        <v>255</v>
      </c>
      <c r="AA8" s="42" t="s">
        <v>27</v>
      </c>
      <c r="AB8" s="42" t="s">
        <v>176</v>
      </c>
    </row>
    <row r="9" spans="1:29" s="42" customFormat="1" x14ac:dyDescent="0.25">
      <c r="B9" s="42" t="s">
        <v>246</v>
      </c>
      <c r="C9" s="42" t="s">
        <v>248</v>
      </c>
      <c r="D9" s="42" t="s">
        <v>249</v>
      </c>
      <c r="F9" s="42" t="s">
        <v>246</v>
      </c>
      <c r="G9" s="42" t="s">
        <v>248</v>
      </c>
      <c r="H9" s="42" t="s">
        <v>249</v>
      </c>
      <c r="J9" s="42" t="s">
        <v>248</v>
      </c>
      <c r="K9" s="42" t="s">
        <v>249</v>
      </c>
      <c r="L9" s="42" t="s">
        <v>246</v>
      </c>
      <c r="M9" s="42" t="s">
        <v>248</v>
      </c>
      <c r="N9" s="42" t="s">
        <v>249</v>
      </c>
      <c r="P9" s="42" t="s">
        <v>248</v>
      </c>
      <c r="Q9" s="42" t="s">
        <v>249</v>
      </c>
      <c r="R9" s="42" t="s">
        <v>246</v>
      </c>
      <c r="S9" s="42" t="s">
        <v>248</v>
      </c>
      <c r="T9" s="42" t="s">
        <v>249</v>
      </c>
      <c r="V9" s="42" t="s">
        <v>248</v>
      </c>
      <c r="W9" s="42" t="s">
        <v>249</v>
      </c>
      <c r="X9" s="42" t="s">
        <v>246</v>
      </c>
      <c r="Y9" s="42" t="s">
        <v>248</v>
      </c>
      <c r="Z9" s="42" t="s">
        <v>249</v>
      </c>
      <c r="AB9" s="42" t="s">
        <v>248</v>
      </c>
      <c r="AC9" s="42" t="s">
        <v>249</v>
      </c>
    </row>
    <row r="10" spans="1:29" x14ac:dyDescent="0.25">
      <c r="A10" s="2" t="s">
        <v>226</v>
      </c>
      <c r="C10" s="1"/>
      <c r="D10" s="1"/>
      <c r="E10" s="1"/>
      <c r="G10" s="1"/>
      <c r="H10" s="1"/>
      <c r="I10" s="1"/>
      <c r="J10" s="1"/>
      <c r="K10" s="1"/>
    </row>
    <row r="11" spans="1:29" x14ac:dyDescent="0.25">
      <c r="A11" t="s">
        <v>227</v>
      </c>
      <c r="B11" t="s">
        <v>179</v>
      </c>
      <c r="C11" s="483">
        <v>0.39400000000000002</v>
      </c>
      <c r="D11" s="483">
        <v>0</v>
      </c>
      <c r="E11" s="1" t="s">
        <v>746</v>
      </c>
      <c r="F11" t="s">
        <v>6</v>
      </c>
      <c r="G11" s="483">
        <v>1.073</v>
      </c>
      <c r="H11" s="483">
        <v>0</v>
      </c>
      <c r="I11" s="1" t="s">
        <v>749</v>
      </c>
      <c r="J11" s="573">
        <f>$C11*G11</f>
        <v>0.42276200000000003</v>
      </c>
      <c r="K11" s="573">
        <f>SQRT((($D11*$G11)^2)+(($C11*$H11)^2))</f>
        <v>0</v>
      </c>
      <c r="L11" t="s">
        <v>7</v>
      </c>
      <c r="M11" s="485">
        <v>7.6502000000000001E-2</v>
      </c>
      <c r="N11" s="485">
        <v>0</v>
      </c>
      <c r="O11" s="1" t="s">
        <v>750</v>
      </c>
      <c r="P11" s="578">
        <f>$C11*M11</f>
        <v>3.0141788000000003E-2</v>
      </c>
      <c r="Q11" s="578">
        <f>SQRT((($C11*$N11)^2)+(($D11*$M11)^2))</f>
        <v>0</v>
      </c>
      <c r="R11" t="s">
        <v>8</v>
      </c>
      <c r="S11" s="610">
        <v>9.5999999999999996E-6</v>
      </c>
      <c r="T11" s="610">
        <v>0</v>
      </c>
      <c r="U11" s="1" t="s">
        <v>752</v>
      </c>
      <c r="V11" s="617">
        <f>$C11*S11</f>
        <v>3.7824E-6</v>
      </c>
      <c r="W11" s="617">
        <f>SQRT((($C11*T11)^2)+(($D11*S11)^2))</f>
        <v>0</v>
      </c>
      <c r="X11" t="s">
        <v>9</v>
      </c>
      <c r="Y11" s="498">
        <v>7.5099999999999999E-7</v>
      </c>
      <c r="Z11" s="498">
        <v>0</v>
      </c>
      <c r="AA11" s="1" t="s">
        <v>754</v>
      </c>
      <c r="AB11" s="621">
        <f>$C11*Y11</f>
        <v>2.9589399999999999E-7</v>
      </c>
      <c r="AC11" s="621">
        <f>SQRT((($C11*Z11)^2)+(($D11*Y11)^2))</f>
        <v>0</v>
      </c>
    </row>
    <row r="12" spans="1:29" x14ac:dyDescent="0.25">
      <c r="A12" t="s">
        <v>228</v>
      </c>
      <c r="B12" t="s">
        <v>179</v>
      </c>
      <c r="C12" s="485">
        <v>1.6799999999999999E-2</v>
      </c>
      <c r="D12" s="485">
        <v>0</v>
      </c>
      <c r="E12" s="1" t="s">
        <v>747</v>
      </c>
      <c r="F12" t="s">
        <v>6</v>
      </c>
      <c r="G12" s="482">
        <v>1</v>
      </c>
      <c r="H12" s="482">
        <v>0</v>
      </c>
      <c r="J12" s="573">
        <f>$C7*$C12*G12</f>
        <v>0</v>
      </c>
      <c r="K12" s="573">
        <f>$C7*SQRT((($D12*G12)^2)+(($C12*H12)^2))</f>
        <v>0</v>
      </c>
      <c r="L12" t="s">
        <v>220</v>
      </c>
      <c r="M12" s="494">
        <v>7.2999999999999996E-4</v>
      </c>
      <c r="N12" s="494">
        <v>0</v>
      </c>
      <c r="O12" s="1" t="s">
        <v>751</v>
      </c>
      <c r="P12" s="578">
        <f>$C7*$M12</f>
        <v>0</v>
      </c>
      <c r="Q12" s="578">
        <f>$C7*$N12</f>
        <v>0</v>
      </c>
      <c r="R12" t="s">
        <v>221</v>
      </c>
      <c r="S12" s="610">
        <v>1.9999999999999999E-6</v>
      </c>
      <c r="T12" s="610">
        <v>0</v>
      </c>
      <c r="U12" s="1" t="s">
        <v>753</v>
      </c>
      <c r="V12" s="617">
        <f>$C7*$S12</f>
        <v>0</v>
      </c>
      <c r="W12" s="617">
        <f>$C7*$T12</f>
        <v>0</v>
      </c>
      <c r="X12" t="s">
        <v>222</v>
      </c>
      <c r="Y12" s="620">
        <v>2.0999999999999999E-8</v>
      </c>
      <c r="Z12" s="620">
        <v>0</v>
      </c>
      <c r="AA12" s="1" t="s">
        <v>755</v>
      </c>
      <c r="AB12" s="621">
        <f>$C7*$Y12</f>
        <v>0</v>
      </c>
      <c r="AC12" s="621">
        <f>$C7*$Z12</f>
        <v>0</v>
      </c>
    </row>
    <row r="13" spans="1:29" x14ac:dyDescent="0.25">
      <c r="A13" t="s">
        <v>229</v>
      </c>
      <c r="B13" t="s">
        <v>11</v>
      </c>
      <c r="C13" s="609">
        <v>53</v>
      </c>
      <c r="D13" s="609">
        <v>0</v>
      </c>
      <c r="E13" s="1" t="s">
        <v>748</v>
      </c>
      <c r="G13" s="1"/>
      <c r="H13" s="1"/>
      <c r="I13" s="1"/>
      <c r="J13" s="573">
        <f>($C$13/100)*J12</f>
        <v>0</v>
      </c>
      <c r="K13" s="573">
        <f>SQRT(((($D$13/100)*J12)^2)+((($C$13/100)*K12)^2))</f>
        <v>0</v>
      </c>
      <c r="M13" s="1"/>
      <c r="N13" s="1"/>
      <c r="O13" s="1"/>
      <c r="P13" s="578">
        <f>($C$13/100)*P12</f>
        <v>0</v>
      </c>
      <c r="Q13" s="578">
        <f>SQRT(((($D$13/100)*P12)^2)+((($C$13/100)*Q12)^2))</f>
        <v>0</v>
      </c>
      <c r="S13" s="1"/>
      <c r="T13" s="1"/>
      <c r="U13" s="1"/>
      <c r="V13" s="617">
        <f>($C$13/100)*V12</f>
        <v>0</v>
      </c>
      <c r="W13" s="617">
        <f>SQRT(((($D$13/100)*V12)^2)+((($C$13/100)*W12)^2))</f>
        <v>0</v>
      </c>
      <c r="Y13" s="1"/>
      <c r="Z13" s="1"/>
      <c r="AA13" s="1"/>
      <c r="AB13" s="621">
        <f>($C$13/100)*AB12</f>
        <v>0</v>
      </c>
      <c r="AC13" s="621">
        <f>SQRT(((($D$13/100)*AB12)^2)+((($C$13/100)*AC12)^2))</f>
        <v>0</v>
      </c>
    </row>
    <row r="14" spans="1:29" x14ac:dyDescent="0.25">
      <c r="C14" s="1"/>
      <c r="D14" s="1"/>
      <c r="E14" s="1"/>
      <c r="G14" s="1"/>
      <c r="H14" s="1"/>
      <c r="I14" s="1"/>
      <c r="J14" s="574"/>
      <c r="K14" s="574"/>
      <c r="M14" s="1"/>
      <c r="N14" s="1"/>
      <c r="O14" s="1"/>
      <c r="P14" s="323"/>
      <c r="Q14" s="323"/>
      <c r="S14" s="1"/>
      <c r="T14" s="1"/>
      <c r="U14" s="1"/>
      <c r="V14" s="618"/>
      <c r="W14" s="618"/>
      <c r="Y14" s="1"/>
      <c r="Z14" s="1"/>
      <c r="AA14" s="1"/>
      <c r="AB14" s="622"/>
      <c r="AC14" s="622"/>
    </row>
    <row r="15" spans="1:29" x14ac:dyDescent="0.25">
      <c r="A15" s="2" t="s">
        <v>18</v>
      </c>
      <c r="B15" s="2"/>
      <c r="C15" s="4"/>
      <c r="D15" s="4"/>
      <c r="E15" s="4"/>
      <c r="F15" s="2"/>
      <c r="G15" s="4"/>
      <c r="H15" s="4"/>
      <c r="I15" s="4"/>
      <c r="J15" s="604">
        <f>SUM(J11:J13)</f>
        <v>0.42276200000000003</v>
      </c>
      <c r="K15" s="604">
        <f>SQRT((K11^2)+(K12^2)+(K13^2))</f>
        <v>0</v>
      </c>
      <c r="L15" s="2"/>
      <c r="M15" s="4"/>
      <c r="N15" s="4"/>
      <c r="O15" s="4"/>
      <c r="P15" s="607">
        <f>SUM(P11:P13)</f>
        <v>3.0141788000000003E-2</v>
      </c>
      <c r="Q15" s="607">
        <f>SQRT((Q11^2)+(Q12^2)+(Q13^2))</f>
        <v>0</v>
      </c>
      <c r="R15" s="2"/>
      <c r="S15" s="4"/>
      <c r="T15" s="4"/>
      <c r="U15" s="4"/>
      <c r="V15" s="619">
        <f>SUM(V11:V13)</f>
        <v>3.7824E-6</v>
      </c>
      <c r="W15" s="619">
        <f>SQRT((W11^2)+(W12^2)+(W13^2))</f>
        <v>0</v>
      </c>
      <c r="X15" s="2"/>
      <c r="Y15" s="4"/>
      <c r="Z15" s="4"/>
      <c r="AA15" s="4"/>
      <c r="AB15" s="623">
        <f>SUM(AB11:AB13)</f>
        <v>2.9589399999999999E-7</v>
      </c>
      <c r="AC15" s="623">
        <f>SQRT((AC11^2)+(AC12^2)+(AC13^2))</f>
        <v>0</v>
      </c>
    </row>
  </sheetData>
  <phoneticPr fontId="0"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5"/>
  <sheetViews>
    <sheetView workbookViewId="0">
      <pane xSplit="1" ySplit="9" topLeftCell="B10" activePane="bottomRight" state="frozen"/>
      <selection pane="topRight" activeCell="B1" sqref="B1"/>
      <selection pane="bottomLeft" activeCell="A8" sqref="A8"/>
      <selection pane="bottomRight"/>
    </sheetView>
  </sheetViews>
  <sheetFormatPr defaultRowHeight="13.2" x14ac:dyDescent="0.25"/>
  <cols>
    <col min="1" max="1" width="29.109375" customWidth="1"/>
    <col min="2" max="2" width="19.6640625" customWidth="1"/>
    <col min="10" max="10" width="17" customWidth="1"/>
    <col min="11" max="11" width="18.33203125" customWidth="1"/>
    <col min="16" max="16" width="21.33203125" customWidth="1"/>
    <col min="17" max="17" width="23.33203125" customWidth="1"/>
    <col min="19" max="20" width="11.5546875" bestFit="1" customWidth="1"/>
    <col min="22" max="22" width="20.5546875" customWidth="1"/>
    <col min="23" max="23" width="19.6640625" customWidth="1"/>
    <col min="25" max="25" width="14.5546875" customWidth="1"/>
    <col min="26" max="26" width="13.6640625" bestFit="1" customWidth="1"/>
    <col min="28" max="28" width="20.6640625" customWidth="1"/>
    <col min="29" max="29" width="21.44140625" customWidth="1"/>
  </cols>
  <sheetData>
    <row r="1" spans="1:29" x14ac:dyDescent="0.25">
      <c r="A1" s="2" t="s">
        <v>240</v>
      </c>
      <c r="B1" s="3" t="s">
        <v>230</v>
      </c>
    </row>
    <row r="2" spans="1:29" x14ac:dyDescent="0.25">
      <c r="A2" s="2" t="s">
        <v>243</v>
      </c>
      <c r="B2" t="s">
        <v>170</v>
      </c>
    </row>
    <row r="3" spans="1:29" x14ac:dyDescent="0.25">
      <c r="A3" s="2" t="s">
        <v>241</v>
      </c>
      <c r="B3" s="844" t="s">
        <v>1115</v>
      </c>
    </row>
    <row r="4" spans="1:29" x14ac:dyDescent="0.25">
      <c r="A4" s="2" t="s">
        <v>242</v>
      </c>
      <c r="B4" s="1">
        <v>2001</v>
      </c>
    </row>
    <row r="6" spans="1:29" s="116" customFormat="1" x14ac:dyDescent="0.25">
      <c r="A6" s="564" t="s">
        <v>408</v>
      </c>
      <c r="B6" s="407"/>
      <c r="C6" s="408"/>
    </row>
    <row r="7" spans="1:29" s="116" customFormat="1" x14ac:dyDescent="0.25">
      <c r="A7" s="409" t="s">
        <v>363</v>
      </c>
      <c r="B7" s="410" t="s">
        <v>364</v>
      </c>
      <c r="C7" s="411">
        <f>include_machinery</f>
        <v>0</v>
      </c>
    </row>
    <row r="8" spans="1:29" s="42" customFormat="1" x14ac:dyDescent="0.25">
      <c r="A8" s="42" t="s">
        <v>245</v>
      </c>
      <c r="B8" s="42" t="s">
        <v>244</v>
      </c>
      <c r="E8" s="42" t="s">
        <v>27</v>
      </c>
      <c r="F8" s="42" t="s">
        <v>247</v>
      </c>
      <c r="I8" s="42" t="s">
        <v>27</v>
      </c>
      <c r="J8" s="42" t="s">
        <v>173</v>
      </c>
      <c r="L8" s="42" t="s">
        <v>251</v>
      </c>
      <c r="O8" s="42" t="s">
        <v>27</v>
      </c>
      <c r="P8" s="42" t="s">
        <v>174</v>
      </c>
      <c r="R8" s="42" t="s">
        <v>253</v>
      </c>
      <c r="U8" s="42" t="s">
        <v>27</v>
      </c>
      <c r="V8" s="42" t="s">
        <v>175</v>
      </c>
      <c r="X8" s="42" t="s">
        <v>255</v>
      </c>
      <c r="AA8" s="42" t="s">
        <v>27</v>
      </c>
      <c r="AB8" s="42" t="s">
        <v>176</v>
      </c>
    </row>
    <row r="9" spans="1:29" s="42" customFormat="1" x14ac:dyDescent="0.25">
      <c r="B9" s="42" t="s">
        <v>246</v>
      </c>
      <c r="C9" s="42" t="s">
        <v>248</v>
      </c>
      <c r="D9" s="42" t="s">
        <v>249</v>
      </c>
      <c r="F9" s="42" t="s">
        <v>246</v>
      </c>
      <c r="G9" s="42" t="s">
        <v>248</v>
      </c>
      <c r="H9" s="42" t="s">
        <v>249</v>
      </c>
      <c r="J9" s="42" t="s">
        <v>248</v>
      </c>
      <c r="K9" s="42" t="s">
        <v>249</v>
      </c>
      <c r="L9" s="42" t="s">
        <v>246</v>
      </c>
      <c r="M9" s="42" t="s">
        <v>248</v>
      </c>
      <c r="N9" s="42" t="s">
        <v>249</v>
      </c>
      <c r="P9" s="42" t="s">
        <v>248</v>
      </c>
      <c r="Q9" s="42" t="s">
        <v>249</v>
      </c>
      <c r="R9" s="42" t="s">
        <v>246</v>
      </c>
      <c r="S9" s="42" t="s">
        <v>248</v>
      </c>
      <c r="T9" s="42" t="s">
        <v>249</v>
      </c>
      <c r="V9" s="42" t="s">
        <v>248</v>
      </c>
      <c r="W9" s="42" t="s">
        <v>249</v>
      </c>
      <c r="X9" s="42" t="s">
        <v>246</v>
      </c>
      <c r="Y9" s="42" t="s">
        <v>248</v>
      </c>
      <c r="Z9" s="42" t="s">
        <v>249</v>
      </c>
      <c r="AB9" s="42" t="s">
        <v>248</v>
      </c>
      <c r="AC9" s="42" t="s">
        <v>249</v>
      </c>
    </row>
    <row r="10" spans="1:29" x14ac:dyDescent="0.25">
      <c r="A10" s="2" t="s">
        <v>230</v>
      </c>
      <c r="C10" s="1"/>
      <c r="D10" s="1"/>
      <c r="E10" s="1"/>
      <c r="G10" s="1"/>
      <c r="H10" s="1"/>
      <c r="I10" s="1"/>
      <c r="J10" s="1"/>
      <c r="K10" s="1"/>
    </row>
    <row r="11" spans="1:29" x14ac:dyDescent="0.25">
      <c r="A11" t="s">
        <v>227</v>
      </c>
      <c r="B11" t="s">
        <v>179</v>
      </c>
      <c r="C11" s="483">
        <v>0.10199999999999999</v>
      </c>
      <c r="D11" s="483">
        <v>0</v>
      </c>
      <c r="E11" s="1" t="s">
        <v>764</v>
      </c>
      <c r="F11" t="s">
        <v>6</v>
      </c>
      <c r="G11" s="483">
        <v>1.073</v>
      </c>
      <c r="H11" s="483">
        <v>0</v>
      </c>
      <c r="I11" s="1" t="s">
        <v>749</v>
      </c>
      <c r="J11" s="573">
        <f>$C11*G11</f>
        <v>0.10944599999999999</v>
      </c>
      <c r="K11" s="573">
        <f>SQRT((($D11*$G11)^2)+(($C11*$H11)^2))</f>
        <v>0</v>
      </c>
      <c r="L11" t="s">
        <v>7</v>
      </c>
      <c r="M11" s="485">
        <v>7.6502000000000001E-2</v>
      </c>
      <c r="N11" s="485">
        <v>0</v>
      </c>
      <c r="O11" s="1" t="s">
        <v>750</v>
      </c>
      <c r="P11" s="7">
        <f>$C11*M11</f>
        <v>7.8032039999999993E-3</v>
      </c>
      <c r="Q11" s="7">
        <f>SQRT((($D11*$M11)^2)+(($C11*$N11)^2))</f>
        <v>0</v>
      </c>
      <c r="R11" t="s">
        <v>8</v>
      </c>
      <c r="S11" s="610">
        <v>9.5999999999999996E-6</v>
      </c>
      <c r="T11" s="610">
        <v>0</v>
      </c>
      <c r="U11" s="1" t="s">
        <v>752</v>
      </c>
      <c r="V11" s="617">
        <f>$C11*S11</f>
        <v>9.7919999999999987E-7</v>
      </c>
      <c r="W11" s="617">
        <f>SQRT((($D11*S11)^2)+(($C11*T11)^2))</f>
        <v>0</v>
      </c>
      <c r="X11" t="s">
        <v>9</v>
      </c>
      <c r="Y11" s="498">
        <v>7.5099999999999999E-7</v>
      </c>
      <c r="Z11" s="498">
        <v>0</v>
      </c>
      <c r="AA11" s="1" t="s">
        <v>754</v>
      </c>
      <c r="AB11" s="625">
        <f>$C11*Y11</f>
        <v>7.6602E-8</v>
      </c>
      <c r="AC11" s="625">
        <f>SQRT((($D11*Y11)^2)+(($C11*Z11)^2))</f>
        <v>0</v>
      </c>
    </row>
    <row r="12" spans="1:29" x14ac:dyDescent="0.25">
      <c r="A12" t="s">
        <v>231</v>
      </c>
      <c r="B12" t="s">
        <v>179</v>
      </c>
      <c r="C12" s="497">
        <v>6.0000000000000001E-3</v>
      </c>
      <c r="D12" s="497">
        <v>0</v>
      </c>
      <c r="E12" s="1" t="s">
        <v>765</v>
      </c>
      <c r="F12" t="s">
        <v>6</v>
      </c>
      <c r="G12" s="482">
        <v>1</v>
      </c>
      <c r="H12" s="482">
        <v>0</v>
      </c>
      <c r="J12" s="573">
        <f>$C12*G12*C7</f>
        <v>0</v>
      </c>
      <c r="K12" s="573">
        <f>SQRT((($D12*G12)^2)+(($C12*H12)^2))*C7</f>
        <v>0</v>
      </c>
      <c r="L12" t="s">
        <v>220</v>
      </c>
      <c r="M12" s="494">
        <v>2.5999999999999998E-4</v>
      </c>
      <c r="N12" s="494">
        <v>0</v>
      </c>
      <c r="O12" s="1" t="s">
        <v>766</v>
      </c>
      <c r="P12" s="7">
        <f>$M12*C7</f>
        <v>0</v>
      </c>
      <c r="Q12" s="7">
        <f>$N12*C7</f>
        <v>0</v>
      </c>
      <c r="R12" t="s">
        <v>221</v>
      </c>
      <c r="S12" s="498">
        <v>7.1999999999999999E-7</v>
      </c>
      <c r="T12" s="498">
        <v>0</v>
      </c>
      <c r="U12" s="1" t="s">
        <v>767</v>
      </c>
      <c r="V12" s="617">
        <f>$S12*C7</f>
        <v>0</v>
      </c>
      <c r="W12" s="617">
        <f>$T12*C7</f>
        <v>0</v>
      </c>
      <c r="X12" t="s">
        <v>222</v>
      </c>
      <c r="Y12" s="624">
        <v>7.6999999999999995E-9</v>
      </c>
      <c r="Z12" s="624">
        <v>0</v>
      </c>
      <c r="AA12" s="1" t="s">
        <v>768</v>
      </c>
      <c r="AB12" s="625">
        <f>$Y12*C7</f>
        <v>0</v>
      </c>
      <c r="AC12" s="625">
        <f>$Z12*C7</f>
        <v>0</v>
      </c>
    </row>
    <row r="13" spans="1:29" x14ac:dyDescent="0.25">
      <c r="A13" t="s">
        <v>232</v>
      </c>
      <c r="B13" t="s">
        <v>11</v>
      </c>
      <c r="C13" s="482">
        <v>8</v>
      </c>
      <c r="D13" s="482">
        <v>0</v>
      </c>
      <c r="E13" s="1" t="s">
        <v>748</v>
      </c>
      <c r="G13" s="1"/>
      <c r="H13" s="1"/>
      <c r="I13" s="1"/>
      <c r="J13" s="573">
        <f>($C$13/100)*J12</f>
        <v>0</v>
      </c>
      <c r="K13" s="573">
        <f>SQRT(((($D$13/100)*J12)^2)+((($C$13/100)*K12)^2))</f>
        <v>0</v>
      </c>
      <c r="M13" s="1"/>
      <c r="N13" s="1"/>
      <c r="O13" s="1"/>
      <c r="P13" s="7">
        <f>($C$13/100)*P12</f>
        <v>0</v>
      </c>
      <c r="Q13" s="7">
        <f>SQRT(((($D$13/100)*P12)^2)+((($C$13/100)*Q12)^2))</f>
        <v>0</v>
      </c>
      <c r="S13" s="1"/>
      <c r="T13" s="1"/>
      <c r="U13" s="1"/>
      <c r="V13" s="617">
        <f>($C$13/100)*V12</f>
        <v>0</v>
      </c>
      <c r="W13" s="617">
        <f>SQRT(((($D$13/100)*V12)^2)+((($C$13/100)*W12)^2))</f>
        <v>0</v>
      </c>
      <c r="Y13" s="1"/>
      <c r="Z13" s="1"/>
      <c r="AA13" s="1"/>
      <c r="AB13" s="625">
        <f>($C$13/100)*AB12</f>
        <v>0</v>
      </c>
      <c r="AC13" s="625">
        <f>SQRT(((($D$13/100)*AB12)^2)+((($C$13/100)*AC12)^2))</f>
        <v>0</v>
      </c>
    </row>
    <row r="14" spans="1:29" x14ac:dyDescent="0.25">
      <c r="C14" s="1"/>
      <c r="D14" s="1"/>
      <c r="E14" s="1"/>
      <c r="G14" s="1"/>
      <c r="H14" s="1"/>
      <c r="I14" s="1"/>
      <c r="J14" s="574"/>
      <c r="K14" s="574"/>
      <c r="M14" s="1"/>
      <c r="N14" s="1"/>
      <c r="O14" s="1"/>
      <c r="P14" s="1"/>
      <c r="Q14" s="1"/>
      <c r="S14" s="1"/>
      <c r="T14" s="1"/>
      <c r="U14" s="1"/>
      <c r="V14" s="618"/>
      <c r="W14" s="618"/>
      <c r="Y14" s="1"/>
      <c r="Z14" s="1"/>
      <c r="AA14" s="1"/>
      <c r="AB14" s="626"/>
      <c r="AC14" s="626"/>
    </row>
    <row r="15" spans="1:29" x14ac:dyDescent="0.25">
      <c r="A15" s="2" t="s">
        <v>18</v>
      </c>
      <c r="B15" s="2"/>
      <c r="C15" s="4"/>
      <c r="D15" s="4"/>
      <c r="E15" s="4"/>
      <c r="F15" s="2"/>
      <c r="G15" s="4"/>
      <c r="H15" s="4"/>
      <c r="I15" s="4"/>
      <c r="J15" s="604">
        <f>SUM(J11:J13)</f>
        <v>0.10944599999999999</v>
      </c>
      <c r="K15" s="604">
        <f>SQRT((K11^2)+(K12^2)+(K13^2))</f>
        <v>0</v>
      </c>
      <c r="L15" s="2"/>
      <c r="M15" s="4"/>
      <c r="N15" s="4"/>
      <c r="O15" s="4"/>
      <c r="P15" s="9">
        <f>SUM(P11:P13)</f>
        <v>7.8032039999999993E-3</v>
      </c>
      <c r="Q15" s="9">
        <f>SQRT((Q11^2)+(Q12^2)+(Q13^2))</f>
        <v>0</v>
      </c>
      <c r="R15" s="2"/>
      <c r="S15" s="4"/>
      <c r="T15" s="4"/>
      <c r="U15" s="4"/>
      <c r="V15" s="619">
        <f>SUM(V11:V13)</f>
        <v>9.7919999999999987E-7</v>
      </c>
      <c r="W15" s="619">
        <f>SQRT((W11^2)+(W12^2)+(W13^2))</f>
        <v>0</v>
      </c>
      <c r="X15" s="2"/>
      <c r="Y15" s="4"/>
      <c r="Z15" s="4"/>
      <c r="AA15" s="4"/>
      <c r="AB15" s="627">
        <f>SUM(AB11:AB13)</f>
        <v>7.6602E-8</v>
      </c>
      <c r="AC15" s="627">
        <f>SQRT((AC11^2)+(AC12^2)+(AC13^2))</f>
        <v>0</v>
      </c>
    </row>
  </sheetData>
  <phoneticPr fontId="0"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7"/>
  <sheetViews>
    <sheetView workbookViewId="0">
      <pane xSplit="1" ySplit="16" topLeftCell="B17" activePane="bottomRight" state="frozen"/>
      <selection pane="topRight" activeCell="B1" sqref="B1"/>
      <selection pane="bottomLeft" activeCell="A15" sqref="A15"/>
      <selection pane="bottomRight"/>
    </sheetView>
  </sheetViews>
  <sheetFormatPr defaultRowHeight="13.2" x14ac:dyDescent="0.25"/>
  <cols>
    <col min="1" max="1" width="43.5546875" customWidth="1"/>
    <col min="2" max="2" width="18.109375" customWidth="1"/>
    <col min="10" max="11" width="12.5546875" customWidth="1"/>
    <col min="16" max="16" width="17.33203125" customWidth="1"/>
    <col min="17" max="17" width="15.6640625" customWidth="1"/>
    <col min="19" max="19" width="13.33203125" customWidth="1"/>
    <col min="20" max="20" width="14" customWidth="1"/>
    <col min="22" max="22" width="14.6640625" customWidth="1"/>
    <col min="23" max="23" width="12.88671875" customWidth="1"/>
    <col min="25" max="25" width="13.88671875" customWidth="1"/>
    <col min="26" max="26" width="14.33203125" customWidth="1"/>
    <col min="28" max="29" width="16.109375" customWidth="1"/>
  </cols>
  <sheetData>
    <row r="1" spans="1:29" x14ac:dyDescent="0.25">
      <c r="A1" s="143" t="s">
        <v>240</v>
      </c>
      <c r="B1" s="891" t="s">
        <v>1144</v>
      </c>
      <c r="E1" s="116"/>
      <c r="I1" s="116"/>
      <c r="O1" s="116"/>
      <c r="U1" s="116"/>
      <c r="AA1" s="116"/>
    </row>
    <row r="2" spans="1:29" x14ac:dyDescent="0.25">
      <c r="A2" s="143" t="s">
        <v>243</v>
      </c>
      <c r="B2" s="42" t="s">
        <v>628</v>
      </c>
      <c r="E2" s="116"/>
      <c r="I2" s="116"/>
      <c r="O2" s="116"/>
      <c r="U2" s="116"/>
      <c r="AA2" s="116"/>
    </row>
    <row r="3" spans="1:29" x14ac:dyDescent="0.25">
      <c r="A3" s="143" t="s">
        <v>241</v>
      </c>
      <c r="B3" s="877" t="s">
        <v>1115</v>
      </c>
      <c r="E3" s="116"/>
      <c r="I3" s="116"/>
      <c r="O3" s="116"/>
      <c r="U3" s="116"/>
      <c r="AA3" s="116"/>
    </row>
    <row r="4" spans="1:29" x14ac:dyDescent="0.25">
      <c r="A4" s="143" t="s">
        <v>242</v>
      </c>
      <c r="B4" s="10">
        <v>2004</v>
      </c>
      <c r="E4" s="116"/>
      <c r="I4" s="116"/>
      <c r="O4" s="116"/>
      <c r="U4" s="116"/>
      <c r="AA4" s="116"/>
    </row>
    <row r="5" spans="1:29" x14ac:dyDescent="0.25">
      <c r="A5" s="3"/>
      <c r="E5" s="116"/>
      <c r="I5" s="116"/>
      <c r="O5" s="116"/>
      <c r="U5" s="116"/>
      <c r="AA5" s="116"/>
    </row>
    <row r="6" spans="1:29" x14ac:dyDescent="0.25">
      <c r="A6" s="437" t="s">
        <v>408</v>
      </c>
      <c r="B6" s="102"/>
      <c r="E6" s="116"/>
      <c r="I6" s="116"/>
      <c r="O6" s="116"/>
      <c r="U6" s="116"/>
      <c r="AA6" s="116"/>
    </row>
    <row r="7" spans="1:29" x14ac:dyDescent="0.25">
      <c r="A7" s="144" t="s">
        <v>645</v>
      </c>
      <c r="B7" s="113">
        <f>include_machinery</f>
        <v>0</v>
      </c>
      <c r="E7" s="116"/>
      <c r="I7" s="116"/>
      <c r="O7" s="116"/>
      <c r="U7" s="116"/>
      <c r="AA7" s="116"/>
    </row>
    <row r="8" spans="1:29" x14ac:dyDescent="0.25">
      <c r="A8" s="846" t="s">
        <v>1131</v>
      </c>
      <c r="B8" s="145">
        <f>Unitflowchart!$AA$69</f>
        <v>0</v>
      </c>
      <c r="D8" s="844"/>
      <c r="E8" s="116"/>
      <c r="I8" s="116"/>
      <c r="O8" s="116"/>
      <c r="U8" s="116"/>
      <c r="AA8" s="116"/>
    </row>
    <row r="9" spans="1:29" x14ac:dyDescent="0.25">
      <c r="A9" s="144" t="s">
        <v>631</v>
      </c>
      <c r="B9" s="145">
        <f>Unitflowchart!$AA$71</f>
        <v>10643.945961335021</v>
      </c>
      <c r="E9" s="116"/>
      <c r="I9" s="116"/>
      <c r="O9" s="116"/>
      <c r="U9" s="116"/>
      <c r="AA9" s="116"/>
    </row>
    <row r="10" spans="1:29" x14ac:dyDescent="0.25">
      <c r="A10" s="144" t="s">
        <v>630</v>
      </c>
      <c r="B10" s="145">
        <f>Unitflowchart!$AA$91</f>
        <v>2024.7268789719708</v>
      </c>
      <c r="E10" s="116"/>
      <c r="I10" s="116"/>
      <c r="O10" s="116"/>
      <c r="U10" s="116"/>
      <c r="AA10" s="116"/>
    </row>
    <row r="11" spans="1:29" x14ac:dyDescent="0.25">
      <c r="A11" s="144" t="s">
        <v>180</v>
      </c>
      <c r="B11" s="145">
        <f>Unitflowchart!$AA$77</f>
        <v>15.29899491237963</v>
      </c>
      <c r="E11" s="116"/>
      <c r="I11" s="116"/>
      <c r="O11" s="116"/>
      <c r="U11" s="116"/>
      <c r="AA11" s="116"/>
    </row>
    <row r="12" spans="1:29" x14ac:dyDescent="0.25">
      <c r="A12" s="144" t="s">
        <v>632</v>
      </c>
      <c r="B12" s="113">
        <f>Unitflowchart!$AA$85</f>
        <v>20</v>
      </c>
      <c r="E12" s="116"/>
      <c r="I12" s="116"/>
      <c r="O12" s="116"/>
      <c r="U12" s="116"/>
      <c r="AA12" s="116"/>
    </row>
    <row r="13" spans="1:29" x14ac:dyDescent="0.25">
      <c r="A13" s="146" t="s">
        <v>738</v>
      </c>
      <c r="B13" s="203">
        <f>Unitflowchart!$S$101*Unitflowchart!$S$357/Unitflowchart!$S$72</f>
        <v>22353.54912</v>
      </c>
      <c r="E13" s="116"/>
      <c r="I13" s="116"/>
      <c r="O13" s="116"/>
      <c r="U13" s="116"/>
      <c r="AA13" s="116"/>
    </row>
    <row r="14" spans="1:29" x14ac:dyDescent="0.25">
      <c r="A14" s="3"/>
      <c r="E14" s="116"/>
      <c r="I14" s="116"/>
      <c r="O14" s="116"/>
      <c r="U14" s="116"/>
      <c r="AA14" s="116"/>
    </row>
    <row r="15" spans="1:29" s="42" customFormat="1" x14ac:dyDescent="0.25">
      <c r="A15" s="42" t="s">
        <v>245</v>
      </c>
      <c r="B15" s="42" t="s">
        <v>244</v>
      </c>
      <c r="E15" s="117" t="s">
        <v>27</v>
      </c>
      <c r="F15" s="42" t="s">
        <v>247</v>
      </c>
      <c r="I15" s="117" t="s">
        <v>27</v>
      </c>
      <c r="J15" s="42" t="s">
        <v>181</v>
      </c>
      <c r="L15" s="42" t="s">
        <v>251</v>
      </c>
      <c r="O15" s="117" t="s">
        <v>27</v>
      </c>
      <c r="P15" s="42" t="s">
        <v>182</v>
      </c>
      <c r="R15" s="42" t="s">
        <v>253</v>
      </c>
      <c r="U15" s="117" t="s">
        <v>27</v>
      </c>
      <c r="V15" s="42" t="s">
        <v>183</v>
      </c>
      <c r="X15" s="42" t="s">
        <v>255</v>
      </c>
      <c r="AA15" s="117" t="s">
        <v>27</v>
      </c>
      <c r="AB15" s="353" t="s">
        <v>196</v>
      </c>
    </row>
    <row r="16" spans="1:29" s="42" customFormat="1" x14ac:dyDescent="0.25">
      <c r="B16" s="42" t="s">
        <v>246</v>
      </c>
      <c r="C16" s="42" t="s">
        <v>248</v>
      </c>
      <c r="D16" s="42" t="s">
        <v>249</v>
      </c>
      <c r="E16" s="117"/>
      <c r="F16" s="42" t="s">
        <v>246</v>
      </c>
      <c r="G16" s="42" t="s">
        <v>248</v>
      </c>
      <c r="H16" s="42" t="s">
        <v>249</v>
      </c>
      <c r="I16" s="117"/>
      <c r="J16" s="42" t="s">
        <v>248</v>
      </c>
      <c r="K16" s="42" t="s">
        <v>249</v>
      </c>
      <c r="L16" s="42" t="s">
        <v>246</v>
      </c>
      <c r="M16" s="42" t="s">
        <v>248</v>
      </c>
      <c r="N16" s="42" t="s">
        <v>249</v>
      </c>
      <c r="O16" s="117"/>
      <c r="P16" s="42" t="s">
        <v>248</v>
      </c>
      <c r="Q16" s="42" t="s">
        <v>249</v>
      </c>
      <c r="R16" s="42" t="s">
        <v>246</v>
      </c>
      <c r="S16" s="42" t="s">
        <v>248</v>
      </c>
      <c r="T16" s="42" t="s">
        <v>249</v>
      </c>
      <c r="U16" s="117"/>
      <c r="V16" s="42" t="s">
        <v>248</v>
      </c>
      <c r="W16" s="42" t="s">
        <v>249</v>
      </c>
      <c r="X16" s="42" t="s">
        <v>246</v>
      </c>
      <c r="Y16" s="42" t="s">
        <v>248</v>
      </c>
      <c r="Z16" s="42" t="s">
        <v>249</v>
      </c>
      <c r="AA16" s="117"/>
      <c r="AB16" s="42" t="s">
        <v>248</v>
      </c>
      <c r="AC16" s="42" t="s">
        <v>249</v>
      </c>
    </row>
    <row r="17" spans="1:29" x14ac:dyDescent="0.25">
      <c r="A17" s="2" t="s">
        <v>184</v>
      </c>
      <c r="E17" s="116"/>
      <c r="I17" s="116"/>
      <c r="O17" s="116"/>
      <c r="U17" s="116"/>
      <c r="AA17" s="116"/>
    </row>
    <row r="18" spans="1:29" x14ac:dyDescent="0.25">
      <c r="A18" s="916" t="s">
        <v>1127</v>
      </c>
      <c r="B18" s="147" t="s">
        <v>442</v>
      </c>
      <c r="C18" s="148">
        <f>$B$8</f>
        <v>0</v>
      </c>
      <c r="D18" s="148">
        <v>0</v>
      </c>
      <c r="E18" s="66"/>
      <c r="F18" s="66" t="s">
        <v>6</v>
      </c>
      <c r="G18" s="913">
        <v>1.05</v>
      </c>
      <c r="H18" s="913">
        <v>0</v>
      </c>
      <c r="I18" s="112" t="s">
        <v>1123</v>
      </c>
      <c r="J18" s="914">
        <f>C18*G18</f>
        <v>0</v>
      </c>
      <c r="K18" s="914">
        <f>SQRT(((D18*G18)^2)+((C18*H18)^2))</f>
        <v>0</v>
      </c>
      <c r="L18" s="66" t="s">
        <v>7</v>
      </c>
      <c r="M18" s="915">
        <v>5.5724000000000003E-2</v>
      </c>
      <c r="N18" s="915">
        <v>0</v>
      </c>
      <c r="O18" s="112" t="s">
        <v>1124</v>
      </c>
      <c r="P18" s="914">
        <f>C18*M18</f>
        <v>0</v>
      </c>
      <c r="Q18" s="914">
        <f>SQRT(((D18*M18)^2)+((C18*N18)^2))</f>
        <v>0</v>
      </c>
      <c r="R18" s="66" t="s">
        <v>8</v>
      </c>
      <c r="S18" s="915">
        <v>6.6799999999999997E-5</v>
      </c>
      <c r="T18" s="915">
        <v>0</v>
      </c>
      <c r="U18" s="112" t="s">
        <v>1125</v>
      </c>
      <c r="V18" s="914">
        <f>C18*S18</f>
        <v>0</v>
      </c>
      <c r="W18" s="914">
        <f>SQRT(((D18*S18)^2)+((C18*T18)^2))</f>
        <v>0</v>
      </c>
      <c r="X18" s="66" t="s">
        <v>9</v>
      </c>
      <c r="Y18" s="915">
        <v>1.8300000000000001E-7</v>
      </c>
      <c r="Z18" s="915">
        <v>0</v>
      </c>
      <c r="AA18" s="112" t="s">
        <v>1126</v>
      </c>
      <c r="AB18" s="914">
        <f>C18*Y18</f>
        <v>0</v>
      </c>
      <c r="AC18" s="914">
        <f>SQRT(((D18*Y18)^2)+((C18*Z18)^2))</f>
        <v>0</v>
      </c>
    </row>
    <row r="19" spans="1:29" x14ac:dyDescent="0.25">
      <c r="A19" s="147" t="s">
        <v>784</v>
      </c>
      <c r="B19" s="602" t="s">
        <v>442</v>
      </c>
      <c r="C19" s="148">
        <f>$B$9</f>
        <v>10643.945961335021</v>
      </c>
      <c r="D19" s="148">
        <v>0</v>
      </c>
      <c r="E19" s="314"/>
      <c r="F19" s="314" t="s">
        <v>6</v>
      </c>
      <c r="G19" s="391">
        <v>0</v>
      </c>
      <c r="H19" s="391">
        <v>0</v>
      </c>
      <c r="I19" s="312"/>
      <c r="J19" s="490">
        <f>C19*G19</f>
        <v>0</v>
      </c>
      <c r="K19" s="490">
        <f>SQRT(((D19*G19)^2)+((C19*H19)^2))</f>
        <v>0</v>
      </c>
      <c r="L19" s="312" t="s">
        <v>7</v>
      </c>
      <c r="M19" s="633">
        <v>0</v>
      </c>
      <c r="N19" s="633">
        <v>0</v>
      </c>
      <c r="O19" s="312" t="s">
        <v>792</v>
      </c>
      <c r="P19" s="490">
        <f>C19*M19</f>
        <v>0</v>
      </c>
      <c r="Q19" s="490">
        <f>SQRT(((D19*M19)^2)+((C19*N19)^2))</f>
        <v>0</v>
      </c>
      <c r="R19" s="312" t="s">
        <v>8</v>
      </c>
      <c r="S19" s="392">
        <v>1.0000000000000001E-5</v>
      </c>
      <c r="T19" s="392">
        <v>0</v>
      </c>
      <c r="U19" s="360" t="s">
        <v>769</v>
      </c>
      <c r="V19" s="629">
        <f>C19*S19</f>
        <v>0.10643945961335022</v>
      </c>
      <c r="W19" s="629">
        <f>SQRT(((D19*S19)^2)+((C19*T19)^2))</f>
        <v>0</v>
      </c>
      <c r="X19" s="312" t="s">
        <v>9</v>
      </c>
      <c r="Y19" s="634">
        <v>3.0000000000000001E-6</v>
      </c>
      <c r="Z19" s="634">
        <v>0</v>
      </c>
      <c r="AA19" s="360" t="s">
        <v>398</v>
      </c>
      <c r="AB19" s="611">
        <f>C19*Y19</f>
        <v>3.1931837884005061E-2</v>
      </c>
      <c r="AC19" s="611">
        <f>SQRT(((D19*Y19)^2)+((C19*Z19)^2))</f>
        <v>0</v>
      </c>
    </row>
    <row r="20" spans="1:29" ht="14.4" x14ac:dyDescent="0.35">
      <c r="A20" s="147" t="s">
        <v>186</v>
      </c>
      <c r="B20" s="147" t="s">
        <v>739</v>
      </c>
      <c r="C20" s="603">
        <f>$B$10</f>
        <v>2024.7268789719708</v>
      </c>
      <c r="D20" s="148">
        <v>0</v>
      </c>
      <c r="E20" s="66"/>
      <c r="F20" s="66" t="s">
        <v>187</v>
      </c>
      <c r="G20" s="855">
        <f>2.494*3.6</f>
        <v>8.9784000000000006</v>
      </c>
      <c r="H20" s="391">
        <v>0</v>
      </c>
      <c r="I20" s="42" t="s">
        <v>1070</v>
      </c>
      <c r="J20" s="856">
        <f>G20*C20</f>
        <v>18178.807810161943</v>
      </c>
      <c r="K20" s="490">
        <f>SQRT(((D20*G20)^2)+((C20*H20)^2))</f>
        <v>0</v>
      </c>
      <c r="L20" t="s">
        <v>1071</v>
      </c>
      <c r="M20" s="855">
        <v>0.33100000000000002</v>
      </c>
      <c r="N20" s="633">
        <v>0</v>
      </c>
      <c r="O20" s="42" t="s">
        <v>1070</v>
      </c>
      <c r="P20" s="856">
        <f>M20*C20</f>
        <v>670.18459693972238</v>
      </c>
      <c r="Q20" s="490">
        <f>SQRT(((D20*M20)^2)+((C20*N20)^2))</f>
        <v>0</v>
      </c>
      <c r="R20" t="s">
        <v>1072</v>
      </c>
      <c r="S20" s="857">
        <v>1.0200000000000001E-3</v>
      </c>
      <c r="T20" s="392">
        <v>0</v>
      </c>
      <c r="U20" s="42" t="s">
        <v>1070</v>
      </c>
      <c r="V20" s="629">
        <f>S20*C20</f>
        <v>2.0652214165514104</v>
      </c>
      <c r="W20" s="629">
        <f>SQRT(((D20*S20)^2)+((C20*T20)^2))</f>
        <v>0</v>
      </c>
      <c r="X20" t="s">
        <v>1073</v>
      </c>
      <c r="Y20" s="858">
        <v>2.0873539547630425E-5</v>
      </c>
      <c r="Z20" s="634">
        <v>0</v>
      </c>
      <c r="AA20" s="42" t="s">
        <v>1070</v>
      </c>
      <c r="AB20" s="632">
        <f>C20*Y20</f>
        <v>4.2263216581371756E-2</v>
      </c>
      <c r="AC20" s="632">
        <f>SQRT(((D20*Y20)^2)+((C20*Z20)^2))</f>
        <v>0</v>
      </c>
    </row>
    <row r="21" spans="1:29" x14ac:dyDescent="0.25">
      <c r="A21" s="147" t="s">
        <v>44</v>
      </c>
      <c r="B21" s="147" t="s">
        <v>740</v>
      </c>
      <c r="C21" s="318">
        <f>(1900*(($B$11)^(2/3)))/($B$12*$B$13)</f>
        <v>2.6191018377940054E-2</v>
      </c>
      <c r="D21" s="318">
        <f>0.15*C21</f>
        <v>3.928652756691008E-3</v>
      </c>
      <c r="E21" s="115" t="s">
        <v>770</v>
      </c>
      <c r="F21" s="66" t="s">
        <v>191</v>
      </c>
      <c r="G21" s="484">
        <v>36.33</v>
      </c>
      <c r="H21" s="484">
        <v>0</v>
      </c>
      <c r="I21" s="66" t="s">
        <v>771</v>
      </c>
      <c r="J21" s="492">
        <v>0</v>
      </c>
      <c r="K21" s="492">
        <f>SQRT(((D21*G21)^2)+((C21*H21)^2))*B7</f>
        <v>0</v>
      </c>
      <c r="L21" s="66" t="s">
        <v>192</v>
      </c>
      <c r="M21" s="325">
        <v>1.8420000000000001</v>
      </c>
      <c r="N21" s="325">
        <v>0</v>
      </c>
      <c r="O21" s="66" t="s">
        <v>773</v>
      </c>
      <c r="P21" s="492">
        <f>C21*M21*B7</f>
        <v>0</v>
      </c>
      <c r="Q21" s="492">
        <f>SQRT(((D21*M21)^2)+((C21*N21)^2))*B7</f>
        <v>0</v>
      </c>
      <c r="R21" s="66" t="s">
        <v>193</v>
      </c>
      <c r="S21" s="486">
        <v>4.483E-3</v>
      </c>
      <c r="T21" s="486">
        <v>0</v>
      </c>
      <c r="U21" s="66" t="s">
        <v>776</v>
      </c>
      <c r="V21" s="628">
        <f>C21*S21*B7</f>
        <v>0</v>
      </c>
      <c r="W21" s="628">
        <f>SQRT(((D21*S21)^2)+((C21*T21)^2))*B7</f>
        <v>0</v>
      </c>
      <c r="X21" s="66" t="s">
        <v>194</v>
      </c>
      <c r="Y21" s="499">
        <v>7.8280000000000003E-5</v>
      </c>
      <c r="Z21" s="499">
        <v>0</v>
      </c>
      <c r="AA21" s="66" t="s">
        <v>779</v>
      </c>
      <c r="AB21" s="632">
        <f>C21*Y21*B7</f>
        <v>0</v>
      </c>
      <c r="AC21" s="632">
        <f>SQRT(((D21*Y21)^2)+((C21*Z21)^2))*B7</f>
        <v>0</v>
      </c>
    </row>
    <row r="22" spans="1:29" x14ac:dyDescent="0.25">
      <c r="A22" s="147" t="s">
        <v>45</v>
      </c>
      <c r="B22" s="66"/>
      <c r="C22" s="115"/>
      <c r="D22" s="115"/>
      <c r="E22" s="66"/>
      <c r="F22" s="66" t="s">
        <v>37</v>
      </c>
      <c r="G22" s="325">
        <v>2.5</v>
      </c>
      <c r="H22" s="325">
        <v>0</v>
      </c>
      <c r="I22" s="112" t="s">
        <v>195</v>
      </c>
      <c r="J22" s="492">
        <f>$B$12*J21*$G$22/100</f>
        <v>0</v>
      </c>
      <c r="K22" s="492">
        <f>SQRT((($B$12*K21*$G$22/100)^2)+(($B$12*J21*$H$22/100)^2))</f>
        <v>0</v>
      </c>
      <c r="L22" s="66"/>
      <c r="M22" s="111"/>
      <c r="N22" s="111"/>
      <c r="O22" s="112" t="s">
        <v>774</v>
      </c>
      <c r="P22" s="492">
        <f>$B$12*P21*$G$22/100</f>
        <v>0</v>
      </c>
      <c r="Q22" s="492">
        <f>SQRT((($B$12*Q21*$G$22/100)^2)+(($B$12*P21*$H$22/100)^2))</f>
        <v>0</v>
      </c>
      <c r="R22" s="66" t="s">
        <v>8</v>
      </c>
      <c r="S22" s="605">
        <v>1.192E-7</v>
      </c>
      <c r="T22" s="605">
        <v>0</v>
      </c>
      <c r="U22" s="112" t="s">
        <v>777</v>
      </c>
      <c r="V22" s="628">
        <f>$B$12*V21*$G$22/100</f>
        <v>0</v>
      </c>
      <c r="W22" s="628">
        <f>SQRT((($B$12*W21*$G$22/100)^2)+(($B$12*V21*$H$22/100)^2))</f>
        <v>0</v>
      </c>
      <c r="X22" s="66" t="s">
        <v>9</v>
      </c>
      <c r="Y22" s="635">
        <v>1.866E-9</v>
      </c>
      <c r="Z22" s="635">
        <v>0</v>
      </c>
      <c r="AA22" s="112" t="s">
        <v>780</v>
      </c>
      <c r="AB22" s="632">
        <f>$B$12*AB21*$G$22/100</f>
        <v>0</v>
      </c>
      <c r="AC22" s="632">
        <f>SQRT((($B$12*AC21*$G$22/100)^2)+(($B$12*AB21*$H$22/100)^2))</f>
        <v>0</v>
      </c>
    </row>
    <row r="23" spans="1:29" x14ac:dyDescent="0.25">
      <c r="A23" s="147" t="s">
        <v>46</v>
      </c>
      <c r="B23" s="66"/>
      <c r="C23" s="115"/>
      <c r="D23" s="115"/>
      <c r="E23" s="66"/>
      <c r="F23" s="66" t="s">
        <v>37</v>
      </c>
      <c r="G23" s="325">
        <v>4</v>
      </c>
      <c r="H23" s="325">
        <v>1</v>
      </c>
      <c r="I23" s="112" t="s">
        <v>772</v>
      </c>
      <c r="J23" s="492">
        <f>J21*$G$23/100</f>
        <v>0</v>
      </c>
      <c r="K23" s="492">
        <f>SQRT(((K21*($G$23/100))^2)+((J21*($H$23/100))^2))</f>
        <v>0</v>
      </c>
      <c r="L23" s="66"/>
      <c r="M23" s="111"/>
      <c r="N23" s="111"/>
      <c r="O23" s="112" t="s">
        <v>775</v>
      </c>
      <c r="P23" s="492">
        <f>P21*$G$23/100</f>
        <v>0</v>
      </c>
      <c r="Q23" s="492">
        <f>SQRT(((Q21*($G$23/100))^2)+((P21*($H$23/100))^2))</f>
        <v>0</v>
      </c>
      <c r="R23" s="66"/>
      <c r="S23" s="111"/>
      <c r="T23" s="111"/>
      <c r="U23" s="112" t="s">
        <v>778</v>
      </c>
      <c r="V23" s="628">
        <f>V21*$G$23/100</f>
        <v>0</v>
      </c>
      <c r="W23" s="628">
        <f>SQRT(((W21*($G$23/100))^2)+((V21*($H$23/100))^2))</f>
        <v>0</v>
      </c>
      <c r="X23" s="66"/>
      <c r="Y23" s="111"/>
      <c r="Z23" s="111"/>
      <c r="AA23" s="112" t="s">
        <v>781</v>
      </c>
      <c r="AB23" s="632">
        <f>AB21*$G$23/100</f>
        <v>0</v>
      </c>
      <c r="AC23" s="632">
        <f>SQRT(((AC21*($G$23/100))^2)+((AB21*($H$23/100))^2))</f>
        <v>0</v>
      </c>
    </row>
    <row r="24" spans="1:29" x14ac:dyDescent="0.25">
      <c r="A24" s="3"/>
      <c r="E24" s="116"/>
      <c r="I24" s="116"/>
      <c r="J24" s="491"/>
      <c r="K24" s="491"/>
      <c r="O24" s="116"/>
      <c r="P24" s="491"/>
      <c r="Q24" s="491"/>
      <c r="U24" s="116"/>
      <c r="V24" s="630"/>
      <c r="W24" s="630"/>
      <c r="AA24" s="116"/>
      <c r="AB24" s="612"/>
      <c r="AC24" s="612"/>
    </row>
    <row r="25" spans="1:29" x14ac:dyDescent="0.25">
      <c r="A25" s="2" t="s">
        <v>18</v>
      </c>
      <c r="B25" s="2"/>
      <c r="C25" s="2"/>
      <c r="D25" s="2"/>
      <c r="E25" s="149"/>
      <c r="F25" s="2"/>
      <c r="G25" s="2"/>
      <c r="H25" s="2"/>
      <c r="I25" s="149"/>
      <c r="J25" s="493">
        <f>SUM(J18:J23)</f>
        <v>18178.807810161943</v>
      </c>
      <c r="K25" s="493">
        <f>SQRT((K18^2)+(K19^2)+(K20^2)+(K21^2)+(K22^2)+(K23^2))</f>
        <v>0</v>
      </c>
      <c r="L25" s="2"/>
      <c r="M25" s="2"/>
      <c r="N25" s="2"/>
      <c r="O25" s="149"/>
      <c r="P25" s="493">
        <f>SUM(P18:P23)</f>
        <v>670.18459693972238</v>
      </c>
      <c r="Q25" s="493">
        <f>SQRT((Q18^2)+(Q19^2)+(Q20^2)+(Q21^2)+(Q22^2)+(Q23^2))</f>
        <v>0</v>
      </c>
      <c r="R25" s="2"/>
      <c r="S25" s="2"/>
      <c r="T25" s="2"/>
      <c r="U25" s="149"/>
      <c r="V25" s="631">
        <f>SUM(V18:V23)</f>
        <v>2.1716608761647604</v>
      </c>
      <c r="W25" s="631">
        <f>SQRT((W18^2)+(W19^2)+(W20^2)+(W21^2)+(W22^2)+(W23^2))</f>
        <v>0</v>
      </c>
      <c r="X25" s="2"/>
      <c r="Y25" s="2"/>
      <c r="Z25" s="2"/>
      <c r="AA25" s="149"/>
      <c r="AB25" s="613">
        <f>SUM(AB18:AB23)</f>
        <v>7.4195054465376817E-2</v>
      </c>
      <c r="AC25" s="613">
        <f>SQRT((AC18^2)+(AC19^2)+(AC20^2)+(AC21^2)+(AC22^2)+(AC23^2))</f>
        <v>0</v>
      </c>
    </row>
    <row r="26" spans="1:29" x14ac:dyDescent="0.25">
      <c r="A26" s="3"/>
      <c r="E26" s="116"/>
      <c r="I26" s="116"/>
      <c r="O26" s="116"/>
      <c r="U26" s="116"/>
      <c r="AA26" s="116"/>
    </row>
    <row r="27" spans="1:29" x14ac:dyDescent="0.25">
      <c r="A27" s="3"/>
      <c r="E27" s="116"/>
      <c r="I27" s="116"/>
      <c r="O27" s="116"/>
      <c r="U27" s="116"/>
      <c r="AA27" s="116"/>
    </row>
  </sheetData>
  <phoneticPr fontId="0"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
  <sheetViews>
    <sheetView workbookViewId="0"/>
  </sheetViews>
  <sheetFormatPr defaultRowHeight="13.2" x14ac:dyDescent="0.25"/>
  <cols>
    <col min="1" max="1" width="76.109375" customWidth="1"/>
  </cols>
  <sheetData>
    <row r="1" spans="1:26" x14ac:dyDescent="0.25">
      <c r="A1" s="817" t="s">
        <v>952</v>
      </c>
      <c r="B1" s="219"/>
      <c r="C1" s="219"/>
      <c r="D1" s="219"/>
      <c r="E1" s="219"/>
      <c r="F1" s="219"/>
      <c r="G1" s="219"/>
      <c r="H1" s="219"/>
      <c r="I1" s="219"/>
      <c r="J1" s="219"/>
      <c r="K1" s="219"/>
      <c r="L1" s="219"/>
      <c r="M1" s="219"/>
      <c r="N1" s="219"/>
      <c r="O1" s="219"/>
      <c r="P1" s="219"/>
      <c r="Q1" s="219"/>
      <c r="R1" s="219"/>
      <c r="S1" s="219"/>
      <c r="T1" s="219"/>
      <c r="U1" s="219"/>
      <c r="V1" s="219"/>
      <c r="W1" s="219"/>
      <c r="X1" s="219"/>
      <c r="Y1" s="219"/>
      <c r="Z1" s="219"/>
    </row>
    <row r="2" spans="1:26" x14ac:dyDescent="0.25">
      <c r="A2" s="219"/>
      <c r="B2" s="219"/>
      <c r="C2" s="219"/>
      <c r="D2" s="219"/>
      <c r="E2" s="219"/>
      <c r="F2" s="219"/>
      <c r="G2" s="219"/>
      <c r="H2" s="219"/>
      <c r="I2" s="219"/>
      <c r="J2" s="219"/>
      <c r="K2" s="219"/>
      <c r="L2" s="219"/>
      <c r="M2" s="219"/>
      <c r="N2" s="219"/>
      <c r="O2" s="219"/>
      <c r="P2" s="219"/>
      <c r="Q2" s="219"/>
      <c r="R2" s="219"/>
      <c r="S2" s="219"/>
      <c r="T2" s="219"/>
      <c r="U2" s="219"/>
      <c r="V2" s="219"/>
      <c r="W2" s="219"/>
      <c r="X2" s="219"/>
      <c r="Y2" s="219"/>
      <c r="Z2" s="219"/>
    </row>
    <row r="3" spans="1:26" ht="39.6" x14ac:dyDescent="0.25">
      <c r="A3" s="819" t="s">
        <v>955</v>
      </c>
      <c r="B3" s="219"/>
      <c r="C3" s="219"/>
      <c r="D3" s="219"/>
      <c r="E3" s="219"/>
      <c r="F3" s="219"/>
      <c r="G3" s="219"/>
      <c r="H3" s="219"/>
      <c r="I3" s="219"/>
      <c r="J3" s="219"/>
      <c r="K3" s="219"/>
      <c r="L3" s="219"/>
      <c r="M3" s="219"/>
      <c r="N3" s="219"/>
      <c r="O3" s="219"/>
      <c r="P3" s="219"/>
      <c r="Q3" s="219"/>
      <c r="R3" s="219"/>
      <c r="S3" s="219"/>
      <c r="T3" s="219"/>
      <c r="U3" s="219"/>
      <c r="V3" s="219"/>
      <c r="W3" s="219"/>
      <c r="X3" s="219"/>
      <c r="Y3" s="219"/>
      <c r="Z3" s="219"/>
    </row>
    <row r="4" spans="1:26" x14ac:dyDescent="0.25">
      <c r="A4" s="219"/>
      <c r="B4" s="219"/>
      <c r="C4" s="219"/>
      <c r="D4" s="219"/>
      <c r="E4" s="219"/>
      <c r="F4" s="219"/>
      <c r="G4" s="219"/>
      <c r="H4" s="219"/>
      <c r="I4" s="219"/>
      <c r="J4" s="219"/>
      <c r="K4" s="219"/>
      <c r="L4" s="219"/>
      <c r="M4" s="219"/>
      <c r="N4" s="219"/>
      <c r="O4" s="219"/>
      <c r="P4" s="219"/>
      <c r="Q4" s="219"/>
      <c r="R4" s="219"/>
      <c r="S4" s="219"/>
      <c r="T4" s="219"/>
      <c r="U4" s="219"/>
      <c r="V4" s="219"/>
      <c r="W4" s="219"/>
      <c r="X4" s="219"/>
      <c r="Y4" s="219"/>
      <c r="Z4" s="219"/>
    </row>
    <row r="5" spans="1:26" x14ac:dyDescent="0.25">
      <c r="A5" s="219"/>
      <c r="B5" s="219"/>
      <c r="C5" s="219"/>
      <c r="D5" s="219"/>
      <c r="E5" s="219"/>
      <c r="F5" s="219"/>
      <c r="G5" s="219"/>
      <c r="H5" s="219"/>
      <c r="I5" s="219"/>
      <c r="J5" s="219"/>
      <c r="K5" s="219"/>
      <c r="L5" s="219"/>
      <c r="M5" s="219"/>
      <c r="N5" s="219"/>
      <c r="O5" s="219"/>
      <c r="P5" s="219"/>
      <c r="Q5" s="219"/>
      <c r="R5" s="219"/>
      <c r="S5" s="219"/>
      <c r="T5" s="219"/>
      <c r="U5" s="219"/>
      <c r="V5" s="219"/>
      <c r="W5" s="219"/>
      <c r="X5" s="219"/>
      <c r="Y5" s="219"/>
      <c r="Z5" s="219"/>
    </row>
    <row r="6" spans="1:26" x14ac:dyDescent="0.25">
      <c r="A6" s="219"/>
      <c r="B6" s="219"/>
      <c r="C6" s="219"/>
      <c r="D6" s="219"/>
      <c r="E6" s="219"/>
      <c r="F6" s="219"/>
      <c r="G6" s="219"/>
      <c r="H6" s="219"/>
      <c r="I6" s="219"/>
      <c r="J6" s="219"/>
      <c r="K6" s="219"/>
      <c r="L6" s="219"/>
      <c r="M6" s="219"/>
      <c r="N6" s="219"/>
      <c r="O6" s="219"/>
      <c r="P6" s="219"/>
      <c r="Q6" s="219"/>
      <c r="R6" s="219"/>
      <c r="S6" s="219"/>
      <c r="T6" s="219"/>
      <c r="U6" s="219"/>
      <c r="V6" s="219"/>
      <c r="W6" s="219"/>
      <c r="X6" s="219"/>
      <c r="Y6" s="219"/>
      <c r="Z6" s="219"/>
    </row>
    <row r="7" spans="1:26" x14ac:dyDescent="0.25">
      <c r="A7" s="219"/>
      <c r="B7" s="219"/>
      <c r="C7" s="219"/>
      <c r="D7" s="219"/>
      <c r="E7" s="219"/>
      <c r="F7" s="219"/>
      <c r="G7" s="219"/>
      <c r="H7" s="219"/>
      <c r="I7" s="219"/>
      <c r="J7" s="219"/>
      <c r="K7" s="219"/>
      <c r="L7" s="219"/>
      <c r="M7" s="219"/>
      <c r="N7" s="219"/>
      <c r="O7" s="219"/>
      <c r="P7" s="219"/>
      <c r="Q7" s="219"/>
      <c r="R7" s="219"/>
      <c r="S7" s="219"/>
      <c r="T7" s="219"/>
      <c r="U7" s="219"/>
      <c r="V7" s="219"/>
      <c r="W7" s="219"/>
      <c r="X7" s="219"/>
      <c r="Y7" s="219"/>
      <c r="Z7" s="219"/>
    </row>
    <row r="8" spans="1:26" x14ac:dyDescent="0.25">
      <c r="A8" s="219"/>
      <c r="B8" s="219"/>
      <c r="C8" s="219"/>
      <c r="D8" s="219"/>
      <c r="E8" s="219"/>
      <c r="F8" s="219"/>
      <c r="G8" s="219"/>
      <c r="H8" s="219"/>
      <c r="I8" s="219"/>
      <c r="J8" s="219"/>
      <c r="K8" s="219"/>
      <c r="L8" s="219"/>
      <c r="M8" s="219"/>
      <c r="N8" s="219"/>
      <c r="O8" s="219"/>
      <c r="P8" s="219"/>
      <c r="Q8" s="219"/>
      <c r="R8" s="219"/>
      <c r="S8" s="219"/>
      <c r="T8" s="219"/>
      <c r="U8" s="219"/>
      <c r="V8" s="219"/>
      <c r="W8" s="219"/>
      <c r="X8" s="219"/>
      <c r="Y8" s="219"/>
      <c r="Z8" s="219"/>
    </row>
    <row r="9" spans="1:26" x14ac:dyDescent="0.25">
      <c r="A9" s="219"/>
      <c r="B9" s="219"/>
      <c r="C9" s="219"/>
      <c r="D9" s="219"/>
      <c r="E9" s="219"/>
      <c r="F9" s="219"/>
      <c r="G9" s="219"/>
      <c r="H9" s="219"/>
      <c r="I9" s="219"/>
      <c r="J9" s="219"/>
      <c r="K9" s="219"/>
      <c r="L9" s="219"/>
      <c r="M9" s="219"/>
      <c r="N9" s="219"/>
      <c r="O9" s="219"/>
      <c r="P9" s="219"/>
      <c r="Q9" s="219"/>
      <c r="R9" s="219"/>
      <c r="S9" s="219"/>
      <c r="T9" s="219"/>
      <c r="U9" s="219"/>
      <c r="V9" s="219"/>
      <c r="W9" s="219"/>
      <c r="X9" s="219"/>
      <c r="Y9" s="219"/>
      <c r="Z9" s="219"/>
    </row>
    <row r="10" spans="1:26" x14ac:dyDescent="0.25">
      <c r="A10" s="219"/>
      <c r="B10" s="219"/>
      <c r="C10" s="219"/>
      <c r="D10" s="219"/>
      <c r="E10" s="219"/>
      <c r="F10" s="219"/>
      <c r="G10" s="219"/>
      <c r="H10" s="219"/>
      <c r="I10" s="219"/>
      <c r="J10" s="219"/>
      <c r="K10" s="219"/>
      <c r="L10" s="219"/>
      <c r="M10" s="219"/>
      <c r="N10" s="219"/>
      <c r="O10" s="219"/>
      <c r="P10" s="219"/>
      <c r="Q10" s="219"/>
      <c r="R10" s="219"/>
      <c r="S10" s="219"/>
      <c r="T10" s="219"/>
      <c r="U10" s="219"/>
      <c r="V10" s="219"/>
      <c r="W10" s="219"/>
      <c r="X10" s="219"/>
      <c r="Y10" s="219"/>
      <c r="Z10" s="219"/>
    </row>
    <row r="11" spans="1:26" x14ac:dyDescent="0.25">
      <c r="A11" s="219"/>
      <c r="B11" s="219"/>
      <c r="C11" s="219"/>
      <c r="D11" s="219"/>
      <c r="E11" s="219"/>
      <c r="F11" s="219"/>
      <c r="G11" s="219"/>
      <c r="H11" s="219"/>
      <c r="I11" s="219"/>
      <c r="J11" s="219"/>
      <c r="K11" s="219"/>
      <c r="L11" s="219"/>
      <c r="M11" s="219"/>
      <c r="N11" s="219"/>
      <c r="O11" s="219"/>
      <c r="P11" s="219"/>
      <c r="Q11" s="219"/>
      <c r="R11" s="219"/>
      <c r="S11" s="219"/>
      <c r="T11" s="219"/>
      <c r="U11" s="219"/>
      <c r="V11" s="219"/>
      <c r="W11" s="219"/>
      <c r="X11" s="219"/>
      <c r="Y11" s="219"/>
      <c r="Z11" s="219"/>
    </row>
    <row r="12" spans="1:26" x14ac:dyDescent="0.25">
      <c r="A12" s="219"/>
      <c r="B12" s="219"/>
      <c r="C12" s="219"/>
      <c r="D12" s="219"/>
      <c r="E12" s="219"/>
      <c r="F12" s="219"/>
      <c r="G12" s="219"/>
      <c r="H12" s="219"/>
      <c r="I12" s="219"/>
      <c r="J12" s="219"/>
      <c r="K12" s="219"/>
      <c r="L12" s="219"/>
      <c r="M12" s="219"/>
      <c r="N12" s="219"/>
      <c r="O12" s="219"/>
      <c r="P12" s="219"/>
      <c r="Q12" s="219"/>
      <c r="R12" s="219"/>
      <c r="S12" s="219"/>
      <c r="T12" s="219"/>
      <c r="U12" s="219"/>
      <c r="V12" s="219"/>
      <c r="W12" s="219"/>
      <c r="X12" s="219"/>
      <c r="Y12" s="219"/>
      <c r="Z12" s="219"/>
    </row>
    <row r="13" spans="1:26" x14ac:dyDescent="0.25">
      <c r="A13" s="219"/>
      <c r="B13" s="219"/>
      <c r="C13" s="219"/>
      <c r="D13" s="219"/>
      <c r="E13" s="219"/>
      <c r="F13" s="219"/>
      <c r="G13" s="219"/>
      <c r="H13" s="219"/>
      <c r="I13" s="219"/>
      <c r="J13" s="219"/>
      <c r="K13" s="219"/>
      <c r="L13" s="219"/>
      <c r="M13" s="219"/>
      <c r="N13" s="219"/>
      <c r="O13" s="219"/>
      <c r="P13" s="219"/>
      <c r="Q13" s="219"/>
      <c r="R13" s="219"/>
      <c r="S13" s="219"/>
      <c r="T13" s="219"/>
      <c r="U13" s="219"/>
      <c r="V13" s="219"/>
      <c r="W13" s="219"/>
      <c r="X13" s="219"/>
      <c r="Y13" s="219"/>
      <c r="Z13" s="219"/>
    </row>
    <row r="14" spans="1:26" x14ac:dyDescent="0.25">
      <c r="A14" s="219"/>
      <c r="B14" s="219"/>
      <c r="C14" s="219"/>
      <c r="D14" s="219"/>
      <c r="E14" s="219"/>
      <c r="F14" s="219"/>
      <c r="G14" s="219"/>
      <c r="H14" s="219"/>
      <c r="I14" s="219"/>
      <c r="J14" s="219"/>
      <c r="K14" s="219"/>
      <c r="L14" s="219"/>
      <c r="M14" s="219"/>
      <c r="N14" s="219"/>
      <c r="O14" s="219"/>
      <c r="P14" s="219"/>
      <c r="Q14" s="219"/>
      <c r="R14" s="219"/>
      <c r="S14" s="219"/>
      <c r="T14" s="219"/>
      <c r="U14" s="219"/>
      <c r="V14" s="219"/>
      <c r="W14" s="219"/>
      <c r="X14" s="219"/>
      <c r="Y14" s="219"/>
      <c r="Z14" s="219"/>
    </row>
    <row r="15" spans="1:26" x14ac:dyDescent="0.25">
      <c r="A15" s="219"/>
      <c r="B15" s="219"/>
      <c r="C15" s="219"/>
      <c r="D15" s="219"/>
      <c r="E15" s="219"/>
      <c r="F15" s="219"/>
      <c r="G15" s="219"/>
      <c r="H15" s="219"/>
      <c r="I15" s="219"/>
      <c r="J15" s="219"/>
      <c r="K15" s="219"/>
      <c r="L15" s="219"/>
      <c r="M15" s="219"/>
      <c r="N15" s="219"/>
      <c r="O15" s="219"/>
      <c r="P15" s="219"/>
      <c r="Q15" s="219"/>
      <c r="R15" s="219"/>
      <c r="S15" s="219"/>
      <c r="T15" s="219"/>
      <c r="U15" s="219"/>
      <c r="V15" s="219"/>
      <c r="W15" s="219"/>
      <c r="X15" s="219"/>
      <c r="Y15" s="219"/>
      <c r="Z15" s="219"/>
    </row>
    <row r="16" spans="1:26" x14ac:dyDescent="0.25">
      <c r="A16" s="219"/>
      <c r="B16" s="219"/>
      <c r="C16" s="219"/>
      <c r="D16" s="219"/>
      <c r="E16" s="219"/>
      <c r="F16" s="219"/>
      <c r="G16" s="219"/>
      <c r="H16" s="219"/>
      <c r="I16" s="219"/>
      <c r="J16" s="219"/>
      <c r="K16" s="219"/>
      <c r="L16" s="219"/>
      <c r="M16" s="219"/>
      <c r="N16" s="219"/>
      <c r="O16" s="219"/>
      <c r="P16" s="219"/>
      <c r="Q16" s="219"/>
      <c r="R16" s="219"/>
      <c r="S16" s="219"/>
      <c r="T16" s="219"/>
      <c r="U16" s="219"/>
      <c r="V16" s="219"/>
      <c r="W16" s="219"/>
      <c r="X16" s="219"/>
      <c r="Y16" s="219"/>
      <c r="Z16" s="219"/>
    </row>
    <row r="17" spans="1:26" x14ac:dyDescent="0.25">
      <c r="A17" s="219"/>
      <c r="B17" s="219"/>
      <c r="C17" s="219"/>
      <c r="D17" s="219"/>
      <c r="E17" s="219"/>
      <c r="F17" s="219"/>
      <c r="G17" s="219"/>
      <c r="H17" s="219"/>
      <c r="I17" s="219"/>
      <c r="J17" s="219"/>
      <c r="K17" s="219"/>
      <c r="L17" s="219"/>
      <c r="M17" s="219"/>
      <c r="N17" s="219"/>
      <c r="O17" s="219"/>
      <c r="P17" s="219"/>
      <c r="Q17" s="219"/>
      <c r="R17" s="219"/>
      <c r="S17" s="219"/>
      <c r="T17" s="219"/>
      <c r="U17" s="219"/>
      <c r="V17" s="219"/>
      <c r="W17" s="219"/>
      <c r="X17" s="219"/>
      <c r="Y17" s="219"/>
      <c r="Z17" s="219"/>
    </row>
    <row r="18" spans="1:26" x14ac:dyDescent="0.25">
      <c r="A18" s="219"/>
      <c r="B18" s="219"/>
      <c r="C18" s="219"/>
      <c r="D18" s="219"/>
      <c r="E18" s="219"/>
      <c r="F18" s="219"/>
      <c r="G18" s="219"/>
      <c r="H18" s="219"/>
      <c r="I18" s="219"/>
      <c r="J18" s="219"/>
      <c r="K18" s="219"/>
      <c r="L18" s="219"/>
      <c r="M18" s="219"/>
      <c r="N18" s="219"/>
      <c r="O18" s="219"/>
      <c r="P18" s="219"/>
      <c r="Q18" s="219"/>
      <c r="R18" s="219"/>
      <c r="S18" s="219"/>
      <c r="T18" s="219"/>
      <c r="U18" s="219"/>
      <c r="V18" s="219"/>
      <c r="W18" s="219"/>
      <c r="X18" s="219"/>
      <c r="Y18" s="219"/>
      <c r="Z18" s="219"/>
    </row>
    <row r="19" spans="1:26" x14ac:dyDescent="0.25">
      <c r="A19" s="219"/>
      <c r="B19" s="219"/>
      <c r="C19" s="219"/>
      <c r="D19" s="219"/>
      <c r="E19" s="219"/>
      <c r="F19" s="219"/>
      <c r="G19" s="219"/>
      <c r="H19" s="219"/>
      <c r="I19" s="219"/>
      <c r="J19" s="219"/>
      <c r="K19" s="219"/>
      <c r="L19" s="219"/>
      <c r="M19" s="219"/>
      <c r="N19" s="219"/>
      <c r="O19" s="219"/>
      <c r="P19" s="219"/>
      <c r="Q19" s="219"/>
      <c r="R19" s="219"/>
      <c r="S19" s="219"/>
      <c r="T19" s="219"/>
      <c r="U19" s="219"/>
      <c r="V19" s="219"/>
      <c r="W19" s="219"/>
      <c r="X19" s="219"/>
      <c r="Y19" s="219"/>
      <c r="Z19" s="219"/>
    </row>
    <row r="20" spans="1:26" x14ac:dyDescent="0.25">
      <c r="A20" s="219"/>
      <c r="B20" s="219"/>
      <c r="C20" s="219"/>
      <c r="D20" s="219"/>
      <c r="E20" s="219"/>
      <c r="F20" s="219"/>
      <c r="G20" s="219"/>
      <c r="H20" s="219"/>
      <c r="I20" s="219"/>
      <c r="J20" s="219"/>
      <c r="K20" s="219"/>
      <c r="L20" s="219"/>
      <c r="M20" s="219"/>
      <c r="N20" s="219"/>
      <c r="O20" s="219"/>
      <c r="P20" s="219"/>
      <c r="Q20" s="219"/>
      <c r="R20" s="219"/>
      <c r="S20" s="219"/>
      <c r="T20" s="219"/>
      <c r="U20" s="219"/>
      <c r="V20" s="219"/>
      <c r="W20" s="219"/>
      <c r="X20" s="219"/>
      <c r="Y20" s="219"/>
      <c r="Z20" s="219"/>
    </row>
    <row r="21" spans="1:26" x14ac:dyDescent="0.25">
      <c r="A21" s="219"/>
      <c r="B21" s="219"/>
      <c r="C21" s="219"/>
      <c r="D21" s="219"/>
      <c r="E21" s="219"/>
      <c r="F21" s="219"/>
      <c r="G21" s="219"/>
      <c r="H21" s="219"/>
      <c r="I21" s="219"/>
      <c r="J21" s="219"/>
      <c r="K21" s="219"/>
      <c r="L21" s="219"/>
      <c r="M21" s="219"/>
      <c r="N21" s="219"/>
      <c r="O21" s="219"/>
      <c r="P21" s="219"/>
      <c r="Q21" s="219"/>
      <c r="R21" s="219"/>
      <c r="S21" s="219"/>
      <c r="T21" s="219"/>
      <c r="U21" s="219"/>
      <c r="V21" s="219"/>
      <c r="W21" s="219"/>
      <c r="X21" s="219"/>
      <c r="Y21" s="219"/>
      <c r="Z21" s="219"/>
    </row>
    <row r="22" spans="1:26" x14ac:dyDescent="0.25">
      <c r="A22" s="219"/>
      <c r="B22" s="219"/>
      <c r="C22" s="219"/>
      <c r="D22" s="219"/>
      <c r="E22" s="219"/>
      <c r="F22" s="219"/>
      <c r="G22" s="219"/>
      <c r="H22" s="219"/>
      <c r="I22" s="219"/>
      <c r="J22" s="219"/>
      <c r="K22" s="219"/>
      <c r="L22" s="219"/>
      <c r="M22" s="219"/>
      <c r="N22" s="219"/>
      <c r="O22" s="219"/>
      <c r="P22" s="219"/>
      <c r="Q22" s="219"/>
      <c r="R22" s="219"/>
      <c r="S22" s="219"/>
      <c r="T22" s="219"/>
      <c r="U22" s="219"/>
      <c r="V22" s="219"/>
      <c r="W22" s="219"/>
      <c r="X22" s="219"/>
      <c r="Y22" s="219"/>
      <c r="Z22" s="219"/>
    </row>
    <row r="23" spans="1:26" x14ac:dyDescent="0.25">
      <c r="A23" s="219"/>
      <c r="B23" s="219"/>
      <c r="C23" s="219"/>
      <c r="D23" s="219"/>
      <c r="E23" s="219"/>
      <c r="F23" s="219"/>
      <c r="G23" s="219"/>
      <c r="H23" s="219"/>
      <c r="I23" s="219"/>
      <c r="J23" s="219"/>
      <c r="K23" s="219"/>
      <c r="L23" s="219"/>
      <c r="M23" s="219"/>
      <c r="N23" s="219"/>
      <c r="O23" s="219"/>
      <c r="P23" s="219"/>
      <c r="Q23" s="219"/>
      <c r="R23" s="219"/>
      <c r="S23" s="219"/>
      <c r="T23" s="219"/>
      <c r="U23" s="219"/>
      <c r="V23" s="219"/>
      <c r="W23" s="219"/>
      <c r="X23" s="219"/>
      <c r="Y23" s="219"/>
      <c r="Z23" s="219"/>
    </row>
    <row r="24" spans="1:26" x14ac:dyDescent="0.25">
      <c r="A24" s="219"/>
      <c r="B24" s="219"/>
      <c r="C24" s="219"/>
      <c r="D24" s="219"/>
      <c r="E24" s="219"/>
      <c r="F24" s="219"/>
      <c r="G24" s="219"/>
      <c r="H24" s="219"/>
      <c r="I24" s="219"/>
      <c r="J24" s="219"/>
      <c r="K24" s="219"/>
      <c r="L24" s="219"/>
      <c r="M24" s="219"/>
      <c r="N24" s="219"/>
      <c r="O24" s="219"/>
      <c r="P24" s="219"/>
      <c r="Q24" s="219"/>
      <c r="R24" s="219"/>
      <c r="S24" s="219"/>
      <c r="T24" s="219"/>
      <c r="U24" s="219"/>
      <c r="V24" s="219"/>
      <c r="W24" s="219"/>
      <c r="X24" s="219"/>
      <c r="Y24" s="219"/>
      <c r="Z24" s="219"/>
    </row>
    <row r="25" spans="1:26" x14ac:dyDescent="0.25">
      <c r="A25" s="219"/>
      <c r="B25" s="219"/>
      <c r="C25" s="219"/>
      <c r="D25" s="219"/>
      <c r="E25" s="219"/>
      <c r="F25" s="219"/>
      <c r="G25" s="219"/>
      <c r="H25" s="219"/>
      <c r="I25" s="219"/>
      <c r="J25" s="219"/>
      <c r="K25" s="219"/>
      <c r="L25" s="219"/>
      <c r="M25" s="219"/>
      <c r="N25" s="219"/>
      <c r="O25" s="219"/>
      <c r="P25" s="219"/>
      <c r="Q25" s="219"/>
      <c r="R25" s="219"/>
      <c r="S25" s="219"/>
      <c r="T25" s="219"/>
      <c r="U25" s="219"/>
      <c r="V25" s="219"/>
      <c r="W25" s="219"/>
      <c r="X25" s="219"/>
      <c r="Y25" s="219"/>
      <c r="Z25" s="219"/>
    </row>
    <row r="26" spans="1:26" x14ac:dyDescent="0.25">
      <c r="A26" s="219"/>
      <c r="B26" s="219"/>
      <c r="C26" s="219"/>
      <c r="D26" s="219"/>
      <c r="E26" s="219"/>
      <c r="F26" s="219"/>
      <c r="G26" s="219"/>
      <c r="H26" s="219"/>
      <c r="I26" s="219"/>
      <c r="J26" s="219"/>
      <c r="K26" s="219"/>
      <c r="L26" s="219"/>
      <c r="M26" s="219"/>
      <c r="N26" s="219"/>
      <c r="O26" s="219"/>
      <c r="P26" s="219"/>
      <c r="Q26" s="219"/>
      <c r="R26" s="219"/>
      <c r="S26" s="219"/>
      <c r="T26" s="219"/>
      <c r="U26" s="219"/>
      <c r="V26" s="219"/>
      <c r="W26" s="219"/>
      <c r="X26" s="219"/>
      <c r="Y26" s="219"/>
      <c r="Z26" s="219"/>
    </row>
    <row r="27" spans="1:26" x14ac:dyDescent="0.25">
      <c r="A27" s="219"/>
      <c r="B27" s="219"/>
      <c r="C27" s="219"/>
      <c r="D27" s="219"/>
      <c r="E27" s="219"/>
      <c r="F27" s="219"/>
      <c r="G27" s="219"/>
      <c r="H27" s="219"/>
      <c r="I27" s="219"/>
      <c r="J27" s="219"/>
      <c r="K27" s="219"/>
      <c r="L27" s="219"/>
      <c r="M27" s="219"/>
      <c r="N27" s="219"/>
      <c r="O27" s="219"/>
      <c r="P27" s="219"/>
      <c r="Q27" s="219"/>
      <c r="R27" s="219"/>
      <c r="S27" s="219"/>
      <c r="T27" s="219"/>
      <c r="U27" s="219"/>
      <c r="V27" s="219"/>
      <c r="W27" s="219"/>
      <c r="X27" s="219"/>
      <c r="Y27" s="219"/>
      <c r="Z27" s="219"/>
    </row>
    <row r="28" spans="1:26" x14ac:dyDescent="0.25">
      <c r="A28" s="219"/>
      <c r="B28" s="219"/>
      <c r="C28" s="219"/>
      <c r="D28" s="219"/>
      <c r="E28" s="219"/>
      <c r="F28" s="219"/>
      <c r="G28" s="219"/>
      <c r="H28" s="219"/>
      <c r="I28" s="219"/>
      <c r="J28" s="219"/>
      <c r="K28" s="219"/>
      <c r="L28" s="219"/>
      <c r="M28" s="219"/>
      <c r="N28" s="219"/>
      <c r="O28" s="219"/>
      <c r="P28" s="219"/>
      <c r="Q28" s="219"/>
      <c r="R28" s="219"/>
      <c r="S28" s="219"/>
      <c r="T28" s="219"/>
      <c r="U28" s="219"/>
      <c r="V28" s="219"/>
      <c r="W28" s="219"/>
      <c r="X28" s="219"/>
      <c r="Y28" s="219"/>
      <c r="Z28" s="219"/>
    </row>
    <row r="29" spans="1:26" x14ac:dyDescent="0.25">
      <c r="A29" s="219"/>
      <c r="B29" s="219"/>
      <c r="C29" s="219"/>
      <c r="D29" s="219"/>
      <c r="E29" s="219"/>
      <c r="F29" s="219"/>
      <c r="G29" s="219"/>
      <c r="H29" s="219"/>
      <c r="I29" s="219"/>
      <c r="J29" s="219"/>
      <c r="K29" s="219"/>
      <c r="L29" s="219"/>
      <c r="M29" s="219"/>
      <c r="N29" s="219"/>
      <c r="O29" s="219"/>
      <c r="P29" s="219"/>
      <c r="Q29" s="219"/>
      <c r="R29" s="219"/>
      <c r="S29" s="219"/>
      <c r="T29" s="219"/>
      <c r="U29" s="219"/>
      <c r="V29" s="219"/>
      <c r="W29" s="219"/>
      <c r="X29" s="219"/>
      <c r="Y29" s="219"/>
      <c r="Z29" s="219"/>
    </row>
    <row r="30" spans="1:26" x14ac:dyDescent="0.25">
      <c r="A30" s="219"/>
      <c r="B30" s="219"/>
      <c r="C30" s="219"/>
      <c r="D30" s="219"/>
      <c r="E30" s="219"/>
      <c r="F30" s="219"/>
      <c r="G30" s="219"/>
      <c r="H30" s="219"/>
      <c r="I30" s="219"/>
      <c r="J30" s="219"/>
      <c r="K30" s="219"/>
      <c r="L30" s="219"/>
      <c r="M30" s="219"/>
      <c r="N30" s="219"/>
      <c r="O30" s="219"/>
      <c r="P30" s="219"/>
      <c r="Q30" s="219"/>
      <c r="R30" s="219"/>
      <c r="S30" s="219"/>
      <c r="T30" s="219"/>
      <c r="U30" s="219"/>
      <c r="V30" s="219"/>
      <c r="W30" s="219"/>
      <c r="X30" s="219"/>
      <c r="Y30" s="219"/>
      <c r="Z30" s="219"/>
    </row>
    <row r="31" spans="1:26" x14ac:dyDescent="0.25">
      <c r="A31" s="219"/>
      <c r="B31" s="219"/>
      <c r="C31" s="219"/>
      <c r="D31" s="219"/>
      <c r="E31" s="219"/>
      <c r="F31" s="219"/>
      <c r="G31" s="219"/>
      <c r="H31" s="219"/>
      <c r="I31" s="219"/>
      <c r="J31" s="219"/>
      <c r="K31" s="219"/>
      <c r="L31" s="219"/>
      <c r="M31" s="219"/>
      <c r="N31" s="219"/>
      <c r="O31" s="219"/>
      <c r="P31" s="219"/>
      <c r="Q31" s="219"/>
      <c r="R31" s="219"/>
      <c r="S31" s="219"/>
      <c r="T31" s="219"/>
      <c r="U31" s="219"/>
      <c r="V31" s="219"/>
      <c r="W31" s="219"/>
      <c r="X31" s="219"/>
      <c r="Y31" s="219"/>
      <c r="Z31" s="219"/>
    </row>
    <row r="32" spans="1:26" x14ac:dyDescent="0.25">
      <c r="A32" s="219"/>
      <c r="B32" s="219"/>
      <c r="C32" s="219"/>
      <c r="D32" s="219"/>
      <c r="E32" s="219"/>
      <c r="F32" s="219"/>
      <c r="G32" s="219"/>
      <c r="H32" s="219"/>
      <c r="I32" s="219"/>
      <c r="J32" s="219"/>
      <c r="K32" s="219"/>
      <c r="L32" s="219"/>
      <c r="M32" s="219"/>
      <c r="N32" s="219"/>
      <c r="O32" s="219"/>
      <c r="P32" s="219"/>
      <c r="Q32" s="219"/>
      <c r="R32" s="219"/>
      <c r="S32" s="219"/>
      <c r="T32" s="219"/>
      <c r="U32" s="219"/>
      <c r="V32" s="219"/>
      <c r="W32" s="219"/>
      <c r="X32" s="219"/>
      <c r="Y32" s="219"/>
      <c r="Z32" s="219"/>
    </row>
    <row r="33" spans="1:26" x14ac:dyDescent="0.25">
      <c r="A33" s="219"/>
      <c r="B33" s="219"/>
      <c r="C33" s="219"/>
      <c r="D33" s="219"/>
      <c r="E33" s="219"/>
      <c r="F33" s="219"/>
      <c r="G33" s="219"/>
      <c r="H33" s="219"/>
      <c r="I33" s="219"/>
      <c r="J33" s="219"/>
      <c r="K33" s="219"/>
      <c r="L33" s="219"/>
      <c r="M33" s="219"/>
      <c r="N33" s="219"/>
      <c r="O33" s="219"/>
      <c r="P33" s="219"/>
      <c r="Q33" s="219"/>
      <c r="R33" s="219"/>
      <c r="S33" s="219"/>
      <c r="T33" s="219"/>
      <c r="U33" s="219"/>
      <c r="V33" s="219"/>
      <c r="W33" s="219"/>
      <c r="X33" s="219"/>
      <c r="Y33" s="219"/>
      <c r="Z33" s="219"/>
    </row>
    <row r="34" spans="1:26" x14ac:dyDescent="0.25">
      <c r="A34" s="219"/>
      <c r="B34" s="219"/>
      <c r="C34" s="219"/>
      <c r="D34" s="219"/>
      <c r="E34" s="219"/>
      <c r="F34" s="219"/>
      <c r="G34" s="219"/>
      <c r="H34" s="219"/>
      <c r="I34" s="219"/>
      <c r="J34" s="219"/>
      <c r="K34" s="219"/>
      <c r="L34" s="219"/>
      <c r="M34" s="219"/>
      <c r="N34" s="219"/>
      <c r="O34" s="219"/>
      <c r="P34" s="219"/>
      <c r="Q34" s="219"/>
      <c r="R34" s="219"/>
      <c r="S34" s="219"/>
      <c r="T34" s="219"/>
      <c r="U34" s="219"/>
      <c r="V34" s="219"/>
      <c r="W34" s="219"/>
      <c r="X34" s="219"/>
      <c r="Y34" s="219"/>
      <c r="Z34" s="219"/>
    </row>
    <row r="35" spans="1:26" x14ac:dyDescent="0.25">
      <c r="A35" s="219"/>
      <c r="B35" s="219"/>
      <c r="C35" s="219"/>
      <c r="D35" s="219"/>
      <c r="E35" s="219"/>
      <c r="F35" s="219"/>
      <c r="G35" s="219"/>
      <c r="H35" s="219"/>
      <c r="I35" s="219"/>
      <c r="J35" s="219"/>
      <c r="K35" s="219"/>
      <c r="L35" s="219"/>
      <c r="M35" s="219"/>
      <c r="N35" s="219"/>
      <c r="O35" s="219"/>
      <c r="P35" s="219"/>
      <c r="Q35" s="219"/>
      <c r="R35" s="219"/>
      <c r="S35" s="219"/>
      <c r="T35" s="219"/>
      <c r="U35" s="219"/>
      <c r="V35" s="219"/>
      <c r="W35" s="219"/>
      <c r="X35" s="219"/>
      <c r="Y35" s="219"/>
      <c r="Z35" s="219"/>
    </row>
    <row r="36" spans="1:26" x14ac:dyDescent="0.25">
      <c r="A36" s="219"/>
      <c r="B36" s="219"/>
      <c r="C36" s="219"/>
      <c r="D36" s="219"/>
      <c r="E36" s="219"/>
      <c r="F36" s="219"/>
      <c r="G36" s="219"/>
      <c r="H36" s="219"/>
      <c r="I36" s="219"/>
      <c r="J36" s="219"/>
      <c r="K36" s="219"/>
      <c r="L36" s="219"/>
      <c r="M36" s="219"/>
      <c r="N36" s="219"/>
      <c r="O36" s="219"/>
      <c r="P36" s="219"/>
      <c r="Q36" s="219"/>
      <c r="R36" s="219"/>
      <c r="S36" s="219"/>
      <c r="T36" s="219"/>
      <c r="U36" s="219"/>
      <c r="V36" s="219"/>
      <c r="W36" s="219"/>
      <c r="X36" s="219"/>
      <c r="Y36" s="219"/>
      <c r="Z36" s="219"/>
    </row>
    <row r="37" spans="1:26" x14ac:dyDescent="0.25">
      <c r="A37" s="219"/>
      <c r="B37" s="219"/>
      <c r="C37" s="219"/>
      <c r="D37" s="219"/>
      <c r="E37" s="219"/>
      <c r="F37" s="219"/>
      <c r="G37" s="219"/>
      <c r="H37" s="219"/>
      <c r="I37" s="219"/>
      <c r="J37" s="219"/>
      <c r="K37" s="219"/>
      <c r="L37" s="219"/>
      <c r="M37" s="219"/>
      <c r="N37" s="219"/>
      <c r="O37" s="219"/>
      <c r="P37" s="219"/>
      <c r="Q37" s="219"/>
      <c r="R37" s="219"/>
      <c r="S37" s="219"/>
      <c r="T37" s="219"/>
      <c r="U37" s="219"/>
      <c r="V37" s="219"/>
      <c r="W37" s="219"/>
      <c r="X37" s="219"/>
      <c r="Y37" s="219"/>
      <c r="Z37" s="219"/>
    </row>
    <row r="38" spans="1:26" x14ac:dyDescent="0.25">
      <c r="A38" s="219"/>
      <c r="B38" s="219"/>
      <c r="C38" s="219"/>
      <c r="D38" s="219"/>
      <c r="E38" s="219"/>
      <c r="F38" s="219"/>
      <c r="G38" s="219"/>
      <c r="H38" s="219"/>
      <c r="I38" s="219"/>
      <c r="J38" s="219"/>
      <c r="K38" s="219"/>
      <c r="L38" s="219"/>
      <c r="M38" s="219"/>
      <c r="N38" s="219"/>
      <c r="O38" s="219"/>
      <c r="P38" s="219"/>
      <c r="Q38" s="219"/>
      <c r="R38" s="219"/>
      <c r="S38" s="219"/>
      <c r="T38" s="219"/>
      <c r="U38" s="219"/>
      <c r="V38" s="219"/>
      <c r="W38" s="219"/>
      <c r="X38" s="219"/>
      <c r="Y38" s="219"/>
      <c r="Z38" s="219"/>
    </row>
    <row r="39" spans="1:26" x14ac:dyDescent="0.25">
      <c r="A39" s="219"/>
      <c r="B39" s="219"/>
      <c r="C39" s="219"/>
      <c r="D39" s="219"/>
      <c r="E39" s="219"/>
      <c r="F39" s="219"/>
      <c r="G39" s="219"/>
      <c r="H39" s="219"/>
      <c r="I39" s="219"/>
      <c r="J39" s="219"/>
      <c r="K39" s="219"/>
      <c r="L39" s="219"/>
      <c r="M39" s="219"/>
      <c r="N39" s="219"/>
      <c r="O39" s="219"/>
      <c r="P39" s="219"/>
      <c r="Q39" s="219"/>
      <c r="R39" s="219"/>
      <c r="S39" s="219"/>
      <c r="T39" s="219"/>
      <c r="U39" s="219"/>
      <c r="V39" s="219"/>
      <c r="W39" s="219"/>
      <c r="X39" s="219"/>
      <c r="Y39" s="219"/>
      <c r="Z39" s="219"/>
    </row>
    <row r="40" spans="1:26" x14ac:dyDescent="0.25">
      <c r="A40" s="219"/>
      <c r="B40" s="219"/>
      <c r="C40" s="219"/>
      <c r="D40" s="219"/>
      <c r="E40" s="219"/>
      <c r="F40" s="219"/>
      <c r="G40" s="219"/>
      <c r="H40" s="219"/>
      <c r="I40" s="219"/>
      <c r="J40" s="219"/>
      <c r="K40" s="219"/>
      <c r="L40" s="219"/>
      <c r="M40" s="219"/>
      <c r="N40" s="219"/>
      <c r="O40" s="219"/>
      <c r="P40" s="219"/>
      <c r="Q40" s="219"/>
      <c r="R40" s="219"/>
      <c r="S40" s="219"/>
      <c r="T40" s="219"/>
      <c r="U40" s="219"/>
      <c r="V40" s="219"/>
      <c r="W40" s="219"/>
      <c r="X40" s="219"/>
      <c r="Y40" s="219"/>
      <c r="Z40" s="219"/>
    </row>
    <row r="41" spans="1:26" x14ac:dyDescent="0.25">
      <c r="A41" s="219"/>
      <c r="B41" s="219"/>
      <c r="C41" s="219"/>
      <c r="D41" s="219"/>
      <c r="E41" s="219"/>
      <c r="F41" s="219"/>
      <c r="G41" s="219"/>
      <c r="H41" s="219"/>
      <c r="I41" s="219"/>
      <c r="J41" s="219"/>
      <c r="K41" s="219"/>
      <c r="L41" s="219"/>
      <c r="M41" s="219"/>
      <c r="N41" s="219"/>
      <c r="O41" s="219"/>
      <c r="P41" s="219"/>
      <c r="Q41" s="219"/>
      <c r="R41" s="219"/>
      <c r="S41" s="219"/>
      <c r="T41" s="219"/>
      <c r="U41" s="219"/>
      <c r="V41" s="219"/>
      <c r="W41" s="219"/>
      <c r="X41" s="219"/>
      <c r="Y41" s="219"/>
      <c r="Z41" s="219"/>
    </row>
    <row r="42" spans="1:26" x14ac:dyDescent="0.25">
      <c r="A42" s="219"/>
      <c r="B42" s="219"/>
      <c r="C42" s="219"/>
      <c r="D42" s="219"/>
      <c r="E42" s="219"/>
      <c r="F42" s="219"/>
      <c r="G42" s="219"/>
      <c r="H42" s="219"/>
      <c r="I42" s="219"/>
      <c r="J42" s="219"/>
      <c r="K42" s="219"/>
      <c r="L42" s="219"/>
      <c r="M42" s="219"/>
      <c r="N42" s="219"/>
      <c r="O42" s="219"/>
      <c r="P42" s="219"/>
      <c r="Q42" s="219"/>
      <c r="R42" s="219"/>
      <c r="S42" s="219"/>
      <c r="T42" s="219"/>
      <c r="U42" s="219"/>
      <c r="V42" s="219"/>
      <c r="W42" s="219"/>
      <c r="X42" s="219"/>
      <c r="Y42" s="219"/>
      <c r="Z42" s="219"/>
    </row>
    <row r="43" spans="1:26" x14ac:dyDescent="0.25">
      <c r="A43" s="219"/>
      <c r="B43" s="219"/>
      <c r="C43" s="219"/>
      <c r="D43" s="219"/>
      <c r="E43" s="219"/>
      <c r="F43" s="219"/>
      <c r="G43" s="219"/>
      <c r="H43" s="219"/>
      <c r="I43" s="219"/>
      <c r="J43" s="219"/>
      <c r="K43" s="219"/>
      <c r="L43" s="219"/>
      <c r="M43" s="219"/>
      <c r="N43" s="219"/>
      <c r="O43" s="219"/>
      <c r="P43" s="219"/>
      <c r="Q43" s="219"/>
      <c r="R43" s="219"/>
      <c r="S43" s="219"/>
      <c r="T43" s="219"/>
      <c r="U43" s="219"/>
      <c r="V43" s="219"/>
      <c r="W43" s="219"/>
      <c r="X43" s="219"/>
      <c r="Y43" s="219"/>
      <c r="Z43" s="219"/>
    </row>
    <row r="44" spans="1:26" x14ac:dyDescent="0.25">
      <c r="A44" s="219"/>
      <c r="B44" s="219"/>
      <c r="C44" s="219"/>
      <c r="D44" s="219"/>
      <c r="E44" s="219"/>
      <c r="F44" s="219"/>
      <c r="G44" s="219"/>
      <c r="H44" s="219"/>
      <c r="I44" s="219"/>
      <c r="J44" s="219"/>
      <c r="K44" s="219"/>
      <c r="L44" s="219"/>
      <c r="M44" s="219"/>
      <c r="N44" s="219"/>
      <c r="O44" s="219"/>
      <c r="P44" s="219"/>
      <c r="Q44" s="219"/>
      <c r="R44" s="219"/>
      <c r="S44" s="219"/>
      <c r="T44" s="219"/>
      <c r="U44" s="219"/>
      <c r="V44" s="219"/>
      <c r="W44" s="219"/>
      <c r="X44" s="219"/>
      <c r="Y44" s="219"/>
      <c r="Z44" s="219"/>
    </row>
    <row r="45" spans="1:26" x14ac:dyDescent="0.25">
      <c r="A45" s="219"/>
      <c r="B45" s="219"/>
      <c r="C45" s="219"/>
      <c r="D45" s="219"/>
      <c r="E45" s="219"/>
      <c r="F45" s="219"/>
      <c r="G45" s="219"/>
      <c r="H45" s="219"/>
      <c r="I45" s="219"/>
      <c r="J45" s="219"/>
      <c r="K45" s="219"/>
      <c r="L45" s="219"/>
      <c r="M45" s="219"/>
      <c r="N45" s="219"/>
      <c r="O45" s="219"/>
      <c r="P45" s="219"/>
      <c r="Q45" s="219"/>
      <c r="R45" s="219"/>
      <c r="S45" s="219"/>
      <c r="T45" s="219"/>
      <c r="U45" s="219"/>
      <c r="V45" s="219"/>
      <c r="W45" s="219"/>
      <c r="X45" s="219"/>
      <c r="Y45" s="219"/>
      <c r="Z45" s="219"/>
    </row>
    <row r="46" spans="1:26" x14ac:dyDescent="0.25">
      <c r="A46" s="219"/>
      <c r="B46" s="219"/>
      <c r="C46" s="219"/>
      <c r="D46" s="219"/>
      <c r="E46" s="219"/>
      <c r="F46" s="219"/>
      <c r="G46" s="219"/>
      <c r="H46" s="219"/>
      <c r="I46" s="219"/>
      <c r="J46" s="219"/>
      <c r="K46" s="219"/>
      <c r="L46" s="219"/>
      <c r="M46" s="219"/>
      <c r="N46" s="219"/>
      <c r="O46" s="219"/>
      <c r="P46" s="219"/>
      <c r="Q46" s="219"/>
      <c r="R46" s="219"/>
      <c r="S46" s="219"/>
      <c r="T46" s="219"/>
      <c r="U46" s="219"/>
      <c r="V46" s="219"/>
      <c r="W46" s="219"/>
      <c r="X46" s="219"/>
      <c r="Y46" s="219"/>
      <c r="Z46" s="219"/>
    </row>
    <row r="47" spans="1:26" x14ac:dyDescent="0.25">
      <c r="A47" s="219"/>
      <c r="B47" s="219"/>
      <c r="C47" s="219"/>
      <c r="D47" s="219"/>
      <c r="E47" s="219"/>
      <c r="F47" s="219"/>
      <c r="G47" s="219"/>
      <c r="H47" s="219"/>
      <c r="I47" s="219"/>
      <c r="J47" s="219"/>
      <c r="K47" s="219"/>
      <c r="L47" s="219"/>
      <c r="M47" s="219"/>
      <c r="N47" s="219"/>
      <c r="O47" s="219"/>
      <c r="P47" s="219"/>
      <c r="Q47" s="219"/>
      <c r="R47" s="219"/>
      <c r="S47" s="219"/>
      <c r="T47" s="219"/>
      <c r="U47" s="219"/>
      <c r="V47" s="219"/>
      <c r="W47" s="219"/>
      <c r="X47" s="219"/>
      <c r="Y47" s="219"/>
      <c r="Z47" s="219"/>
    </row>
    <row r="48" spans="1:26" x14ac:dyDescent="0.25">
      <c r="A48" s="219"/>
      <c r="B48" s="219"/>
      <c r="C48" s="219"/>
      <c r="D48" s="219"/>
      <c r="E48" s="219"/>
      <c r="F48" s="219"/>
      <c r="G48" s="219"/>
      <c r="H48" s="219"/>
      <c r="I48" s="219"/>
      <c r="J48" s="219"/>
      <c r="K48" s="219"/>
      <c r="L48" s="219"/>
      <c r="M48" s="219"/>
      <c r="N48" s="219"/>
      <c r="O48" s="219"/>
      <c r="P48" s="219"/>
      <c r="Q48" s="219"/>
      <c r="R48" s="219"/>
      <c r="S48" s="219"/>
      <c r="T48" s="219"/>
      <c r="U48" s="219"/>
      <c r="V48" s="219"/>
      <c r="W48" s="219"/>
      <c r="X48" s="219"/>
      <c r="Y48" s="219"/>
      <c r="Z48" s="219"/>
    </row>
    <row r="49" spans="1:26" x14ac:dyDescent="0.25">
      <c r="A49" s="219"/>
      <c r="B49" s="219"/>
      <c r="C49" s="219"/>
      <c r="D49" s="219"/>
      <c r="E49" s="219"/>
      <c r="F49" s="219"/>
      <c r="G49" s="219"/>
      <c r="H49" s="219"/>
      <c r="I49" s="219"/>
      <c r="J49" s="219"/>
      <c r="K49" s="219"/>
      <c r="L49" s="219"/>
      <c r="M49" s="219"/>
      <c r="N49" s="219"/>
      <c r="O49" s="219"/>
      <c r="P49" s="219"/>
      <c r="Q49" s="219"/>
      <c r="R49" s="219"/>
      <c r="S49" s="219"/>
      <c r="T49" s="219"/>
      <c r="U49" s="219"/>
      <c r="V49" s="219"/>
      <c r="W49" s="219"/>
      <c r="X49" s="219"/>
      <c r="Y49" s="219"/>
      <c r="Z49" s="219"/>
    </row>
    <row r="50" spans="1:26" x14ac:dyDescent="0.25">
      <c r="A50" s="219"/>
      <c r="B50" s="219"/>
      <c r="C50" s="219"/>
      <c r="D50" s="219"/>
      <c r="E50" s="219"/>
      <c r="F50" s="219"/>
      <c r="G50" s="219"/>
      <c r="H50" s="219"/>
      <c r="I50" s="219"/>
      <c r="J50" s="219"/>
      <c r="K50" s="219"/>
      <c r="L50" s="219"/>
      <c r="M50" s="219"/>
      <c r="N50" s="219"/>
      <c r="O50" s="219"/>
      <c r="P50" s="219"/>
      <c r="Q50" s="219"/>
      <c r="R50" s="219"/>
      <c r="S50" s="219"/>
      <c r="T50" s="219"/>
      <c r="U50" s="219"/>
      <c r="V50" s="219"/>
      <c r="W50" s="219"/>
      <c r="X50" s="219"/>
      <c r="Y50" s="219"/>
      <c r="Z50" s="219"/>
    </row>
    <row r="51" spans="1:26" x14ac:dyDescent="0.25">
      <c r="A51" s="219"/>
      <c r="B51" s="219"/>
      <c r="C51" s="219"/>
      <c r="D51" s="219"/>
      <c r="E51" s="219"/>
      <c r="F51" s="219"/>
      <c r="G51" s="219"/>
      <c r="H51" s="219"/>
      <c r="I51" s="219"/>
      <c r="J51" s="219"/>
      <c r="K51" s="219"/>
      <c r="L51" s="219"/>
      <c r="M51" s="219"/>
      <c r="N51" s="219"/>
      <c r="O51" s="219"/>
      <c r="P51" s="219"/>
      <c r="Q51" s="219"/>
      <c r="R51" s="219"/>
      <c r="S51" s="219"/>
      <c r="T51" s="219"/>
      <c r="U51" s="219"/>
      <c r="V51" s="219"/>
      <c r="W51" s="219"/>
      <c r="X51" s="219"/>
      <c r="Y51" s="219"/>
      <c r="Z51" s="219"/>
    </row>
    <row r="52" spans="1:26" x14ac:dyDescent="0.25">
      <c r="A52" s="219"/>
      <c r="B52" s="219"/>
      <c r="C52" s="219"/>
      <c r="D52" s="219"/>
      <c r="E52" s="219"/>
      <c r="F52" s="219"/>
      <c r="G52" s="219"/>
      <c r="H52" s="219"/>
      <c r="I52" s="219"/>
      <c r="J52" s="219"/>
      <c r="K52" s="219"/>
      <c r="L52" s="219"/>
      <c r="M52" s="219"/>
      <c r="N52" s="219"/>
      <c r="O52" s="219"/>
      <c r="P52" s="219"/>
      <c r="Q52" s="219"/>
      <c r="R52" s="219"/>
      <c r="S52" s="219"/>
      <c r="T52" s="219"/>
      <c r="U52" s="219"/>
      <c r="V52" s="219"/>
      <c r="W52" s="219"/>
      <c r="X52" s="219"/>
      <c r="Y52" s="219"/>
      <c r="Z52" s="219"/>
    </row>
    <row r="53" spans="1:26" x14ac:dyDescent="0.25">
      <c r="A53" s="219"/>
      <c r="B53" s="219"/>
      <c r="C53" s="219"/>
      <c r="D53" s="219"/>
      <c r="E53" s="219"/>
      <c r="F53" s="219"/>
      <c r="G53" s="219"/>
      <c r="H53" s="219"/>
      <c r="I53" s="219"/>
      <c r="J53" s="219"/>
      <c r="K53" s="219"/>
      <c r="L53" s="219"/>
      <c r="M53" s="219"/>
      <c r="N53" s="219"/>
      <c r="O53" s="219"/>
      <c r="P53" s="219"/>
      <c r="Q53" s="219"/>
      <c r="R53" s="219"/>
      <c r="S53" s="219"/>
      <c r="T53" s="219"/>
      <c r="U53" s="219"/>
      <c r="V53" s="219"/>
      <c r="W53" s="219"/>
      <c r="X53" s="219"/>
      <c r="Y53" s="219"/>
      <c r="Z53" s="219"/>
    </row>
    <row r="54" spans="1:26" x14ac:dyDescent="0.25">
      <c r="A54" s="219"/>
      <c r="B54" s="219"/>
      <c r="C54" s="219"/>
      <c r="D54" s="219"/>
      <c r="E54" s="219"/>
      <c r="F54" s="219"/>
      <c r="G54" s="219"/>
      <c r="H54" s="219"/>
      <c r="I54" s="219"/>
      <c r="J54" s="219"/>
      <c r="K54" s="219"/>
      <c r="L54" s="219"/>
      <c r="M54" s="219"/>
      <c r="N54" s="219"/>
      <c r="O54" s="219"/>
      <c r="P54" s="219"/>
      <c r="Q54" s="219"/>
      <c r="R54" s="219"/>
      <c r="S54" s="219"/>
      <c r="T54" s="219"/>
      <c r="U54" s="219"/>
      <c r="V54" s="219"/>
      <c r="W54" s="219"/>
      <c r="X54" s="219"/>
      <c r="Y54" s="219"/>
      <c r="Z54" s="219"/>
    </row>
    <row r="55" spans="1:26" x14ac:dyDescent="0.25">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row>
    <row r="56" spans="1:26" x14ac:dyDescent="0.25">
      <c r="A56" s="219"/>
      <c r="B56" s="219"/>
      <c r="C56" s="219"/>
      <c r="D56" s="219"/>
      <c r="E56" s="219"/>
      <c r="F56" s="219"/>
      <c r="G56" s="219"/>
      <c r="H56" s="219"/>
      <c r="I56" s="219"/>
      <c r="J56" s="219"/>
      <c r="K56" s="219"/>
      <c r="L56" s="219"/>
      <c r="M56" s="219"/>
      <c r="N56" s="219"/>
      <c r="O56" s="219"/>
      <c r="P56" s="219"/>
      <c r="Q56" s="219"/>
      <c r="R56" s="219"/>
      <c r="S56" s="219"/>
      <c r="T56" s="219"/>
      <c r="U56" s="219"/>
      <c r="V56" s="219"/>
      <c r="W56" s="219"/>
      <c r="X56" s="219"/>
      <c r="Y56" s="219"/>
      <c r="Z56" s="219"/>
    </row>
    <row r="57" spans="1:26" x14ac:dyDescent="0.25">
      <c r="A57" s="219"/>
      <c r="B57" s="219"/>
      <c r="C57" s="219"/>
      <c r="D57" s="219"/>
      <c r="E57" s="219"/>
      <c r="F57" s="219"/>
      <c r="G57" s="219"/>
      <c r="H57" s="219"/>
      <c r="I57" s="219"/>
      <c r="J57" s="219"/>
      <c r="K57" s="219"/>
      <c r="L57" s="219"/>
      <c r="M57" s="219"/>
      <c r="N57" s="219"/>
      <c r="O57" s="219"/>
      <c r="P57" s="219"/>
      <c r="Q57" s="219"/>
      <c r="R57" s="219"/>
      <c r="S57" s="219"/>
      <c r="T57" s="219"/>
      <c r="U57" s="219"/>
      <c r="V57" s="219"/>
      <c r="W57" s="219"/>
      <c r="X57" s="219"/>
      <c r="Y57" s="219"/>
      <c r="Z57" s="219"/>
    </row>
    <row r="58" spans="1:26" x14ac:dyDescent="0.25">
      <c r="A58" s="219"/>
      <c r="B58" s="219"/>
      <c r="C58" s="219"/>
      <c r="D58" s="219"/>
      <c r="E58" s="219"/>
      <c r="F58" s="219"/>
      <c r="G58" s="219"/>
      <c r="H58" s="219"/>
      <c r="I58" s="219"/>
      <c r="J58" s="219"/>
      <c r="K58" s="219"/>
      <c r="L58" s="219"/>
      <c r="M58" s="219"/>
      <c r="N58" s="219"/>
      <c r="O58" s="219"/>
      <c r="P58" s="219"/>
      <c r="Q58" s="219"/>
      <c r="R58" s="219"/>
      <c r="S58" s="219"/>
      <c r="T58" s="219"/>
      <c r="U58" s="219"/>
      <c r="V58" s="219"/>
      <c r="W58" s="219"/>
      <c r="X58" s="219"/>
      <c r="Y58" s="219"/>
      <c r="Z58" s="219"/>
    </row>
    <row r="59" spans="1:26" x14ac:dyDescent="0.25">
      <c r="A59" s="219"/>
      <c r="B59" s="219"/>
      <c r="C59" s="219"/>
      <c r="D59" s="219"/>
      <c r="E59" s="219"/>
      <c r="F59" s="219"/>
      <c r="G59" s="219"/>
      <c r="H59" s="219"/>
      <c r="I59" s="219"/>
      <c r="J59" s="219"/>
      <c r="K59" s="219"/>
      <c r="L59" s="219"/>
      <c r="M59" s="219"/>
      <c r="N59" s="219"/>
      <c r="O59" s="219"/>
      <c r="P59" s="219"/>
      <c r="Q59" s="219"/>
      <c r="R59" s="219"/>
      <c r="S59" s="219"/>
      <c r="T59" s="219"/>
      <c r="U59" s="219"/>
      <c r="V59" s="219"/>
      <c r="W59" s="219"/>
      <c r="X59" s="219"/>
      <c r="Y59" s="219"/>
      <c r="Z59" s="219"/>
    </row>
    <row r="60" spans="1:26" x14ac:dyDescent="0.25">
      <c r="A60" s="219"/>
      <c r="B60" s="219"/>
      <c r="C60" s="219"/>
      <c r="D60" s="219"/>
      <c r="E60" s="219"/>
      <c r="F60" s="219"/>
      <c r="G60" s="219"/>
      <c r="H60" s="219"/>
      <c r="I60" s="219"/>
      <c r="J60" s="219"/>
      <c r="K60" s="219"/>
      <c r="L60" s="219"/>
      <c r="M60" s="219"/>
      <c r="N60" s="219"/>
      <c r="O60" s="219"/>
      <c r="P60" s="219"/>
      <c r="Q60" s="219"/>
      <c r="R60" s="219"/>
      <c r="S60" s="219"/>
      <c r="T60" s="219"/>
      <c r="U60" s="219"/>
      <c r="V60" s="219"/>
      <c r="W60" s="219"/>
      <c r="X60" s="219"/>
      <c r="Y60" s="219"/>
      <c r="Z60" s="219"/>
    </row>
    <row r="61" spans="1:26" x14ac:dyDescent="0.25">
      <c r="A61" s="219"/>
      <c r="B61" s="219"/>
      <c r="C61" s="219"/>
      <c r="D61" s="219"/>
      <c r="E61" s="219"/>
      <c r="F61" s="219"/>
      <c r="G61" s="219"/>
      <c r="H61" s="219"/>
      <c r="I61" s="219"/>
      <c r="J61" s="219"/>
      <c r="K61" s="219"/>
      <c r="L61" s="219"/>
      <c r="M61" s="219"/>
      <c r="N61" s="219"/>
      <c r="O61" s="219"/>
      <c r="P61" s="219"/>
      <c r="Q61" s="219"/>
      <c r="R61" s="219"/>
      <c r="S61" s="219"/>
      <c r="T61" s="219"/>
      <c r="U61" s="219"/>
      <c r="V61" s="219"/>
      <c r="W61" s="219"/>
      <c r="X61" s="219"/>
      <c r="Y61" s="219"/>
      <c r="Z61" s="219"/>
    </row>
    <row r="62" spans="1:26" x14ac:dyDescent="0.25">
      <c r="A62" s="219"/>
      <c r="B62" s="219"/>
      <c r="C62" s="219"/>
      <c r="D62" s="219"/>
      <c r="E62" s="219"/>
      <c r="F62" s="219"/>
      <c r="G62" s="219"/>
      <c r="H62" s="219"/>
      <c r="I62" s="219"/>
      <c r="J62" s="219"/>
      <c r="K62" s="219"/>
      <c r="L62" s="219"/>
      <c r="M62" s="219"/>
      <c r="N62" s="219"/>
      <c r="O62" s="219"/>
      <c r="P62" s="219"/>
      <c r="Q62" s="219"/>
      <c r="R62" s="219"/>
      <c r="S62" s="219"/>
      <c r="T62" s="219"/>
      <c r="U62" s="219"/>
      <c r="V62" s="219"/>
      <c r="W62" s="219"/>
      <c r="X62" s="219"/>
      <c r="Y62" s="219"/>
      <c r="Z62" s="219"/>
    </row>
    <row r="63" spans="1:26" x14ac:dyDescent="0.25">
      <c r="A63" s="219"/>
      <c r="B63" s="219"/>
      <c r="C63" s="219"/>
      <c r="D63" s="219"/>
      <c r="E63" s="219"/>
      <c r="F63" s="219"/>
      <c r="G63" s="219"/>
      <c r="H63" s="219"/>
      <c r="I63" s="219"/>
      <c r="J63" s="219"/>
      <c r="K63" s="219"/>
      <c r="L63" s="219"/>
      <c r="M63" s="219"/>
      <c r="N63" s="219"/>
      <c r="O63" s="219"/>
      <c r="P63" s="219"/>
      <c r="Q63" s="219"/>
      <c r="R63" s="219"/>
      <c r="S63" s="219"/>
      <c r="T63" s="219"/>
      <c r="U63" s="219"/>
      <c r="V63" s="219"/>
      <c r="W63" s="219"/>
      <c r="X63" s="219"/>
      <c r="Y63" s="219"/>
      <c r="Z63" s="219"/>
    </row>
    <row r="64" spans="1:26" x14ac:dyDescent="0.25">
      <c r="A64" s="219"/>
      <c r="B64" s="219"/>
      <c r="C64" s="219"/>
      <c r="D64" s="219"/>
      <c r="E64" s="219"/>
      <c r="F64" s="219"/>
      <c r="G64" s="219"/>
      <c r="H64" s="219"/>
      <c r="I64" s="219"/>
      <c r="J64" s="219"/>
      <c r="K64" s="219"/>
      <c r="L64" s="219"/>
      <c r="M64" s="219"/>
      <c r="N64" s="219"/>
      <c r="O64" s="219"/>
      <c r="P64" s="219"/>
      <c r="Q64" s="219"/>
      <c r="R64" s="219"/>
      <c r="S64" s="219"/>
      <c r="T64" s="219"/>
      <c r="U64" s="219"/>
      <c r="V64" s="219"/>
      <c r="W64" s="219"/>
      <c r="X64" s="219"/>
      <c r="Y64" s="219"/>
      <c r="Z64" s="219"/>
    </row>
    <row r="65" spans="1:26" x14ac:dyDescent="0.25">
      <c r="A65" s="219"/>
      <c r="B65" s="219"/>
      <c r="C65" s="219"/>
      <c r="D65" s="219"/>
      <c r="E65" s="219"/>
      <c r="F65" s="219"/>
      <c r="G65" s="219"/>
      <c r="H65" s="219"/>
      <c r="I65" s="219"/>
      <c r="J65" s="219"/>
      <c r="K65" s="219"/>
      <c r="L65" s="219"/>
      <c r="M65" s="219"/>
      <c r="N65" s="219"/>
      <c r="O65" s="219"/>
      <c r="P65" s="219"/>
      <c r="Q65" s="219"/>
      <c r="R65" s="219"/>
      <c r="S65" s="219"/>
      <c r="T65" s="219"/>
      <c r="U65" s="219"/>
      <c r="V65" s="219"/>
      <c r="W65" s="219"/>
      <c r="X65" s="219"/>
      <c r="Y65" s="219"/>
      <c r="Z65" s="219"/>
    </row>
    <row r="66" spans="1:26" x14ac:dyDescent="0.25">
      <c r="A66" s="219"/>
      <c r="B66" s="219"/>
      <c r="C66" s="219"/>
      <c r="D66" s="219"/>
      <c r="E66" s="219"/>
      <c r="F66" s="219"/>
      <c r="G66" s="219"/>
      <c r="H66" s="219"/>
      <c r="I66" s="219"/>
      <c r="J66" s="219"/>
      <c r="K66" s="219"/>
      <c r="L66" s="219"/>
      <c r="M66" s="219"/>
      <c r="N66" s="219"/>
      <c r="O66" s="219"/>
      <c r="P66" s="219"/>
      <c r="Q66" s="219"/>
      <c r="R66" s="219"/>
      <c r="S66" s="219"/>
      <c r="T66" s="219"/>
      <c r="U66" s="219"/>
      <c r="V66" s="219"/>
      <c r="W66" s="219"/>
      <c r="X66" s="219"/>
      <c r="Y66" s="219"/>
      <c r="Z66" s="219"/>
    </row>
    <row r="67" spans="1:26" x14ac:dyDescent="0.25">
      <c r="A67" s="219"/>
      <c r="B67" s="219"/>
      <c r="C67" s="219"/>
      <c r="D67" s="219"/>
      <c r="E67" s="219"/>
      <c r="F67" s="219"/>
      <c r="G67" s="219"/>
      <c r="H67" s="219"/>
      <c r="I67" s="219"/>
      <c r="J67" s="219"/>
      <c r="K67" s="219"/>
      <c r="L67" s="219"/>
      <c r="M67" s="219"/>
      <c r="N67" s="219"/>
      <c r="O67" s="219"/>
      <c r="P67" s="219"/>
      <c r="Q67" s="219"/>
      <c r="R67" s="219"/>
      <c r="S67" s="219"/>
      <c r="T67" s="219"/>
      <c r="U67" s="219"/>
      <c r="V67" s="219"/>
      <c r="W67" s="219"/>
      <c r="X67" s="219"/>
      <c r="Y67" s="219"/>
      <c r="Z67" s="219"/>
    </row>
    <row r="68" spans="1:26" x14ac:dyDescent="0.25">
      <c r="A68" s="219"/>
      <c r="B68" s="219"/>
      <c r="C68" s="219"/>
      <c r="D68" s="219"/>
      <c r="E68" s="219"/>
      <c r="F68" s="219"/>
      <c r="G68" s="219"/>
      <c r="H68" s="219"/>
      <c r="I68" s="219"/>
      <c r="J68" s="219"/>
      <c r="K68" s="219"/>
      <c r="L68" s="219"/>
      <c r="M68" s="219"/>
      <c r="N68" s="219"/>
      <c r="O68" s="219"/>
      <c r="P68" s="219"/>
      <c r="Q68" s="219"/>
      <c r="R68" s="219"/>
      <c r="S68" s="219"/>
      <c r="T68" s="219"/>
      <c r="U68" s="219"/>
      <c r="V68" s="219"/>
      <c r="W68" s="219"/>
      <c r="X68" s="219"/>
      <c r="Y68" s="219"/>
      <c r="Z68" s="219"/>
    </row>
    <row r="69" spans="1:26" x14ac:dyDescent="0.25">
      <c r="A69" s="219"/>
      <c r="B69" s="219"/>
      <c r="C69" s="219"/>
      <c r="D69" s="219"/>
      <c r="E69" s="219"/>
      <c r="F69" s="219"/>
      <c r="G69" s="219"/>
      <c r="H69" s="219"/>
      <c r="I69" s="219"/>
      <c r="J69" s="219"/>
      <c r="K69" s="219"/>
      <c r="L69" s="219"/>
      <c r="M69" s="219"/>
      <c r="N69" s="219"/>
      <c r="O69" s="219"/>
      <c r="P69" s="219"/>
      <c r="Q69" s="219"/>
      <c r="R69" s="219"/>
      <c r="S69" s="219"/>
      <c r="T69" s="219"/>
      <c r="U69" s="219"/>
      <c r="V69" s="219"/>
      <c r="W69" s="219"/>
      <c r="X69" s="219"/>
      <c r="Y69" s="219"/>
      <c r="Z69" s="219"/>
    </row>
    <row r="70" spans="1:26" x14ac:dyDescent="0.25">
      <c r="A70" s="219"/>
      <c r="B70" s="219"/>
      <c r="C70" s="219"/>
      <c r="D70" s="219"/>
      <c r="E70" s="219"/>
      <c r="F70" s="219"/>
      <c r="G70" s="219"/>
      <c r="H70" s="219"/>
      <c r="I70" s="219"/>
      <c r="J70" s="219"/>
      <c r="K70" s="219"/>
      <c r="L70" s="219"/>
      <c r="M70" s="219"/>
      <c r="N70" s="219"/>
      <c r="O70" s="219"/>
      <c r="P70" s="219"/>
      <c r="Q70" s="219"/>
      <c r="R70" s="219"/>
      <c r="S70" s="219"/>
      <c r="T70" s="219"/>
      <c r="U70" s="219"/>
      <c r="V70" s="219"/>
      <c r="W70" s="219"/>
      <c r="X70" s="219"/>
      <c r="Y70" s="219"/>
      <c r="Z70" s="219"/>
    </row>
    <row r="71" spans="1:26" x14ac:dyDescent="0.25">
      <c r="A71" s="219"/>
      <c r="B71" s="219"/>
      <c r="C71" s="219"/>
      <c r="D71" s="219"/>
      <c r="E71" s="219"/>
      <c r="F71" s="219"/>
      <c r="G71" s="219"/>
      <c r="H71" s="219"/>
      <c r="I71" s="219"/>
      <c r="J71" s="219"/>
      <c r="K71" s="219"/>
      <c r="L71" s="219"/>
      <c r="M71" s="219"/>
      <c r="N71" s="219"/>
      <c r="O71" s="219"/>
      <c r="P71" s="219"/>
      <c r="Q71" s="219"/>
      <c r="R71" s="219"/>
      <c r="S71" s="219"/>
      <c r="T71" s="219"/>
      <c r="U71" s="219"/>
      <c r="V71" s="219"/>
      <c r="W71" s="219"/>
      <c r="X71" s="219"/>
      <c r="Y71" s="219"/>
      <c r="Z71" s="219"/>
    </row>
    <row r="72" spans="1:26" x14ac:dyDescent="0.25">
      <c r="A72" s="219"/>
      <c r="B72" s="219"/>
      <c r="C72" s="219"/>
      <c r="D72" s="219"/>
      <c r="E72" s="219"/>
      <c r="F72" s="219"/>
      <c r="G72" s="219"/>
      <c r="H72" s="219"/>
      <c r="I72" s="219"/>
      <c r="J72" s="219"/>
      <c r="K72" s="219"/>
      <c r="L72" s="219"/>
      <c r="M72" s="219"/>
      <c r="N72" s="219"/>
      <c r="O72" s="219"/>
      <c r="P72" s="219"/>
      <c r="Q72" s="219"/>
      <c r="R72" s="219"/>
      <c r="S72" s="219"/>
      <c r="T72" s="219"/>
      <c r="U72" s="219"/>
      <c r="V72" s="219"/>
      <c r="W72" s="219"/>
      <c r="X72" s="219"/>
      <c r="Y72" s="219"/>
      <c r="Z72" s="219"/>
    </row>
    <row r="73" spans="1:26" x14ac:dyDescent="0.25">
      <c r="A73" s="219"/>
      <c r="B73" s="219"/>
      <c r="C73" s="219"/>
      <c r="D73" s="219"/>
      <c r="E73" s="219"/>
      <c r="F73" s="219"/>
      <c r="G73" s="219"/>
      <c r="H73" s="219"/>
      <c r="I73" s="219"/>
      <c r="J73" s="219"/>
      <c r="K73" s="219"/>
      <c r="L73" s="219"/>
      <c r="M73" s="219"/>
      <c r="N73" s="219"/>
      <c r="O73" s="219"/>
      <c r="P73" s="219"/>
      <c r="Q73" s="219"/>
      <c r="R73" s="219"/>
      <c r="S73" s="219"/>
      <c r="T73" s="219"/>
      <c r="U73" s="219"/>
      <c r="V73" s="219"/>
      <c r="W73" s="219"/>
      <c r="X73" s="219"/>
      <c r="Y73" s="219"/>
      <c r="Z73" s="219"/>
    </row>
    <row r="74" spans="1:26" x14ac:dyDescent="0.25">
      <c r="A74" s="219"/>
      <c r="B74" s="219"/>
      <c r="C74" s="219"/>
      <c r="D74" s="219"/>
      <c r="E74" s="219"/>
      <c r="F74" s="219"/>
      <c r="G74" s="219"/>
      <c r="H74" s="219"/>
      <c r="I74" s="219"/>
      <c r="J74" s="219"/>
      <c r="K74" s="219"/>
      <c r="L74" s="219"/>
      <c r="M74" s="219"/>
      <c r="N74" s="219"/>
      <c r="O74" s="219"/>
      <c r="P74" s="219"/>
      <c r="Q74" s="219"/>
      <c r="R74" s="219"/>
      <c r="S74" s="219"/>
      <c r="T74" s="219"/>
      <c r="U74" s="219"/>
      <c r="V74" s="219"/>
      <c r="W74" s="219"/>
      <c r="X74" s="219"/>
      <c r="Y74" s="219"/>
      <c r="Z74" s="219"/>
    </row>
    <row r="75" spans="1:26" x14ac:dyDescent="0.25">
      <c r="A75" s="219"/>
      <c r="B75" s="219"/>
      <c r="C75" s="219"/>
      <c r="D75" s="219"/>
      <c r="E75" s="219"/>
      <c r="F75" s="219"/>
      <c r="G75" s="219"/>
      <c r="H75" s="219"/>
      <c r="I75" s="219"/>
      <c r="J75" s="219"/>
      <c r="K75" s="219"/>
      <c r="L75" s="219"/>
      <c r="M75" s="219"/>
      <c r="N75" s="219"/>
      <c r="O75" s="219"/>
      <c r="P75" s="219"/>
      <c r="Q75" s="219"/>
      <c r="R75" s="219"/>
      <c r="S75" s="219"/>
      <c r="T75" s="219"/>
      <c r="U75" s="219"/>
      <c r="V75" s="219"/>
      <c r="W75" s="219"/>
      <c r="X75" s="219"/>
      <c r="Y75" s="219"/>
      <c r="Z75" s="219"/>
    </row>
    <row r="76" spans="1:26" x14ac:dyDescent="0.25">
      <c r="A76" s="219"/>
      <c r="B76" s="219"/>
      <c r="C76" s="219"/>
      <c r="D76" s="219"/>
      <c r="E76" s="219"/>
      <c r="F76" s="219"/>
      <c r="G76" s="219"/>
      <c r="H76" s="219"/>
      <c r="I76" s="219"/>
      <c r="J76" s="219"/>
      <c r="K76" s="219"/>
      <c r="L76" s="219"/>
      <c r="M76" s="219"/>
      <c r="N76" s="219"/>
      <c r="O76" s="219"/>
      <c r="P76" s="219"/>
      <c r="Q76" s="219"/>
      <c r="R76" s="219"/>
      <c r="S76" s="219"/>
      <c r="T76" s="219"/>
      <c r="U76" s="219"/>
      <c r="V76" s="219"/>
      <c r="W76" s="219"/>
      <c r="X76" s="219"/>
      <c r="Y76" s="219"/>
      <c r="Z76" s="219"/>
    </row>
    <row r="77" spans="1:26" x14ac:dyDescent="0.25">
      <c r="A77" s="219"/>
      <c r="B77" s="219"/>
      <c r="C77" s="219"/>
      <c r="D77" s="219"/>
      <c r="E77" s="219"/>
      <c r="F77" s="219"/>
      <c r="G77" s="219"/>
      <c r="H77" s="219"/>
      <c r="I77" s="219"/>
      <c r="J77" s="219"/>
      <c r="K77" s="219"/>
      <c r="L77" s="219"/>
      <c r="M77" s="219"/>
      <c r="N77" s="219"/>
      <c r="O77" s="219"/>
      <c r="P77" s="219"/>
      <c r="Q77" s="219"/>
      <c r="R77" s="219"/>
      <c r="S77" s="219"/>
      <c r="T77" s="219"/>
      <c r="U77" s="219"/>
      <c r="V77" s="219"/>
      <c r="W77" s="219"/>
      <c r="X77" s="219"/>
      <c r="Y77" s="219"/>
      <c r="Z77" s="219"/>
    </row>
    <row r="78" spans="1:26" x14ac:dyDescent="0.25">
      <c r="A78" s="219"/>
      <c r="B78" s="219"/>
      <c r="C78" s="219"/>
      <c r="D78" s="219"/>
      <c r="E78" s="219"/>
      <c r="F78" s="219"/>
      <c r="G78" s="219"/>
      <c r="H78" s="219"/>
      <c r="I78" s="219"/>
      <c r="J78" s="219"/>
      <c r="K78" s="219"/>
      <c r="L78" s="219"/>
      <c r="M78" s="219"/>
      <c r="N78" s="219"/>
      <c r="O78" s="219"/>
      <c r="P78" s="219"/>
      <c r="Q78" s="219"/>
      <c r="R78" s="219"/>
      <c r="S78" s="219"/>
      <c r="T78" s="219"/>
      <c r="U78" s="219"/>
      <c r="V78" s="219"/>
      <c r="W78" s="219"/>
      <c r="X78" s="219"/>
      <c r="Y78" s="219"/>
      <c r="Z78" s="219"/>
    </row>
    <row r="79" spans="1:26" x14ac:dyDescent="0.25">
      <c r="A79" s="219"/>
      <c r="B79" s="219"/>
      <c r="C79" s="219"/>
      <c r="D79" s="219"/>
      <c r="E79" s="219"/>
      <c r="F79" s="219"/>
      <c r="G79" s="219"/>
      <c r="H79" s="219"/>
      <c r="I79" s="219"/>
      <c r="J79" s="219"/>
      <c r="K79" s="219"/>
      <c r="L79" s="219"/>
      <c r="M79" s="219"/>
      <c r="N79" s="219"/>
      <c r="O79" s="219"/>
      <c r="P79" s="219"/>
      <c r="Q79" s="219"/>
      <c r="R79" s="219"/>
      <c r="S79" s="219"/>
      <c r="T79" s="219"/>
      <c r="U79" s="219"/>
      <c r="V79" s="219"/>
      <c r="W79" s="219"/>
      <c r="X79" s="219"/>
      <c r="Y79" s="219"/>
      <c r="Z79" s="219"/>
    </row>
    <row r="80" spans="1:26" x14ac:dyDescent="0.25">
      <c r="A80" s="219"/>
      <c r="B80" s="219"/>
      <c r="C80" s="219"/>
      <c r="D80" s="219"/>
      <c r="E80" s="219"/>
      <c r="F80" s="219"/>
      <c r="G80" s="219"/>
      <c r="H80" s="219"/>
      <c r="I80" s="219"/>
      <c r="J80" s="219"/>
      <c r="K80" s="219"/>
      <c r="L80" s="219"/>
      <c r="M80" s="219"/>
      <c r="N80" s="219"/>
      <c r="O80" s="219"/>
      <c r="P80" s="219"/>
      <c r="Q80" s="219"/>
      <c r="R80" s="219"/>
      <c r="S80" s="219"/>
      <c r="T80" s="219"/>
      <c r="U80" s="219"/>
      <c r="V80" s="219"/>
      <c r="W80" s="219"/>
      <c r="X80" s="219"/>
      <c r="Y80" s="219"/>
      <c r="Z80" s="219"/>
    </row>
    <row r="81" spans="1:26" x14ac:dyDescent="0.25">
      <c r="A81" s="219"/>
      <c r="B81" s="219"/>
      <c r="C81" s="219"/>
      <c r="D81" s="219"/>
      <c r="E81" s="219"/>
      <c r="F81" s="219"/>
      <c r="G81" s="219"/>
      <c r="H81" s="219"/>
      <c r="I81" s="219"/>
      <c r="J81" s="219"/>
      <c r="K81" s="219"/>
      <c r="L81" s="219"/>
      <c r="M81" s="219"/>
      <c r="N81" s="219"/>
      <c r="O81" s="219"/>
      <c r="P81" s="219"/>
      <c r="Q81" s="219"/>
      <c r="R81" s="219"/>
      <c r="S81" s="219"/>
      <c r="T81" s="219"/>
      <c r="U81" s="219"/>
      <c r="V81" s="219"/>
      <c r="W81" s="219"/>
      <c r="X81" s="219"/>
      <c r="Y81" s="219"/>
      <c r="Z81" s="219"/>
    </row>
    <row r="82" spans="1:26" x14ac:dyDescent="0.25">
      <c r="A82" s="219"/>
      <c r="B82" s="219"/>
      <c r="C82" s="219"/>
      <c r="D82" s="219"/>
      <c r="E82" s="219"/>
      <c r="F82" s="219"/>
      <c r="G82" s="219"/>
      <c r="H82" s="219"/>
      <c r="I82" s="219"/>
      <c r="J82" s="219"/>
      <c r="K82" s="219"/>
      <c r="L82" s="219"/>
      <c r="M82" s="219"/>
      <c r="N82" s="219"/>
      <c r="O82" s="219"/>
      <c r="P82" s="219"/>
      <c r="Q82" s="219"/>
      <c r="R82" s="219"/>
      <c r="S82" s="219"/>
      <c r="T82" s="219"/>
      <c r="U82" s="219"/>
      <c r="V82" s="219"/>
      <c r="W82" s="219"/>
      <c r="X82" s="219"/>
      <c r="Y82" s="219"/>
      <c r="Z82" s="219"/>
    </row>
    <row r="83" spans="1:26" x14ac:dyDescent="0.25">
      <c r="A83" s="219"/>
      <c r="B83" s="219"/>
      <c r="C83" s="219"/>
      <c r="D83" s="219"/>
      <c r="E83" s="219"/>
      <c r="F83" s="219"/>
      <c r="G83" s="219"/>
      <c r="H83" s="219"/>
      <c r="I83" s="219"/>
      <c r="J83" s="219"/>
      <c r="K83" s="219"/>
      <c r="L83" s="219"/>
      <c r="M83" s="219"/>
      <c r="N83" s="219"/>
      <c r="O83" s="219"/>
      <c r="P83" s="219"/>
      <c r="Q83" s="219"/>
      <c r="R83" s="219"/>
      <c r="S83" s="219"/>
      <c r="T83" s="219"/>
      <c r="U83" s="219"/>
      <c r="V83" s="219"/>
      <c r="W83" s="219"/>
      <c r="X83" s="219"/>
      <c r="Y83" s="219"/>
      <c r="Z83" s="219"/>
    </row>
    <row r="84" spans="1:26" x14ac:dyDescent="0.25">
      <c r="A84" s="219"/>
      <c r="B84" s="219"/>
      <c r="C84" s="219"/>
      <c r="D84" s="219"/>
      <c r="E84" s="219"/>
      <c r="F84" s="219"/>
      <c r="G84" s="219"/>
      <c r="H84" s="219"/>
      <c r="I84" s="219"/>
      <c r="J84" s="219"/>
      <c r="K84" s="219"/>
      <c r="L84" s="219"/>
      <c r="M84" s="219"/>
      <c r="N84" s="219"/>
      <c r="O84" s="219"/>
      <c r="P84" s="219"/>
      <c r="Q84" s="219"/>
      <c r="R84" s="219"/>
      <c r="S84" s="219"/>
      <c r="T84" s="219"/>
      <c r="U84" s="219"/>
      <c r="V84" s="219"/>
      <c r="W84" s="219"/>
      <c r="X84" s="219"/>
      <c r="Y84" s="219"/>
      <c r="Z84" s="219"/>
    </row>
    <row r="85" spans="1:26" x14ac:dyDescent="0.25">
      <c r="A85" s="219"/>
      <c r="B85" s="219"/>
      <c r="C85" s="219"/>
      <c r="D85" s="219"/>
      <c r="E85" s="219"/>
      <c r="F85" s="219"/>
      <c r="G85" s="219"/>
      <c r="H85" s="219"/>
      <c r="I85" s="219"/>
      <c r="J85" s="219"/>
      <c r="K85" s="219"/>
      <c r="L85" s="219"/>
      <c r="M85" s="219"/>
      <c r="N85" s="219"/>
      <c r="O85" s="219"/>
      <c r="P85" s="219"/>
      <c r="Q85" s="219"/>
      <c r="R85" s="219"/>
      <c r="S85" s="219"/>
      <c r="T85" s="219"/>
      <c r="U85" s="219"/>
      <c r="V85" s="219"/>
      <c r="W85" s="219"/>
      <c r="X85" s="219"/>
      <c r="Y85" s="219"/>
      <c r="Z85" s="219"/>
    </row>
    <row r="86" spans="1:26" x14ac:dyDescent="0.25">
      <c r="A86" s="219"/>
      <c r="B86" s="219"/>
      <c r="C86" s="219"/>
      <c r="D86" s="219"/>
      <c r="E86" s="219"/>
      <c r="F86" s="219"/>
      <c r="G86" s="219"/>
      <c r="H86" s="219"/>
      <c r="I86" s="219"/>
      <c r="J86" s="219"/>
      <c r="K86" s="219"/>
      <c r="L86" s="219"/>
      <c r="M86" s="219"/>
      <c r="N86" s="219"/>
      <c r="O86" s="219"/>
      <c r="P86" s="219"/>
      <c r="Q86" s="219"/>
      <c r="R86" s="219"/>
      <c r="S86" s="219"/>
      <c r="T86" s="219"/>
      <c r="U86" s="219"/>
      <c r="V86" s="219"/>
      <c r="W86" s="219"/>
      <c r="X86" s="219"/>
      <c r="Y86" s="219"/>
      <c r="Z86" s="219"/>
    </row>
    <row r="87" spans="1:26" x14ac:dyDescent="0.25">
      <c r="A87" s="219"/>
      <c r="B87" s="219"/>
      <c r="C87" s="219"/>
      <c r="D87" s="219"/>
      <c r="E87" s="219"/>
      <c r="F87" s="219"/>
      <c r="G87" s="219"/>
      <c r="H87" s="219"/>
      <c r="I87" s="219"/>
      <c r="J87" s="219"/>
      <c r="K87" s="219"/>
      <c r="L87" s="219"/>
      <c r="M87" s="219"/>
      <c r="N87" s="219"/>
      <c r="O87" s="219"/>
      <c r="P87" s="219"/>
      <c r="Q87" s="219"/>
      <c r="R87" s="219"/>
      <c r="S87" s="219"/>
      <c r="T87" s="219"/>
      <c r="U87" s="219"/>
      <c r="V87" s="219"/>
      <c r="W87" s="219"/>
      <c r="X87" s="219"/>
      <c r="Y87" s="219"/>
      <c r="Z87" s="219"/>
    </row>
    <row r="88" spans="1:26" x14ac:dyDescent="0.25">
      <c r="A88" s="219"/>
      <c r="B88" s="219"/>
      <c r="C88" s="219"/>
      <c r="D88" s="219"/>
      <c r="E88" s="219"/>
      <c r="F88" s="219"/>
      <c r="G88" s="219"/>
      <c r="H88" s="219"/>
      <c r="I88" s="219"/>
      <c r="J88" s="219"/>
      <c r="K88" s="219"/>
      <c r="L88" s="219"/>
      <c r="M88" s="219"/>
      <c r="N88" s="219"/>
      <c r="O88" s="219"/>
      <c r="P88" s="219"/>
      <c r="Q88" s="219"/>
      <c r="R88" s="219"/>
      <c r="S88" s="219"/>
      <c r="T88" s="219"/>
      <c r="U88" s="219"/>
      <c r="V88" s="219"/>
      <c r="W88" s="219"/>
      <c r="X88" s="219"/>
      <c r="Y88" s="219"/>
      <c r="Z88" s="219"/>
    </row>
    <row r="89" spans="1:26" x14ac:dyDescent="0.25">
      <c r="A89" s="219"/>
      <c r="B89" s="219"/>
      <c r="C89" s="219"/>
      <c r="D89" s="219"/>
      <c r="E89" s="219"/>
      <c r="F89" s="219"/>
      <c r="G89" s="219"/>
      <c r="H89" s="219"/>
      <c r="I89" s="219"/>
      <c r="J89" s="219"/>
      <c r="K89" s="219"/>
      <c r="L89" s="219"/>
      <c r="M89" s="219"/>
      <c r="N89" s="219"/>
      <c r="O89" s="219"/>
      <c r="P89" s="219"/>
      <c r="Q89" s="219"/>
      <c r="R89" s="219"/>
      <c r="S89" s="219"/>
      <c r="T89" s="219"/>
      <c r="U89" s="219"/>
      <c r="V89" s="219"/>
      <c r="W89" s="219"/>
      <c r="X89" s="219"/>
      <c r="Y89" s="219"/>
      <c r="Z89" s="219"/>
    </row>
    <row r="90" spans="1:26" x14ac:dyDescent="0.25">
      <c r="A90" s="219"/>
      <c r="B90" s="219"/>
      <c r="C90" s="219"/>
      <c r="D90" s="219"/>
      <c r="E90" s="219"/>
      <c r="F90" s="219"/>
      <c r="G90" s="219"/>
      <c r="H90" s="219"/>
      <c r="I90" s="219"/>
      <c r="J90" s="219"/>
      <c r="K90" s="219"/>
      <c r="L90" s="219"/>
      <c r="M90" s="219"/>
      <c r="N90" s="219"/>
      <c r="O90" s="219"/>
      <c r="P90" s="219"/>
      <c r="Q90" s="219"/>
      <c r="R90" s="219"/>
      <c r="S90" s="219"/>
      <c r="T90" s="219"/>
      <c r="U90" s="219"/>
      <c r="V90" s="219"/>
      <c r="W90" s="219"/>
      <c r="X90" s="219"/>
      <c r="Y90" s="219"/>
      <c r="Z90" s="219"/>
    </row>
    <row r="91" spans="1:26" x14ac:dyDescent="0.25">
      <c r="A91" s="219"/>
      <c r="B91" s="219"/>
      <c r="C91" s="219"/>
      <c r="D91" s="219"/>
      <c r="E91" s="219"/>
      <c r="F91" s="219"/>
      <c r="G91" s="219"/>
      <c r="H91" s="219"/>
      <c r="I91" s="219"/>
      <c r="J91" s="219"/>
      <c r="K91" s="219"/>
      <c r="L91" s="219"/>
      <c r="M91" s="219"/>
      <c r="N91" s="219"/>
      <c r="O91" s="219"/>
      <c r="P91" s="219"/>
      <c r="Q91" s="219"/>
      <c r="R91" s="219"/>
      <c r="S91" s="219"/>
      <c r="T91" s="219"/>
      <c r="U91" s="219"/>
      <c r="V91" s="219"/>
      <c r="W91" s="219"/>
      <c r="X91" s="219"/>
      <c r="Y91" s="219"/>
      <c r="Z91" s="219"/>
    </row>
    <row r="92" spans="1:26" x14ac:dyDescent="0.25">
      <c r="A92" s="219"/>
      <c r="B92" s="219"/>
      <c r="C92" s="219"/>
      <c r="D92" s="219"/>
      <c r="E92" s="219"/>
      <c r="F92" s="219"/>
      <c r="G92" s="219"/>
      <c r="H92" s="219"/>
      <c r="I92" s="219"/>
      <c r="J92" s="219"/>
      <c r="K92" s="219"/>
      <c r="L92" s="219"/>
      <c r="M92" s="219"/>
      <c r="N92" s="219"/>
      <c r="O92" s="219"/>
      <c r="P92" s="219"/>
      <c r="Q92" s="219"/>
      <c r="R92" s="219"/>
      <c r="S92" s="219"/>
      <c r="T92" s="219"/>
      <c r="U92" s="219"/>
      <c r="V92" s="219"/>
      <c r="W92" s="219"/>
      <c r="X92" s="219"/>
      <c r="Y92" s="219"/>
      <c r="Z92" s="219"/>
    </row>
    <row r="93" spans="1:26" x14ac:dyDescent="0.25">
      <c r="A93" s="219"/>
      <c r="B93" s="219"/>
      <c r="C93" s="219"/>
      <c r="D93" s="219"/>
      <c r="E93" s="219"/>
      <c r="F93" s="219"/>
      <c r="G93" s="219"/>
      <c r="H93" s="219"/>
      <c r="I93" s="219"/>
      <c r="J93" s="219"/>
      <c r="K93" s="219"/>
      <c r="L93" s="219"/>
      <c r="M93" s="219"/>
      <c r="N93" s="219"/>
      <c r="O93" s="219"/>
      <c r="P93" s="219"/>
      <c r="Q93" s="219"/>
      <c r="R93" s="219"/>
      <c r="S93" s="219"/>
      <c r="T93" s="219"/>
      <c r="U93" s="219"/>
      <c r="V93" s="219"/>
      <c r="W93" s="219"/>
      <c r="X93" s="219"/>
      <c r="Y93" s="219"/>
      <c r="Z93" s="219"/>
    </row>
    <row r="94" spans="1:26" x14ac:dyDescent="0.25">
      <c r="A94" s="219"/>
      <c r="B94" s="219"/>
      <c r="C94" s="219"/>
      <c r="D94" s="219"/>
      <c r="E94" s="219"/>
      <c r="F94" s="219"/>
      <c r="G94" s="219"/>
      <c r="H94" s="219"/>
      <c r="I94" s="219"/>
      <c r="J94" s="219"/>
      <c r="K94" s="219"/>
      <c r="L94" s="219"/>
      <c r="M94" s="219"/>
      <c r="N94" s="219"/>
      <c r="O94" s="219"/>
      <c r="P94" s="219"/>
      <c r="Q94" s="219"/>
      <c r="R94" s="219"/>
      <c r="S94" s="219"/>
      <c r="T94" s="219"/>
      <c r="U94" s="219"/>
      <c r="V94" s="219"/>
      <c r="W94" s="219"/>
      <c r="X94" s="219"/>
      <c r="Y94" s="219"/>
      <c r="Z94" s="219"/>
    </row>
    <row r="95" spans="1:26" x14ac:dyDescent="0.25">
      <c r="A95" s="219"/>
      <c r="B95" s="219"/>
      <c r="C95" s="219"/>
      <c r="D95" s="219"/>
      <c r="E95" s="219"/>
      <c r="F95" s="219"/>
      <c r="G95" s="219"/>
      <c r="H95" s="219"/>
      <c r="I95" s="219"/>
      <c r="J95" s="219"/>
      <c r="K95" s="219"/>
      <c r="L95" s="219"/>
      <c r="M95" s="219"/>
      <c r="N95" s="219"/>
      <c r="O95" s="219"/>
      <c r="P95" s="219"/>
      <c r="Q95" s="219"/>
      <c r="R95" s="219"/>
      <c r="S95" s="219"/>
      <c r="T95" s="219"/>
      <c r="U95" s="219"/>
      <c r="V95" s="219"/>
      <c r="W95" s="219"/>
      <c r="X95" s="219"/>
      <c r="Y95" s="219"/>
      <c r="Z95" s="219"/>
    </row>
    <row r="96" spans="1:26" x14ac:dyDescent="0.25">
      <c r="A96" s="219"/>
      <c r="B96" s="219"/>
      <c r="C96" s="219"/>
      <c r="D96" s="219"/>
      <c r="E96" s="219"/>
      <c r="F96" s="219"/>
      <c r="G96" s="219"/>
      <c r="H96" s="219"/>
      <c r="I96" s="219"/>
      <c r="J96" s="219"/>
      <c r="K96" s="219"/>
      <c r="L96" s="219"/>
      <c r="M96" s="219"/>
      <c r="N96" s="219"/>
      <c r="O96" s="219"/>
      <c r="P96" s="219"/>
      <c r="Q96" s="219"/>
      <c r="R96" s="219"/>
      <c r="S96" s="219"/>
      <c r="T96" s="219"/>
      <c r="U96" s="219"/>
      <c r="V96" s="219"/>
      <c r="W96" s="219"/>
      <c r="X96" s="219"/>
      <c r="Y96" s="219"/>
      <c r="Z96" s="219"/>
    </row>
    <row r="97" spans="1:26" x14ac:dyDescent="0.25">
      <c r="A97" s="219"/>
      <c r="B97" s="219"/>
      <c r="C97" s="219"/>
      <c r="D97" s="219"/>
      <c r="E97" s="219"/>
      <c r="F97" s="219"/>
      <c r="G97" s="219"/>
      <c r="H97" s="219"/>
      <c r="I97" s="219"/>
      <c r="J97" s="219"/>
      <c r="K97" s="219"/>
      <c r="L97" s="219"/>
      <c r="M97" s="219"/>
      <c r="N97" s="219"/>
      <c r="O97" s="219"/>
      <c r="P97" s="219"/>
      <c r="Q97" s="219"/>
      <c r="R97" s="219"/>
      <c r="S97" s="219"/>
      <c r="T97" s="219"/>
      <c r="U97" s="219"/>
      <c r="V97" s="219"/>
      <c r="W97" s="219"/>
      <c r="X97" s="219"/>
      <c r="Y97" s="219"/>
      <c r="Z97" s="219"/>
    </row>
    <row r="98" spans="1:26" x14ac:dyDescent="0.25">
      <c r="A98" s="219"/>
      <c r="B98" s="219"/>
      <c r="C98" s="219"/>
      <c r="D98" s="219"/>
      <c r="E98" s="219"/>
      <c r="F98" s="219"/>
      <c r="G98" s="219"/>
      <c r="H98" s="219"/>
      <c r="I98" s="219"/>
      <c r="J98" s="219"/>
      <c r="K98" s="219"/>
      <c r="L98" s="219"/>
      <c r="M98" s="219"/>
      <c r="N98" s="219"/>
      <c r="O98" s="219"/>
      <c r="P98" s="219"/>
      <c r="Q98" s="219"/>
      <c r="R98" s="219"/>
      <c r="S98" s="219"/>
      <c r="T98" s="219"/>
      <c r="U98" s="219"/>
      <c r="V98" s="219"/>
      <c r="W98" s="219"/>
      <c r="X98" s="219"/>
      <c r="Y98" s="219"/>
      <c r="Z98" s="219"/>
    </row>
    <row r="99" spans="1:26" x14ac:dyDescent="0.25">
      <c r="A99" s="219"/>
      <c r="B99" s="219"/>
      <c r="C99" s="219"/>
      <c r="D99" s="219"/>
      <c r="E99" s="219"/>
      <c r="F99" s="219"/>
      <c r="G99" s="219"/>
      <c r="H99" s="219"/>
      <c r="I99" s="219"/>
      <c r="J99" s="219"/>
      <c r="K99" s="219"/>
      <c r="L99" s="219"/>
      <c r="M99" s="219"/>
      <c r="N99" s="219"/>
      <c r="O99" s="219"/>
      <c r="P99" s="219"/>
      <c r="Q99" s="219"/>
      <c r="R99" s="219"/>
      <c r="S99" s="219"/>
      <c r="T99" s="219"/>
      <c r="U99" s="219"/>
      <c r="V99" s="219"/>
      <c r="W99" s="219"/>
      <c r="X99" s="219"/>
      <c r="Y99" s="219"/>
      <c r="Z99" s="219"/>
    </row>
    <row r="100" spans="1:26" x14ac:dyDescent="0.25">
      <c r="A100" s="219"/>
      <c r="B100" s="219"/>
      <c r="C100" s="219"/>
      <c r="D100" s="219"/>
      <c r="E100" s="219"/>
      <c r="F100" s="219"/>
      <c r="G100" s="219"/>
      <c r="H100" s="219"/>
      <c r="I100" s="219"/>
      <c r="J100" s="219"/>
      <c r="K100" s="219"/>
      <c r="L100" s="219"/>
      <c r="M100" s="219"/>
      <c r="N100" s="219"/>
      <c r="O100" s="219"/>
      <c r="P100" s="219"/>
      <c r="Q100" s="219"/>
      <c r="R100" s="219"/>
      <c r="S100" s="219"/>
      <c r="T100" s="219"/>
      <c r="U100" s="219"/>
      <c r="V100" s="219"/>
      <c r="W100" s="219"/>
      <c r="X100" s="219"/>
      <c r="Y100" s="219"/>
      <c r="Z100" s="219"/>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workbookViewId="0">
      <pane xSplit="1" ySplit="16" topLeftCell="B17" activePane="bottomRight" state="frozen"/>
      <selection pane="topRight" activeCell="B1" sqref="B1"/>
      <selection pane="bottomLeft" activeCell="A16" sqref="A16"/>
      <selection pane="bottomRight"/>
    </sheetView>
  </sheetViews>
  <sheetFormatPr defaultRowHeight="13.2" x14ac:dyDescent="0.25"/>
  <cols>
    <col min="1" max="1" width="65.44140625" customWidth="1"/>
    <col min="2" max="2" width="13.88671875" customWidth="1"/>
    <col min="10" max="10" width="12.6640625" style="108" customWidth="1"/>
    <col min="11" max="11" width="10.6640625" style="108" customWidth="1"/>
    <col min="16" max="16" width="17.33203125" style="13" customWidth="1"/>
    <col min="17" max="17" width="15.33203125" style="13" customWidth="1"/>
    <col min="19" max="20" width="10.5546875" bestFit="1" customWidth="1"/>
    <col min="22" max="22" width="15.33203125" style="190" customWidth="1"/>
    <col min="23" max="23" width="11.88671875" style="190" customWidth="1"/>
    <col min="25" max="26" width="12.5546875" bestFit="1" customWidth="1"/>
    <col min="28" max="28" width="18.109375" style="192" customWidth="1"/>
    <col min="29" max="29" width="13.6640625" style="192" customWidth="1"/>
  </cols>
  <sheetData>
    <row r="1" spans="1:29" x14ac:dyDescent="0.25">
      <c r="A1" s="143" t="s">
        <v>240</v>
      </c>
      <c r="B1" s="891" t="s">
        <v>1143</v>
      </c>
      <c r="E1" s="116"/>
      <c r="I1" s="116"/>
      <c r="O1" s="116"/>
      <c r="U1" s="116"/>
      <c r="AA1" s="116"/>
    </row>
    <row r="2" spans="1:29" x14ac:dyDescent="0.25">
      <c r="A2" s="143" t="s">
        <v>243</v>
      </c>
      <c r="B2" s="42" t="s">
        <v>628</v>
      </c>
      <c r="E2" s="116"/>
      <c r="I2" s="116"/>
      <c r="O2" s="116"/>
      <c r="U2" s="116"/>
      <c r="AA2" s="116"/>
    </row>
    <row r="3" spans="1:29" x14ac:dyDescent="0.25">
      <c r="A3" s="143" t="s">
        <v>241</v>
      </c>
      <c r="B3" s="877" t="s">
        <v>1115</v>
      </c>
      <c r="E3" s="116"/>
      <c r="I3" s="116"/>
      <c r="O3" s="116"/>
      <c r="U3" s="116"/>
      <c r="AA3" s="116"/>
    </row>
    <row r="4" spans="1:29" x14ac:dyDescent="0.25">
      <c r="A4" s="143" t="s">
        <v>242</v>
      </c>
      <c r="B4" s="10">
        <v>2004</v>
      </c>
      <c r="E4" s="116"/>
      <c r="I4" s="116"/>
      <c r="O4" s="116"/>
      <c r="U4" s="116"/>
      <c r="AA4" s="116"/>
    </row>
    <row r="5" spans="1:29" x14ac:dyDescent="0.25">
      <c r="E5" s="116"/>
      <c r="I5" s="116"/>
      <c r="O5" s="116"/>
      <c r="U5" s="116"/>
      <c r="AA5" s="116"/>
    </row>
    <row r="6" spans="1:29" x14ac:dyDescent="0.25">
      <c r="A6" s="437" t="s">
        <v>408</v>
      </c>
      <c r="B6" s="102"/>
      <c r="E6" s="116"/>
      <c r="I6" s="116"/>
      <c r="O6" s="116"/>
      <c r="U6" s="116"/>
      <c r="AA6" s="116"/>
    </row>
    <row r="7" spans="1:29" x14ac:dyDescent="0.25">
      <c r="A7" s="144" t="s">
        <v>645</v>
      </c>
      <c r="B7" s="113">
        <f>include_machinery</f>
        <v>0</v>
      </c>
      <c r="E7" s="116"/>
      <c r="I7" s="116"/>
      <c r="O7" s="116"/>
      <c r="U7" s="116"/>
      <c r="AA7" s="116"/>
    </row>
    <row r="8" spans="1:29" x14ac:dyDescent="0.25">
      <c r="A8" s="846" t="s">
        <v>1130</v>
      </c>
      <c r="B8" s="145">
        <f>Unitflowchart!$AA$101</f>
        <v>0</v>
      </c>
      <c r="E8" s="116"/>
      <c r="I8" s="116"/>
      <c r="O8" s="116"/>
      <c r="U8" s="116"/>
      <c r="AA8" s="116"/>
    </row>
    <row r="9" spans="1:29" x14ac:dyDescent="0.25">
      <c r="A9" s="144" t="s">
        <v>629</v>
      </c>
      <c r="B9" s="145">
        <f>Unitflowchart!$AA$103</f>
        <v>10017.831493021196</v>
      </c>
      <c r="E9" s="116"/>
      <c r="I9" s="116"/>
      <c r="O9" s="116"/>
      <c r="U9" s="116"/>
      <c r="AA9" s="116"/>
    </row>
    <row r="10" spans="1:29" x14ac:dyDescent="0.25">
      <c r="A10" s="144" t="s">
        <v>783</v>
      </c>
      <c r="B10" s="145">
        <f>Unitflowchart!AA117</f>
        <v>12.239195929903703</v>
      </c>
      <c r="E10" s="116"/>
      <c r="I10" s="116"/>
      <c r="O10" s="116"/>
      <c r="U10" s="116"/>
      <c r="AA10" s="116"/>
    </row>
    <row r="11" spans="1:29" x14ac:dyDescent="0.25">
      <c r="A11" s="144" t="s">
        <v>633</v>
      </c>
      <c r="B11" s="113">
        <f>Unitflowchart!$AA$123</f>
        <v>20</v>
      </c>
      <c r="E11" s="116"/>
      <c r="I11" s="116"/>
      <c r="O11" s="116"/>
      <c r="U11" s="116"/>
      <c r="AA11" s="116"/>
    </row>
    <row r="12" spans="1:29" x14ac:dyDescent="0.25">
      <c r="A12" s="146" t="s">
        <v>738</v>
      </c>
      <c r="B12" s="203">
        <f>Unitflowchart!$S$101*Unitflowchart!$S$357/Unitflowchart!$S$72</f>
        <v>22353.54912</v>
      </c>
      <c r="E12" s="116"/>
      <c r="I12" s="116"/>
      <c r="O12" s="116"/>
      <c r="U12" s="116"/>
      <c r="AA12" s="116"/>
    </row>
    <row r="13" spans="1:29" x14ac:dyDescent="0.25">
      <c r="E13" s="116"/>
      <c r="I13" s="116"/>
      <c r="O13" s="116"/>
      <c r="U13" s="116"/>
      <c r="AA13" s="116"/>
    </row>
    <row r="14" spans="1:29" s="42" customFormat="1" x14ac:dyDescent="0.25">
      <c r="A14" s="42" t="s">
        <v>245</v>
      </c>
      <c r="B14" s="42" t="s">
        <v>244</v>
      </c>
      <c r="E14" s="117" t="s">
        <v>27</v>
      </c>
      <c r="F14" s="42" t="s">
        <v>247</v>
      </c>
      <c r="I14" s="117" t="s">
        <v>27</v>
      </c>
      <c r="J14" s="189" t="s">
        <v>181</v>
      </c>
      <c r="K14" s="189"/>
      <c r="L14" s="42" t="s">
        <v>251</v>
      </c>
      <c r="O14" s="117" t="s">
        <v>27</v>
      </c>
      <c r="P14" s="150" t="s">
        <v>182</v>
      </c>
      <c r="Q14" s="150"/>
      <c r="R14" s="42" t="s">
        <v>253</v>
      </c>
      <c r="U14" s="117" t="s">
        <v>27</v>
      </c>
      <c r="V14" s="191" t="s">
        <v>183</v>
      </c>
      <c r="W14" s="191"/>
      <c r="X14" s="42" t="s">
        <v>255</v>
      </c>
      <c r="AA14" s="117" t="s">
        <v>27</v>
      </c>
      <c r="AB14" s="193" t="s">
        <v>196</v>
      </c>
      <c r="AC14" s="193"/>
    </row>
    <row r="15" spans="1:29" s="42" customFormat="1" x14ac:dyDescent="0.25">
      <c r="B15" s="42" t="s">
        <v>246</v>
      </c>
      <c r="C15" s="42" t="s">
        <v>248</v>
      </c>
      <c r="D15" s="42" t="s">
        <v>249</v>
      </c>
      <c r="E15" s="117"/>
      <c r="F15" s="42" t="s">
        <v>246</v>
      </c>
      <c r="G15" s="42" t="s">
        <v>248</v>
      </c>
      <c r="H15" s="42" t="s">
        <v>249</v>
      </c>
      <c r="I15" s="117"/>
      <c r="J15" s="189" t="s">
        <v>248</v>
      </c>
      <c r="K15" s="189" t="s">
        <v>249</v>
      </c>
      <c r="L15" s="42" t="s">
        <v>246</v>
      </c>
      <c r="M15" s="42" t="s">
        <v>248</v>
      </c>
      <c r="N15" s="42" t="s">
        <v>249</v>
      </c>
      <c r="O15" s="117"/>
      <c r="P15" s="150" t="s">
        <v>248</v>
      </c>
      <c r="Q15" s="150" t="s">
        <v>249</v>
      </c>
      <c r="R15" s="42" t="s">
        <v>246</v>
      </c>
      <c r="S15" s="42" t="s">
        <v>248</v>
      </c>
      <c r="T15" s="42" t="s">
        <v>249</v>
      </c>
      <c r="U15" s="117"/>
      <c r="V15" s="191" t="s">
        <v>248</v>
      </c>
      <c r="W15" s="191" t="s">
        <v>249</v>
      </c>
      <c r="X15" s="42" t="s">
        <v>246</v>
      </c>
      <c r="Y15" s="42" t="s">
        <v>248</v>
      </c>
      <c r="Z15" s="42" t="s">
        <v>249</v>
      </c>
      <c r="AA15" s="117"/>
      <c r="AB15" s="193" t="s">
        <v>248</v>
      </c>
      <c r="AC15" s="193" t="s">
        <v>249</v>
      </c>
    </row>
    <row r="16" spans="1:29" x14ac:dyDescent="0.25">
      <c r="A16" s="2" t="s">
        <v>197</v>
      </c>
      <c r="E16" s="116"/>
      <c r="I16" s="116"/>
      <c r="O16" s="116"/>
      <c r="U16" s="116"/>
      <c r="AA16" s="116"/>
    </row>
    <row r="17" spans="1:29" x14ac:dyDescent="0.25">
      <c r="A17" s="843" t="s">
        <v>1128</v>
      </c>
      <c r="B17" s="66" t="s">
        <v>442</v>
      </c>
      <c r="C17" s="636">
        <f>$B$8</f>
        <v>0</v>
      </c>
      <c r="D17" s="636">
        <v>0</v>
      </c>
      <c r="E17" s="66"/>
      <c r="F17" s="66" t="s">
        <v>6</v>
      </c>
      <c r="G17" s="913">
        <v>1.05</v>
      </c>
      <c r="H17" s="913">
        <v>0</v>
      </c>
      <c r="I17" s="112" t="s">
        <v>1123</v>
      </c>
      <c r="J17" s="490">
        <f>C17*G17</f>
        <v>0</v>
      </c>
      <c r="K17" s="490">
        <f>SQRT(((D17*G17)^2)+((C17*H17)^2))</f>
        <v>0</v>
      </c>
      <c r="L17" s="66" t="s">
        <v>7</v>
      </c>
      <c r="M17" s="633">
        <v>5.5724000000000003E-2</v>
      </c>
      <c r="N17" s="633">
        <v>0</v>
      </c>
      <c r="O17" s="112" t="s">
        <v>1124</v>
      </c>
      <c r="P17" s="490">
        <f>C17*M17</f>
        <v>0</v>
      </c>
      <c r="Q17" s="490">
        <f>SQRT(((D17*M17)^2)+((C17*N17)^2))</f>
        <v>0</v>
      </c>
      <c r="R17" s="66" t="s">
        <v>8</v>
      </c>
      <c r="S17" s="392">
        <v>6.6799999999999997E-5</v>
      </c>
      <c r="T17" s="392">
        <v>0</v>
      </c>
      <c r="U17" s="112" t="s">
        <v>1125</v>
      </c>
      <c r="V17" s="490">
        <f>C17*S17</f>
        <v>0</v>
      </c>
      <c r="W17" s="490">
        <f>SQRT(((D17*S17)^2)+((C17*T17)^2))</f>
        <v>0</v>
      </c>
      <c r="X17" s="66" t="s">
        <v>9</v>
      </c>
      <c r="Y17" s="634">
        <v>1.8300000000000001E-7</v>
      </c>
      <c r="Z17" s="634">
        <v>0</v>
      </c>
      <c r="AA17" s="112" t="s">
        <v>1126</v>
      </c>
      <c r="AB17" s="490">
        <f>C17*Y17</f>
        <v>0</v>
      </c>
      <c r="AC17" s="490">
        <f>SQRT(((D17*Y17)^2)+((C17*Z17)^2))</f>
        <v>0</v>
      </c>
    </row>
    <row r="18" spans="1:29" x14ac:dyDescent="0.25">
      <c r="A18" s="147" t="s">
        <v>784</v>
      </c>
      <c r="B18" s="314" t="s">
        <v>442</v>
      </c>
      <c r="C18" s="637">
        <f>$B$9</f>
        <v>10017.831493021196</v>
      </c>
      <c r="D18" s="637">
        <v>0</v>
      </c>
      <c r="E18" s="314"/>
      <c r="F18" s="314" t="s">
        <v>6</v>
      </c>
      <c r="G18" s="633">
        <v>0</v>
      </c>
      <c r="H18" s="633">
        <v>0</v>
      </c>
      <c r="I18" s="312"/>
      <c r="J18" s="490">
        <f>C18*G18</f>
        <v>0</v>
      </c>
      <c r="K18" s="490">
        <f>SQRT(((D18*G18)^2)+((C18*H18)^2))</f>
        <v>0</v>
      </c>
      <c r="L18" s="312" t="s">
        <v>7</v>
      </c>
      <c r="M18" s="633">
        <v>0</v>
      </c>
      <c r="N18" s="633">
        <v>0</v>
      </c>
      <c r="O18" s="312" t="s">
        <v>792</v>
      </c>
      <c r="P18" s="490">
        <f>C18*M18</f>
        <v>0</v>
      </c>
      <c r="Q18" s="490">
        <f>SQRT(((D18*M18)^2)+((C18*N18)^2))</f>
        <v>0</v>
      </c>
      <c r="R18" s="312" t="s">
        <v>8</v>
      </c>
      <c r="S18" s="392">
        <v>1.0000000000000001E-5</v>
      </c>
      <c r="T18" s="392">
        <v>0</v>
      </c>
      <c r="U18" s="360" t="s">
        <v>397</v>
      </c>
      <c r="V18" s="629">
        <f>C18*S18</f>
        <v>0.10017831493021197</v>
      </c>
      <c r="W18" s="629">
        <f>SQRT(((D18*S18)^2)+((C18*T18)^2))</f>
        <v>0</v>
      </c>
      <c r="X18" s="312" t="s">
        <v>9</v>
      </c>
      <c r="Y18" s="634">
        <v>3.0000000000000001E-6</v>
      </c>
      <c r="Z18" s="634">
        <v>0</v>
      </c>
      <c r="AA18" s="360" t="s">
        <v>398</v>
      </c>
      <c r="AB18" s="611">
        <f>C18*Y18</f>
        <v>3.0053494479063591E-2</v>
      </c>
      <c r="AC18" s="611">
        <f>SQRT(((D18*Y18)^2)+((C18*Z18)^2))</f>
        <v>0</v>
      </c>
    </row>
    <row r="19" spans="1:29" x14ac:dyDescent="0.25">
      <c r="A19" s="147" t="s">
        <v>44</v>
      </c>
      <c r="B19" s="66" t="s">
        <v>740</v>
      </c>
      <c r="C19" s="632">
        <f>(11698*(($B$10)^(2/3)))/($B$11*$B$12)</f>
        <v>0.13896445420695358</v>
      </c>
      <c r="D19" s="632">
        <f>0.15*C19</f>
        <v>2.0844668131043038E-2</v>
      </c>
      <c r="E19" s="115" t="s">
        <v>782</v>
      </c>
      <c r="F19" s="66" t="s">
        <v>191</v>
      </c>
      <c r="G19" s="484">
        <v>29.76</v>
      </c>
      <c r="H19" s="484">
        <v>0</v>
      </c>
      <c r="I19" s="66" t="s">
        <v>785</v>
      </c>
      <c r="J19" s="492">
        <f>C19*G19*B7</f>
        <v>0</v>
      </c>
      <c r="K19" s="492">
        <f>SQRT(((D19*G19)^2)+((C19*H19)^2))*B7</f>
        <v>0</v>
      </c>
      <c r="L19" s="66" t="s">
        <v>192</v>
      </c>
      <c r="M19" s="325">
        <v>1.595</v>
      </c>
      <c r="N19" s="325">
        <v>0</v>
      </c>
      <c r="O19" s="66" t="s">
        <v>786</v>
      </c>
      <c r="P19" s="492">
        <f>C19*M19*B7</f>
        <v>0</v>
      </c>
      <c r="Q19" s="492">
        <f>SQRT(((D19*M19)^2)+((C19*N19)^2))*B7</f>
        <v>0</v>
      </c>
      <c r="R19" s="66" t="s">
        <v>193</v>
      </c>
      <c r="S19" s="486">
        <v>3.5270000000000002E-3</v>
      </c>
      <c r="T19" s="486">
        <v>0</v>
      </c>
      <c r="U19" s="66" t="s">
        <v>787</v>
      </c>
      <c r="V19" s="628">
        <f>C19*S19*B7</f>
        <v>0</v>
      </c>
      <c r="W19" s="628">
        <f>SQRT(((D19*S19)^2)+((C19*T19)^2))*B7</f>
        <v>0</v>
      </c>
      <c r="X19" s="66" t="s">
        <v>194</v>
      </c>
      <c r="Y19" s="499">
        <v>7.3540000000000004E-5</v>
      </c>
      <c r="Z19" s="499">
        <v>0</v>
      </c>
      <c r="AA19" s="66" t="s">
        <v>788</v>
      </c>
      <c r="AB19" s="632">
        <f>C19*Y19*B7</f>
        <v>0</v>
      </c>
      <c r="AC19" s="632">
        <f>SQRT(((D19*Y19)^2)+((C19*Z19)^2))*B7</f>
        <v>0</v>
      </c>
    </row>
    <row r="20" spans="1:29" x14ac:dyDescent="0.25">
      <c r="A20" s="147" t="s">
        <v>45</v>
      </c>
      <c r="B20" s="66"/>
      <c r="C20" s="66"/>
      <c r="D20" s="66"/>
      <c r="E20" s="66"/>
      <c r="F20" s="66" t="s">
        <v>37</v>
      </c>
      <c r="G20" s="325">
        <v>2.5</v>
      </c>
      <c r="H20" s="325">
        <v>0</v>
      </c>
      <c r="I20" s="66" t="s">
        <v>789</v>
      </c>
      <c r="J20" s="492">
        <f>$B$11*J19*$G$20/100</f>
        <v>0</v>
      </c>
      <c r="K20" s="492">
        <f>SQRT((($B$11*K19*$G$20/100)^2)+(($B$11*J19*$H$20/100)^2))</f>
        <v>0</v>
      </c>
      <c r="L20" s="66"/>
      <c r="M20" s="115"/>
      <c r="N20" s="115"/>
      <c r="O20" s="66" t="s">
        <v>774</v>
      </c>
      <c r="P20" s="492">
        <f>$B$11*P19*$G$20/100</f>
        <v>0</v>
      </c>
      <c r="Q20" s="492">
        <f>SQRT((($B$11*Q19*$G$20/100)^2)+(($B$11*P19*$H$20/100)^2))</f>
        <v>0</v>
      </c>
      <c r="R20" s="66"/>
      <c r="S20" s="606"/>
      <c r="T20" s="606"/>
      <c r="U20" s="66" t="s">
        <v>789</v>
      </c>
      <c r="V20" s="628">
        <f>$B$11*V19*$G$20/100</f>
        <v>0</v>
      </c>
      <c r="W20" s="628">
        <f>SQRT((($B$11*W19*$G$20/100)^2)+(($B$11*V19*$H$20/100)^2))</f>
        <v>0</v>
      </c>
      <c r="X20" s="66"/>
      <c r="Y20" s="606"/>
      <c r="Z20" s="606"/>
      <c r="AA20" s="66" t="s">
        <v>789</v>
      </c>
      <c r="AB20" s="632">
        <f>$B$11*AB19*$G$20/100</f>
        <v>0</v>
      </c>
      <c r="AC20" s="632">
        <f>SQRT((($B$11*AC19*$G$20/100)^2)+(($B$11*AB19*$H$20/100)^2))</f>
        <v>0</v>
      </c>
    </row>
    <row r="21" spans="1:29" x14ac:dyDescent="0.25">
      <c r="A21" s="147" t="s">
        <v>46</v>
      </c>
      <c r="B21" s="66"/>
      <c r="C21" s="66"/>
      <c r="D21" s="66"/>
      <c r="E21" s="66"/>
      <c r="F21" s="66" t="s">
        <v>37</v>
      </c>
      <c r="G21" s="325">
        <v>4</v>
      </c>
      <c r="H21" s="325">
        <v>1</v>
      </c>
      <c r="I21" s="66" t="s">
        <v>772</v>
      </c>
      <c r="J21" s="492">
        <f>J19*$G$21/100</f>
        <v>0</v>
      </c>
      <c r="K21" s="492">
        <f>SQRT(((K19*($G$21/100))^2)+((J19*($H$21/100))^2))</f>
        <v>0</v>
      </c>
      <c r="L21" s="66"/>
      <c r="M21" s="115"/>
      <c r="N21" s="115"/>
      <c r="O21" s="66" t="s">
        <v>775</v>
      </c>
      <c r="P21" s="492">
        <f>P19*$G$21/100</f>
        <v>0</v>
      </c>
      <c r="Q21" s="492">
        <f>SQRT(((Q19*($G$21/100))^2)+((P19*($H$21/100))^2))</f>
        <v>0</v>
      </c>
      <c r="R21" s="66"/>
      <c r="S21" s="111"/>
      <c r="T21" s="111"/>
      <c r="U21" s="66" t="s">
        <v>778</v>
      </c>
      <c r="V21" s="628">
        <f>V19*$G$21/100</f>
        <v>0</v>
      </c>
      <c r="W21" s="628">
        <f>SQRT(((W19*($G$21/100))^2)+((V19*($H$21/100))^2))</f>
        <v>0</v>
      </c>
      <c r="X21" s="66"/>
      <c r="Y21" s="111"/>
      <c r="Z21" s="111"/>
      <c r="AA21" s="66" t="s">
        <v>781</v>
      </c>
      <c r="AB21" s="632">
        <f>AB19*$G$21/100</f>
        <v>0</v>
      </c>
      <c r="AC21" s="632">
        <f>SQRT(((AC19*($G$21/100))^2)+((AB19*($H$21/100))^2))</f>
        <v>0</v>
      </c>
    </row>
    <row r="22" spans="1:29" x14ac:dyDescent="0.25">
      <c r="A22" s="3"/>
      <c r="E22" s="116"/>
      <c r="I22" s="116"/>
      <c r="J22" s="491"/>
      <c r="K22" s="491"/>
      <c r="O22" s="116"/>
      <c r="P22" s="491"/>
      <c r="Q22" s="491"/>
      <c r="U22" s="116"/>
      <c r="V22" s="630"/>
      <c r="W22" s="630"/>
      <c r="AA22" s="116"/>
      <c r="AB22" s="612"/>
      <c r="AC22" s="612"/>
    </row>
    <row r="23" spans="1:29" x14ac:dyDescent="0.25">
      <c r="A23" s="2" t="s">
        <v>18</v>
      </c>
      <c r="E23" s="116"/>
      <c r="I23" s="116"/>
      <c r="J23" s="493">
        <f>SUM(J17:J21)</f>
        <v>0</v>
      </c>
      <c r="K23" s="493">
        <f>SQRT((K17^2)+(K18^2)+(K19^2)+(K20^2)+(K21^2))</f>
        <v>0</v>
      </c>
      <c r="O23" s="116"/>
      <c r="P23" s="493">
        <f>SUM(P17:P21)</f>
        <v>0</v>
      </c>
      <c r="Q23" s="493">
        <f>SQRT((Q17^2)+(Q18^2)+(Q19^2)+(Q20^2)+(Q21^2))</f>
        <v>0</v>
      </c>
      <c r="U23" s="116"/>
      <c r="V23" s="631">
        <f>SUM(V17:V21)</f>
        <v>0.10017831493021197</v>
      </c>
      <c r="W23" s="631">
        <f>SQRT((W17^2)+(W18^2)+(W19^2)+(W20^2)+(W21^2))</f>
        <v>0</v>
      </c>
      <c r="AA23" s="116"/>
      <c r="AB23" s="613">
        <f>SUM(AB17:AB21)</f>
        <v>3.0053494479063591E-2</v>
      </c>
      <c r="AC23" s="613">
        <f>SQRT((AC17^2)+(AC18^2)+(AC19^2)+(AC20^2)+(AC21^2))</f>
        <v>0</v>
      </c>
    </row>
    <row r="24" spans="1:29" x14ac:dyDescent="0.25">
      <c r="E24" s="116"/>
      <c r="I24" s="116"/>
      <c r="O24" s="116"/>
      <c r="U24" s="116"/>
      <c r="AA24" s="116"/>
    </row>
    <row r="25" spans="1:29" x14ac:dyDescent="0.25">
      <c r="E25" s="116"/>
      <c r="I25" s="116"/>
      <c r="O25" s="116"/>
      <c r="U25" s="116"/>
      <c r="AA25" s="116"/>
    </row>
    <row r="26" spans="1:29" x14ac:dyDescent="0.25">
      <c r="E26" s="116"/>
      <c r="I26" s="116"/>
      <c r="O26" s="116"/>
      <c r="U26" s="116"/>
      <c r="AA26" s="116"/>
    </row>
  </sheetData>
  <phoneticPr fontId="0" type="noConversion"/>
  <pageMargins left="0.75" right="0.75" top="1" bottom="1" header="0.5" footer="0.5"/>
  <pageSetup paperSize="9" orientation="portrait" verticalDpi="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6"/>
  <sheetViews>
    <sheetView workbookViewId="0"/>
  </sheetViews>
  <sheetFormatPr defaultRowHeight="13.2" x14ac:dyDescent="0.25"/>
  <cols>
    <col min="1" max="1" width="80.5546875" customWidth="1"/>
    <col min="2" max="9" width="25.6640625" customWidth="1"/>
    <col min="10" max="10" width="14.109375" customWidth="1"/>
    <col min="11" max="11" width="14.5546875" customWidth="1"/>
    <col min="12" max="12" width="12.6640625" customWidth="1"/>
    <col min="16" max="16" width="18.109375" customWidth="1"/>
    <col min="17" max="17" width="17.109375" customWidth="1"/>
    <col min="18" max="18" width="12.6640625" customWidth="1"/>
    <col min="19" max="20" width="10.5546875" bestFit="1" customWidth="1"/>
    <col min="22" max="22" width="16" customWidth="1"/>
    <col min="23" max="23" width="13.88671875" customWidth="1"/>
    <col min="24" max="24" width="12.33203125" customWidth="1"/>
    <col min="25" max="25" width="12" customWidth="1"/>
    <col min="26" max="26" width="11.6640625" customWidth="1"/>
    <col min="28" max="28" width="18.6640625" customWidth="1"/>
    <col min="29" max="29" width="16.6640625" customWidth="1"/>
  </cols>
  <sheetData>
    <row r="1" spans="1:29" x14ac:dyDescent="0.25">
      <c r="A1" s="151" t="s">
        <v>240</v>
      </c>
      <c r="B1" s="926" t="s">
        <v>1145</v>
      </c>
    </row>
    <row r="2" spans="1:29" x14ac:dyDescent="0.25">
      <c r="A2" s="151" t="s">
        <v>243</v>
      </c>
      <c r="B2" s="361" t="s">
        <v>198</v>
      </c>
    </row>
    <row r="3" spans="1:29" x14ac:dyDescent="0.25">
      <c r="A3" s="151" t="s">
        <v>241</v>
      </c>
      <c r="B3" s="852" t="s">
        <v>1115</v>
      </c>
    </row>
    <row r="4" spans="1:29" x14ac:dyDescent="0.25">
      <c r="A4" s="151" t="s">
        <v>242</v>
      </c>
      <c r="B4" s="41">
        <v>2004</v>
      </c>
    </row>
    <row r="5" spans="1:29" x14ac:dyDescent="0.25">
      <c r="A5" s="23"/>
      <c r="B5" s="23"/>
      <c r="C5" s="23"/>
      <c r="D5" s="23"/>
      <c r="E5" s="23"/>
      <c r="F5" s="23"/>
      <c r="G5" s="23"/>
      <c r="H5" s="23"/>
      <c r="I5" s="23"/>
    </row>
    <row r="6" spans="1:29" s="271" customFormat="1" x14ac:dyDescent="0.25">
      <c r="A6" s="565" t="s">
        <v>408</v>
      </c>
      <c r="B6" s="396"/>
      <c r="C6" s="396"/>
      <c r="D6" s="407"/>
      <c r="E6" s="408"/>
    </row>
    <row r="7" spans="1:29" s="116" customFormat="1" x14ac:dyDescent="0.25">
      <c r="A7" s="397" t="s">
        <v>409</v>
      </c>
      <c r="B7" s="386" t="str">
        <f>Credit</f>
        <v>Replacement Generation</v>
      </c>
      <c r="C7" s="170"/>
      <c r="D7" s="638"/>
      <c r="E7" s="570"/>
    </row>
    <row r="8" spans="1:29" s="116" customFormat="1" x14ac:dyDescent="0.25">
      <c r="A8" s="397"/>
      <c r="B8" s="170" t="s">
        <v>244</v>
      </c>
      <c r="C8" s="170"/>
      <c r="D8" s="639"/>
      <c r="E8" s="640" t="s">
        <v>27</v>
      </c>
      <c r="F8" s="42" t="s">
        <v>247</v>
      </c>
      <c r="G8" s="42"/>
      <c r="H8" s="42"/>
      <c r="I8" s="42" t="s">
        <v>27</v>
      </c>
      <c r="J8" s="42" t="s">
        <v>410</v>
      </c>
      <c r="K8" s="42"/>
      <c r="L8" s="42" t="s">
        <v>251</v>
      </c>
      <c r="M8" s="42"/>
      <c r="N8" s="42"/>
      <c r="O8" s="42" t="s">
        <v>27</v>
      </c>
      <c r="P8" s="42" t="s">
        <v>411</v>
      </c>
      <c r="Q8" s="42"/>
      <c r="R8" s="42" t="s">
        <v>253</v>
      </c>
      <c r="S8" s="42"/>
      <c r="T8" s="42"/>
      <c r="U8" s="42" t="s">
        <v>27</v>
      </c>
      <c r="V8" s="42" t="s">
        <v>412</v>
      </c>
      <c r="W8" s="42"/>
      <c r="X8" s="42" t="s">
        <v>255</v>
      </c>
      <c r="Y8" s="42"/>
      <c r="Z8" s="42"/>
      <c r="AA8" s="42" t="s">
        <v>27</v>
      </c>
      <c r="AB8" s="42" t="s">
        <v>413</v>
      </c>
      <c r="AC8" s="42"/>
    </row>
    <row r="9" spans="1:29" s="116" customFormat="1" x14ac:dyDescent="0.25">
      <c r="A9" s="398" t="s">
        <v>790</v>
      </c>
      <c r="B9" s="170" t="s">
        <v>246</v>
      </c>
      <c r="C9" s="170" t="s">
        <v>248</v>
      </c>
      <c r="D9" s="639" t="s">
        <v>249</v>
      </c>
      <c r="E9" s="640"/>
      <c r="F9" s="42" t="s">
        <v>246</v>
      </c>
      <c r="G9" s="42" t="s">
        <v>248</v>
      </c>
      <c r="H9" s="42" t="s">
        <v>249</v>
      </c>
      <c r="I9" s="42"/>
      <c r="J9" s="42" t="s">
        <v>248</v>
      </c>
      <c r="K9" s="42" t="s">
        <v>249</v>
      </c>
      <c r="L9" s="42" t="s">
        <v>246</v>
      </c>
      <c r="M9" s="42" t="s">
        <v>248</v>
      </c>
      <c r="N9" s="42" t="s">
        <v>249</v>
      </c>
      <c r="O9" s="42"/>
      <c r="P9" s="42" t="s">
        <v>248</v>
      </c>
      <c r="Q9" s="42" t="s">
        <v>249</v>
      </c>
      <c r="R9" s="42" t="s">
        <v>246</v>
      </c>
      <c r="S9" s="42" t="s">
        <v>248</v>
      </c>
      <c r="T9" s="42" t="s">
        <v>249</v>
      </c>
      <c r="U9" s="42"/>
      <c r="V9" s="42" t="s">
        <v>248</v>
      </c>
      <c r="W9" s="42" t="s">
        <v>249</v>
      </c>
      <c r="X9" s="42" t="s">
        <v>246</v>
      </c>
      <c r="Y9" s="42" t="s">
        <v>248</v>
      </c>
      <c r="Z9" s="42" t="s">
        <v>249</v>
      </c>
      <c r="AA9" s="42"/>
      <c r="AB9" s="42" t="s">
        <v>248</v>
      </c>
      <c r="AC9" s="42" t="s">
        <v>249</v>
      </c>
    </row>
    <row r="10" spans="1:29" s="116" customFormat="1" x14ac:dyDescent="0.25">
      <c r="A10" s="917" t="s">
        <v>1132</v>
      </c>
      <c r="B10" s="643" t="s">
        <v>37</v>
      </c>
      <c r="C10" s="644">
        <v>25</v>
      </c>
      <c r="D10" s="434">
        <v>0</v>
      </c>
      <c r="E10" s="640"/>
      <c r="F10" s="42"/>
      <c r="G10" s="42"/>
      <c r="H10" s="42"/>
      <c r="I10" s="42"/>
      <c r="J10" s="42"/>
      <c r="K10" s="42"/>
      <c r="L10" s="42"/>
      <c r="M10" s="42"/>
      <c r="N10" s="42"/>
      <c r="O10" s="42"/>
      <c r="P10" s="42"/>
      <c r="Q10" s="42"/>
      <c r="R10" s="42"/>
      <c r="S10" s="42"/>
      <c r="T10" s="42"/>
      <c r="U10" s="42"/>
      <c r="V10" s="42"/>
      <c r="W10" s="42"/>
      <c r="X10" s="42"/>
      <c r="Y10" s="42"/>
      <c r="Z10" s="42"/>
      <c r="AA10" s="42"/>
      <c r="AB10" s="42"/>
      <c r="AC10" s="42"/>
    </row>
    <row r="11" spans="1:29" s="116" customFormat="1" x14ac:dyDescent="0.25">
      <c r="A11" s="397" t="s">
        <v>1129</v>
      </c>
      <c r="B11" s="170" t="s">
        <v>37</v>
      </c>
      <c r="C11" s="645">
        <f>(Unitflowchart!AA101*100)/(Unitflowchart!AA101+Unitflowchart!AA103)</f>
        <v>0</v>
      </c>
      <c r="D11" s="646">
        <v>0</v>
      </c>
      <c r="E11" s="640"/>
      <c r="F11" s="314" t="s">
        <v>414</v>
      </c>
      <c r="G11" s="913">
        <v>1.05</v>
      </c>
      <c r="H11" s="913">
        <v>0</v>
      </c>
      <c r="I11" s="112" t="s">
        <v>1123</v>
      </c>
      <c r="J11" s="316">
        <f>C11*G11</f>
        <v>0</v>
      </c>
      <c r="K11" s="316">
        <f>SQRT(((D11*G11)^2)+((C11*H11)^2))</f>
        <v>0</v>
      </c>
      <c r="L11" s="66" t="s">
        <v>7</v>
      </c>
      <c r="M11" s="915">
        <v>5.5724000000000003E-2</v>
      </c>
      <c r="N11" s="915">
        <v>0</v>
      </c>
      <c r="O11" s="112" t="s">
        <v>1124</v>
      </c>
      <c r="P11" s="914">
        <f>C11*M11</f>
        <v>0</v>
      </c>
      <c r="Q11" s="914">
        <f>SQRT(((D11*M11)^2)+((C11*N11)^2))</f>
        <v>0</v>
      </c>
      <c r="R11" s="66" t="s">
        <v>8</v>
      </c>
      <c r="S11" s="915">
        <v>6.6799999999999997E-5</v>
      </c>
      <c r="T11" s="915">
        <v>0</v>
      </c>
      <c r="U11" s="112" t="s">
        <v>1125</v>
      </c>
      <c r="V11" s="914">
        <f>C11*S11</f>
        <v>0</v>
      </c>
      <c r="W11" s="914">
        <f>SQRT(((D11*S11)^2)+((C11*T11)^2))</f>
        <v>0</v>
      </c>
      <c r="X11" s="66" t="s">
        <v>9</v>
      </c>
      <c r="Y11" s="915">
        <v>1.8300000000000001E-7</v>
      </c>
      <c r="Z11" s="915">
        <v>0</v>
      </c>
      <c r="AA11" s="112" t="s">
        <v>1126</v>
      </c>
      <c r="AB11" s="914">
        <f>C11*Y11</f>
        <v>0</v>
      </c>
      <c r="AC11" s="914">
        <f>SQRT(((D11*Y11)^2)+((C11*Z11)^2))</f>
        <v>0</v>
      </c>
    </row>
    <row r="12" spans="1:29" s="116" customFormat="1" x14ac:dyDescent="0.25">
      <c r="A12" s="397" t="s">
        <v>791</v>
      </c>
      <c r="B12" s="170" t="s">
        <v>37</v>
      </c>
      <c r="C12" s="645">
        <f>(Unitflowchart!AA103*100)/(Unitflowchart!AA101+Unitflowchart!AA103)</f>
        <v>100</v>
      </c>
      <c r="D12" s="646">
        <v>0</v>
      </c>
      <c r="E12" s="640"/>
      <c r="F12" s="314" t="s">
        <v>414</v>
      </c>
      <c r="G12" s="387">
        <v>0</v>
      </c>
      <c r="H12" s="387">
        <v>0</v>
      </c>
      <c r="I12" s="312"/>
      <c r="J12" s="316">
        <f>C12*G12/$C$10</f>
        <v>0</v>
      </c>
      <c r="K12" s="316">
        <f>SQRT(((D12*G12)^2)+((C12*H12)^2))/$C$10</f>
        <v>0</v>
      </c>
      <c r="L12" s="312" t="s">
        <v>188</v>
      </c>
      <c r="M12" s="387">
        <v>0</v>
      </c>
      <c r="N12" s="387">
        <v>0</v>
      </c>
      <c r="O12" s="312" t="s">
        <v>792</v>
      </c>
      <c r="P12" s="388">
        <f>C12*M12/$C$10</f>
        <v>0</v>
      </c>
      <c r="Q12" s="388">
        <f>SQRT(((D12*M12)^2)+((C12*N12)^2))/$C$10</f>
        <v>0</v>
      </c>
      <c r="R12" s="312" t="s">
        <v>189</v>
      </c>
      <c r="S12" s="392">
        <f>0.00001*3.6</f>
        <v>3.6000000000000001E-5</v>
      </c>
      <c r="T12" s="392">
        <v>0</v>
      </c>
      <c r="U12" s="395" t="s">
        <v>769</v>
      </c>
      <c r="V12" s="389">
        <f>C12*S12/$C$10</f>
        <v>1.44E-4</v>
      </c>
      <c r="W12" s="389">
        <f>SQRT(((D12*S12)^2)+((C12*T12)^2))/$C$10</f>
        <v>0</v>
      </c>
      <c r="X12" s="312" t="s">
        <v>190</v>
      </c>
      <c r="Y12" s="392">
        <f>0.000003*3.6</f>
        <v>1.08E-5</v>
      </c>
      <c r="Z12" s="392">
        <v>0</v>
      </c>
      <c r="AA12" s="395" t="s">
        <v>398</v>
      </c>
      <c r="AB12" s="390">
        <f>C12*Y12/$C$10</f>
        <v>4.32E-5</v>
      </c>
      <c r="AC12" s="390">
        <f>SQRT(((D12*Y12)^2)+((C12*Z12)^2))/$C$10</f>
        <v>0</v>
      </c>
    </row>
    <row r="13" spans="1:29" s="116" customFormat="1" x14ac:dyDescent="0.25">
      <c r="A13" s="663" t="s">
        <v>209</v>
      </c>
      <c r="B13" s="170"/>
      <c r="C13" s="170"/>
      <c r="D13" s="639"/>
      <c r="E13" s="640"/>
      <c r="F13"/>
      <c r="G13"/>
      <c r="H13"/>
      <c r="I13"/>
      <c r="J13" s="294">
        <f>SUM(J11:J12)</f>
        <v>0</v>
      </c>
      <c r="K13" s="294">
        <f>SQRT(SUMSQ(K11:K12))</f>
        <v>0</v>
      </c>
      <c r="L13"/>
      <c r="M13"/>
      <c r="N13"/>
      <c r="O13"/>
      <c r="P13" s="393">
        <f>SUM(P11:P12)</f>
        <v>0</v>
      </c>
      <c r="Q13" s="393">
        <f>SQRT(SUMSQ(Q11:Q12))</f>
        <v>0</v>
      </c>
      <c r="R13"/>
      <c r="S13"/>
      <c r="T13"/>
      <c r="U13"/>
      <c r="V13" s="171">
        <f>SUM(V11:V12)</f>
        <v>1.44E-4</v>
      </c>
      <c r="W13" s="171">
        <f>SQRT(SUMSQ(W11:W12))</f>
        <v>0</v>
      </c>
      <c r="X13"/>
      <c r="Y13"/>
      <c r="Z13"/>
      <c r="AA13"/>
      <c r="AB13" s="394">
        <f>SUM(AB11:AB12)</f>
        <v>4.32E-5</v>
      </c>
      <c r="AC13" s="394">
        <f>SQRT(SUMSQ(AC11:AC12))</f>
        <v>0</v>
      </c>
    </row>
    <row r="14" spans="1:29" s="116" customFormat="1" x14ac:dyDescent="0.25">
      <c r="A14" s="571" t="s">
        <v>794</v>
      </c>
      <c r="B14" s="170" t="s">
        <v>739</v>
      </c>
      <c r="C14" s="665">
        <f>Unitflowchart!S139+Unitflowchart!AA132</f>
        <v>2365.3213247411154</v>
      </c>
      <c r="D14" s="639"/>
      <c r="E14" s="640"/>
      <c r="F14"/>
      <c r="G14"/>
      <c r="H14"/>
      <c r="I14"/>
      <c r="J14" s="150"/>
      <c r="K14" s="150"/>
      <c r="L14" s="42"/>
      <c r="M14" s="42"/>
      <c r="N14" s="42"/>
      <c r="O14" s="42"/>
      <c r="P14" s="191"/>
      <c r="Q14" s="191"/>
      <c r="R14" s="42"/>
      <c r="S14" s="42"/>
      <c r="T14" s="42"/>
      <c r="U14" s="42"/>
      <c r="V14" s="796"/>
      <c r="W14" s="796"/>
      <c r="X14" s="42"/>
      <c r="Y14" s="42"/>
      <c r="Z14" s="42"/>
      <c r="AA14" s="42"/>
      <c r="AB14" s="797"/>
      <c r="AC14" s="797"/>
    </row>
    <row r="15" spans="1:29" s="116" customFormat="1" x14ac:dyDescent="0.25">
      <c r="A15" s="571" t="s">
        <v>796</v>
      </c>
      <c r="B15" s="170" t="s">
        <v>739</v>
      </c>
      <c r="C15" s="665">
        <f>Unitflowchart!AA130</f>
        <v>0</v>
      </c>
      <c r="D15" s="639"/>
      <c r="E15" s="640"/>
      <c r="F15"/>
      <c r="G15"/>
      <c r="H15"/>
      <c r="I15"/>
      <c r="J15" s="150"/>
      <c r="K15" s="150"/>
      <c r="L15" s="42"/>
      <c r="M15" s="42"/>
      <c r="N15" s="42"/>
      <c r="O15" s="42"/>
      <c r="P15" s="191"/>
      <c r="Q15" s="191"/>
      <c r="R15" s="42"/>
      <c r="S15" s="42"/>
      <c r="T15" s="42"/>
      <c r="U15" s="42"/>
      <c r="V15" s="796"/>
      <c r="W15" s="796"/>
      <c r="X15" s="42"/>
      <c r="Y15" s="42"/>
      <c r="Z15" s="42"/>
      <c r="AA15" s="42"/>
      <c r="AB15" s="797"/>
      <c r="AC15" s="797"/>
    </row>
    <row r="16" spans="1:29" s="116" customFormat="1" x14ac:dyDescent="0.25">
      <c r="A16" s="571" t="s">
        <v>795</v>
      </c>
      <c r="B16" s="170" t="s">
        <v>739</v>
      </c>
      <c r="C16" s="667">
        <f>C14+C15</f>
        <v>2365.3213247411154</v>
      </c>
      <c r="D16" s="639"/>
      <c r="E16" s="640"/>
      <c r="F16"/>
      <c r="G16"/>
      <c r="H16"/>
      <c r="I16"/>
      <c r="J16" s="150"/>
      <c r="K16" s="150"/>
      <c r="L16" s="42"/>
      <c r="M16" s="42"/>
      <c r="N16" s="42"/>
      <c r="O16" s="42"/>
      <c r="P16" s="191"/>
      <c r="Q16" s="191"/>
      <c r="R16" s="42"/>
      <c r="S16" s="42"/>
      <c r="T16" s="42"/>
      <c r="U16" s="42"/>
      <c r="V16" s="796"/>
      <c r="W16" s="796"/>
      <c r="X16" s="42"/>
      <c r="Y16" s="42"/>
      <c r="Z16" s="42"/>
      <c r="AA16" s="42"/>
      <c r="AB16" s="797"/>
      <c r="AC16" s="797"/>
    </row>
    <row r="17" spans="1:29" s="116" customFormat="1" x14ac:dyDescent="0.25">
      <c r="A17" s="571" t="s">
        <v>797</v>
      </c>
      <c r="B17" s="170" t="s">
        <v>37</v>
      </c>
      <c r="C17" s="667">
        <f>(C14/C16)*100</f>
        <v>100</v>
      </c>
      <c r="D17" s="639"/>
      <c r="E17" s="640"/>
      <c r="F17"/>
      <c r="G17"/>
      <c r="H17"/>
      <c r="I17"/>
      <c r="J17" s="150"/>
      <c r="K17" s="150"/>
      <c r="L17" s="42"/>
      <c r="M17" s="42"/>
      <c r="N17" s="42"/>
      <c r="O17" s="42"/>
      <c r="P17" s="191"/>
      <c r="Q17" s="191"/>
      <c r="R17" s="42"/>
      <c r="S17" s="42"/>
      <c r="T17" s="42"/>
      <c r="U17" s="42"/>
      <c r="V17" s="796"/>
      <c r="W17" s="796"/>
      <c r="X17" s="42"/>
      <c r="Y17" s="42"/>
      <c r="Z17" s="42"/>
      <c r="AA17" s="42"/>
      <c r="AB17" s="797"/>
      <c r="AC17" s="797"/>
    </row>
    <row r="18" spans="1:29" s="116" customFormat="1" x14ac:dyDescent="0.25">
      <c r="A18" s="664" t="s">
        <v>798</v>
      </c>
      <c r="B18" s="399" t="s">
        <v>37</v>
      </c>
      <c r="C18" s="668">
        <f>(C15/C16)*100</f>
        <v>0</v>
      </c>
      <c r="D18" s="641"/>
      <c r="E18" s="642"/>
      <c r="F18"/>
      <c r="G18"/>
      <c r="H18"/>
      <c r="I18"/>
      <c r="J18" s="150"/>
      <c r="K18" s="150"/>
      <c r="L18" s="42"/>
      <c r="M18" s="42"/>
      <c r="N18" s="42"/>
      <c r="O18" s="42"/>
      <c r="P18" s="191"/>
      <c r="Q18" s="191"/>
      <c r="R18" s="42"/>
      <c r="S18" s="42"/>
      <c r="T18" s="42"/>
      <c r="U18" s="42"/>
      <c r="V18" s="796"/>
      <c r="W18" s="796"/>
      <c r="X18" s="42"/>
      <c r="Y18" s="42"/>
      <c r="Z18" s="42"/>
      <c r="AA18" s="42"/>
      <c r="AB18" s="797"/>
      <c r="AC18" s="797"/>
    </row>
    <row r="19" spans="1:29" x14ac:dyDescent="0.25">
      <c r="A19" s="23"/>
      <c r="B19" s="29"/>
      <c r="C19" s="23"/>
      <c r="D19" s="23"/>
      <c r="E19" s="23"/>
      <c r="F19" s="23"/>
      <c r="G19" s="23"/>
      <c r="H19" s="23"/>
      <c r="I19" s="23"/>
    </row>
    <row r="20" spans="1:29" x14ac:dyDescent="0.25">
      <c r="A20" s="400" t="s">
        <v>648</v>
      </c>
      <c r="B20" s="401"/>
      <c r="C20" s="153"/>
      <c r="D20" s="153"/>
      <c r="E20" s="153"/>
      <c r="F20" s="153"/>
      <c r="G20" s="153"/>
      <c r="H20" s="153"/>
      <c r="I20" s="153"/>
    </row>
    <row r="21" spans="1:29" s="42" customFormat="1" x14ac:dyDescent="0.25">
      <c r="A21" s="154" t="s">
        <v>199</v>
      </c>
      <c r="B21" s="155" t="s">
        <v>21</v>
      </c>
      <c r="C21" s="156"/>
      <c r="D21" s="155" t="s">
        <v>22</v>
      </c>
      <c r="E21" s="156"/>
      <c r="F21" s="155" t="s">
        <v>23</v>
      </c>
      <c r="G21" s="156"/>
      <c r="H21" s="155" t="s">
        <v>24</v>
      </c>
      <c r="I21" s="157"/>
    </row>
    <row r="22" spans="1:29" s="42" customFormat="1" x14ac:dyDescent="0.25">
      <c r="A22" s="154"/>
      <c r="B22" s="155"/>
      <c r="C22" s="156"/>
      <c r="D22" s="155"/>
      <c r="E22" s="156"/>
      <c r="F22" s="155"/>
      <c r="G22" s="156"/>
      <c r="H22" s="155"/>
      <c r="I22" s="157"/>
    </row>
    <row r="23" spans="1:29" s="42" customFormat="1" x14ac:dyDescent="0.25">
      <c r="A23" s="158"/>
      <c r="B23" s="159" t="s">
        <v>200</v>
      </c>
      <c r="C23" s="160" t="s">
        <v>1154</v>
      </c>
      <c r="D23" s="159" t="s">
        <v>201</v>
      </c>
      <c r="E23" s="160" t="s">
        <v>202</v>
      </c>
      <c r="F23" s="159" t="s">
        <v>203</v>
      </c>
      <c r="G23" s="160" t="s">
        <v>204</v>
      </c>
      <c r="H23" s="159" t="s">
        <v>205</v>
      </c>
      <c r="I23" s="161" t="s">
        <v>206</v>
      </c>
    </row>
    <row r="24" spans="1:29" x14ac:dyDescent="0.25">
      <c r="A24" s="162" t="s">
        <v>207</v>
      </c>
      <c r="C24" s="163"/>
      <c r="E24" s="163"/>
      <c r="G24" s="163"/>
      <c r="I24" s="163"/>
    </row>
    <row r="25" spans="1:29" x14ac:dyDescent="0.25">
      <c r="A25" s="15"/>
      <c r="C25" s="15"/>
      <c r="E25" s="15"/>
      <c r="G25" s="15"/>
      <c r="I25" s="15"/>
    </row>
    <row r="26" spans="1:29" x14ac:dyDescent="0.25">
      <c r="A26" s="15" t="s">
        <v>208</v>
      </c>
      <c r="B26" s="647">
        <f>(BoilerGrid!J25-BoilerGrid!J20)/Unitflowchart!$S$137</f>
        <v>0</v>
      </c>
      <c r="C26" s="647">
        <f>(BoilerGrid!K25-BoilerGrid!K20)/Unitflowchart!$S$137</f>
        <v>0</v>
      </c>
      <c r="D26" s="397">
        <f>(BoilerGrid!P25-BoilerGrid!P20)/(Unitflowchart!$S$137/3.6)</f>
        <v>0</v>
      </c>
      <c r="E26" s="164">
        <f>(BoilerGrid!Q25-BoilerGrid!Q20)/(Unitflowchart!$S$137/3.6)</f>
        <v>0</v>
      </c>
      <c r="F26" s="402">
        <f>(BoilerGrid!V25-BoilerGrid!V20)/(Unitflowchart!$S$137/3.6)</f>
        <v>4.4999999999999908E-5</v>
      </c>
      <c r="G26" s="166">
        <f>(BoilerGrid!W25-BoilerGrid!W20)/(Unitflowchart!$S$137/3.6)</f>
        <v>0</v>
      </c>
      <c r="H26" s="653">
        <f>(BoilerGrid!AB25-BoilerGrid!AB20)/(Unitflowchart!$S$137/3.6)</f>
        <v>1.3499999999999999E-5</v>
      </c>
      <c r="I26" s="654">
        <f>(BoilerGrid!AC25-BoilerGrid!AC20)/(Unitflowchart!$S$137/3.6)</f>
        <v>0</v>
      </c>
    </row>
    <row r="27" spans="1:29" x14ac:dyDescent="0.25">
      <c r="A27" s="15" t="s">
        <v>209</v>
      </c>
      <c r="B27" s="647">
        <f>(BoilerGrid!G20/3.6)</f>
        <v>2.4940000000000002</v>
      </c>
      <c r="C27" s="210">
        <f>(BoilerGrid!H20/3.6)</f>
        <v>0</v>
      </c>
      <c r="D27" s="164">
        <f>BoilerGrid!M20</f>
        <v>0.33100000000000002</v>
      </c>
      <c r="E27" s="165">
        <f>BoilerGrid!N20</f>
        <v>0</v>
      </c>
      <c r="F27" s="166">
        <f>BoilerGrid!S20</f>
        <v>1.0200000000000001E-3</v>
      </c>
      <c r="G27" s="167">
        <f>BoilerGrid!T20</f>
        <v>0</v>
      </c>
      <c r="H27" s="655">
        <f>BoilerGrid!Y20</f>
        <v>2.0873539547630425E-5</v>
      </c>
      <c r="I27" s="654">
        <f>BoilerGrid!Z20</f>
        <v>0</v>
      </c>
    </row>
    <row r="28" spans="1:29" x14ac:dyDescent="0.25">
      <c r="A28" s="168"/>
      <c r="B28" s="648"/>
      <c r="C28" s="649"/>
      <c r="D28" s="169"/>
      <c r="E28" s="168"/>
      <c r="F28" s="169"/>
      <c r="G28" s="168"/>
      <c r="H28" s="656"/>
      <c r="I28" s="657"/>
    </row>
    <row r="29" spans="1:29" x14ac:dyDescent="0.25">
      <c r="A29" s="17" t="s">
        <v>197</v>
      </c>
      <c r="B29" s="190"/>
      <c r="C29" s="31"/>
      <c r="E29" s="15"/>
      <c r="G29" s="15"/>
      <c r="H29" s="658"/>
      <c r="I29" s="659"/>
    </row>
    <row r="30" spans="1:29" x14ac:dyDescent="0.25">
      <c r="A30" s="15"/>
      <c r="B30" s="190"/>
      <c r="C30" s="31"/>
      <c r="E30" s="15"/>
      <c r="G30" s="15"/>
      <c r="H30" s="658"/>
      <c r="I30" s="659"/>
    </row>
    <row r="31" spans="1:29" x14ac:dyDescent="0.25">
      <c r="A31" s="15" t="s">
        <v>208</v>
      </c>
      <c r="B31" s="650">
        <f>(CHP!J23/Unitflowchart!$S$137)*(1/(1+(Unitflowchart!$AA$119/Unitflowchart!$AA$113)))</f>
        <v>0</v>
      </c>
      <c r="C31" s="210">
        <f>(CHP!K23/Unitflowchart!$S$137)*(1/(1+(Unitflowchart!$AA$119/Unitflowchart!$AA$113)))</f>
        <v>0</v>
      </c>
      <c r="D31" s="164">
        <f>(CHP!P23/(Unitflowchart!$S$137/3.6))*(1/(1+(Unitflowchart!$AA$119/Unitflowchart!$AA$113)))</f>
        <v>0</v>
      </c>
      <c r="E31" s="165">
        <f>(CHP!Q23/(Unitflowchart!$S$137/3.6))*(1/(1+(Unitflowchart!$AA$119/Unitflowchart!$AA$113)))</f>
        <v>0</v>
      </c>
      <c r="F31" s="166">
        <f>(CHP!V23/(Unitflowchart!$S$137/3.6))*(1/(1+(Unitflowchart!$AA$119/Unitflowchart!$AA$113)))</f>
        <v>1.411764705882353E-5</v>
      </c>
      <c r="G31" s="167">
        <f>(CHP!W23/(Unitflowchart!$S$137/3.6))*(1/(1+(Unitflowchart!$AA$119/Unitflowchart!$AA$113)))</f>
        <v>0</v>
      </c>
      <c r="H31" s="655">
        <f>(CHP!AB23/(Unitflowchart!$S$137/3.6))*(1/(1+(Unitflowchart!$AA$119/Unitflowchart!$AA$113)))</f>
        <v>4.2352941176470591E-6</v>
      </c>
      <c r="I31" s="654">
        <f>(CHP!AC23/(Unitflowchart!$S$137/3.6))*(1/(1+(Unitflowchart!$AA$119/Unitflowchart!$AA$113)))</f>
        <v>0</v>
      </c>
    </row>
    <row r="32" spans="1:29" x14ac:dyDescent="0.25">
      <c r="A32" s="15" t="s">
        <v>210</v>
      </c>
      <c r="B32" s="650">
        <f>(CHP!J23/(3.6*(Unitflowchart!$S$139+Unitflowchart!$AA$132)))*(1/(1+(Unitflowchart!$AA$113/Unitflowchart!$AA$119)))</f>
        <v>0</v>
      </c>
      <c r="C32" s="210">
        <f>(CHP!K23/(3.6*(Unitflowchart!$S$139+Unitflowchart!$AA$132)))*(1/(1+(Unitflowchart!$AA$113/Unitflowchart!$AA$119)))</f>
        <v>0</v>
      </c>
      <c r="D32" s="170">
        <f>(CHP!P23/(Unitflowchart!$S$139+Unitflowchart!$AA$132))*(1/(1+(Unitflowchart!$AA$113/Unitflowchart!$AA$119)))</f>
        <v>0</v>
      </c>
      <c r="E32" s="165">
        <f>(CHP!Q23/(Unitflowchart!$S$139+Unitflowchart!$AA$132))*(1/(1+(Unitflowchart!$AA$113/Unitflowchart!$AA$119)))</f>
        <v>0</v>
      </c>
      <c r="F32" s="166">
        <f>(CHP!V23/(Unitflowchart!$S$139+Unitflowchart!$AA$132))*(1/(1+(Unitflowchart!$AA$113/Unitflowchart!$AA$119)))</f>
        <v>2.8235294117647063E-5</v>
      </c>
      <c r="G32" s="167">
        <f>((CHP!W23)/(((((Unitflowchart!$S$139*Unitflowchart!$S$286/Unitflowchart!$S$357)+Unitflowchart!$AA$132)))*(1/(1+(Unitflowchart!$AA$113/(Unitflowchart!$AA$119))))))</f>
        <v>0</v>
      </c>
      <c r="H32" s="655">
        <f>(CHP!AB23/(Unitflowchart!$S$139+Unitflowchart!$AA$132))*(1/(1+(Unitflowchart!$AA$113/Unitflowchart!$AA$119)))</f>
        <v>8.4705882352941183E-6</v>
      </c>
      <c r="I32" s="654">
        <f>(CHP!AC23/(Unitflowchart!$S$139+Unitflowchart!$AA$132))*(1/(1+(Unitflowchart!$AA$113/Unitflowchart!$AA$119)))</f>
        <v>0</v>
      </c>
    </row>
    <row r="33" spans="1:9" x14ac:dyDescent="0.25">
      <c r="A33" s="15" t="s">
        <v>799</v>
      </c>
      <c r="B33" s="650">
        <f>(BoilerGrid!G20/3.6)</f>
        <v>2.4940000000000002</v>
      </c>
      <c r="C33" s="210">
        <f>(BoilerGrid!H20/3.6)</f>
        <v>0</v>
      </c>
      <c r="D33" s="170">
        <f>BoilerGrid!M20</f>
        <v>0.33100000000000002</v>
      </c>
      <c r="E33" s="165">
        <f>BoilerGrid!N20</f>
        <v>0</v>
      </c>
      <c r="F33" s="166">
        <f>BoilerGrid!S20</f>
        <v>1.0200000000000001E-3</v>
      </c>
      <c r="G33" s="167">
        <f>BoilerGrid!T20</f>
        <v>0</v>
      </c>
      <c r="H33" s="655">
        <f>BoilerGrid!Y20</f>
        <v>2.0873539547630425E-5</v>
      </c>
      <c r="I33" s="654">
        <f>BoilerGrid!Z20</f>
        <v>0</v>
      </c>
    </row>
    <row r="34" spans="1:9" x14ac:dyDescent="0.25">
      <c r="A34" s="15" t="s">
        <v>793</v>
      </c>
      <c r="B34" s="666">
        <f>(B32*$C$17/100)+(B33*$C$18/100)</f>
        <v>0</v>
      </c>
      <c r="C34" s="669">
        <f>SQRT((($C$17*B32*C33/100)^2)+(($C$18*C32*B33/100)^2))</f>
        <v>0</v>
      </c>
      <c r="D34" s="662">
        <f>(D32*$C$17/100)+(D33*$C$18/100)</f>
        <v>0</v>
      </c>
      <c r="E34" s="670">
        <f>SQRT((($C$17*D32*E33/100)^2)+(($C$18*E32*D33/100)^2))</f>
        <v>0</v>
      </c>
      <c r="F34" s="671">
        <f>(F32*$C$17/100)+(F33*$C$18/100)</f>
        <v>2.8235294117647067E-5</v>
      </c>
      <c r="G34" s="672">
        <f>SQRT((($C$17*F32*G33/100)^2)+(($C$18*G32*F33/100)^2))</f>
        <v>0</v>
      </c>
      <c r="H34" s="673">
        <f>(H32*$C$17/100)+(H33*$C$18/100)</f>
        <v>8.4705882352941183E-6</v>
      </c>
      <c r="I34" s="674">
        <f>SQRT((($C$17*H32*I33/100)^2)+(($C$18*I32*H33/100)^2))</f>
        <v>0</v>
      </c>
    </row>
    <row r="35" spans="1:9" x14ac:dyDescent="0.25">
      <c r="A35" s="15" t="s">
        <v>211</v>
      </c>
      <c r="B35" s="651">
        <f>(IF($B$7="Replacement Generation",-J13,(IF($B$7="Net Grid",B32-B27,(IF($B$7="Gross Grid",-B27))))))</f>
        <v>0</v>
      </c>
      <c r="C35" s="652">
        <f>(IF($B$7="Replacement Generation",-K13,(IF($B$7="Net Grid",C32-C27,(IF($B$7="Gross Grid",-C27))))))</f>
        <v>0</v>
      </c>
      <c r="D35" s="404">
        <f>(IF($B$7="Replacement Generation",-P13,(IF($B$7="Net Grid",D32-D27,(IF($B$7="Gross Grid",-D27))))))</f>
        <v>0</v>
      </c>
      <c r="E35" s="403">
        <f>(IF($B$7="Replacement Generation",-Q13,(IF($B$7="Net Grid",E32-E27,(IF($B$7="Gross Grid",-E27))))))</f>
        <v>0</v>
      </c>
      <c r="F35" s="405">
        <f>(IF($B$7="Replacement Generation",-V13,(IF($B$7="Net Grid",F32-F27,(IF($B$7="Gross Grid",-F27))))))</f>
        <v>-1.44E-4</v>
      </c>
      <c r="G35" s="406">
        <f>(IF($B$7="Replacement Generation",-W13,(IF($B$7="Net Grid",G32-G27,(IF($B$7="Gross Grid",-G27))))))</f>
        <v>0</v>
      </c>
      <c r="H35" s="660">
        <f>(IF($B$7="Replacement Generation",-AB13,(IF($B$7="Net Grid",H32-H27,(IF($B$7="Gross Grid",-H27))))))</f>
        <v>-4.32E-5</v>
      </c>
      <c r="I35" s="661">
        <f>(IF($B$7="Replacement Generation",-AC13,(IF($B$7="Net Grid",I32-I27,(IF($B$7="Gross Grid",-I27))))))</f>
        <v>0</v>
      </c>
    </row>
    <row r="36" spans="1:9" x14ac:dyDescent="0.25">
      <c r="A36" s="16"/>
      <c r="B36" s="153"/>
      <c r="C36" s="16"/>
      <c r="D36" s="153"/>
      <c r="E36" s="16"/>
      <c r="F36" s="153"/>
      <c r="G36" s="16"/>
      <c r="H36" s="153"/>
      <c r="I36" s="16"/>
    </row>
  </sheetData>
  <phoneticPr fontId="0" type="noConversion"/>
  <pageMargins left="0.75" right="0.75" top="1" bottom="1" header="0.5" footer="0.5"/>
  <pageSetup paperSize="9"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5" topLeftCell="B16" activePane="bottomRight" state="frozen"/>
      <selection pane="topRight" activeCell="B1" sqref="B1"/>
      <selection pane="bottomLeft" activeCell="A16" sqref="A16"/>
      <selection pane="bottomRight"/>
    </sheetView>
  </sheetViews>
  <sheetFormatPr defaultRowHeight="13.2" x14ac:dyDescent="0.25"/>
  <cols>
    <col min="1" max="1" width="54.6640625" customWidth="1"/>
    <col min="2" max="2" width="27.88671875" customWidth="1"/>
    <col min="3" max="9" width="25.6640625" customWidth="1"/>
    <col min="10" max="10" width="12.6640625" customWidth="1"/>
    <col min="11" max="11" width="13.44140625" customWidth="1"/>
    <col min="12" max="12" width="12" customWidth="1"/>
    <col min="16" max="16" width="14.6640625" customWidth="1"/>
    <col min="17" max="17" width="19.44140625" customWidth="1"/>
    <col min="18" max="18" width="13" customWidth="1"/>
    <col min="19" max="19" width="10.5546875" bestFit="1" customWidth="1"/>
    <col min="20" max="20" width="12.6640625" customWidth="1"/>
    <col min="21" max="21" width="10" customWidth="1"/>
    <col min="22" max="22" width="14.109375" customWidth="1"/>
    <col min="23" max="23" width="15" customWidth="1"/>
    <col min="24" max="24" width="11.88671875" customWidth="1"/>
    <col min="25" max="25" width="12.5546875" customWidth="1"/>
    <col min="26" max="26" width="13.5546875" customWidth="1"/>
    <col min="27" max="27" width="10" customWidth="1"/>
    <col min="28" max="28" width="14.6640625" customWidth="1"/>
    <col min="29" max="29" width="18.6640625" customWidth="1"/>
  </cols>
  <sheetData>
    <row r="1" spans="1:29" x14ac:dyDescent="0.25">
      <c r="A1" s="2" t="s">
        <v>240</v>
      </c>
      <c r="B1" s="877" t="s">
        <v>1778</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EnergySupply!I31*Unitflowchart!$S$128</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EnergySupply!I34*Unitflowchart!$S$128</f>
        <v>0</v>
      </c>
    </row>
    <row r="12" spans="1:29" x14ac:dyDescent="0.25">
      <c r="A12" s="1495" t="s">
        <v>1781</v>
      </c>
      <c r="B12" s="185">
        <f>Unitflowchart!S146*Unitflowchart!S72/Unitflowchart!S357</f>
        <v>176.70572036660997</v>
      </c>
      <c r="C12" s="186"/>
      <c r="D12" s="186"/>
      <c r="E12" s="186"/>
      <c r="F12" s="187"/>
      <c r="G12" s="187"/>
      <c r="H12" s="188"/>
      <c r="I12" s="188"/>
    </row>
    <row r="13" spans="1:29" s="42" customFormat="1" x14ac:dyDescent="0.25">
      <c r="A13" s="208"/>
      <c r="B13" s="209"/>
      <c r="C13" s="186"/>
      <c r="D13" s="186"/>
      <c r="E13" s="186"/>
      <c r="F13" s="187"/>
      <c r="G13" s="187"/>
      <c r="H13" s="188"/>
      <c r="I13" s="188"/>
    </row>
    <row r="14" spans="1:29" s="358" customFormat="1" x14ac:dyDescent="0.25">
      <c r="A14" s="358" t="s">
        <v>245</v>
      </c>
      <c r="B14" s="358" t="s">
        <v>244</v>
      </c>
      <c r="E14" s="358" t="s">
        <v>27</v>
      </c>
      <c r="F14" s="358" t="s">
        <v>247</v>
      </c>
      <c r="I14" s="358" t="s">
        <v>27</v>
      </c>
      <c r="J14" s="358" t="s">
        <v>811</v>
      </c>
      <c r="L14" s="358" t="s">
        <v>251</v>
      </c>
      <c r="O14" s="358" t="s">
        <v>27</v>
      </c>
      <c r="P14" s="358" t="s">
        <v>812</v>
      </c>
      <c r="R14" s="358" t="s">
        <v>253</v>
      </c>
      <c r="U14" s="358" t="s">
        <v>27</v>
      </c>
      <c r="V14" s="358" t="s">
        <v>814</v>
      </c>
      <c r="X14" s="358" t="s">
        <v>255</v>
      </c>
      <c r="AA14" s="358" t="s">
        <v>27</v>
      </c>
      <c r="AB14" s="358" t="s">
        <v>815</v>
      </c>
    </row>
    <row r="15" spans="1:29" s="3" customFormat="1" x14ac:dyDescent="0.25">
      <c r="A15" s="43"/>
      <c r="B15" s="358" t="s">
        <v>246</v>
      </c>
      <c r="C15" s="358" t="s">
        <v>248</v>
      </c>
      <c r="D15" s="358" t="s">
        <v>249</v>
      </c>
      <c r="E15" s="358"/>
      <c r="F15" s="358"/>
      <c r="G15" s="358" t="s">
        <v>248</v>
      </c>
      <c r="H15" s="358" t="s">
        <v>249</v>
      </c>
      <c r="I15" s="358"/>
      <c r="J15" s="358" t="s">
        <v>248</v>
      </c>
      <c r="K15" s="358" t="s">
        <v>249</v>
      </c>
      <c r="L15" s="358" t="s">
        <v>246</v>
      </c>
      <c r="M15" s="358" t="s">
        <v>248</v>
      </c>
      <c r="N15" s="358" t="s">
        <v>249</v>
      </c>
      <c r="O15" s="358"/>
      <c r="P15" s="358" t="s">
        <v>248</v>
      </c>
      <c r="Q15" s="358" t="s">
        <v>249</v>
      </c>
      <c r="R15" s="358" t="s">
        <v>246</v>
      </c>
      <c r="S15" s="358" t="s">
        <v>248</v>
      </c>
      <c r="T15" s="358" t="s">
        <v>249</v>
      </c>
      <c r="U15" s="358"/>
      <c r="V15" s="358" t="s">
        <v>248</v>
      </c>
      <c r="W15" s="358" t="s">
        <v>249</v>
      </c>
      <c r="X15" s="358" t="s">
        <v>246</v>
      </c>
      <c r="Y15" s="358" t="s">
        <v>248</v>
      </c>
      <c r="Z15" s="358" t="s">
        <v>249</v>
      </c>
      <c r="AA15" s="358"/>
      <c r="AB15" s="358" t="s">
        <v>248</v>
      </c>
      <c r="AC15" s="358" t="s">
        <v>249</v>
      </c>
    </row>
    <row r="16" spans="1:29" s="3" customFormat="1" x14ac:dyDescent="0.25">
      <c r="A16" s="1496" t="s">
        <v>1779</v>
      </c>
      <c r="C16" s="327"/>
      <c r="D16" s="327"/>
      <c r="E16" s="327"/>
      <c r="G16" s="327"/>
      <c r="H16" s="327"/>
      <c r="I16" s="327"/>
      <c r="J16" s="327"/>
      <c r="K16" s="327"/>
    </row>
    <row r="17" spans="1:29" s="359" customFormat="1" x14ac:dyDescent="0.25">
      <c r="A17" s="357"/>
    </row>
    <row r="18" spans="1:29" x14ac:dyDescent="0.25">
      <c r="A18" s="15" t="s">
        <v>122</v>
      </c>
      <c r="B18" t="s">
        <v>739</v>
      </c>
      <c r="C18" s="356">
        <f>$B$12</f>
        <v>176.70572036660997</v>
      </c>
      <c r="D18" s="414">
        <v>0</v>
      </c>
      <c r="E18" s="10" t="s">
        <v>1780</v>
      </c>
      <c r="F18" t="s">
        <v>187</v>
      </c>
      <c r="G18" s="862">
        <f>3.6*(B9+B11)</f>
        <v>0</v>
      </c>
      <c r="H18" s="862">
        <f>3.6*(C9+C11)</f>
        <v>0</v>
      </c>
      <c r="I18" s="10" t="s">
        <v>808</v>
      </c>
      <c r="J18" s="490">
        <f>C18*G18</f>
        <v>0</v>
      </c>
      <c r="K18" s="490">
        <f>SQRT(((D18*G18)^2)+((C18*H18)^2))</f>
        <v>0</v>
      </c>
      <c r="L18" t="s">
        <v>188</v>
      </c>
      <c r="M18" s="862">
        <f>(D9+D11)</f>
        <v>0</v>
      </c>
      <c r="N18" s="862">
        <f>(E9+E11)</f>
        <v>0</v>
      </c>
      <c r="O18" s="10" t="s">
        <v>803</v>
      </c>
      <c r="P18" s="490">
        <f>C18*M18</f>
        <v>0</v>
      </c>
      <c r="Q18" s="490">
        <f>SQRT(((D18*M18)^2)+((C18*N18)^2))</f>
        <v>0</v>
      </c>
      <c r="R18" t="s">
        <v>189</v>
      </c>
      <c r="S18" s="1449">
        <f>(F9+F11)</f>
        <v>2.8235294117647067E-5</v>
      </c>
      <c r="T18" s="1449">
        <f>(G9+G11)</f>
        <v>0</v>
      </c>
      <c r="U18" s="10" t="s">
        <v>805</v>
      </c>
      <c r="V18" s="573">
        <f>C18*S18</f>
        <v>4.9893379868219297E-3</v>
      </c>
      <c r="W18" s="573">
        <f>SQRT(((D18*S18)^2)+((C18*T18)^2))</f>
        <v>0</v>
      </c>
      <c r="X18" t="s">
        <v>190</v>
      </c>
      <c r="Y18" s="1452">
        <f>(H9+H11)</f>
        <v>8.4705882352941183E-6</v>
      </c>
      <c r="Z18" s="1452">
        <f>(I9+I11)</f>
        <v>0</v>
      </c>
      <c r="AA18" s="10" t="s">
        <v>807</v>
      </c>
      <c r="AB18" s="487">
        <f>C18*Y18</f>
        <v>1.4968013960465786E-3</v>
      </c>
      <c r="AC18" s="487">
        <f>SQRT(((D18*Y18)^2)+((C18*Z18)^2))</f>
        <v>0</v>
      </c>
    </row>
    <row r="19" spans="1:29" s="3" customFormat="1" x14ac:dyDescent="0.25">
      <c r="A19" s="43"/>
      <c r="J19" s="686"/>
      <c r="K19" s="686"/>
      <c r="P19" s="686"/>
      <c r="Q19" s="686"/>
      <c r="V19" s="687"/>
      <c r="W19" s="687"/>
      <c r="AB19" s="689"/>
      <c r="AC19" s="689"/>
    </row>
    <row r="20" spans="1:29" s="2" customFormat="1" x14ac:dyDescent="0.25">
      <c r="A20" s="17" t="s">
        <v>369</v>
      </c>
      <c r="J20" s="493">
        <f>SUM(J18:J19)</f>
        <v>0</v>
      </c>
      <c r="K20" s="493">
        <f>SQRT(SUMSQ(K18:K18))</f>
        <v>0</v>
      </c>
      <c r="P20" s="493">
        <f>SUM(P18:P19)</f>
        <v>0</v>
      </c>
      <c r="Q20" s="493">
        <f>SQRT(SUMSQ(Q18:Q18))</f>
        <v>0</v>
      </c>
      <c r="V20" s="489">
        <f>SUM(V18:V19)</f>
        <v>4.9893379868219297E-3</v>
      </c>
      <c r="W20" s="489">
        <f>SQRT(SUMSQ(W18:W18))</f>
        <v>0</v>
      </c>
      <c r="AB20" s="677">
        <f>SUM(AB18:AB19)</f>
        <v>1.4968013960465786E-3</v>
      </c>
      <c r="AC20" s="677">
        <f>SQRT(SUMSQ(AC18:AC18))</f>
        <v>0</v>
      </c>
    </row>
    <row r="21" spans="1:29" x14ac:dyDescent="0.25">
      <c r="A21" s="15"/>
    </row>
    <row r="22" spans="1:29" s="42" customFormat="1" x14ac:dyDescent="0.25">
      <c r="B22" s="353"/>
      <c r="C22" s="10"/>
      <c r="D22" s="10"/>
      <c r="E22" s="11"/>
      <c r="G22" s="10"/>
      <c r="H22" s="10"/>
      <c r="I22" s="10"/>
      <c r="J22" s="10"/>
      <c r="K22" s="10"/>
      <c r="M22" s="10"/>
      <c r="N22" s="10"/>
      <c r="O22" s="10"/>
      <c r="P22" s="10"/>
      <c r="Q22" s="10"/>
      <c r="S22" s="10"/>
      <c r="T22" s="10"/>
      <c r="U22" s="10"/>
      <c r="V22" s="10"/>
      <c r="W22" s="10"/>
      <c r="Y22" s="10"/>
      <c r="Z22" s="10"/>
      <c r="AA22" s="10"/>
      <c r="AB22" s="10"/>
      <c r="AC22" s="10"/>
    </row>
    <row r="23" spans="1:29" s="42" customFormat="1" x14ac:dyDescent="0.25">
      <c r="B23" s="353"/>
      <c r="C23" s="10"/>
      <c r="D23" s="10"/>
      <c r="E23" s="11"/>
      <c r="G23" s="10"/>
      <c r="H23" s="10"/>
      <c r="I23" s="10"/>
      <c r="J23" s="10"/>
      <c r="K23" s="10"/>
      <c r="M23" s="10"/>
      <c r="N23" s="10"/>
      <c r="O23" s="10"/>
      <c r="P23" s="10"/>
      <c r="Q23" s="10"/>
      <c r="S23" s="10"/>
      <c r="T23" s="10"/>
      <c r="U23" s="10"/>
      <c r="V23" s="10"/>
      <c r="W23" s="10"/>
      <c r="Y23" s="10"/>
      <c r="Z23" s="10"/>
      <c r="AA23" s="10"/>
      <c r="AB23" s="10"/>
      <c r="AC23" s="10"/>
    </row>
    <row r="24" spans="1:29" s="42" customFormat="1" x14ac:dyDescent="0.25">
      <c r="B24" s="353"/>
      <c r="C24" s="10"/>
      <c r="D24" s="10"/>
      <c r="E24" s="11"/>
      <c r="G24" s="10"/>
      <c r="H24" s="10"/>
      <c r="I24" s="10"/>
      <c r="J24" s="10"/>
      <c r="K24" s="10"/>
      <c r="M24" s="10"/>
      <c r="N24" s="10"/>
      <c r="O24" s="10"/>
      <c r="P24" s="10"/>
      <c r="Q24" s="10"/>
      <c r="S24" s="10"/>
      <c r="T24" s="10"/>
      <c r="U24" s="10"/>
      <c r="V24" s="10"/>
      <c r="W24" s="10"/>
      <c r="Y24" s="10"/>
      <c r="Z24" s="10"/>
      <c r="AA24" s="10"/>
      <c r="AB24" s="10"/>
      <c r="AC24" s="10"/>
    </row>
    <row r="25" spans="1:29" s="42" customFormat="1" x14ac:dyDescent="0.25">
      <c r="B25" s="353"/>
      <c r="C25" s="204"/>
      <c r="D25" s="10"/>
      <c r="E25" s="10"/>
      <c r="G25" s="205"/>
      <c r="H25" s="205"/>
      <c r="I25" s="10"/>
      <c r="J25" s="10"/>
      <c r="K25" s="10"/>
      <c r="M25" s="205"/>
      <c r="N25" s="205"/>
      <c r="O25" s="10"/>
      <c r="P25" s="10"/>
      <c r="Q25" s="10"/>
      <c r="S25" s="206"/>
      <c r="T25" s="206"/>
      <c r="U25" s="10"/>
      <c r="V25" s="10"/>
      <c r="W25" s="10"/>
      <c r="Y25" s="207"/>
      <c r="Z25" s="207"/>
      <c r="AA25" s="10"/>
      <c r="AB25" s="10"/>
      <c r="AC25" s="10"/>
    </row>
    <row r="26" spans="1:29" s="42" customFormat="1" x14ac:dyDescent="0.25">
      <c r="C26" s="204"/>
      <c r="D26" s="10"/>
      <c r="E26" s="10"/>
      <c r="G26" s="205"/>
      <c r="H26" s="205"/>
      <c r="I26" s="10"/>
      <c r="J26" s="10"/>
      <c r="K26" s="10"/>
      <c r="M26" s="205"/>
      <c r="N26" s="205"/>
      <c r="O26" s="10"/>
      <c r="P26" s="10"/>
      <c r="Q26" s="10"/>
      <c r="S26" s="206"/>
      <c r="T26" s="206"/>
      <c r="U26" s="10"/>
      <c r="V26" s="10"/>
      <c r="W26" s="10"/>
      <c r="Y26" s="207"/>
      <c r="Z26" s="207"/>
      <c r="AA26" s="10"/>
      <c r="AB26" s="10"/>
      <c r="AC26" s="10"/>
    </row>
    <row r="27" spans="1:29" s="42" customFormat="1" x14ac:dyDescent="0.25">
      <c r="B27" s="353"/>
      <c r="C27" s="10"/>
      <c r="D27" s="10"/>
      <c r="E27" s="11"/>
      <c r="G27" s="10"/>
      <c r="H27" s="10"/>
      <c r="I27" s="10"/>
      <c r="J27" s="10"/>
      <c r="K27" s="10"/>
      <c r="M27" s="10"/>
      <c r="N27" s="10"/>
      <c r="O27" s="10"/>
      <c r="P27" s="10"/>
      <c r="Q27" s="10"/>
      <c r="S27" s="10"/>
      <c r="T27" s="10"/>
      <c r="U27" s="10"/>
      <c r="V27" s="10"/>
      <c r="W27" s="10"/>
      <c r="Y27" s="10"/>
      <c r="Z27" s="10"/>
      <c r="AA27" s="10"/>
      <c r="AB27" s="10"/>
      <c r="AC27" s="10"/>
    </row>
    <row r="28" spans="1:29" s="42" customFormat="1" x14ac:dyDescent="0.25">
      <c r="C28" s="10"/>
      <c r="D28" s="10"/>
      <c r="E28" s="10"/>
      <c r="G28" s="10"/>
      <c r="H28" s="10"/>
      <c r="I28" s="10"/>
      <c r="J28" s="10"/>
      <c r="K28" s="10"/>
      <c r="M28" s="10"/>
      <c r="N28" s="10"/>
      <c r="O28" s="10"/>
      <c r="P28" s="10"/>
      <c r="Q28" s="10"/>
      <c r="S28" s="10"/>
      <c r="T28" s="10"/>
      <c r="U28" s="10"/>
      <c r="V28" s="10"/>
      <c r="W28" s="10"/>
      <c r="Y28" s="10"/>
      <c r="Z28" s="10"/>
      <c r="AA28" s="10"/>
      <c r="AB28" s="10"/>
      <c r="AC28" s="10"/>
    </row>
    <row r="29" spans="1:29" s="42" customFormat="1" x14ac:dyDescent="0.25">
      <c r="A29" s="143"/>
      <c r="B29" s="143"/>
      <c r="C29" s="354"/>
      <c r="D29" s="354"/>
      <c r="E29" s="354"/>
      <c r="F29" s="143"/>
      <c r="G29" s="354"/>
      <c r="H29" s="354"/>
      <c r="I29" s="354"/>
      <c r="J29" s="354"/>
      <c r="K29" s="354"/>
      <c r="L29" s="143"/>
      <c r="M29" s="354"/>
      <c r="N29" s="354"/>
      <c r="O29" s="354"/>
      <c r="P29" s="354"/>
      <c r="Q29" s="354"/>
      <c r="R29" s="143"/>
      <c r="S29" s="354"/>
      <c r="T29" s="354"/>
      <c r="U29" s="354"/>
      <c r="V29" s="354"/>
      <c r="W29" s="354"/>
      <c r="X29" s="143"/>
      <c r="Y29" s="354"/>
      <c r="Z29" s="354"/>
      <c r="AA29" s="354"/>
      <c r="AB29" s="354"/>
      <c r="AC29" s="354"/>
    </row>
    <row r="30" spans="1:29" s="42" customFormat="1" x14ac:dyDescent="0.25"/>
    <row r="31" spans="1:29" s="42" customFormat="1" x14ac:dyDescent="0.25"/>
    <row r="32" spans="1:29" s="42" customFormat="1" x14ac:dyDescent="0.2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4"/>
  <sheetViews>
    <sheetView workbookViewId="0">
      <pane xSplit="1" ySplit="26" topLeftCell="B27" activePane="bottomRight" state="frozen"/>
      <selection pane="topRight" activeCell="B1" sqref="B1"/>
      <selection pane="bottomLeft" activeCell="A17" sqref="A17"/>
      <selection pane="bottomRight"/>
    </sheetView>
  </sheetViews>
  <sheetFormatPr defaultRowHeight="13.2" x14ac:dyDescent="0.25"/>
  <cols>
    <col min="1" max="1" width="58.109375" customWidth="1"/>
    <col min="2" max="2" width="27.88671875" customWidth="1"/>
    <col min="3" max="9" width="25.6640625" customWidth="1"/>
    <col min="10" max="10" width="12.6640625" customWidth="1"/>
    <col min="11" max="11" width="13.44140625" customWidth="1"/>
    <col min="12" max="12" width="12" customWidth="1"/>
    <col min="13" max="13" width="11.6640625" customWidth="1"/>
    <col min="14" max="14" width="13" customWidth="1"/>
    <col min="16" max="16" width="14.6640625" customWidth="1"/>
    <col min="17" max="17" width="19.44140625" customWidth="1"/>
    <col min="18" max="18" width="13" customWidth="1"/>
    <col min="19" max="19" width="17" customWidth="1"/>
    <col min="20" max="20" width="17.88671875" customWidth="1"/>
    <col min="21" max="21" width="10" customWidth="1"/>
    <col min="22" max="22" width="14.109375" customWidth="1"/>
    <col min="23" max="23" width="15" customWidth="1"/>
    <col min="24" max="24" width="11.88671875" customWidth="1"/>
    <col min="25" max="25" width="18.33203125" customWidth="1"/>
    <col min="26" max="26" width="19" customWidth="1"/>
    <col min="27" max="27" width="10" customWidth="1"/>
    <col min="28" max="28" width="14.6640625" customWidth="1"/>
    <col min="29" max="29" width="18.6640625" customWidth="1"/>
  </cols>
  <sheetData>
    <row r="1" spans="1:29" x14ac:dyDescent="0.25">
      <c r="A1" s="2" t="s">
        <v>240</v>
      </c>
      <c r="B1" s="877" t="s">
        <v>1922</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EnergySupply!I31*Unitflowchart!$S$128</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EnergySupply!I34*Unitflowchart!$S$128</f>
        <v>0</v>
      </c>
    </row>
    <row r="12" spans="1:29" x14ac:dyDescent="0.25">
      <c r="A12" s="1519" t="s">
        <v>1821</v>
      </c>
      <c r="B12" s="1520">
        <f>Unitflowchart!$S$164*Unitflowchart!$S$153/Unitflowchart!$S$294</f>
        <v>1078.6367690680165</v>
      </c>
      <c r="C12" s="186"/>
      <c r="D12" s="186"/>
      <c r="E12" s="186"/>
      <c r="F12" s="187"/>
      <c r="G12" s="187"/>
      <c r="H12" s="188"/>
      <c r="I12" s="188"/>
    </row>
    <row r="13" spans="1:29" x14ac:dyDescent="0.25">
      <c r="A13" s="1217" t="s">
        <v>1822</v>
      </c>
      <c r="B13" s="724">
        <f>Unitflowchart!$S$166*Unitflowchart!$S$153/Unitflowchart!$S$294</f>
        <v>1138.7900804183348</v>
      </c>
      <c r="C13" s="186"/>
      <c r="D13" s="186"/>
      <c r="E13" s="186"/>
      <c r="F13" s="187"/>
      <c r="G13" s="187"/>
      <c r="H13" s="188"/>
      <c r="I13" s="188"/>
    </row>
    <row r="14" spans="1:29" x14ac:dyDescent="0.25">
      <c r="A14" s="1217" t="s">
        <v>1823</v>
      </c>
      <c r="B14" s="724">
        <f>(process_H2SO4*Unitflowchart!$S$153*(100-Unitflowchart!$S$155)/100)/Unitflowchart!$S$294</f>
        <v>170.35326155849387</v>
      </c>
      <c r="C14" s="186"/>
      <c r="D14" s="186"/>
      <c r="E14" s="186"/>
      <c r="F14" s="187"/>
      <c r="G14" s="187"/>
      <c r="H14" s="188"/>
      <c r="I14" s="188"/>
    </row>
    <row r="15" spans="1:29" x14ac:dyDescent="0.25">
      <c r="A15" s="1217" t="s">
        <v>1905</v>
      </c>
      <c r="B15" s="724">
        <f>(process_NaOH*Unitflowchart!$S$153*(100-Unitflowchart!$S$155)/100)/Unitflowchart!$S$294</f>
        <v>0</v>
      </c>
      <c r="C15" s="186"/>
      <c r="D15" s="186"/>
      <c r="E15" s="186"/>
      <c r="F15" s="187"/>
      <c r="G15" s="187"/>
      <c r="H15" s="188"/>
      <c r="I15" s="188"/>
    </row>
    <row r="16" spans="1:29" x14ac:dyDescent="0.25">
      <c r="A16" s="1217" t="s">
        <v>1904</v>
      </c>
      <c r="B16" s="724">
        <f>(process_H2O*Unitflowchart!$S$153*(100-Unitflowchart!$S$155)/100)/Unitflowchart!$S$294</f>
        <v>0</v>
      </c>
      <c r="C16" s="186"/>
      <c r="D16" s="186"/>
      <c r="E16" s="186"/>
      <c r="F16" s="187"/>
      <c r="G16" s="187"/>
      <c r="H16" s="188"/>
      <c r="I16" s="188"/>
    </row>
    <row r="17" spans="1:29" x14ac:dyDescent="0.25">
      <c r="A17" s="1217" t="s">
        <v>1824</v>
      </c>
      <c r="B17" s="724">
        <f>(process_NH3*Unitflowchart!$S$153*(100-Unitflowchart!$S$155)/100)/Unitflowchart!$S$294</f>
        <v>100.2078009167611</v>
      </c>
      <c r="C17" s="186"/>
      <c r="D17" s="186"/>
      <c r="E17" s="186"/>
      <c r="F17" s="187"/>
      <c r="G17" s="187"/>
      <c r="H17" s="188"/>
      <c r="I17" s="188"/>
    </row>
    <row r="18" spans="1:29" x14ac:dyDescent="0.25">
      <c r="A18" s="1217" t="s">
        <v>1825</v>
      </c>
      <c r="B18" s="724">
        <f>(process_CSL*Unitflowchart!$S$153*(100-Unitflowchart!$S$155)/100)/Unitflowchart!$S$294</f>
        <v>113.80743104117866</v>
      </c>
      <c r="C18" s="186"/>
      <c r="D18" s="186"/>
      <c r="E18" s="186"/>
      <c r="F18" s="187"/>
      <c r="G18" s="187"/>
      <c r="H18" s="188"/>
      <c r="I18" s="188"/>
    </row>
    <row r="19" spans="1:29" x14ac:dyDescent="0.25">
      <c r="A19" s="1217" t="s">
        <v>1826</v>
      </c>
      <c r="B19" s="724">
        <f>(process_DIAPHOS*Unitflowchart!$S$153*(100-Unitflowchart!$S$155)/100)/Unitflowchart!$S$294</f>
        <v>12.168090111320991</v>
      </c>
      <c r="C19" s="186"/>
      <c r="D19" s="186"/>
      <c r="E19" s="186"/>
      <c r="F19" s="187"/>
      <c r="G19" s="187"/>
      <c r="H19" s="188"/>
      <c r="I19" s="188"/>
    </row>
    <row r="20" spans="1:29" x14ac:dyDescent="0.25">
      <c r="A20" s="1217" t="s">
        <v>1827</v>
      </c>
      <c r="B20" s="724">
        <f>(process_SORBITOL*Unitflowchart!$S$153*(100-Unitflowchart!$S$155)/100)/Unitflowchart!$S$294</f>
        <v>3.5788500327414674</v>
      </c>
      <c r="C20" s="186"/>
      <c r="D20" s="186"/>
      <c r="E20" s="186"/>
      <c r="F20" s="187"/>
      <c r="G20" s="187"/>
      <c r="H20" s="188"/>
      <c r="I20" s="188"/>
    </row>
    <row r="21" spans="1:29" x14ac:dyDescent="0.25">
      <c r="A21" s="1217" t="s">
        <v>1828</v>
      </c>
      <c r="B21" s="724">
        <f>(process_GLUCOSE*Unitflowchart!$S$153*(100-Unitflowchart!$S$155)/100)/Unitflowchart!$S$294</f>
        <v>207.57330189900509</v>
      </c>
      <c r="C21" s="186"/>
      <c r="D21" s="186"/>
      <c r="E21" s="186"/>
      <c r="F21" s="187"/>
      <c r="G21" s="187"/>
      <c r="H21" s="188"/>
      <c r="I21" s="188"/>
    </row>
    <row r="22" spans="1:29" x14ac:dyDescent="0.25">
      <c r="A22" s="1217" t="s">
        <v>1829</v>
      </c>
      <c r="B22" s="724">
        <f>(process_NUTRIENT*Unitflowchart!$S$153*(100-Unitflowchart!$S$155)/100)/Unitflowchart!$S$294</f>
        <v>5.7261600523863478</v>
      </c>
      <c r="C22" s="186"/>
      <c r="D22" s="186"/>
      <c r="E22" s="186"/>
      <c r="F22" s="187"/>
      <c r="G22" s="187"/>
      <c r="H22" s="188"/>
      <c r="I22" s="188"/>
    </row>
    <row r="23" spans="1:29" x14ac:dyDescent="0.25">
      <c r="A23" s="1521" t="s">
        <v>1830</v>
      </c>
      <c r="B23" s="1522">
        <f>(process_SO2*Unitflowchart!$S$153*(100-Unitflowchart!$S$155)/100)/Unitflowchart!$S$294</f>
        <v>1.431540013096587</v>
      </c>
      <c r="C23" s="186"/>
      <c r="D23" s="186"/>
      <c r="E23" s="186"/>
      <c r="F23" s="187"/>
      <c r="G23" s="187"/>
      <c r="H23" s="188"/>
      <c r="I23" s="188"/>
    </row>
    <row r="24" spans="1:29" s="42" customFormat="1" x14ac:dyDescent="0.25">
      <c r="A24" s="208"/>
      <c r="B24" s="209"/>
      <c r="C24" s="186"/>
      <c r="D24" s="186"/>
      <c r="E24" s="186"/>
      <c r="F24" s="187"/>
      <c r="G24" s="187"/>
      <c r="H24" s="188"/>
      <c r="I24" s="188"/>
    </row>
    <row r="25" spans="1:29" s="358" customFormat="1" x14ac:dyDescent="0.25">
      <c r="A25" s="358" t="s">
        <v>245</v>
      </c>
      <c r="B25" s="358" t="s">
        <v>244</v>
      </c>
      <c r="E25" s="358" t="s">
        <v>27</v>
      </c>
      <c r="F25" s="358" t="s">
        <v>247</v>
      </c>
      <c r="I25" s="358" t="s">
        <v>27</v>
      </c>
      <c r="J25" s="358" t="s">
        <v>811</v>
      </c>
      <c r="L25" s="358" t="s">
        <v>251</v>
      </c>
      <c r="O25" s="358" t="s">
        <v>27</v>
      </c>
      <c r="P25" s="358" t="s">
        <v>812</v>
      </c>
      <c r="R25" s="358" t="s">
        <v>253</v>
      </c>
      <c r="U25" s="358" t="s">
        <v>27</v>
      </c>
      <c r="V25" s="358" t="s">
        <v>814</v>
      </c>
      <c r="X25" s="358" t="s">
        <v>255</v>
      </c>
      <c r="AA25" s="358" t="s">
        <v>27</v>
      </c>
      <c r="AB25" s="358" t="s">
        <v>815</v>
      </c>
    </row>
    <row r="26" spans="1:29" s="3" customFormat="1" x14ac:dyDescent="0.25">
      <c r="A26" s="43"/>
      <c r="B26" s="358" t="s">
        <v>246</v>
      </c>
      <c r="C26" s="358" t="s">
        <v>248</v>
      </c>
      <c r="D26" s="358" t="s">
        <v>249</v>
      </c>
      <c r="E26" s="358"/>
      <c r="F26" s="358"/>
      <c r="G26" s="358" t="s">
        <v>248</v>
      </c>
      <c r="H26" s="358" t="s">
        <v>249</v>
      </c>
      <c r="I26" s="358"/>
      <c r="J26" s="358" t="s">
        <v>248</v>
      </c>
      <c r="K26" s="358" t="s">
        <v>249</v>
      </c>
      <c r="L26" s="358" t="s">
        <v>246</v>
      </c>
      <c r="M26" s="358" t="s">
        <v>248</v>
      </c>
      <c r="N26" s="358" t="s">
        <v>249</v>
      </c>
      <c r="O26" s="358"/>
      <c r="P26" s="358" t="s">
        <v>248</v>
      </c>
      <c r="Q26" s="358" t="s">
        <v>249</v>
      </c>
      <c r="R26" s="358" t="s">
        <v>246</v>
      </c>
      <c r="S26" s="358" t="s">
        <v>248</v>
      </c>
      <c r="T26" s="358" t="s">
        <v>249</v>
      </c>
      <c r="U26" s="358"/>
      <c r="V26" s="358" t="s">
        <v>248</v>
      </c>
      <c r="W26" s="358" t="s">
        <v>249</v>
      </c>
      <c r="X26" s="358" t="s">
        <v>246</v>
      </c>
      <c r="Y26" s="358" t="s">
        <v>248</v>
      </c>
      <c r="Z26" s="358" t="s">
        <v>249</v>
      </c>
      <c r="AA26" s="358"/>
      <c r="AB26" s="358" t="s">
        <v>248</v>
      </c>
      <c r="AC26" s="358" t="s">
        <v>249</v>
      </c>
    </row>
    <row r="27" spans="1:29" s="3" customFormat="1" x14ac:dyDescent="0.25">
      <c r="A27" s="1496" t="s">
        <v>1917</v>
      </c>
      <c r="C27" s="327"/>
      <c r="D27" s="327"/>
      <c r="E27" s="327"/>
      <c r="G27" s="327"/>
      <c r="H27" s="327"/>
      <c r="I27" s="327"/>
      <c r="J27" s="327"/>
      <c r="K27" s="327"/>
    </row>
    <row r="28" spans="1:29" s="359" customFormat="1" x14ac:dyDescent="0.25">
      <c r="A28" s="357"/>
    </row>
    <row r="29" spans="1:29" s="3" customFormat="1" x14ac:dyDescent="0.25">
      <c r="A29" s="43" t="s">
        <v>123</v>
      </c>
      <c r="B29" s="3" t="s">
        <v>442</v>
      </c>
      <c r="C29" s="680">
        <f t="shared" ref="C29:C40" si="0">B12</f>
        <v>1078.6367690680165</v>
      </c>
      <c r="D29" s="680">
        <v>0</v>
      </c>
      <c r="E29" s="1447" t="s">
        <v>1807</v>
      </c>
      <c r="F29" s="3" t="s">
        <v>6</v>
      </c>
      <c r="G29" s="862">
        <f>B8+B10</f>
        <v>0</v>
      </c>
      <c r="H29" s="862">
        <f>C8+C10</f>
        <v>0</v>
      </c>
      <c r="I29" s="11" t="s">
        <v>801</v>
      </c>
      <c r="J29" s="685">
        <f>C29*G29</f>
        <v>0</v>
      </c>
      <c r="K29" s="685">
        <f>SQRT(((D29*G29)^2)+((C29*H29)^2))</f>
        <v>0</v>
      </c>
      <c r="L29" s="3" t="s">
        <v>7</v>
      </c>
      <c r="M29" s="862">
        <f>(D8+D10)/3.6</f>
        <v>0</v>
      </c>
      <c r="N29" s="862">
        <f>(E8+E10)/3.6</f>
        <v>0</v>
      </c>
      <c r="O29" s="11" t="s">
        <v>802</v>
      </c>
      <c r="P29" s="685">
        <f>C29*M29</f>
        <v>0</v>
      </c>
      <c r="Q29" s="685">
        <f>SQRT(((D29*M29)^2)+((C29*N29)^2))</f>
        <v>0</v>
      </c>
      <c r="R29" s="3" t="s">
        <v>8</v>
      </c>
      <c r="S29" s="1449">
        <f>(F8+F10)/3.6</f>
        <v>3.9215686274509803E-6</v>
      </c>
      <c r="T29" s="1449">
        <f>(G8+G10)/3.6</f>
        <v>0</v>
      </c>
      <c r="U29" s="11" t="s">
        <v>804</v>
      </c>
      <c r="V29" s="685">
        <f>C29*S29</f>
        <v>4.2299481139922218E-3</v>
      </c>
      <c r="W29" s="685">
        <f>SQRT(((D29*S29)^2)+((C29*T29)^2))</f>
        <v>0</v>
      </c>
      <c r="X29" s="3" t="s">
        <v>9</v>
      </c>
      <c r="Y29" s="1452">
        <f>(H8+H10)/3.6</f>
        <v>1.1764705882352942E-6</v>
      </c>
      <c r="Z29" s="1452">
        <f>(I8+I10)/3.6</f>
        <v>0</v>
      </c>
      <c r="AA29" s="11" t="s">
        <v>806</v>
      </c>
      <c r="AB29" s="1450">
        <f>C29*Y29</f>
        <v>1.2689844341976667E-3</v>
      </c>
      <c r="AC29" s="1450">
        <f>SQRT(((D29*Y29)^2)+((C29*Z29)^2))</f>
        <v>0</v>
      </c>
    </row>
    <row r="30" spans="1:29" s="3" customFormat="1" x14ac:dyDescent="0.25">
      <c r="A30" s="1446" t="s">
        <v>122</v>
      </c>
      <c r="B30" s="852" t="s">
        <v>739</v>
      </c>
      <c r="C30" s="680">
        <f t="shared" si="0"/>
        <v>1138.7900804183348</v>
      </c>
      <c r="D30" s="680">
        <v>0</v>
      </c>
      <c r="E30" s="1447" t="s">
        <v>1808</v>
      </c>
      <c r="F30" s="844" t="s">
        <v>187</v>
      </c>
      <c r="G30" s="862">
        <f>3.6*(B9+B11)</f>
        <v>0</v>
      </c>
      <c r="H30" s="862">
        <f>3.6*(C9+C11)</f>
        <v>0</v>
      </c>
      <c r="I30" s="1447" t="s">
        <v>808</v>
      </c>
      <c r="J30" s="685">
        <f>C30*G30</f>
        <v>0</v>
      </c>
      <c r="K30" s="685">
        <f>SQRT(((D30*G30)^2)+((C30*H30)^2))</f>
        <v>0</v>
      </c>
      <c r="L30" s="844" t="s">
        <v>188</v>
      </c>
      <c r="M30" s="862">
        <f>D9+D11</f>
        <v>0</v>
      </c>
      <c r="N30" s="862">
        <f>E9+E11</f>
        <v>0</v>
      </c>
      <c r="O30" s="1447" t="s">
        <v>803</v>
      </c>
      <c r="P30" s="685">
        <f>C30*M30</f>
        <v>0</v>
      </c>
      <c r="Q30" s="685">
        <f>SQRT(((D30*M30)^2)+((C30*N30)^2))</f>
        <v>0</v>
      </c>
      <c r="R30" s="844" t="s">
        <v>189</v>
      </c>
      <c r="S30" s="1477">
        <f>F9+F11</f>
        <v>2.8235294117647067E-5</v>
      </c>
      <c r="T30" s="1477">
        <f>G9+G11</f>
        <v>0</v>
      </c>
      <c r="U30" s="1447" t="s">
        <v>805</v>
      </c>
      <c r="V30" s="685">
        <f>C30*S30</f>
        <v>3.215407285887064E-2</v>
      </c>
      <c r="W30" s="685">
        <f>SQRT(((D30*S30)^2)+((C30*T30)^2))</f>
        <v>0</v>
      </c>
      <c r="X30" s="844" t="s">
        <v>190</v>
      </c>
      <c r="Y30" s="1449">
        <f>H9+H11</f>
        <v>8.4705882352941183E-6</v>
      </c>
      <c r="Z30" s="1449">
        <f>I9+I11</f>
        <v>0</v>
      </c>
      <c r="AA30" s="1447" t="s">
        <v>807</v>
      </c>
      <c r="AB30" s="1450">
        <f>C30*Y30</f>
        <v>9.6462218576611903E-3</v>
      </c>
      <c r="AC30" s="1450">
        <f>SQRT(((D30*Y30)^2)+((C30*Z30)^2))</f>
        <v>0</v>
      </c>
    </row>
    <row r="31" spans="1:29" s="3" customFormat="1" x14ac:dyDescent="0.25">
      <c r="A31" s="1446" t="s">
        <v>1831</v>
      </c>
      <c r="B31" s="852" t="s">
        <v>553</v>
      </c>
      <c r="C31" s="680">
        <f t="shared" si="0"/>
        <v>170.35326155849387</v>
      </c>
      <c r="D31" s="680">
        <v>0</v>
      </c>
      <c r="E31" s="1447" t="s">
        <v>1838</v>
      </c>
      <c r="F31" s="844" t="s">
        <v>15</v>
      </c>
      <c r="G31" s="860">
        <v>2.4</v>
      </c>
      <c r="H31" s="860">
        <v>2.7</v>
      </c>
      <c r="I31" s="1447" t="s">
        <v>1846</v>
      </c>
      <c r="J31" s="685">
        <f>C31*G31</f>
        <v>408.8478277403853</v>
      </c>
      <c r="K31" s="685">
        <f>SQRT(((D31*G31)^2)+((C31*H31)^2))</f>
        <v>459.9538062079335</v>
      </c>
      <c r="L31" s="844" t="s">
        <v>16</v>
      </c>
      <c r="M31" s="862">
        <v>0.13</v>
      </c>
      <c r="N31" s="862">
        <v>0.16</v>
      </c>
      <c r="O31" s="1447" t="s">
        <v>1847</v>
      </c>
      <c r="P31" s="685">
        <f>C31*M31</f>
        <v>22.145924002604204</v>
      </c>
      <c r="Q31" s="685">
        <f>SQRT(((D31*M31)^2)+((C31*N31)^2))</f>
        <v>27.256521849359018</v>
      </c>
      <c r="R31" s="844" t="s">
        <v>1392</v>
      </c>
      <c r="S31" s="1448">
        <v>2.7E-4</v>
      </c>
      <c r="T31" s="1448">
        <v>2.9999999999999997E-4</v>
      </c>
      <c r="U31" s="1447" t="s">
        <v>1848</v>
      </c>
      <c r="V31" s="685">
        <f t="shared" ref="V31:V40" si="1">C31*S31</f>
        <v>4.5995380620793343E-2</v>
      </c>
      <c r="W31" s="685">
        <f t="shared" ref="W31:W40" si="2">SQRT(((D31*S31)^2)+((C31*T31)^2))</f>
        <v>5.1105978467548156E-2</v>
      </c>
      <c r="X31" s="844" t="s">
        <v>1393</v>
      </c>
      <c r="Y31" s="1453">
        <v>1.9999999999999999E-7</v>
      </c>
      <c r="Z31" s="1453">
        <v>2.9999999999999999E-7</v>
      </c>
      <c r="AA31" s="1447" t="s">
        <v>1849</v>
      </c>
      <c r="AB31" s="1450">
        <f t="shared" ref="AB31:AB40" si="3">C31*Y31</f>
        <v>3.4070652311698774E-5</v>
      </c>
      <c r="AC31" s="1450">
        <f t="shared" ref="AC31:AC40" si="4">SQRT(((D31*Y31)^2)+((C31*Z31)^2))</f>
        <v>5.1105978467548161E-5</v>
      </c>
    </row>
    <row r="32" spans="1:29" s="3" customFormat="1" x14ac:dyDescent="0.25">
      <c r="A32" s="1446" t="s">
        <v>1879</v>
      </c>
      <c r="B32" s="852" t="s">
        <v>553</v>
      </c>
      <c r="C32" s="680">
        <f t="shared" si="0"/>
        <v>0</v>
      </c>
      <c r="D32" s="680">
        <v>0</v>
      </c>
      <c r="E32" s="1447" t="s">
        <v>1907</v>
      </c>
      <c r="F32" s="844" t="s">
        <v>15</v>
      </c>
      <c r="G32" s="1478">
        <v>20</v>
      </c>
      <c r="H32" s="1478">
        <v>3</v>
      </c>
      <c r="I32" s="1447" t="s">
        <v>1909</v>
      </c>
      <c r="J32" s="685">
        <f t="shared" ref="J32:J33" si="5">C32*G32</f>
        <v>0</v>
      </c>
      <c r="K32" s="685">
        <f t="shared" ref="K32:K33" si="6">SQRT(((D32*G32)^2)+((C32*H32)^2))</f>
        <v>0</v>
      </c>
      <c r="L32" s="844" t="s">
        <v>16</v>
      </c>
      <c r="M32" s="860">
        <v>1.1200000000000001</v>
      </c>
      <c r="N32" s="860">
        <v>0.17</v>
      </c>
      <c r="O32" s="1447" t="s">
        <v>1910</v>
      </c>
      <c r="P32" s="685">
        <f t="shared" ref="P32:P33" si="7">C32*M32</f>
        <v>0</v>
      </c>
      <c r="Q32" s="685">
        <f t="shared" ref="Q32:Q33" si="8">SQRT(((D32*M32)^2)+((C32*N32)^2))</f>
        <v>0</v>
      </c>
      <c r="R32" s="844" t="s">
        <v>1392</v>
      </c>
      <c r="S32" s="1477">
        <v>3.2499999999999999E-3</v>
      </c>
      <c r="T32" s="1477">
        <v>4.8999999999999998E-4</v>
      </c>
      <c r="U32" s="1447" t="s">
        <v>1912</v>
      </c>
      <c r="V32" s="685">
        <f t="shared" ref="V32:V33" si="9">C32*S32</f>
        <v>0</v>
      </c>
      <c r="W32" s="685">
        <f t="shared" ref="W32:W33" si="10">SQRT(((D32*S32)^2)+((C32*T32)^2))</f>
        <v>0</v>
      </c>
      <c r="X32" s="844" t="s">
        <v>1393</v>
      </c>
      <c r="Y32" s="862">
        <v>0</v>
      </c>
      <c r="Z32" s="862">
        <v>0</v>
      </c>
      <c r="AA32" s="1447" t="s">
        <v>1911</v>
      </c>
      <c r="AB32" s="1450">
        <f t="shared" ref="AB32:AB33" si="11">C32*Y32</f>
        <v>0</v>
      </c>
      <c r="AC32" s="1450">
        <f t="shared" ref="AC32:AC33" si="12">SQRT(((D32*Y32)^2)+((C32*Z32)^2))</f>
        <v>0</v>
      </c>
    </row>
    <row r="33" spans="1:29" s="3" customFormat="1" x14ac:dyDescent="0.25">
      <c r="A33" s="1446" t="s">
        <v>1906</v>
      </c>
      <c r="B33" s="852" t="s">
        <v>553</v>
      </c>
      <c r="C33" s="680">
        <f t="shared" si="0"/>
        <v>0</v>
      </c>
      <c r="D33" s="680">
        <v>0</v>
      </c>
      <c r="E33" s="1447" t="s">
        <v>1908</v>
      </c>
      <c r="F33" s="844" t="s">
        <v>15</v>
      </c>
      <c r="G33" s="1477">
        <v>3.8800000000000002E-3</v>
      </c>
      <c r="H33" s="1477">
        <v>5.8E-4</v>
      </c>
      <c r="I33" s="1447" t="s">
        <v>1913</v>
      </c>
      <c r="J33" s="685">
        <f t="shared" si="5"/>
        <v>0</v>
      </c>
      <c r="K33" s="685">
        <f t="shared" si="6"/>
        <v>0</v>
      </c>
      <c r="L33" s="844" t="s">
        <v>16</v>
      </c>
      <c r="M33" s="1448">
        <v>2.6771999999999999E-4</v>
      </c>
      <c r="N33" s="1448">
        <v>0</v>
      </c>
      <c r="O33" s="1447" t="s">
        <v>1914</v>
      </c>
      <c r="P33" s="685">
        <f t="shared" si="7"/>
        <v>0</v>
      </c>
      <c r="Q33" s="685">
        <f t="shared" si="8"/>
        <v>0</v>
      </c>
      <c r="R33" s="844" t="s">
        <v>1392</v>
      </c>
      <c r="S33" s="1484">
        <v>7.5271999999999994E-9</v>
      </c>
      <c r="T33" s="1484">
        <v>0</v>
      </c>
      <c r="U33" s="1447" t="s">
        <v>1915</v>
      </c>
      <c r="V33" s="685">
        <f t="shared" si="9"/>
        <v>0</v>
      </c>
      <c r="W33" s="685">
        <f t="shared" si="10"/>
        <v>0</v>
      </c>
      <c r="X33" s="844" t="s">
        <v>1393</v>
      </c>
      <c r="Y33" s="1484">
        <v>5.0052E-9</v>
      </c>
      <c r="Z33" s="1484">
        <v>0</v>
      </c>
      <c r="AA33" s="1447" t="s">
        <v>1916</v>
      </c>
      <c r="AB33" s="1450">
        <f t="shared" si="11"/>
        <v>0</v>
      </c>
      <c r="AC33" s="1450">
        <f t="shared" si="12"/>
        <v>0</v>
      </c>
    </row>
    <row r="34" spans="1:29" s="3" customFormat="1" x14ac:dyDescent="0.25">
      <c r="A34" s="1446" t="s">
        <v>1878</v>
      </c>
      <c r="B34" s="852" t="s">
        <v>553</v>
      </c>
      <c r="C34" s="680">
        <f t="shared" si="0"/>
        <v>100.2078009167611</v>
      </c>
      <c r="D34" s="680">
        <v>0</v>
      </c>
      <c r="E34" s="1447" t="s">
        <v>1839</v>
      </c>
      <c r="F34" s="844" t="s">
        <v>15</v>
      </c>
      <c r="G34" s="1478">
        <v>31.9</v>
      </c>
      <c r="H34" s="1478">
        <v>5.0999999999999996</v>
      </c>
      <c r="I34" s="1447" t="s">
        <v>1923</v>
      </c>
      <c r="J34" s="685">
        <f t="shared" ref="J34:J40" si="13">C34*G34</f>
        <v>3196.6288492446788</v>
      </c>
      <c r="K34" s="685">
        <f t="shared" ref="K34:K40" si="14">SQRT(((D34*G34)^2)+((C34*H34)^2))</f>
        <v>511.05978467548158</v>
      </c>
      <c r="L34" s="844" t="s">
        <v>16</v>
      </c>
      <c r="M34" s="860">
        <v>1.44</v>
      </c>
      <c r="N34" s="860">
        <v>0.21</v>
      </c>
      <c r="O34" s="1447" t="s">
        <v>1924</v>
      </c>
      <c r="P34" s="685">
        <f t="shared" ref="P34:P40" si="15">C34*M34</f>
        <v>144.29923332013598</v>
      </c>
      <c r="Q34" s="685">
        <f t="shared" ref="Q34:Q40" si="16">SQRT(((D34*M34)^2)+((C34*N34)^2))</f>
        <v>21.043638192519829</v>
      </c>
      <c r="R34" s="844" t="s">
        <v>1392</v>
      </c>
      <c r="S34" s="1477">
        <v>3.1099999999999999E-3</v>
      </c>
      <c r="T34" s="1477">
        <v>4.8999999999999998E-4</v>
      </c>
      <c r="U34" s="1447" t="s">
        <v>1855</v>
      </c>
      <c r="V34" s="685">
        <f t="shared" si="1"/>
        <v>0.31164626085112701</v>
      </c>
      <c r="W34" s="685">
        <f t="shared" si="2"/>
        <v>4.9101822449212941E-2</v>
      </c>
      <c r="X34" s="844" t="s">
        <v>1393</v>
      </c>
      <c r="Y34" s="1452">
        <v>3.8399999999999997E-6</v>
      </c>
      <c r="Z34" s="1452">
        <v>1.57E-6</v>
      </c>
      <c r="AA34" s="1447" t="s">
        <v>1856</v>
      </c>
      <c r="AB34" s="1450">
        <f t="shared" si="3"/>
        <v>3.8479795552036258E-4</v>
      </c>
      <c r="AC34" s="1450">
        <f t="shared" si="4"/>
        <v>1.5732624743931492E-4</v>
      </c>
    </row>
    <row r="35" spans="1:29" s="3" customFormat="1" x14ac:dyDescent="0.25">
      <c r="A35" s="1446" t="s">
        <v>1832</v>
      </c>
      <c r="B35" s="852" t="s">
        <v>553</v>
      </c>
      <c r="C35" s="680">
        <f t="shared" si="0"/>
        <v>113.80743104117866</v>
      </c>
      <c r="D35" s="680">
        <v>0</v>
      </c>
      <c r="E35" s="1447" t="s">
        <v>1840</v>
      </c>
      <c r="F35" s="844" t="s">
        <v>15</v>
      </c>
      <c r="G35" s="1478">
        <v>18.96</v>
      </c>
      <c r="H35" s="1478">
        <v>0.17649999999999999</v>
      </c>
      <c r="I35" s="1447" t="s">
        <v>1851</v>
      </c>
      <c r="J35" s="685">
        <f t="shared" si="13"/>
        <v>2157.7888925407474</v>
      </c>
      <c r="K35" s="685">
        <f t="shared" si="14"/>
        <v>20.087011578768031</v>
      </c>
      <c r="L35" s="844" t="s">
        <v>16</v>
      </c>
      <c r="M35" s="860">
        <v>1.0137499999999999</v>
      </c>
      <c r="N35" s="860">
        <v>0.10630000000000001</v>
      </c>
      <c r="O35" s="1447" t="s">
        <v>1852</v>
      </c>
      <c r="P35" s="685">
        <f t="shared" si="15"/>
        <v>115.37228321799486</v>
      </c>
      <c r="Q35" s="685">
        <f t="shared" si="16"/>
        <v>12.097729919677292</v>
      </c>
      <c r="R35" s="844" t="s">
        <v>1392</v>
      </c>
      <c r="S35" s="1477">
        <v>2.5230000000000001E-3</v>
      </c>
      <c r="T35" s="1477">
        <v>1.9000000000000001E-5</v>
      </c>
      <c r="U35" s="1447" t="s">
        <v>1853</v>
      </c>
      <c r="V35" s="685">
        <f t="shared" si="1"/>
        <v>0.28713614851689379</v>
      </c>
      <c r="W35" s="685">
        <f t="shared" si="2"/>
        <v>2.1623411897823946E-3</v>
      </c>
      <c r="X35" s="844" t="s">
        <v>1393</v>
      </c>
      <c r="Y35" s="1448">
        <v>9.9599999999999992E-4</v>
      </c>
      <c r="Z35" s="1448">
        <v>1.9999999999999999E-6</v>
      </c>
      <c r="AA35" s="1447" t="s">
        <v>1854</v>
      </c>
      <c r="AB35" s="1450">
        <f t="shared" si="3"/>
        <v>0.11335220131701394</v>
      </c>
      <c r="AC35" s="1450">
        <f t="shared" si="4"/>
        <v>2.276148620823573E-4</v>
      </c>
    </row>
    <row r="36" spans="1:29" s="3" customFormat="1" x14ac:dyDescent="0.25">
      <c r="A36" s="1446" t="s">
        <v>1833</v>
      </c>
      <c r="B36" s="852" t="s">
        <v>553</v>
      </c>
      <c r="C36" s="680">
        <f t="shared" si="0"/>
        <v>12.168090111320991</v>
      </c>
      <c r="D36" s="680">
        <v>0</v>
      </c>
      <c r="E36" s="1447" t="s">
        <v>1841</v>
      </c>
      <c r="F36" s="844" t="s">
        <v>15</v>
      </c>
      <c r="G36" s="1478">
        <v>12.023999999999999</v>
      </c>
      <c r="H36" s="1478">
        <v>1.8</v>
      </c>
      <c r="I36" s="1447" t="s">
        <v>1858</v>
      </c>
      <c r="J36" s="685">
        <f t="shared" si="13"/>
        <v>146.3091154985236</v>
      </c>
      <c r="K36" s="685">
        <f t="shared" si="14"/>
        <v>21.902562200377783</v>
      </c>
      <c r="L36" s="844" t="s">
        <v>16</v>
      </c>
      <c r="M36" s="862">
        <v>0.66996</v>
      </c>
      <c r="N36" s="862">
        <v>0.100494</v>
      </c>
      <c r="O36" s="1447" t="s">
        <v>1857</v>
      </c>
      <c r="P36" s="685">
        <f t="shared" si="15"/>
        <v>8.1521336509806108</v>
      </c>
      <c r="Q36" s="685">
        <f t="shared" si="16"/>
        <v>1.2228200476470916</v>
      </c>
      <c r="R36" s="844" t="s">
        <v>1392</v>
      </c>
      <c r="S36" s="1477">
        <v>1.2960000000000001E-3</v>
      </c>
      <c r="T36" s="1477">
        <v>1.9440000000000001E-4</v>
      </c>
      <c r="U36" s="1447" t="s">
        <v>1859</v>
      </c>
      <c r="V36" s="685">
        <f t="shared" si="1"/>
        <v>1.5769844784272007E-2</v>
      </c>
      <c r="W36" s="685">
        <f t="shared" si="2"/>
        <v>2.3654767176408006E-3</v>
      </c>
      <c r="X36" s="844" t="s">
        <v>1393</v>
      </c>
      <c r="Y36" s="862">
        <v>0</v>
      </c>
      <c r="Z36" s="862">
        <v>0</v>
      </c>
      <c r="AA36" s="1447" t="s">
        <v>1860</v>
      </c>
      <c r="AB36" s="1450">
        <f t="shared" si="3"/>
        <v>0</v>
      </c>
      <c r="AC36" s="1450">
        <f t="shared" si="4"/>
        <v>0</v>
      </c>
    </row>
    <row r="37" spans="1:29" s="3" customFormat="1" x14ac:dyDescent="0.25">
      <c r="A37" s="1446" t="s">
        <v>1834</v>
      </c>
      <c r="B37" s="852" t="s">
        <v>553</v>
      </c>
      <c r="C37" s="680">
        <f t="shared" si="0"/>
        <v>3.5788500327414674</v>
      </c>
      <c r="D37" s="680">
        <v>0</v>
      </c>
      <c r="E37" s="1447" t="s">
        <v>1842</v>
      </c>
      <c r="F37" s="844" t="s">
        <v>15</v>
      </c>
      <c r="G37" s="1478">
        <v>10.7</v>
      </c>
      <c r="H37" s="1478">
        <v>1.61</v>
      </c>
      <c r="I37" s="1447" t="s">
        <v>1866</v>
      </c>
      <c r="J37" s="685">
        <f t="shared" si="13"/>
        <v>38.293695350333699</v>
      </c>
      <c r="K37" s="685">
        <f t="shared" si="14"/>
        <v>5.761948552713763</v>
      </c>
      <c r="L37" s="844" t="s">
        <v>16</v>
      </c>
      <c r="M37" s="862">
        <v>0.71899999999999997</v>
      </c>
      <c r="N37" s="862">
        <v>0.108</v>
      </c>
      <c r="O37" s="1447" t="s">
        <v>1868</v>
      </c>
      <c r="P37" s="685">
        <f t="shared" si="15"/>
        <v>2.5731931735411151</v>
      </c>
      <c r="Q37" s="685">
        <f t="shared" si="16"/>
        <v>0.38651580353607845</v>
      </c>
      <c r="R37" s="844" t="s">
        <v>1392</v>
      </c>
      <c r="S37" s="1477">
        <v>1.0300000000000001E-3</v>
      </c>
      <c r="T37" s="1477">
        <v>1.4999999999999999E-4</v>
      </c>
      <c r="U37" s="1447" t="s">
        <v>1867</v>
      </c>
      <c r="V37" s="685">
        <f t="shared" si="1"/>
        <v>3.686215533723712E-3</v>
      </c>
      <c r="W37" s="685">
        <f t="shared" si="2"/>
        <v>5.3682750491122007E-4</v>
      </c>
      <c r="X37" s="844" t="s">
        <v>1393</v>
      </c>
      <c r="Y37" s="1477">
        <v>1.0399999999999999E-3</v>
      </c>
      <c r="Z37" s="1477">
        <v>1.6000000000000001E-4</v>
      </c>
      <c r="AA37" s="1447" t="s">
        <v>1869</v>
      </c>
      <c r="AB37" s="1450">
        <f t="shared" si="3"/>
        <v>3.7220040340511257E-3</v>
      </c>
      <c r="AC37" s="1450">
        <f t="shared" si="4"/>
        <v>5.726160052386348E-4</v>
      </c>
    </row>
    <row r="38" spans="1:29" s="3" customFormat="1" x14ac:dyDescent="0.25">
      <c r="A38" s="1446" t="s">
        <v>1835</v>
      </c>
      <c r="B38" s="852" t="s">
        <v>553</v>
      </c>
      <c r="C38" s="680">
        <f t="shared" si="0"/>
        <v>207.57330189900509</v>
      </c>
      <c r="D38" s="680">
        <v>0</v>
      </c>
      <c r="E38" s="1447" t="s">
        <v>1843</v>
      </c>
      <c r="F38" s="844" t="s">
        <v>15</v>
      </c>
      <c r="G38" s="860">
        <v>8.0500000000000007</v>
      </c>
      <c r="H38" s="860">
        <v>1.21</v>
      </c>
      <c r="I38" s="1447" t="s">
        <v>1870</v>
      </c>
      <c r="J38" s="685">
        <f t="shared" si="13"/>
        <v>1670.965080286991</v>
      </c>
      <c r="K38" s="685">
        <f t="shared" si="14"/>
        <v>251.16369529779615</v>
      </c>
      <c r="L38" s="844" t="s">
        <v>16</v>
      </c>
      <c r="M38" s="862">
        <v>0.9</v>
      </c>
      <c r="N38" s="862">
        <v>0.13500000000000001</v>
      </c>
      <c r="O38" s="1447" t="s">
        <v>1872</v>
      </c>
      <c r="P38" s="685">
        <f t="shared" si="15"/>
        <v>186.81597170910459</v>
      </c>
      <c r="Q38" s="685">
        <f t="shared" si="16"/>
        <v>28.02239575636569</v>
      </c>
      <c r="R38" s="844" t="s">
        <v>1392</v>
      </c>
      <c r="S38" s="1448">
        <v>0</v>
      </c>
      <c r="T38" s="1448">
        <v>0</v>
      </c>
      <c r="U38" s="1447" t="s">
        <v>1873</v>
      </c>
      <c r="V38" s="685">
        <f t="shared" si="1"/>
        <v>0</v>
      </c>
      <c r="W38" s="685">
        <f t="shared" si="2"/>
        <v>0</v>
      </c>
      <c r="X38" s="844" t="s">
        <v>1393</v>
      </c>
      <c r="Y38" s="1452">
        <v>0</v>
      </c>
      <c r="Z38" s="1452">
        <v>0</v>
      </c>
      <c r="AA38" s="1447" t="s">
        <v>1874</v>
      </c>
      <c r="AB38" s="1450">
        <f t="shared" si="3"/>
        <v>0</v>
      </c>
      <c r="AC38" s="1450">
        <f t="shared" si="4"/>
        <v>0</v>
      </c>
    </row>
    <row r="39" spans="1:29" s="3" customFormat="1" x14ac:dyDescent="0.25">
      <c r="A39" s="1446" t="s">
        <v>1836</v>
      </c>
      <c r="B39" s="852" t="s">
        <v>553</v>
      </c>
      <c r="C39" s="680">
        <f t="shared" si="0"/>
        <v>5.7261600523863478</v>
      </c>
      <c r="D39" s="680">
        <v>0</v>
      </c>
      <c r="E39" s="1447" t="s">
        <v>1844</v>
      </c>
      <c r="F39" s="844" t="s">
        <v>15</v>
      </c>
      <c r="G39" s="860">
        <v>8.0500000000000007</v>
      </c>
      <c r="H39" s="860">
        <v>1.21</v>
      </c>
      <c r="I39" s="1447" t="s">
        <v>1875</v>
      </c>
      <c r="J39" s="685">
        <f t="shared" si="13"/>
        <v>46.095588421710104</v>
      </c>
      <c r="K39" s="685">
        <f t="shared" si="14"/>
        <v>6.9286536633874807</v>
      </c>
      <c r="L39" s="844" t="s">
        <v>16</v>
      </c>
      <c r="M39" s="862">
        <v>0.9</v>
      </c>
      <c r="N39" s="862">
        <v>0.13500000000000001</v>
      </c>
      <c r="O39" s="1447" t="s">
        <v>2024</v>
      </c>
      <c r="P39" s="685">
        <f t="shared" si="15"/>
        <v>5.1535440471477134</v>
      </c>
      <c r="Q39" s="685">
        <f t="shared" si="16"/>
        <v>0.77303160707215701</v>
      </c>
      <c r="R39" s="844" t="s">
        <v>1392</v>
      </c>
      <c r="S39" s="1448">
        <v>0</v>
      </c>
      <c r="T39" s="1448">
        <v>0</v>
      </c>
      <c r="U39" s="1447" t="s">
        <v>1876</v>
      </c>
      <c r="V39" s="685">
        <f t="shared" si="1"/>
        <v>0</v>
      </c>
      <c r="W39" s="685">
        <f t="shared" si="2"/>
        <v>0</v>
      </c>
      <c r="X39" s="844" t="s">
        <v>1393</v>
      </c>
      <c r="Y39" s="1452">
        <v>0</v>
      </c>
      <c r="Z39" s="1452">
        <v>0</v>
      </c>
      <c r="AA39" s="1447" t="s">
        <v>1877</v>
      </c>
      <c r="AB39" s="1450">
        <f t="shared" si="3"/>
        <v>0</v>
      </c>
      <c r="AC39" s="1450">
        <f t="shared" si="4"/>
        <v>0</v>
      </c>
    </row>
    <row r="40" spans="1:29" s="3" customFormat="1" x14ac:dyDescent="0.25">
      <c r="A40" s="1446" t="s">
        <v>1837</v>
      </c>
      <c r="B40" s="852" t="s">
        <v>553</v>
      </c>
      <c r="C40" s="680">
        <f t="shared" si="0"/>
        <v>1.431540013096587</v>
      </c>
      <c r="D40" s="680">
        <v>0</v>
      </c>
      <c r="E40" s="1447" t="s">
        <v>1845</v>
      </c>
      <c r="F40" s="844" t="s">
        <v>15</v>
      </c>
      <c r="G40" s="860">
        <v>5.5</v>
      </c>
      <c r="H40" s="860">
        <v>1.5</v>
      </c>
      <c r="I40" s="1447" t="s">
        <v>1861</v>
      </c>
      <c r="J40" s="685">
        <f t="shared" si="13"/>
        <v>7.8734700720312283</v>
      </c>
      <c r="K40" s="685">
        <f t="shared" si="14"/>
        <v>2.1473100196448804</v>
      </c>
      <c r="L40" s="844" t="s">
        <v>16</v>
      </c>
      <c r="M40" s="862">
        <v>0.44500000000000001</v>
      </c>
      <c r="N40" s="862">
        <v>0.12</v>
      </c>
      <c r="O40" s="1447" t="s">
        <v>1862</v>
      </c>
      <c r="P40" s="685">
        <f t="shared" si="15"/>
        <v>0.63703530582798118</v>
      </c>
      <c r="Q40" s="685">
        <f t="shared" si="16"/>
        <v>0.17178480157159043</v>
      </c>
      <c r="R40" s="844" t="s">
        <v>1392</v>
      </c>
      <c r="S40" s="1449">
        <v>1.2500000000000001E-5</v>
      </c>
      <c r="T40" s="1449">
        <v>3.4999999999999999E-6</v>
      </c>
      <c r="U40" s="1447" t="s">
        <v>1863</v>
      </c>
      <c r="V40" s="685">
        <f t="shared" si="1"/>
        <v>1.7894250163707337E-5</v>
      </c>
      <c r="W40" s="685">
        <f t="shared" si="2"/>
        <v>5.0103900458380541E-6</v>
      </c>
      <c r="X40" s="844" t="s">
        <v>1393</v>
      </c>
      <c r="Y40" s="1452">
        <v>3.3000000000000002E-6</v>
      </c>
      <c r="Z40" s="1452">
        <v>8.9999999999999996E-7</v>
      </c>
      <c r="AA40" s="1447" t="s">
        <v>1864</v>
      </c>
      <c r="AB40" s="1450">
        <f t="shared" si="3"/>
        <v>4.7240820432187374E-6</v>
      </c>
      <c r="AC40" s="1450">
        <f t="shared" si="4"/>
        <v>1.2883860117869281E-6</v>
      </c>
    </row>
    <row r="41" spans="1:29" s="3" customFormat="1" x14ac:dyDescent="0.25">
      <c r="A41" s="43"/>
      <c r="J41" s="686"/>
      <c r="K41" s="686"/>
      <c r="P41" s="686"/>
      <c r="Q41" s="686"/>
      <c r="V41" s="686"/>
      <c r="W41" s="686"/>
      <c r="AB41" s="1451"/>
      <c r="AC41" s="1451"/>
    </row>
    <row r="42" spans="1:29" s="2" customFormat="1" x14ac:dyDescent="0.25">
      <c r="A42" s="17" t="s">
        <v>369</v>
      </c>
      <c r="J42" s="493">
        <f>SUM(J29:J40)</f>
        <v>7672.8025191554007</v>
      </c>
      <c r="K42" s="493">
        <f>SQRT(SUMSQ(K29:K40))</f>
        <v>732.66079238041505</v>
      </c>
      <c r="P42" s="493">
        <f>SUM(P29:P40)</f>
        <v>485.14931842733705</v>
      </c>
      <c r="Q42" s="493">
        <f>SQRT(SUMSQ(Q29:Q40))</f>
        <v>46.039485184534769</v>
      </c>
      <c r="V42" s="493">
        <f>SUM(V29:V40)</f>
        <v>0.70063576552983653</v>
      </c>
      <c r="W42" s="493">
        <f>SQRT(SUMSQ(W29:W40))</f>
        <v>7.0946243109528323E-2</v>
      </c>
      <c r="AB42" s="604">
        <f>SUM(AB29:AB40)</f>
        <v>0.1284130043327992</v>
      </c>
      <c r="AC42" s="604">
        <f>SQRT(SUMSQ(AC29:AC40))</f>
        <v>6.3801461112046663E-4</v>
      </c>
    </row>
    <row r="43" spans="1:29" x14ac:dyDescent="0.25">
      <c r="A43" s="15"/>
    </row>
    <row r="44" spans="1:29" s="42" customFormat="1" x14ac:dyDescent="0.25">
      <c r="B44" s="353"/>
      <c r="C44" s="10"/>
      <c r="D44" s="10"/>
      <c r="E44" s="11"/>
      <c r="G44" s="10"/>
      <c r="H44" s="10"/>
      <c r="I44" s="10"/>
      <c r="J44" s="10"/>
      <c r="K44" s="10"/>
      <c r="M44" s="10"/>
      <c r="N44" s="10"/>
      <c r="O44" s="10"/>
      <c r="P44" s="10"/>
      <c r="Q44" s="10"/>
      <c r="S44" s="10"/>
      <c r="T44" s="10"/>
      <c r="U44" s="10"/>
      <c r="V44" s="10"/>
      <c r="W44" s="10"/>
      <c r="Y44" s="10"/>
      <c r="Z44" s="10"/>
      <c r="AA44" s="10"/>
      <c r="AB44" s="10"/>
      <c r="AC44" s="10"/>
    </row>
    <row r="45" spans="1:29" s="42" customFormat="1" x14ac:dyDescent="0.25">
      <c r="B45" s="353"/>
      <c r="C45" s="10"/>
      <c r="D45" s="10"/>
      <c r="E45" s="11"/>
      <c r="G45" s="10"/>
      <c r="H45" s="10"/>
      <c r="I45" s="10"/>
      <c r="J45" s="10"/>
      <c r="K45" s="10"/>
      <c r="M45" s="10"/>
      <c r="N45" s="10"/>
      <c r="O45" s="10"/>
      <c r="P45" s="10"/>
      <c r="Q45" s="10"/>
      <c r="S45" s="10"/>
      <c r="T45" s="10"/>
      <c r="U45" s="10"/>
      <c r="V45" s="10"/>
      <c r="W45" s="10"/>
      <c r="Y45" s="10"/>
      <c r="Z45" s="10"/>
      <c r="AA45" s="10"/>
      <c r="AB45" s="10"/>
      <c r="AC45" s="10"/>
    </row>
    <row r="46" spans="1:29" s="42" customFormat="1" x14ac:dyDescent="0.25">
      <c r="B46" s="353"/>
      <c r="C46" s="10"/>
      <c r="D46" s="10"/>
      <c r="E46" s="11"/>
      <c r="G46" s="10"/>
      <c r="H46" s="10"/>
      <c r="I46" s="10"/>
      <c r="J46" s="10"/>
      <c r="K46" s="10"/>
      <c r="M46" s="10"/>
      <c r="N46" s="10"/>
      <c r="O46" s="10"/>
      <c r="P46" s="10"/>
      <c r="Q46" s="10"/>
      <c r="S46" s="10"/>
      <c r="T46" s="10"/>
      <c r="U46" s="10"/>
      <c r="V46" s="10"/>
      <c r="W46" s="10"/>
      <c r="Y46" s="10"/>
      <c r="Z46" s="10"/>
      <c r="AA46" s="10"/>
      <c r="AB46" s="10"/>
      <c r="AC46" s="10"/>
    </row>
    <row r="47" spans="1:29" s="42" customFormat="1" x14ac:dyDescent="0.25">
      <c r="B47" s="353"/>
      <c r="C47" s="204"/>
      <c r="D47" s="10"/>
      <c r="E47" s="10"/>
      <c r="G47" s="205"/>
      <c r="H47" s="205"/>
      <c r="I47" s="10"/>
      <c r="J47" s="10"/>
      <c r="K47" s="10"/>
      <c r="M47" s="205"/>
      <c r="N47" s="205"/>
      <c r="O47" s="10"/>
      <c r="P47" s="10"/>
      <c r="Q47" s="10"/>
      <c r="S47" s="206"/>
      <c r="T47" s="206"/>
      <c r="U47" s="10"/>
      <c r="V47" s="10"/>
      <c r="W47" s="10"/>
      <c r="Y47" s="207"/>
      <c r="Z47" s="207"/>
      <c r="AA47" s="10"/>
      <c r="AB47" s="10"/>
      <c r="AC47" s="10"/>
    </row>
    <row r="48" spans="1:29" s="42" customFormat="1" x14ac:dyDescent="0.25">
      <c r="C48" s="204"/>
      <c r="D48" s="10"/>
      <c r="E48" s="10"/>
      <c r="G48" s="205"/>
      <c r="H48" s="205"/>
      <c r="I48" s="10"/>
      <c r="J48" s="10"/>
      <c r="K48" s="10"/>
      <c r="M48" s="205"/>
      <c r="N48" s="205"/>
      <c r="O48" s="10"/>
      <c r="P48" s="10"/>
      <c r="Q48" s="10"/>
      <c r="S48" s="206"/>
      <c r="T48" s="206"/>
      <c r="U48" s="10"/>
      <c r="V48" s="10"/>
      <c r="W48" s="10"/>
      <c r="Y48" s="207"/>
      <c r="Z48" s="207"/>
      <c r="AA48" s="10"/>
      <c r="AB48" s="10"/>
      <c r="AC48" s="10"/>
    </row>
    <row r="49" spans="1:29" s="42" customFormat="1" x14ac:dyDescent="0.25">
      <c r="B49" s="353"/>
      <c r="C49" s="10"/>
      <c r="D49" s="10"/>
      <c r="E49" s="11"/>
      <c r="G49" s="10"/>
      <c r="H49" s="10"/>
      <c r="I49" s="10"/>
      <c r="J49" s="10"/>
      <c r="K49" s="10"/>
      <c r="M49" s="10"/>
      <c r="N49" s="10"/>
      <c r="O49" s="10"/>
      <c r="P49" s="10"/>
      <c r="Q49" s="10"/>
      <c r="S49" s="10"/>
      <c r="T49" s="10"/>
      <c r="U49" s="10"/>
      <c r="V49" s="10"/>
      <c r="W49" s="10"/>
      <c r="Y49" s="10"/>
      <c r="Z49" s="10"/>
      <c r="AA49" s="10"/>
      <c r="AB49" s="10"/>
      <c r="AC49" s="10"/>
    </row>
    <row r="50" spans="1:29" s="42" customFormat="1" x14ac:dyDescent="0.25">
      <c r="C50" s="10"/>
      <c r="D50" s="10"/>
      <c r="E50" s="10"/>
      <c r="G50" s="10"/>
      <c r="H50" s="10"/>
      <c r="I50" s="10"/>
      <c r="J50" s="10"/>
      <c r="K50" s="10"/>
      <c r="M50" s="10"/>
      <c r="N50" s="10"/>
      <c r="O50" s="10"/>
      <c r="P50" s="10"/>
      <c r="Q50" s="10"/>
      <c r="S50" s="10"/>
      <c r="T50" s="10"/>
      <c r="U50" s="10"/>
      <c r="V50" s="10"/>
      <c r="W50" s="10"/>
      <c r="Y50" s="10"/>
      <c r="Z50" s="10"/>
      <c r="AA50" s="10"/>
      <c r="AB50" s="10"/>
      <c r="AC50" s="10"/>
    </row>
    <row r="51" spans="1:29" s="42" customFormat="1" x14ac:dyDescent="0.25">
      <c r="A51" s="143"/>
      <c r="B51" s="143"/>
      <c r="C51" s="354"/>
      <c r="D51" s="354"/>
      <c r="E51" s="354"/>
      <c r="F51" s="143"/>
      <c r="G51" s="354"/>
      <c r="H51" s="354"/>
      <c r="I51" s="354"/>
      <c r="J51" s="354"/>
      <c r="K51" s="354"/>
      <c r="L51" s="143"/>
      <c r="M51" s="354"/>
      <c r="N51" s="354"/>
      <c r="O51" s="354"/>
      <c r="P51" s="354"/>
      <c r="Q51" s="354"/>
      <c r="R51" s="143"/>
      <c r="S51" s="354"/>
      <c r="T51" s="354"/>
      <c r="U51" s="354"/>
      <c r="V51" s="354"/>
      <c r="W51" s="354"/>
      <c r="X51" s="143"/>
      <c r="Y51" s="354"/>
      <c r="Z51" s="354"/>
      <c r="AA51" s="354"/>
      <c r="AB51" s="354"/>
      <c r="AC51" s="354"/>
    </row>
    <row r="52" spans="1:29" s="42" customFormat="1" x14ac:dyDescent="0.25"/>
    <row r="53" spans="1:29" s="42" customFormat="1" x14ac:dyDescent="0.25"/>
    <row r="54" spans="1:29" s="42" customFormat="1" x14ac:dyDescent="0.25"/>
  </sheetData>
  <pageMargins left="0.75" right="0.75" top="1" bottom="1" header="0.5" footer="0.5"/>
  <pageSetup paperSize="9" orientation="portrait" verticalDpi="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4.44140625" customWidth="1"/>
    <col min="11" max="11" width="15.109375" customWidth="1"/>
    <col min="12" max="12" width="12" customWidth="1"/>
    <col min="16" max="16" width="15.5546875" customWidth="1"/>
    <col min="17" max="17" width="19.33203125" customWidth="1"/>
    <col min="18" max="18" width="13" customWidth="1"/>
    <col min="19" max="19" width="10.5546875" bestFit="1" customWidth="1"/>
    <col min="20" max="20" width="12.6640625" customWidth="1"/>
    <col min="21" max="21" width="10" customWidth="1"/>
    <col min="22" max="22" width="15.44140625" customWidth="1"/>
    <col min="23" max="23" width="16.109375" customWidth="1"/>
    <col min="24" max="24" width="11.88671875" customWidth="1"/>
    <col min="25" max="25" width="12.5546875" customWidth="1"/>
    <col min="26" max="26" width="13.5546875" customWidth="1"/>
    <col min="27" max="27" width="10" customWidth="1"/>
    <col min="28" max="28" width="15.6640625" customWidth="1"/>
    <col min="29" max="29" width="18.33203125" customWidth="1"/>
  </cols>
  <sheetData>
    <row r="1" spans="1:29" x14ac:dyDescent="0.25">
      <c r="A1" s="2" t="s">
        <v>240</v>
      </c>
      <c r="B1" s="3" t="s">
        <v>646</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EnergySupply!I31*Unitflowchart!S128</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EnergySupply!I34*Unitflowchart!S128</f>
        <v>0</v>
      </c>
    </row>
    <row r="12" spans="1:29" x14ac:dyDescent="0.25">
      <c r="A12" s="200" t="s">
        <v>816</v>
      </c>
      <c r="B12" s="201">
        <f>Unitflowchart!S217</f>
        <v>0</v>
      </c>
      <c r="C12" s="186"/>
      <c r="D12" s="186"/>
      <c r="E12" s="186"/>
      <c r="F12" s="187"/>
      <c r="G12" s="187"/>
      <c r="H12" s="188"/>
      <c r="I12" s="188"/>
    </row>
    <row r="13" spans="1:29" x14ac:dyDescent="0.25">
      <c r="A13" s="202" t="s">
        <v>817</v>
      </c>
      <c r="B13" s="203">
        <f>Unitflowchart!S219</f>
        <v>12</v>
      </c>
      <c r="C13" s="186"/>
      <c r="D13" s="186"/>
      <c r="E13" s="186"/>
      <c r="F13" s="187"/>
      <c r="G13" s="187"/>
      <c r="H13" s="188"/>
      <c r="I13" s="188"/>
    </row>
    <row r="14" spans="1:29" s="42" customFormat="1" x14ac:dyDescent="0.25">
      <c r="A14" s="208"/>
      <c r="B14" s="209"/>
      <c r="C14" s="186"/>
      <c r="D14" s="186"/>
      <c r="E14" s="186"/>
      <c r="F14" s="187"/>
      <c r="G14" s="187"/>
      <c r="H14" s="188"/>
      <c r="I14" s="188"/>
    </row>
    <row r="15" spans="1:29" s="23" customFormat="1" x14ac:dyDescent="0.25">
      <c r="A15" s="23" t="s">
        <v>245</v>
      </c>
      <c r="B15" s="23" t="s">
        <v>244</v>
      </c>
      <c r="E15" s="23" t="s">
        <v>27</v>
      </c>
      <c r="F15" s="23" t="s">
        <v>247</v>
      </c>
      <c r="I15" s="23" t="s">
        <v>27</v>
      </c>
      <c r="J15" s="358" t="s">
        <v>811</v>
      </c>
      <c r="L15" s="23" t="s">
        <v>251</v>
      </c>
      <c r="O15" s="23" t="s">
        <v>27</v>
      </c>
      <c r="P15" s="358" t="s">
        <v>812</v>
      </c>
      <c r="R15" s="23" t="s">
        <v>253</v>
      </c>
      <c r="U15" s="23" t="s">
        <v>27</v>
      </c>
      <c r="V15" s="358" t="s">
        <v>814</v>
      </c>
      <c r="X15" s="23" t="s">
        <v>255</v>
      </c>
      <c r="AA15" s="23" t="s">
        <v>27</v>
      </c>
      <c r="AB15" s="358" t="s">
        <v>815</v>
      </c>
    </row>
    <row r="16" spans="1:29" x14ac:dyDescent="0.25">
      <c r="A16" s="15"/>
      <c r="B16" s="23" t="s">
        <v>246</v>
      </c>
      <c r="C16" s="23" t="s">
        <v>248</v>
      </c>
      <c r="D16" s="23" t="s">
        <v>249</v>
      </c>
      <c r="E16" s="23"/>
      <c r="F16" s="23"/>
      <c r="G16" s="23" t="s">
        <v>248</v>
      </c>
      <c r="H16" s="23" t="s">
        <v>249</v>
      </c>
      <c r="I16" s="23"/>
      <c r="J16" s="23" t="s">
        <v>248</v>
      </c>
      <c r="K16" s="23" t="s">
        <v>249</v>
      </c>
      <c r="L16" s="23" t="s">
        <v>246</v>
      </c>
      <c r="M16" s="23" t="s">
        <v>248</v>
      </c>
      <c r="N16" s="23" t="s">
        <v>249</v>
      </c>
      <c r="O16" s="23"/>
      <c r="P16" s="23" t="s">
        <v>248</v>
      </c>
      <c r="Q16" s="23" t="s">
        <v>249</v>
      </c>
      <c r="R16" s="23" t="s">
        <v>246</v>
      </c>
      <c r="S16" s="23" t="s">
        <v>248</v>
      </c>
      <c r="T16" s="23" t="s">
        <v>249</v>
      </c>
      <c r="U16" s="23"/>
      <c r="V16" s="23" t="s">
        <v>248</v>
      </c>
      <c r="W16" s="23" t="s">
        <v>249</v>
      </c>
      <c r="X16" s="23" t="s">
        <v>246</v>
      </c>
      <c r="Y16" s="23" t="s">
        <v>248</v>
      </c>
      <c r="Z16" s="23" t="s">
        <v>249</v>
      </c>
      <c r="AA16" s="23"/>
      <c r="AB16" s="23" t="s">
        <v>248</v>
      </c>
      <c r="AC16" s="23" t="s">
        <v>249</v>
      </c>
    </row>
    <row r="17" spans="1:29" x14ac:dyDescent="0.25">
      <c r="A17" s="2" t="s">
        <v>395</v>
      </c>
      <c r="C17" s="1"/>
      <c r="D17" s="1"/>
      <c r="E17" s="1"/>
      <c r="G17" s="1"/>
      <c r="H17" s="1"/>
      <c r="I17" s="1"/>
      <c r="J17" s="1"/>
      <c r="K17" s="1"/>
    </row>
    <row r="18" spans="1:29" s="42" customFormat="1" x14ac:dyDescent="0.25">
      <c r="B18" s="353"/>
      <c r="C18" s="204"/>
      <c r="D18" s="10"/>
      <c r="E18" s="10"/>
      <c r="G18" s="205"/>
      <c r="H18" s="205"/>
      <c r="I18" s="10"/>
      <c r="J18" s="10"/>
      <c r="K18" s="204"/>
      <c r="M18" s="10"/>
      <c r="N18" s="10"/>
      <c r="O18" s="10"/>
      <c r="P18" s="10"/>
      <c r="Q18" s="10"/>
      <c r="S18" s="10"/>
      <c r="T18" s="10"/>
      <c r="U18" s="10"/>
      <c r="V18" s="10"/>
      <c r="W18" s="10"/>
      <c r="Y18" s="10"/>
      <c r="Z18" s="10"/>
      <c r="AA18" s="10"/>
      <c r="AB18" s="10"/>
      <c r="AC18" s="10"/>
    </row>
    <row r="19" spans="1:29" x14ac:dyDescent="0.25">
      <c r="A19" s="15" t="s">
        <v>123</v>
      </c>
      <c r="B19" t="s">
        <v>442</v>
      </c>
      <c r="C19" s="680">
        <f>B12</f>
        <v>0</v>
      </c>
      <c r="D19" s="501">
        <v>0</v>
      </c>
      <c r="E19" s="10" t="s">
        <v>809</v>
      </c>
      <c r="F19" t="s">
        <v>6</v>
      </c>
      <c r="G19" s="862">
        <f>B8+B10</f>
        <v>0</v>
      </c>
      <c r="H19" s="862">
        <f>C8+C10</f>
        <v>0</v>
      </c>
      <c r="I19" s="10" t="s">
        <v>801</v>
      </c>
      <c r="J19" s="490">
        <f>C19*G19</f>
        <v>0</v>
      </c>
      <c r="K19" s="490">
        <f>SQRT(((D19*G19)^2)+((C19*H19)^2))</f>
        <v>0</v>
      </c>
      <c r="L19" t="s">
        <v>7</v>
      </c>
      <c r="M19" s="862">
        <f>(D8+D10)/3.6</f>
        <v>0</v>
      </c>
      <c r="N19" s="862">
        <f>(E8+E10)/3.6</f>
        <v>0</v>
      </c>
      <c r="O19" s="10" t="s">
        <v>802</v>
      </c>
      <c r="P19" s="490">
        <f>C19*M19</f>
        <v>0</v>
      </c>
      <c r="Q19" s="490">
        <f>SQRT(((D19*M19)^2)+((C19*N19)^2))</f>
        <v>0</v>
      </c>
      <c r="R19" t="s">
        <v>8</v>
      </c>
      <c r="S19" s="861">
        <f>(F8+F10)/3.6</f>
        <v>3.9215686274509803E-6</v>
      </c>
      <c r="T19" s="861">
        <f>(G8+G10)/3.6</f>
        <v>0</v>
      </c>
      <c r="U19" s="10" t="s">
        <v>813</v>
      </c>
      <c r="V19" s="573">
        <f>C19*S19</f>
        <v>0</v>
      </c>
      <c r="W19" s="573">
        <f>SQRT(((D19*S19)^2)+((C19*T19)^2))</f>
        <v>0</v>
      </c>
      <c r="X19" t="s">
        <v>9</v>
      </c>
      <c r="Y19" s="861">
        <f>(H8+H10)/3.6</f>
        <v>1.1764705882352942E-6</v>
      </c>
      <c r="Z19" s="861">
        <f>(I8+I10)/3.6</f>
        <v>0</v>
      </c>
      <c r="AA19" s="10" t="s">
        <v>806</v>
      </c>
      <c r="AB19" s="487">
        <f>C19*Y19</f>
        <v>0</v>
      </c>
      <c r="AC19" s="487">
        <f>SQRT(((D19*Y19)^2)+((C19*Z19)^2))</f>
        <v>0</v>
      </c>
    </row>
    <row r="20" spans="1:29" x14ac:dyDescent="0.25">
      <c r="A20" s="15" t="s">
        <v>122</v>
      </c>
      <c r="B20" t="s">
        <v>739</v>
      </c>
      <c r="C20" s="356">
        <f>$B$13</f>
        <v>12</v>
      </c>
      <c r="D20" s="414">
        <v>0</v>
      </c>
      <c r="E20" s="10" t="s">
        <v>810</v>
      </c>
      <c r="F20" t="s">
        <v>187</v>
      </c>
      <c r="G20" s="862">
        <f>3.6*(B9+B11)</f>
        <v>0</v>
      </c>
      <c r="H20" s="862">
        <f>3.6*(C9+C11)</f>
        <v>0</v>
      </c>
      <c r="I20" s="10" t="s">
        <v>808</v>
      </c>
      <c r="J20" s="490">
        <f>C20*G20</f>
        <v>0</v>
      </c>
      <c r="K20" s="490">
        <f>SQRT(((D20*G20)^2)+((C20*H20)^2))</f>
        <v>0</v>
      </c>
      <c r="L20" t="s">
        <v>188</v>
      </c>
      <c r="M20" s="862">
        <f>(D9+D11)</f>
        <v>0</v>
      </c>
      <c r="N20" s="862">
        <f>(E9+E11)</f>
        <v>0</v>
      </c>
      <c r="O20" s="10" t="s">
        <v>803</v>
      </c>
      <c r="P20" s="490">
        <f>C20*M20</f>
        <v>0</v>
      </c>
      <c r="Q20" s="490">
        <f>SQRT(((D20*M20)^2)+((C20*N20)^2))</f>
        <v>0</v>
      </c>
      <c r="R20" t="s">
        <v>189</v>
      </c>
      <c r="S20" s="861">
        <f>(F9+F11)</f>
        <v>2.8235294117647067E-5</v>
      </c>
      <c r="T20" s="861">
        <f>(G9+G11)</f>
        <v>0</v>
      </c>
      <c r="U20" s="10" t="s">
        <v>805</v>
      </c>
      <c r="V20" s="573">
        <f>C20*S20</f>
        <v>3.3882352941176478E-4</v>
      </c>
      <c r="W20" s="573">
        <f>SQRT(((D20*S20)^2)+((C20*T20)^2))</f>
        <v>0</v>
      </c>
      <c r="X20" t="s">
        <v>190</v>
      </c>
      <c r="Y20" s="861">
        <f>(H9+H11)</f>
        <v>8.4705882352941183E-6</v>
      </c>
      <c r="Z20" s="861">
        <f>(I9+I11)</f>
        <v>0</v>
      </c>
      <c r="AA20" s="10" t="s">
        <v>807</v>
      </c>
      <c r="AB20" s="487">
        <f>C20*Y20</f>
        <v>1.0164705882352942E-4</v>
      </c>
      <c r="AC20" s="487">
        <f>SQRT(((D20*Y20)^2)+((C20*Z20)^2))</f>
        <v>0</v>
      </c>
    </row>
    <row r="21" spans="1:29" x14ac:dyDescent="0.25">
      <c r="A21" s="357"/>
      <c r="J21" s="491"/>
      <c r="K21" s="491"/>
      <c r="P21" s="491"/>
      <c r="Q21" s="491"/>
      <c r="V21" s="574"/>
      <c r="W21" s="574"/>
      <c r="AB21" s="488"/>
      <c r="AC21" s="488"/>
    </row>
    <row r="22" spans="1:29" s="2" customFormat="1" x14ac:dyDescent="0.25">
      <c r="A22" s="17" t="s">
        <v>369</v>
      </c>
      <c r="J22" s="493">
        <f>SUM(J19:J21)</f>
        <v>0</v>
      </c>
      <c r="K22" s="493">
        <f>SQRT(SUMSQ(K19:K20))</f>
        <v>0</v>
      </c>
      <c r="P22" s="493">
        <f>SUM(P19:P21)</f>
        <v>0</v>
      </c>
      <c r="Q22" s="493">
        <f>SQRT(SUMSQ(Q19:Q20))</f>
        <v>0</v>
      </c>
      <c r="V22" s="604">
        <f>SUM(V19:V21)</f>
        <v>3.3882352941176478E-4</v>
      </c>
      <c r="W22" s="604">
        <f>SQRT(SUMSQ(W19:W20))</f>
        <v>0</v>
      </c>
      <c r="AB22" s="489">
        <f>SUM(AB19:AB21)</f>
        <v>1.0164705882352942E-4</v>
      </c>
      <c r="AC22" s="489">
        <f>SQRT(SUMSQ(AC19:AC20))</f>
        <v>0</v>
      </c>
    </row>
    <row r="23" spans="1:29" x14ac:dyDescent="0.25">
      <c r="A23" s="15"/>
    </row>
    <row r="24" spans="1:29" s="42" customFormat="1" x14ac:dyDescent="0.25">
      <c r="B24" s="353"/>
      <c r="C24" s="10"/>
      <c r="D24" s="10"/>
      <c r="E24" s="11"/>
      <c r="G24" s="10"/>
      <c r="H24" s="10"/>
      <c r="I24" s="10"/>
      <c r="J24" s="10"/>
      <c r="K24" s="10"/>
      <c r="M24" s="10"/>
      <c r="N24" s="10"/>
      <c r="O24" s="10"/>
      <c r="P24" s="10"/>
      <c r="Q24" s="10"/>
      <c r="S24" s="10"/>
      <c r="T24" s="10"/>
      <c r="U24" s="10"/>
      <c r="V24" s="10"/>
      <c r="W24" s="10"/>
      <c r="Y24" s="10"/>
      <c r="Z24" s="10"/>
      <c r="AA24" s="10"/>
      <c r="AB24" s="10"/>
      <c r="AC24" s="10"/>
    </row>
    <row r="25" spans="1:29" s="42" customFormat="1" x14ac:dyDescent="0.25">
      <c r="B25" s="353"/>
      <c r="C25" s="10"/>
      <c r="D25" s="10"/>
      <c r="E25" s="11"/>
      <c r="G25" s="10"/>
      <c r="H25" s="10"/>
      <c r="I25" s="10"/>
      <c r="J25" s="10"/>
      <c r="K25" s="10"/>
      <c r="M25" s="10"/>
      <c r="N25" s="10"/>
      <c r="O25" s="10"/>
      <c r="P25" s="10"/>
      <c r="Q25" s="10"/>
      <c r="S25" s="10"/>
      <c r="T25" s="10"/>
      <c r="U25" s="10"/>
      <c r="V25" s="10"/>
      <c r="W25" s="10"/>
      <c r="Y25" s="10"/>
      <c r="Z25" s="10"/>
      <c r="AA25" s="10"/>
      <c r="AB25" s="10"/>
      <c r="AC25" s="10"/>
    </row>
    <row r="26" spans="1:29" s="42" customFormat="1" x14ac:dyDescent="0.25">
      <c r="B26" s="353"/>
      <c r="C26" s="10"/>
      <c r="D26" s="10"/>
      <c r="E26" s="11"/>
      <c r="G26" s="10"/>
      <c r="H26" s="10"/>
      <c r="I26" s="10"/>
      <c r="J26" s="10"/>
      <c r="K26" s="10"/>
      <c r="M26" s="10"/>
      <c r="N26" s="10"/>
      <c r="O26" s="10"/>
      <c r="P26" s="10"/>
      <c r="Q26" s="10"/>
      <c r="S26" s="10"/>
      <c r="T26" s="10"/>
      <c r="U26" s="10"/>
      <c r="V26" s="10"/>
      <c r="W26" s="10"/>
      <c r="Y26" s="10"/>
      <c r="Z26" s="10"/>
      <c r="AA26" s="10"/>
      <c r="AB26" s="10"/>
      <c r="AC26" s="10"/>
    </row>
    <row r="27" spans="1:29" s="42" customFormat="1" x14ac:dyDescent="0.25">
      <c r="B27" s="353"/>
      <c r="C27" s="204"/>
      <c r="D27" s="10"/>
      <c r="E27" s="10"/>
      <c r="G27" s="205"/>
      <c r="H27" s="205"/>
      <c r="I27" s="10"/>
      <c r="J27" s="10"/>
      <c r="K27" s="10"/>
      <c r="M27" s="205"/>
      <c r="N27" s="205"/>
      <c r="O27" s="10"/>
      <c r="P27" s="10"/>
      <c r="Q27" s="10"/>
      <c r="S27" s="206"/>
      <c r="T27" s="206"/>
      <c r="U27" s="10"/>
      <c r="V27" s="10"/>
      <c r="W27" s="10"/>
      <c r="Y27" s="207"/>
      <c r="Z27" s="207"/>
      <c r="AA27" s="10"/>
      <c r="AB27" s="10"/>
      <c r="AC27" s="10"/>
    </row>
    <row r="28" spans="1:29" s="42" customFormat="1" x14ac:dyDescent="0.25">
      <c r="C28" s="204"/>
      <c r="D28" s="10"/>
      <c r="E28" s="10"/>
      <c r="G28" s="205"/>
      <c r="H28" s="205"/>
      <c r="I28" s="10"/>
      <c r="J28" s="10"/>
      <c r="K28" s="10"/>
      <c r="M28" s="205"/>
      <c r="N28" s="205"/>
      <c r="O28" s="10"/>
      <c r="P28" s="10"/>
      <c r="Q28" s="10"/>
      <c r="S28" s="206"/>
      <c r="T28" s="206"/>
      <c r="U28" s="10"/>
      <c r="V28" s="10"/>
      <c r="W28" s="10"/>
      <c r="Y28" s="207"/>
      <c r="Z28" s="207"/>
      <c r="AA28" s="10"/>
      <c r="AB28" s="10"/>
      <c r="AC28" s="10"/>
    </row>
    <row r="29" spans="1:29" s="42" customFormat="1" x14ac:dyDescent="0.25">
      <c r="B29" s="353"/>
      <c r="C29" s="10"/>
      <c r="D29" s="10"/>
      <c r="E29" s="11"/>
      <c r="G29" s="10"/>
      <c r="H29" s="10"/>
      <c r="I29" s="10"/>
      <c r="J29" s="10"/>
      <c r="K29" s="10"/>
      <c r="M29" s="10"/>
      <c r="N29" s="10"/>
      <c r="O29" s="10"/>
      <c r="P29" s="10"/>
      <c r="Q29" s="10"/>
      <c r="S29" s="10"/>
      <c r="T29" s="10"/>
      <c r="U29" s="10"/>
      <c r="V29" s="10"/>
      <c r="W29" s="10"/>
      <c r="Y29" s="10"/>
      <c r="Z29" s="10"/>
      <c r="AA29" s="10"/>
      <c r="AB29" s="10"/>
      <c r="AC29" s="10"/>
    </row>
    <row r="30" spans="1:29" s="42" customFormat="1" x14ac:dyDescent="0.25">
      <c r="C30" s="10"/>
      <c r="D30" s="10"/>
      <c r="E30" s="10"/>
      <c r="G30" s="10"/>
      <c r="H30" s="10"/>
      <c r="I30" s="10"/>
      <c r="J30" s="10"/>
      <c r="K30" s="10"/>
      <c r="M30" s="10"/>
      <c r="N30" s="10"/>
      <c r="O30" s="10"/>
      <c r="P30" s="10"/>
      <c r="Q30" s="10"/>
      <c r="S30" s="10"/>
      <c r="T30" s="10"/>
      <c r="U30" s="10"/>
      <c r="V30" s="10"/>
      <c r="W30" s="10"/>
      <c r="Y30" s="10"/>
      <c r="Z30" s="10"/>
      <c r="AA30" s="10"/>
      <c r="AB30" s="10"/>
      <c r="AC30" s="10"/>
    </row>
    <row r="31" spans="1:29" s="42" customFormat="1" x14ac:dyDescent="0.25">
      <c r="A31" s="143"/>
      <c r="B31" s="143"/>
      <c r="C31" s="354"/>
      <c r="D31" s="354"/>
      <c r="E31" s="354"/>
      <c r="F31" s="143"/>
      <c r="G31" s="354"/>
      <c r="H31" s="354"/>
      <c r="I31" s="354"/>
      <c r="J31" s="354"/>
      <c r="K31" s="354"/>
      <c r="L31" s="143"/>
      <c r="M31" s="354"/>
      <c r="N31" s="354"/>
      <c r="O31" s="354"/>
      <c r="P31" s="354"/>
      <c r="Q31" s="354"/>
      <c r="R31" s="143"/>
      <c r="S31" s="354"/>
      <c r="T31" s="354"/>
      <c r="U31" s="354"/>
      <c r="V31" s="354"/>
      <c r="W31" s="354"/>
      <c r="X31" s="143"/>
      <c r="Y31" s="354"/>
      <c r="Z31" s="354"/>
      <c r="AA31" s="354"/>
      <c r="AB31" s="354"/>
      <c r="AC31" s="354"/>
    </row>
    <row r="32" spans="1:29" s="42" customFormat="1" x14ac:dyDescent="0.25"/>
    <row r="33" s="42" customFormat="1" x14ac:dyDescent="0.25"/>
    <row r="34" s="42" customFormat="1" x14ac:dyDescent="0.25"/>
  </sheetData>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9" width="25.6640625" customWidth="1"/>
    <col min="10" max="10" width="13.88671875" customWidth="1"/>
    <col min="11" max="11" width="13" customWidth="1"/>
    <col min="12" max="12" width="12" customWidth="1"/>
    <col min="16" max="16" width="16" customWidth="1"/>
    <col min="17" max="17" width="18.109375" customWidth="1"/>
    <col min="18" max="18" width="13" customWidth="1"/>
    <col min="19" max="19" width="12.44140625" bestFit="1" customWidth="1"/>
    <col min="20" max="20" width="12.6640625" customWidth="1"/>
    <col min="21" max="21" width="10" customWidth="1"/>
    <col min="22" max="22" width="15.109375" customWidth="1"/>
    <col min="23" max="23" width="14.6640625" customWidth="1"/>
    <col min="24" max="24" width="11.88671875" customWidth="1"/>
    <col min="25" max="25" width="12.5546875" customWidth="1"/>
    <col min="26" max="26" width="13.5546875" customWidth="1"/>
    <col min="27" max="27" width="10" customWidth="1"/>
    <col min="28" max="28" width="15.109375" customWidth="1"/>
    <col min="29" max="29" width="19.44140625" customWidth="1"/>
  </cols>
  <sheetData>
    <row r="1" spans="1:29" x14ac:dyDescent="0.25">
      <c r="A1" s="2" t="s">
        <v>240</v>
      </c>
      <c r="B1" s="877" t="s">
        <v>1984</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EnergySupply!I31*Unitflowchart!S125</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EnergySupply!I34*Unitflowchart!S125</f>
        <v>0</v>
      </c>
    </row>
    <row r="12" spans="1:29" x14ac:dyDescent="0.25">
      <c r="A12" s="1261" t="s">
        <v>1985</v>
      </c>
      <c r="B12" s="1520">
        <f>Unitflowchart!S241</f>
        <v>7436.5199999999995</v>
      </c>
      <c r="C12" s="186"/>
      <c r="D12" s="186"/>
      <c r="E12" s="186"/>
      <c r="F12" s="187"/>
      <c r="G12" s="187"/>
      <c r="H12" s="188"/>
      <c r="I12" s="188"/>
    </row>
    <row r="13" spans="1:29" x14ac:dyDescent="0.25">
      <c r="A13" s="1523" t="s">
        <v>1986</v>
      </c>
      <c r="B13" s="1522">
        <f>Unitflowchart!S243</f>
        <v>93.4</v>
      </c>
      <c r="C13" s="186"/>
      <c r="D13" s="186"/>
      <c r="E13" s="186"/>
      <c r="F13" s="187"/>
      <c r="G13" s="187"/>
      <c r="H13" s="188"/>
      <c r="I13" s="188"/>
    </row>
    <row r="14" spans="1:29" s="42" customFormat="1" x14ac:dyDescent="0.25">
      <c r="A14" s="208"/>
      <c r="B14" s="209"/>
      <c r="C14" s="186"/>
      <c r="D14" s="186"/>
      <c r="E14" s="186"/>
      <c r="F14" s="187"/>
      <c r="G14" s="187"/>
      <c r="H14" s="188"/>
      <c r="I14" s="188"/>
    </row>
    <row r="15" spans="1:29" s="23" customFormat="1" x14ac:dyDescent="0.25">
      <c r="A15" s="23" t="s">
        <v>245</v>
      </c>
      <c r="B15" s="23" t="s">
        <v>244</v>
      </c>
      <c r="E15" s="23" t="s">
        <v>27</v>
      </c>
      <c r="F15" s="23" t="s">
        <v>247</v>
      </c>
      <c r="I15" s="23" t="s">
        <v>27</v>
      </c>
      <c r="J15" s="358" t="s">
        <v>811</v>
      </c>
      <c r="L15" s="23" t="s">
        <v>251</v>
      </c>
      <c r="O15" s="23" t="s">
        <v>27</v>
      </c>
      <c r="P15" s="358" t="s">
        <v>812</v>
      </c>
      <c r="R15" s="23" t="s">
        <v>253</v>
      </c>
      <c r="U15" s="23" t="s">
        <v>27</v>
      </c>
      <c r="V15" s="358" t="s">
        <v>814</v>
      </c>
      <c r="X15" s="23" t="s">
        <v>255</v>
      </c>
      <c r="AA15" s="23" t="s">
        <v>27</v>
      </c>
      <c r="AB15" s="358" t="s">
        <v>815</v>
      </c>
    </row>
    <row r="16" spans="1:29" x14ac:dyDescent="0.25">
      <c r="A16" s="15"/>
      <c r="B16" s="23" t="s">
        <v>246</v>
      </c>
      <c r="C16" s="23" t="s">
        <v>248</v>
      </c>
      <c r="D16" s="23" t="s">
        <v>249</v>
      </c>
      <c r="E16" s="23"/>
      <c r="F16" s="23"/>
      <c r="G16" s="23" t="s">
        <v>248</v>
      </c>
      <c r="H16" s="23" t="s">
        <v>249</v>
      </c>
      <c r="I16" s="23"/>
      <c r="J16" s="23" t="s">
        <v>248</v>
      </c>
      <c r="K16" s="23" t="s">
        <v>249</v>
      </c>
      <c r="L16" s="23" t="s">
        <v>246</v>
      </c>
      <c r="M16" s="23" t="s">
        <v>248</v>
      </c>
      <c r="N16" s="23" t="s">
        <v>249</v>
      </c>
      <c r="O16" s="23"/>
      <c r="P16" s="23" t="s">
        <v>248</v>
      </c>
      <c r="Q16" s="23" t="s">
        <v>249</v>
      </c>
      <c r="R16" s="23" t="s">
        <v>246</v>
      </c>
      <c r="S16" s="23" t="s">
        <v>248</v>
      </c>
      <c r="T16" s="23" t="s">
        <v>249</v>
      </c>
      <c r="U16" s="23"/>
      <c r="V16" s="23" t="s">
        <v>248</v>
      </c>
      <c r="W16" s="23" t="s">
        <v>249</v>
      </c>
      <c r="X16" s="23" t="s">
        <v>246</v>
      </c>
      <c r="Y16" s="23" t="s">
        <v>248</v>
      </c>
      <c r="Z16" s="23" t="s">
        <v>249</v>
      </c>
      <c r="AA16" s="23"/>
      <c r="AB16" s="23" t="s">
        <v>248</v>
      </c>
      <c r="AC16" s="23" t="s">
        <v>249</v>
      </c>
    </row>
    <row r="17" spans="1:29" x14ac:dyDescent="0.25">
      <c r="A17" s="143" t="s">
        <v>1984</v>
      </c>
      <c r="C17" s="1"/>
      <c r="D17" s="1"/>
      <c r="E17" s="1"/>
      <c r="G17" s="1"/>
      <c r="H17" s="1"/>
      <c r="I17" s="1"/>
      <c r="J17" s="1"/>
      <c r="K17" s="1"/>
    </row>
    <row r="18" spans="1:29" s="42" customFormat="1" x14ac:dyDescent="0.25">
      <c r="B18" s="353"/>
      <c r="C18" s="204"/>
      <c r="D18" s="10"/>
      <c r="E18" s="10"/>
      <c r="G18" s="205"/>
      <c r="H18" s="205"/>
      <c r="I18" s="10"/>
      <c r="J18" s="10"/>
      <c r="K18" s="204"/>
      <c r="M18" s="10"/>
      <c r="N18" s="10"/>
      <c r="O18" s="10"/>
      <c r="P18" s="10"/>
      <c r="Q18" s="10"/>
      <c r="S18" s="10"/>
      <c r="T18" s="10"/>
      <c r="U18" s="10"/>
      <c r="V18" s="10"/>
      <c r="W18" s="10"/>
      <c r="Y18" s="10"/>
      <c r="Z18" s="10"/>
      <c r="AA18" s="10"/>
      <c r="AB18" s="10"/>
      <c r="AC18" s="10"/>
    </row>
    <row r="19" spans="1:29" x14ac:dyDescent="0.25">
      <c r="A19" s="15" t="s">
        <v>123</v>
      </c>
      <c r="B19" t="s">
        <v>442</v>
      </c>
      <c r="C19" s="680">
        <f>B12</f>
        <v>7436.5199999999995</v>
      </c>
      <c r="D19" s="501">
        <v>0</v>
      </c>
      <c r="E19" s="10" t="s">
        <v>1987</v>
      </c>
      <c r="F19" t="s">
        <v>6</v>
      </c>
      <c r="G19" s="862">
        <f>B8+B10</f>
        <v>0</v>
      </c>
      <c r="H19" s="862">
        <f>C8+C10</f>
        <v>0</v>
      </c>
      <c r="I19" s="10" t="s">
        <v>801</v>
      </c>
      <c r="J19" s="490">
        <f>C19*G19</f>
        <v>0</v>
      </c>
      <c r="K19" s="490">
        <f>SQRT(((D19*G19)^2)+((C19*H19)^2))</f>
        <v>0</v>
      </c>
      <c r="L19" t="s">
        <v>7</v>
      </c>
      <c r="M19" s="862">
        <f>(D8+D10)/3.6</f>
        <v>0</v>
      </c>
      <c r="N19" s="862">
        <f>(E8+E10)/3.6</f>
        <v>0</v>
      </c>
      <c r="O19" s="10" t="s">
        <v>802</v>
      </c>
      <c r="P19" s="490">
        <f>C19*M19</f>
        <v>0</v>
      </c>
      <c r="Q19" s="490">
        <f>SQRT(((D19*M19)^2)+((C19*N19)^2))</f>
        <v>0</v>
      </c>
      <c r="R19" t="s">
        <v>8</v>
      </c>
      <c r="S19" s="861">
        <f>(F8+F10)/3.6</f>
        <v>3.9215686274509803E-6</v>
      </c>
      <c r="T19" s="861">
        <f>(G8+G10)/3.6</f>
        <v>0</v>
      </c>
      <c r="U19" s="10" t="s">
        <v>804</v>
      </c>
      <c r="V19" s="573">
        <f>C19*S19</f>
        <v>2.9162823529411762E-2</v>
      </c>
      <c r="W19" s="573">
        <f>SQRT(((D19*S19)^2)+((C19*T19)^2))</f>
        <v>0</v>
      </c>
      <c r="X19" t="s">
        <v>9</v>
      </c>
      <c r="Y19" s="861">
        <f>(H8+H10)/3.6</f>
        <v>1.1764705882352942E-6</v>
      </c>
      <c r="Z19" s="861">
        <f>(I8+I10)/3.6</f>
        <v>0</v>
      </c>
      <c r="AA19" s="10" t="s">
        <v>806</v>
      </c>
      <c r="AB19" s="487">
        <f>C19*Y19</f>
        <v>8.7488470588235299E-3</v>
      </c>
      <c r="AC19" s="487">
        <f>SQRT(((D19*Y19)^2)+((C19*Z19)^2))</f>
        <v>0</v>
      </c>
    </row>
    <row r="20" spans="1:29" x14ac:dyDescent="0.25">
      <c r="A20" s="15" t="s">
        <v>122</v>
      </c>
      <c r="B20" t="s">
        <v>739</v>
      </c>
      <c r="C20" s="356">
        <f>$B$13</f>
        <v>93.4</v>
      </c>
      <c r="D20" s="414">
        <v>0</v>
      </c>
      <c r="E20" s="10" t="s">
        <v>1988</v>
      </c>
      <c r="F20" t="s">
        <v>187</v>
      </c>
      <c r="G20" s="862">
        <f>3.6*(B9+B11)</f>
        <v>0</v>
      </c>
      <c r="H20" s="862">
        <f>3.6*(C9+C11)</f>
        <v>0</v>
      </c>
      <c r="I20" s="10" t="s">
        <v>808</v>
      </c>
      <c r="J20" s="490">
        <f>C20*G20</f>
        <v>0</v>
      </c>
      <c r="K20" s="490">
        <f>SQRT(((D20*G20)^2)+((C20*H20)^2))</f>
        <v>0</v>
      </c>
      <c r="L20" t="s">
        <v>188</v>
      </c>
      <c r="M20" s="862">
        <f>(D9+D11)</f>
        <v>0</v>
      </c>
      <c r="N20" s="862">
        <f>(E9+E11)</f>
        <v>0</v>
      </c>
      <c r="O20" s="10" t="s">
        <v>803</v>
      </c>
      <c r="P20" s="490">
        <f>C20*M20</f>
        <v>0</v>
      </c>
      <c r="Q20" s="490">
        <f>SQRT(((D20*M20)^2)+((C20*N20)^2))</f>
        <v>0</v>
      </c>
      <c r="R20" t="s">
        <v>189</v>
      </c>
      <c r="S20" s="861">
        <f>(F9+F11)</f>
        <v>2.8235294117647067E-5</v>
      </c>
      <c r="T20" s="861">
        <f>(G9+G11)</f>
        <v>0</v>
      </c>
      <c r="U20" s="10" t="s">
        <v>805</v>
      </c>
      <c r="V20" s="573">
        <f>C20*S20</f>
        <v>2.6371764705882361E-3</v>
      </c>
      <c r="W20" s="573">
        <f>SQRT(((D20*S20)^2)+((C20*T20)^2))</f>
        <v>0</v>
      </c>
      <c r="X20" t="s">
        <v>190</v>
      </c>
      <c r="Y20" s="861">
        <f>(H9+H11)</f>
        <v>8.4705882352941183E-6</v>
      </c>
      <c r="Z20" s="861">
        <f>(I9+I11)</f>
        <v>0</v>
      </c>
      <c r="AA20" s="10" t="s">
        <v>807</v>
      </c>
      <c r="AB20" s="487">
        <f>C20*Y20</f>
        <v>7.9115294117647068E-4</v>
      </c>
      <c r="AC20" s="487">
        <f>SQRT(((D20*Y20)^2)+((C20*Z20)^2))</f>
        <v>0</v>
      </c>
    </row>
    <row r="21" spans="1:29" x14ac:dyDescent="0.25">
      <c r="A21" s="357"/>
      <c r="J21" s="491"/>
      <c r="K21" s="491"/>
      <c r="P21" s="491"/>
      <c r="Q21" s="491"/>
      <c r="V21" s="574"/>
      <c r="W21" s="574"/>
      <c r="AB21" s="488"/>
      <c r="AC21" s="488"/>
    </row>
    <row r="22" spans="1:29" s="2" customFormat="1" x14ac:dyDescent="0.25">
      <c r="A22" s="17" t="s">
        <v>369</v>
      </c>
      <c r="J22" s="493">
        <f>SUM(J19:J21)</f>
        <v>0</v>
      </c>
      <c r="K22" s="493">
        <f>SQRT(SUMSQ(K19:K20))</f>
        <v>0</v>
      </c>
      <c r="P22" s="493">
        <f>SUM(P19:P21)</f>
        <v>0</v>
      </c>
      <c r="Q22" s="493">
        <f>SQRT(SUMSQ(Q19:Q20))</f>
        <v>0</v>
      </c>
      <c r="V22" s="604">
        <f>SUM(V19:V21)</f>
        <v>3.1799999999999995E-2</v>
      </c>
      <c r="W22" s="604">
        <f>SQRT(SUMSQ(W19:W20))</f>
        <v>0</v>
      </c>
      <c r="AB22" s="489">
        <f>SUM(AB19:AB21)</f>
        <v>9.5399999999999999E-3</v>
      </c>
      <c r="AC22" s="489">
        <f>SQRT(SUMSQ(AC19:AC20))</f>
        <v>0</v>
      </c>
    </row>
    <row r="23" spans="1:29" x14ac:dyDescent="0.25">
      <c r="A23" s="15"/>
    </row>
    <row r="24" spans="1:29" s="42" customFormat="1" x14ac:dyDescent="0.25">
      <c r="B24" s="353"/>
      <c r="C24" s="10"/>
      <c r="D24" s="10"/>
      <c r="E24" s="11"/>
      <c r="G24" s="10"/>
      <c r="H24" s="10"/>
      <c r="I24" s="10"/>
      <c r="J24" s="10"/>
      <c r="K24" s="10"/>
      <c r="M24" s="10"/>
      <c r="N24" s="10"/>
      <c r="O24" s="10"/>
      <c r="P24" s="10"/>
      <c r="Q24" s="10"/>
      <c r="S24" s="10"/>
      <c r="T24" s="10"/>
      <c r="U24" s="10"/>
      <c r="V24" s="10"/>
      <c r="W24" s="10"/>
      <c r="Y24" s="10"/>
      <c r="Z24" s="10"/>
      <c r="AA24" s="10"/>
      <c r="AB24" s="10"/>
      <c r="AC24" s="10"/>
    </row>
    <row r="25" spans="1:29" s="42" customFormat="1" x14ac:dyDescent="0.25">
      <c r="B25" s="353"/>
      <c r="C25" s="10"/>
      <c r="D25" s="10"/>
      <c r="E25" s="11"/>
      <c r="G25" s="10"/>
      <c r="H25" s="10"/>
      <c r="I25" s="10"/>
      <c r="J25" s="10"/>
      <c r="K25" s="10"/>
      <c r="M25" s="10"/>
      <c r="N25" s="10"/>
      <c r="O25" s="10"/>
      <c r="P25" s="10"/>
      <c r="Q25" s="10"/>
      <c r="S25" s="10"/>
      <c r="T25" s="10"/>
      <c r="U25" s="10"/>
      <c r="V25" s="10"/>
      <c r="W25" s="10"/>
      <c r="Y25" s="10"/>
      <c r="Z25" s="10"/>
      <c r="AA25" s="10"/>
      <c r="AB25" s="10"/>
      <c r="AC25" s="10"/>
    </row>
    <row r="26" spans="1:29" s="42" customFormat="1" x14ac:dyDescent="0.25">
      <c r="B26" s="353"/>
      <c r="C26" s="10"/>
      <c r="D26" s="10"/>
      <c r="E26" s="11"/>
      <c r="G26" s="10"/>
      <c r="H26" s="10"/>
      <c r="I26" s="10"/>
      <c r="J26" s="10"/>
      <c r="K26" s="10"/>
      <c r="M26" s="10"/>
      <c r="N26" s="10"/>
      <c r="O26" s="10"/>
      <c r="P26" s="10"/>
      <c r="Q26" s="10"/>
      <c r="S26" s="10"/>
      <c r="T26" s="10"/>
      <c r="U26" s="10"/>
      <c r="V26" s="10"/>
      <c r="W26" s="10"/>
      <c r="Y26" s="10"/>
      <c r="Z26" s="10"/>
      <c r="AA26" s="10"/>
      <c r="AB26" s="10"/>
      <c r="AC26" s="10"/>
    </row>
    <row r="27" spans="1:29" s="42" customFormat="1" x14ac:dyDescent="0.25">
      <c r="B27" s="353"/>
      <c r="C27" s="204"/>
      <c r="D27" s="10"/>
      <c r="E27" s="10"/>
      <c r="G27" s="205"/>
      <c r="H27" s="205"/>
      <c r="I27" s="10"/>
      <c r="J27" s="10"/>
      <c r="K27" s="10"/>
      <c r="M27" s="205"/>
      <c r="N27" s="205"/>
      <c r="O27" s="10"/>
      <c r="P27" s="10"/>
      <c r="Q27" s="10"/>
      <c r="S27" s="206"/>
      <c r="T27" s="206"/>
      <c r="U27" s="10"/>
      <c r="V27" s="10"/>
      <c r="W27" s="10"/>
      <c r="Y27" s="207"/>
      <c r="Z27" s="207"/>
      <c r="AA27" s="10"/>
      <c r="AB27" s="10"/>
      <c r="AC27" s="10"/>
    </row>
    <row r="28" spans="1:29" s="42" customFormat="1" x14ac:dyDescent="0.25">
      <c r="C28" s="204"/>
      <c r="D28" s="10"/>
      <c r="E28" s="10"/>
      <c r="G28" s="205"/>
      <c r="H28" s="205"/>
      <c r="I28" s="10"/>
      <c r="J28" s="10"/>
      <c r="K28" s="10"/>
      <c r="M28" s="205"/>
      <c r="N28" s="205"/>
      <c r="O28" s="10"/>
      <c r="P28" s="10"/>
      <c r="Q28" s="10"/>
      <c r="S28" s="206"/>
      <c r="T28" s="206"/>
      <c r="U28" s="10"/>
      <c r="V28" s="10"/>
      <c r="W28" s="10"/>
      <c r="Y28" s="207"/>
      <c r="Z28" s="207"/>
      <c r="AA28" s="10"/>
      <c r="AB28" s="10"/>
      <c r="AC28" s="10"/>
    </row>
    <row r="29" spans="1:29" s="42" customFormat="1" x14ac:dyDescent="0.25">
      <c r="B29" s="353"/>
      <c r="C29" s="10"/>
      <c r="D29" s="10"/>
      <c r="E29" s="11"/>
      <c r="G29" s="10"/>
      <c r="H29" s="10"/>
      <c r="I29" s="10"/>
      <c r="J29" s="10"/>
      <c r="K29" s="10"/>
      <c r="M29" s="10"/>
      <c r="N29" s="10"/>
      <c r="O29" s="10"/>
      <c r="P29" s="10"/>
      <c r="Q29" s="10"/>
      <c r="S29" s="10"/>
      <c r="T29" s="10"/>
      <c r="U29" s="10"/>
      <c r="V29" s="10"/>
      <c r="W29" s="10"/>
      <c r="Y29" s="10"/>
      <c r="Z29" s="10"/>
      <c r="AA29" s="10"/>
      <c r="AB29" s="10"/>
      <c r="AC29" s="10"/>
    </row>
    <row r="30" spans="1:29" s="42" customFormat="1" x14ac:dyDescent="0.25">
      <c r="C30" s="10"/>
      <c r="D30" s="10"/>
      <c r="E30" s="10"/>
      <c r="G30" s="10"/>
      <c r="H30" s="10"/>
      <c r="I30" s="10"/>
      <c r="J30" s="10"/>
      <c r="K30" s="10"/>
      <c r="M30" s="10"/>
      <c r="N30" s="10"/>
      <c r="O30" s="10"/>
      <c r="P30" s="10"/>
      <c r="Q30" s="10"/>
      <c r="S30" s="10"/>
      <c r="T30" s="10"/>
      <c r="U30" s="10"/>
      <c r="V30" s="10"/>
      <c r="W30" s="10"/>
      <c r="Y30" s="10"/>
      <c r="Z30" s="10"/>
      <c r="AA30" s="10"/>
      <c r="AB30" s="10"/>
      <c r="AC30" s="10"/>
    </row>
    <row r="31" spans="1:29" s="42" customFormat="1" x14ac:dyDescent="0.25">
      <c r="A31" s="143"/>
      <c r="B31" s="143"/>
      <c r="C31" s="354"/>
      <c r="D31" s="354"/>
      <c r="E31" s="354"/>
      <c r="F31" s="143"/>
      <c r="G31" s="354"/>
      <c r="H31" s="354"/>
      <c r="I31" s="354"/>
      <c r="J31" s="354"/>
      <c r="K31" s="354"/>
      <c r="L31" s="143"/>
      <c r="M31" s="354"/>
      <c r="N31" s="354"/>
      <c r="O31" s="354"/>
      <c r="P31" s="354"/>
      <c r="Q31" s="354"/>
      <c r="R31" s="143"/>
      <c r="S31" s="354"/>
      <c r="T31" s="354"/>
      <c r="U31" s="354"/>
      <c r="V31" s="354"/>
      <c r="W31" s="354"/>
      <c r="X31" s="143"/>
      <c r="Y31" s="354"/>
      <c r="Z31" s="354"/>
      <c r="AA31" s="354"/>
      <c r="AB31" s="354"/>
      <c r="AC31" s="354"/>
    </row>
    <row r="32" spans="1:29" s="42" customFormat="1" x14ac:dyDescent="0.25"/>
    <row r="33" s="42" customFormat="1" x14ac:dyDescent="0.25"/>
    <row r="34" s="42" customFormat="1" x14ac:dyDescent="0.25"/>
  </sheetData>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activeCell="B32" sqref="B32"/>
    </sheetView>
  </sheetViews>
  <sheetFormatPr defaultRowHeight="13.2" x14ac:dyDescent="0.25"/>
  <cols>
    <col min="1" max="1" width="63.33203125" customWidth="1"/>
    <col min="2" max="9" width="25.6640625" customWidth="1"/>
    <col min="10" max="10" width="14.109375" customWidth="1"/>
    <col min="11" max="11" width="12.6640625" customWidth="1"/>
    <col min="12" max="12" width="12" customWidth="1"/>
    <col min="16" max="16" width="16.5546875" customWidth="1"/>
    <col min="17" max="17" width="17.6640625" customWidth="1"/>
    <col min="18" max="18" width="13" customWidth="1"/>
    <col min="19" max="19" width="10.5546875" bestFit="1" customWidth="1"/>
    <col min="20" max="20" width="12.6640625" customWidth="1"/>
    <col min="21" max="21" width="10" customWidth="1"/>
    <col min="22" max="22" width="14.6640625" customWidth="1"/>
    <col min="23" max="23" width="15.109375" customWidth="1"/>
    <col min="24" max="24" width="11.88671875" customWidth="1"/>
    <col min="25" max="25" width="12.5546875" customWidth="1"/>
    <col min="26" max="26" width="13.5546875" customWidth="1"/>
    <col min="27" max="27" width="10" customWidth="1"/>
    <col min="28" max="28" width="14.109375" customWidth="1"/>
    <col min="29" max="29" width="18.88671875" customWidth="1"/>
  </cols>
  <sheetData>
    <row r="1" spans="1:29" x14ac:dyDescent="0.25">
      <c r="A1" s="2" t="s">
        <v>240</v>
      </c>
      <c r="B1" s="877" t="s">
        <v>1990</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EnergySupply!I31*Unitflowchart!$S$128</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EnergySupply!I34*Unitflowchart!$S$128</f>
        <v>0</v>
      </c>
    </row>
    <row r="12" spans="1:29" x14ac:dyDescent="0.25">
      <c r="A12" s="1261" t="s">
        <v>1991</v>
      </c>
      <c r="B12" s="201">
        <f>Unitflowchart!AC268</f>
        <v>0</v>
      </c>
      <c r="C12" s="186"/>
      <c r="D12" s="186"/>
      <c r="E12" s="186"/>
      <c r="F12" s="187"/>
      <c r="G12" s="187"/>
      <c r="H12" s="188"/>
      <c r="I12" s="188"/>
    </row>
    <row r="13" spans="1:29" x14ac:dyDescent="0.25">
      <c r="A13" s="1523" t="s">
        <v>1992</v>
      </c>
      <c r="B13" s="203">
        <f>Unitflowchart!AC270</f>
        <v>115.12107818702619</v>
      </c>
      <c r="C13" s="186"/>
      <c r="D13" s="186"/>
      <c r="E13" s="186"/>
      <c r="F13" s="187"/>
      <c r="G13" s="187"/>
      <c r="H13" s="188"/>
      <c r="I13" s="188"/>
    </row>
    <row r="14" spans="1:29" s="42" customFormat="1" x14ac:dyDescent="0.25">
      <c r="A14" s="208"/>
      <c r="B14" s="209"/>
      <c r="C14" s="186"/>
      <c r="D14" s="186"/>
      <c r="E14" s="186"/>
      <c r="F14" s="187"/>
      <c r="G14" s="187"/>
      <c r="H14" s="188"/>
      <c r="I14" s="188"/>
    </row>
    <row r="15" spans="1:29" s="23" customFormat="1" x14ac:dyDescent="0.25">
      <c r="A15" s="23" t="s">
        <v>245</v>
      </c>
      <c r="B15" s="23" t="s">
        <v>244</v>
      </c>
      <c r="E15" s="23" t="s">
        <v>27</v>
      </c>
      <c r="F15" s="23" t="s">
        <v>247</v>
      </c>
      <c r="I15" s="23" t="s">
        <v>27</v>
      </c>
      <c r="J15" s="358" t="s">
        <v>811</v>
      </c>
      <c r="L15" s="23" t="s">
        <v>251</v>
      </c>
      <c r="O15" s="23" t="s">
        <v>27</v>
      </c>
      <c r="P15" s="358" t="s">
        <v>812</v>
      </c>
      <c r="R15" s="23" t="s">
        <v>253</v>
      </c>
      <c r="U15" s="23" t="s">
        <v>27</v>
      </c>
      <c r="V15" s="358" t="s">
        <v>814</v>
      </c>
      <c r="X15" s="23" t="s">
        <v>255</v>
      </c>
      <c r="AA15" s="23" t="s">
        <v>27</v>
      </c>
      <c r="AB15" s="358" t="s">
        <v>815</v>
      </c>
    </row>
    <row r="16" spans="1:29" x14ac:dyDescent="0.25">
      <c r="A16" s="15"/>
      <c r="B16" s="23" t="s">
        <v>246</v>
      </c>
      <c r="C16" s="23" t="s">
        <v>248</v>
      </c>
      <c r="D16" s="23" t="s">
        <v>249</v>
      </c>
      <c r="E16" s="23"/>
      <c r="F16" s="23"/>
      <c r="G16" s="23" t="s">
        <v>248</v>
      </c>
      <c r="H16" s="23" t="s">
        <v>249</v>
      </c>
      <c r="I16" s="23"/>
      <c r="J16" s="23" t="s">
        <v>248</v>
      </c>
      <c r="K16" s="23" t="s">
        <v>249</v>
      </c>
      <c r="L16" s="23" t="s">
        <v>246</v>
      </c>
      <c r="M16" s="23" t="s">
        <v>248</v>
      </c>
      <c r="N16" s="23" t="s">
        <v>249</v>
      </c>
      <c r="O16" s="23"/>
      <c r="P16" s="23" t="s">
        <v>248</v>
      </c>
      <c r="Q16" s="23" t="s">
        <v>249</v>
      </c>
      <c r="R16" s="23" t="s">
        <v>246</v>
      </c>
      <c r="S16" s="23" t="s">
        <v>248</v>
      </c>
      <c r="T16" s="23" t="s">
        <v>249</v>
      </c>
      <c r="U16" s="23"/>
      <c r="V16" s="23" t="s">
        <v>248</v>
      </c>
      <c r="W16" s="23" t="s">
        <v>249</v>
      </c>
      <c r="X16" s="23" t="s">
        <v>246</v>
      </c>
      <c r="Y16" s="23" t="s">
        <v>248</v>
      </c>
      <c r="Z16" s="23" t="s">
        <v>249</v>
      </c>
      <c r="AA16" s="23"/>
      <c r="AB16" s="23" t="s">
        <v>248</v>
      </c>
      <c r="AC16" s="23" t="s">
        <v>249</v>
      </c>
    </row>
    <row r="17" spans="1:29" x14ac:dyDescent="0.25">
      <c r="A17" s="143" t="s">
        <v>1993</v>
      </c>
      <c r="C17" s="1"/>
      <c r="D17" s="1"/>
      <c r="E17" s="1"/>
      <c r="G17" s="1"/>
      <c r="H17" s="1"/>
      <c r="I17" s="1"/>
      <c r="J17" s="1"/>
      <c r="K17" s="1"/>
    </row>
    <row r="18" spans="1:29" s="42" customFormat="1" x14ac:dyDescent="0.25">
      <c r="B18" s="353"/>
      <c r="C18" s="204"/>
      <c r="D18" s="10"/>
      <c r="E18" s="10"/>
      <c r="G18" s="205"/>
      <c r="H18" s="205"/>
      <c r="I18" s="10"/>
      <c r="J18" s="10"/>
      <c r="K18" s="204"/>
      <c r="M18" s="10"/>
      <c r="N18" s="10"/>
      <c r="O18" s="10"/>
      <c r="P18" s="10"/>
      <c r="Q18" s="10"/>
      <c r="S18" s="10"/>
      <c r="T18" s="10"/>
      <c r="U18" s="10"/>
      <c r="V18" s="10"/>
      <c r="W18" s="10"/>
      <c r="Y18" s="10"/>
      <c r="Z18" s="10"/>
      <c r="AA18" s="10"/>
      <c r="AB18" s="10"/>
      <c r="AC18" s="10"/>
    </row>
    <row r="19" spans="1:29" x14ac:dyDescent="0.25">
      <c r="A19" s="15" t="s">
        <v>123</v>
      </c>
      <c r="B19" t="s">
        <v>442</v>
      </c>
      <c r="C19" s="680">
        <f>B12</f>
        <v>0</v>
      </c>
      <c r="D19" s="501">
        <v>0</v>
      </c>
      <c r="E19" s="10" t="s">
        <v>1994</v>
      </c>
      <c r="F19" t="s">
        <v>6</v>
      </c>
      <c r="G19" s="862">
        <f>B8+B10</f>
        <v>0</v>
      </c>
      <c r="H19" s="862">
        <f>C8+C10</f>
        <v>0</v>
      </c>
      <c r="I19" s="10" t="s">
        <v>801</v>
      </c>
      <c r="J19" s="490">
        <f>C19*G19</f>
        <v>0</v>
      </c>
      <c r="K19" s="490">
        <f>SQRT(((D19*G19)^2)+((C19*H19)^2))</f>
        <v>0</v>
      </c>
      <c r="L19" t="s">
        <v>7</v>
      </c>
      <c r="M19" s="862">
        <f>(D8+D10)/3.6</f>
        <v>0</v>
      </c>
      <c r="N19" s="862">
        <f>(E8+E10)/3.6</f>
        <v>0</v>
      </c>
      <c r="O19" s="10" t="s">
        <v>802</v>
      </c>
      <c r="P19" s="629">
        <f>C19*M19</f>
        <v>0</v>
      </c>
      <c r="Q19" s="629">
        <f>SQRT(((D19*M19)^2)+((C19*N19)^2))</f>
        <v>0</v>
      </c>
      <c r="R19" t="s">
        <v>8</v>
      </c>
      <c r="S19" s="861">
        <f>(F8+F10)/3.6</f>
        <v>3.9215686274509803E-6</v>
      </c>
      <c r="T19" s="861">
        <f>(G8+G10)/3.6</f>
        <v>0</v>
      </c>
      <c r="U19" s="10" t="s">
        <v>804</v>
      </c>
      <c r="V19" s="676">
        <f>C19*S19</f>
        <v>0</v>
      </c>
      <c r="W19" s="676">
        <f>SQRT(((D19*S19)^2)+((C19*T19)^2))</f>
        <v>0</v>
      </c>
      <c r="X19" t="s">
        <v>9</v>
      </c>
      <c r="Y19" s="861">
        <f>(H8+H10)/3.6</f>
        <v>1.1764705882352942E-6</v>
      </c>
      <c r="Z19" s="861">
        <f>(I8+I10)/3.6</f>
        <v>0</v>
      </c>
      <c r="AA19" s="10" t="s">
        <v>806</v>
      </c>
      <c r="AB19" s="678">
        <f>C19*Y19</f>
        <v>0</v>
      </c>
      <c r="AC19" s="678">
        <f>SQRT(((D19*Y19)^2)+((C19*Z19)^2))</f>
        <v>0</v>
      </c>
    </row>
    <row r="20" spans="1:29" x14ac:dyDescent="0.25">
      <c r="A20" s="15" t="s">
        <v>122</v>
      </c>
      <c r="B20" t="s">
        <v>739</v>
      </c>
      <c r="C20" s="356">
        <f>$B$13</f>
        <v>115.12107818702619</v>
      </c>
      <c r="D20" s="414">
        <v>0</v>
      </c>
      <c r="E20" s="10" t="s">
        <v>1995</v>
      </c>
      <c r="F20" t="s">
        <v>187</v>
      </c>
      <c r="G20" s="862">
        <f>3.6*(B9+B11)</f>
        <v>0</v>
      </c>
      <c r="H20" s="862">
        <f>3.6*(C9+C11)</f>
        <v>0</v>
      </c>
      <c r="I20" s="10" t="s">
        <v>808</v>
      </c>
      <c r="J20" s="490">
        <f>C20*G20</f>
        <v>0</v>
      </c>
      <c r="K20" s="490">
        <f>SQRT(((D20*G20)^2)+((C20*H20)^2))</f>
        <v>0</v>
      </c>
      <c r="L20" t="s">
        <v>188</v>
      </c>
      <c r="M20" s="862">
        <f>(D9+D11)</f>
        <v>0</v>
      </c>
      <c r="N20" s="862">
        <f>(E9+E11)</f>
        <v>0</v>
      </c>
      <c r="O20" s="10" t="s">
        <v>803</v>
      </c>
      <c r="P20" s="629">
        <f>C20*M20</f>
        <v>0</v>
      </c>
      <c r="Q20" s="629">
        <f>SQRT(((D20*M20)^2)+((C20*N20)^2))</f>
        <v>0</v>
      </c>
      <c r="R20" t="s">
        <v>189</v>
      </c>
      <c r="S20" s="861">
        <f>(F9+F11)</f>
        <v>2.8235294117647067E-5</v>
      </c>
      <c r="T20" s="861">
        <f>(G9+G11)</f>
        <v>0</v>
      </c>
      <c r="U20" s="10" t="s">
        <v>805</v>
      </c>
      <c r="V20" s="676">
        <f>C20*S20</f>
        <v>3.2504775017513283E-3</v>
      </c>
      <c r="W20" s="676">
        <f>SQRT(((D20*S20)^2)+((C20*T20)^2))</f>
        <v>0</v>
      </c>
      <c r="X20" t="s">
        <v>190</v>
      </c>
      <c r="Y20" s="861">
        <f>(H9+H11)</f>
        <v>8.4705882352941183E-6</v>
      </c>
      <c r="Z20" s="861">
        <f>(I9+I11)</f>
        <v>0</v>
      </c>
      <c r="AA20" s="10" t="s">
        <v>807</v>
      </c>
      <c r="AB20" s="678">
        <f>C20*Y20</f>
        <v>9.7514325052539832E-4</v>
      </c>
      <c r="AC20" s="678">
        <f>SQRT(((D20*Y20)^2)+((C20*Z20)^2))</f>
        <v>0</v>
      </c>
    </row>
    <row r="21" spans="1:29" x14ac:dyDescent="0.25">
      <c r="A21" s="357"/>
      <c r="J21" s="491"/>
      <c r="K21" s="491"/>
      <c r="P21" s="630"/>
      <c r="Q21" s="630"/>
      <c r="V21" s="682"/>
      <c r="W21" s="682"/>
      <c r="AB21" s="683"/>
      <c r="AC21" s="683"/>
    </row>
    <row r="22" spans="1:29" s="2" customFormat="1" x14ac:dyDescent="0.25">
      <c r="A22" s="17" t="s">
        <v>369</v>
      </c>
      <c r="J22" s="493">
        <f>SUM(J19:J21)</f>
        <v>0</v>
      </c>
      <c r="K22" s="493">
        <f>SQRT(SUMSQ(K19:K20))</f>
        <v>0</v>
      </c>
      <c r="P22" s="631">
        <f>SUM(P19:P21)</f>
        <v>0</v>
      </c>
      <c r="Q22" s="631">
        <f>SQRT(SUMSQ(Q19:Q20))</f>
        <v>0</v>
      </c>
      <c r="V22" s="677">
        <f>SUM(V19:V21)</f>
        <v>3.2504775017513283E-3</v>
      </c>
      <c r="W22" s="677">
        <f>SQRT(SUMSQ(W19:W20))</f>
        <v>0</v>
      </c>
      <c r="AB22" s="679">
        <f>SUM(AB19:AB21)</f>
        <v>9.7514325052539832E-4</v>
      </c>
      <c r="AC22" s="679">
        <f>SQRT(SUMSQ(AC19:AC20))</f>
        <v>0</v>
      </c>
    </row>
    <row r="23" spans="1:29" x14ac:dyDescent="0.25">
      <c r="A23" s="15"/>
    </row>
    <row r="24" spans="1:29" s="42" customFormat="1" x14ac:dyDescent="0.25">
      <c r="B24" s="353"/>
      <c r="C24" s="10"/>
      <c r="D24" s="10"/>
      <c r="E24" s="11"/>
      <c r="G24" s="10"/>
      <c r="H24" s="10"/>
      <c r="I24" s="10"/>
      <c r="J24" s="10"/>
      <c r="K24" s="10"/>
      <c r="M24" s="10"/>
      <c r="N24" s="10"/>
      <c r="O24" s="10"/>
      <c r="P24" s="10"/>
      <c r="Q24" s="10"/>
      <c r="S24" s="10"/>
      <c r="T24" s="10"/>
      <c r="U24" s="10"/>
      <c r="V24" s="10"/>
      <c r="W24" s="10"/>
      <c r="Y24" s="10"/>
      <c r="Z24" s="10"/>
      <c r="AA24" s="10"/>
      <c r="AB24" s="10"/>
      <c r="AC24" s="10"/>
    </row>
    <row r="25" spans="1:29" s="42" customFormat="1" x14ac:dyDescent="0.25">
      <c r="B25" s="353"/>
      <c r="C25" s="10"/>
      <c r="D25" s="10"/>
      <c r="E25" s="11"/>
      <c r="G25" s="10"/>
      <c r="H25" s="10"/>
      <c r="I25" s="10"/>
      <c r="J25" s="10"/>
      <c r="K25" s="10"/>
      <c r="M25" s="10"/>
      <c r="N25" s="10"/>
      <c r="O25" s="10"/>
      <c r="P25" s="10"/>
      <c r="Q25" s="10"/>
      <c r="S25" s="10"/>
      <c r="T25" s="10"/>
      <c r="U25" s="10"/>
      <c r="V25" s="10"/>
      <c r="W25" s="10"/>
      <c r="Y25" s="10"/>
      <c r="Z25" s="10"/>
      <c r="AA25" s="10"/>
      <c r="AB25" s="10"/>
      <c r="AC25" s="10"/>
    </row>
    <row r="26" spans="1:29" s="42" customFormat="1" x14ac:dyDescent="0.25">
      <c r="B26" s="353"/>
      <c r="C26" s="10"/>
      <c r="D26" s="10"/>
      <c r="E26" s="11"/>
      <c r="G26" s="10"/>
      <c r="H26" s="10"/>
      <c r="I26" s="10"/>
      <c r="J26" s="10"/>
      <c r="K26" s="10"/>
      <c r="M26" s="10"/>
      <c r="N26" s="10"/>
      <c r="O26" s="10"/>
      <c r="P26" s="10"/>
      <c r="Q26" s="10"/>
      <c r="S26" s="10"/>
      <c r="T26" s="10"/>
      <c r="U26" s="10"/>
      <c r="V26" s="10"/>
      <c r="W26" s="10"/>
      <c r="Y26" s="10"/>
      <c r="Z26" s="10"/>
      <c r="AA26" s="10"/>
      <c r="AB26" s="10"/>
      <c r="AC26" s="10"/>
    </row>
    <row r="27" spans="1:29" s="42" customFormat="1" x14ac:dyDescent="0.25">
      <c r="B27" s="353"/>
      <c r="C27" s="204"/>
      <c r="D27" s="10"/>
      <c r="E27" s="10"/>
      <c r="G27" s="205"/>
      <c r="H27" s="205"/>
      <c r="I27" s="10"/>
      <c r="J27" s="10"/>
      <c r="K27" s="10"/>
      <c r="M27" s="205"/>
      <c r="N27" s="205"/>
      <c r="O27" s="10"/>
      <c r="P27" s="10"/>
      <c r="Q27" s="10"/>
      <c r="S27" s="206"/>
      <c r="T27" s="206"/>
      <c r="U27" s="10"/>
      <c r="V27" s="10"/>
      <c r="W27" s="10"/>
      <c r="Y27" s="207"/>
      <c r="Z27" s="207"/>
      <c r="AA27" s="10"/>
      <c r="AB27" s="10"/>
      <c r="AC27" s="10"/>
    </row>
    <row r="28" spans="1:29" s="42" customFormat="1" x14ac:dyDescent="0.25">
      <c r="C28" s="204"/>
      <c r="D28" s="10"/>
      <c r="E28" s="10"/>
      <c r="G28" s="205"/>
      <c r="H28" s="205"/>
      <c r="I28" s="10"/>
      <c r="J28" s="10"/>
      <c r="K28" s="10"/>
      <c r="M28" s="205"/>
      <c r="N28" s="205"/>
      <c r="O28" s="10"/>
      <c r="P28" s="10"/>
      <c r="Q28" s="10"/>
      <c r="S28" s="206"/>
      <c r="T28" s="206"/>
      <c r="U28" s="10"/>
      <c r="V28" s="10"/>
      <c r="W28" s="10"/>
      <c r="Y28" s="207"/>
      <c r="Z28" s="207"/>
      <c r="AA28" s="10"/>
      <c r="AB28" s="10"/>
      <c r="AC28" s="10"/>
    </row>
    <row r="29" spans="1:29" s="42" customFormat="1" x14ac:dyDescent="0.25">
      <c r="B29" s="353"/>
      <c r="C29" s="10"/>
      <c r="D29" s="10"/>
      <c r="E29" s="11"/>
      <c r="G29" s="10"/>
      <c r="H29" s="10"/>
      <c r="I29" s="10"/>
      <c r="J29" s="10"/>
      <c r="K29" s="10"/>
      <c r="M29" s="10"/>
      <c r="N29" s="10"/>
      <c r="O29" s="10"/>
      <c r="P29" s="10"/>
      <c r="Q29" s="10"/>
      <c r="S29" s="10"/>
      <c r="T29" s="10"/>
      <c r="U29" s="10"/>
      <c r="V29" s="10"/>
      <c r="W29" s="10"/>
      <c r="Y29" s="10"/>
      <c r="Z29" s="10"/>
      <c r="AA29" s="10"/>
      <c r="AB29" s="10"/>
      <c r="AC29" s="10"/>
    </row>
    <row r="30" spans="1:29" s="42" customFormat="1" x14ac:dyDescent="0.25">
      <c r="C30" s="10"/>
      <c r="D30" s="10"/>
      <c r="E30" s="10"/>
      <c r="G30" s="10"/>
      <c r="H30" s="10"/>
      <c r="I30" s="10"/>
      <c r="J30" s="10"/>
      <c r="K30" s="10"/>
      <c r="M30" s="10"/>
      <c r="N30" s="10"/>
      <c r="O30" s="10"/>
      <c r="P30" s="10"/>
      <c r="Q30" s="10"/>
      <c r="S30" s="10"/>
      <c r="T30" s="10"/>
      <c r="U30" s="10"/>
      <c r="V30" s="10"/>
      <c r="W30" s="10"/>
      <c r="Y30" s="10"/>
      <c r="Z30" s="10"/>
      <c r="AA30" s="10"/>
      <c r="AB30" s="10"/>
      <c r="AC30" s="10"/>
    </row>
    <row r="31" spans="1:29" s="42" customFormat="1" x14ac:dyDescent="0.25">
      <c r="A31" s="143"/>
      <c r="B31" s="143"/>
      <c r="C31" s="354"/>
      <c r="D31" s="354"/>
      <c r="E31" s="354"/>
      <c r="F31" s="143"/>
      <c r="G31" s="354"/>
      <c r="H31" s="354"/>
      <c r="I31" s="354"/>
      <c r="J31" s="354"/>
      <c r="K31" s="354"/>
      <c r="L31" s="143"/>
      <c r="M31" s="354"/>
      <c r="N31" s="354"/>
      <c r="O31" s="354"/>
      <c r="P31" s="354"/>
      <c r="Q31" s="354"/>
      <c r="R31" s="143"/>
      <c r="S31" s="354"/>
      <c r="T31" s="354"/>
      <c r="U31" s="354"/>
      <c r="V31" s="354"/>
      <c r="W31" s="354"/>
      <c r="X31" s="143"/>
      <c r="Y31" s="354"/>
      <c r="Z31" s="354"/>
      <c r="AA31" s="354"/>
      <c r="AB31" s="354"/>
      <c r="AC31" s="354"/>
    </row>
    <row r="32" spans="1:29" s="42" customFormat="1" x14ac:dyDescent="0.25"/>
    <row r="33" s="42" customFormat="1" x14ac:dyDescent="0.25"/>
    <row r="34" s="42" customFormat="1" x14ac:dyDescent="0.25"/>
  </sheetData>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pane xSplit="1" ySplit="16" topLeftCell="B17" activePane="bottomRight" state="frozen"/>
      <selection pane="topRight" activeCell="B1" sqref="B1"/>
      <selection pane="bottomLeft" activeCell="A17" sqref="A17"/>
      <selection pane="bottomRight"/>
    </sheetView>
  </sheetViews>
  <sheetFormatPr defaultRowHeight="13.2" x14ac:dyDescent="0.25"/>
  <cols>
    <col min="1" max="1" width="63.33203125" customWidth="1"/>
    <col min="2" max="2" width="27.88671875" customWidth="1"/>
    <col min="3" max="9" width="25.6640625" customWidth="1"/>
    <col min="10" max="10" width="13" customWidth="1"/>
    <col min="11" max="11" width="13.88671875" customWidth="1"/>
    <col min="12" max="12" width="12" customWidth="1"/>
    <col min="16" max="16" width="12.33203125" customWidth="1"/>
    <col min="17" max="18" width="11.33203125" customWidth="1"/>
    <col min="19" max="19" width="10" bestFit="1" customWidth="1"/>
    <col min="20" max="20" width="12.6640625" customWidth="1"/>
    <col min="21" max="21" width="10" customWidth="1"/>
    <col min="22" max="22" width="14.44140625" customWidth="1"/>
    <col min="23" max="23" width="15.44140625" customWidth="1"/>
    <col min="24" max="24" width="11.88671875" customWidth="1"/>
    <col min="25" max="25" width="12.5546875" customWidth="1"/>
    <col min="26" max="26" width="13.5546875" customWidth="1"/>
    <col min="27" max="27" width="10" customWidth="1"/>
    <col min="28" max="28" width="15.6640625" customWidth="1"/>
    <col min="29" max="29" width="17.6640625" customWidth="1"/>
  </cols>
  <sheetData>
    <row r="1" spans="1:29" x14ac:dyDescent="0.25">
      <c r="A1" s="2" t="s">
        <v>240</v>
      </c>
      <c r="B1" s="3" t="s">
        <v>818</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EnergySupply!I31*Unitflowchart!$S$128</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EnergySupply!I34*Unitflowchart!$S$128</f>
        <v>0</v>
      </c>
    </row>
    <row r="12" spans="1:29" x14ac:dyDescent="0.25">
      <c r="A12" s="1493" t="s">
        <v>819</v>
      </c>
      <c r="B12" s="201">
        <f>Unitflowchart!AC306</f>
        <v>338.30999999999995</v>
      </c>
      <c r="C12" s="186"/>
      <c r="D12" s="186"/>
      <c r="E12" s="186"/>
      <c r="F12" s="187"/>
      <c r="G12" s="187"/>
      <c r="H12" s="188"/>
      <c r="I12" s="188"/>
    </row>
    <row r="13" spans="1:29" x14ac:dyDescent="0.25">
      <c r="A13" s="1521" t="s">
        <v>2010</v>
      </c>
      <c r="B13" s="1524">
        <f>wwt_NaOH*Unitflowchart!AC300/Unitflowchart!S294</f>
        <v>96.389999999999986</v>
      </c>
      <c r="C13" s="186"/>
      <c r="D13" s="186"/>
      <c r="E13" s="186"/>
      <c r="F13" s="187"/>
      <c r="G13" s="187"/>
      <c r="H13" s="188"/>
      <c r="I13" s="188"/>
    </row>
    <row r="14" spans="1:29" s="42" customFormat="1" x14ac:dyDescent="0.25">
      <c r="A14" s="208"/>
      <c r="B14" s="209"/>
      <c r="C14" s="186"/>
      <c r="D14" s="186"/>
      <c r="E14" s="186"/>
      <c r="F14" s="187"/>
      <c r="G14" s="187"/>
      <c r="H14" s="188"/>
      <c r="I14" s="188"/>
    </row>
    <row r="15" spans="1:29" s="358" customFormat="1" x14ac:dyDescent="0.25">
      <c r="A15" s="358" t="s">
        <v>245</v>
      </c>
      <c r="B15" s="358" t="s">
        <v>244</v>
      </c>
      <c r="E15" s="358" t="s">
        <v>27</v>
      </c>
      <c r="F15" s="358" t="s">
        <v>247</v>
      </c>
      <c r="I15" s="358" t="s">
        <v>27</v>
      </c>
      <c r="J15" s="358" t="s">
        <v>811</v>
      </c>
      <c r="L15" s="358" t="s">
        <v>251</v>
      </c>
      <c r="O15" s="358" t="s">
        <v>27</v>
      </c>
      <c r="P15" s="358" t="s">
        <v>812</v>
      </c>
      <c r="R15" s="358" t="s">
        <v>253</v>
      </c>
      <c r="U15" s="358" t="s">
        <v>27</v>
      </c>
      <c r="V15" s="358" t="s">
        <v>814</v>
      </c>
      <c r="X15" s="358" t="s">
        <v>255</v>
      </c>
      <c r="AA15" s="358" t="s">
        <v>27</v>
      </c>
      <c r="AB15" s="358" t="s">
        <v>815</v>
      </c>
    </row>
    <row r="16" spans="1:29" s="3" customFormat="1" x14ac:dyDescent="0.25">
      <c r="A16" s="43"/>
      <c r="B16" s="358" t="s">
        <v>246</v>
      </c>
      <c r="C16" s="358" t="s">
        <v>248</v>
      </c>
      <c r="D16" s="358" t="s">
        <v>249</v>
      </c>
      <c r="E16" s="358"/>
      <c r="F16" s="358"/>
      <c r="G16" s="358" t="s">
        <v>248</v>
      </c>
      <c r="H16" s="358" t="s">
        <v>249</v>
      </c>
      <c r="I16" s="358"/>
      <c r="J16" s="358" t="s">
        <v>248</v>
      </c>
      <c r="K16" s="358" t="s">
        <v>249</v>
      </c>
      <c r="L16" s="358" t="s">
        <v>246</v>
      </c>
      <c r="M16" s="358" t="s">
        <v>248</v>
      </c>
      <c r="N16" s="358" t="s">
        <v>249</v>
      </c>
      <c r="O16" s="358"/>
      <c r="P16" s="358" t="s">
        <v>248</v>
      </c>
      <c r="Q16" s="358" t="s">
        <v>249</v>
      </c>
      <c r="R16" s="358" t="s">
        <v>246</v>
      </c>
      <c r="S16" s="358" t="s">
        <v>248</v>
      </c>
      <c r="T16" s="358" t="s">
        <v>249</v>
      </c>
      <c r="U16" s="358"/>
      <c r="V16" s="358" t="s">
        <v>248</v>
      </c>
      <c r="W16" s="358" t="s">
        <v>249</v>
      </c>
      <c r="X16" s="358" t="s">
        <v>246</v>
      </c>
      <c r="Y16" s="358" t="s">
        <v>248</v>
      </c>
      <c r="Z16" s="358" t="s">
        <v>249</v>
      </c>
      <c r="AA16" s="358"/>
      <c r="AB16" s="358" t="s">
        <v>248</v>
      </c>
      <c r="AC16" s="358" t="s">
        <v>249</v>
      </c>
    </row>
    <row r="17" spans="1:29" s="3" customFormat="1" x14ac:dyDescent="0.25">
      <c r="A17" s="17" t="s">
        <v>820</v>
      </c>
      <c r="C17" s="327"/>
      <c r="D17" s="327"/>
      <c r="E17" s="327"/>
      <c r="G17" s="327"/>
      <c r="H17" s="327"/>
      <c r="I17" s="327"/>
      <c r="J17" s="327"/>
      <c r="K17" s="327"/>
    </row>
    <row r="18" spans="1:29" s="359" customFormat="1" x14ac:dyDescent="0.25">
      <c r="A18" s="357"/>
    </row>
    <row r="19" spans="1:29" s="3" customFormat="1" x14ac:dyDescent="0.25">
      <c r="A19" s="43" t="s">
        <v>122</v>
      </c>
      <c r="B19" s="3" t="s">
        <v>739</v>
      </c>
      <c r="C19" s="690">
        <f>$B$12</f>
        <v>338.30999999999995</v>
      </c>
      <c r="D19" s="690">
        <v>0</v>
      </c>
      <c r="E19" s="11" t="s">
        <v>821</v>
      </c>
      <c r="F19" s="3" t="s">
        <v>187</v>
      </c>
      <c r="G19" s="860">
        <f>3.6*(B9+B11)</f>
        <v>0</v>
      </c>
      <c r="H19" s="860">
        <f>3.6*(C9+C11)</f>
        <v>0</v>
      </c>
      <c r="I19" s="11" t="s">
        <v>808</v>
      </c>
      <c r="J19" s="685">
        <f>C19*G19</f>
        <v>0</v>
      </c>
      <c r="K19" s="685">
        <f>SQRT(((D19*G19)^2)+((C19*H19)^2))</f>
        <v>0</v>
      </c>
      <c r="L19" s="3" t="s">
        <v>188</v>
      </c>
      <c r="M19" s="860">
        <f>(D9+D11)</f>
        <v>0</v>
      </c>
      <c r="N19" s="860">
        <f>(E9+E11)</f>
        <v>0</v>
      </c>
      <c r="O19" s="11" t="s">
        <v>803</v>
      </c>
      <c r="P19" s="685">
        <f>C19*M19</f>
        <v>0</v>
      </c>
      <c r="Q19" s="685">
        <f>SQRT(((D19*M19)^2)+((C19*N19)^2))</f>
        <v>0</v>
      </c>
      <c r="R19" s="3" t="s">
        <v>189</v>
      </c>
      <c r="S19" s="1448">
        <f>(F9+F11)</f>
        <v>2.8235294117647067E-5</v>
      </c>
      <c r="T19" s="1448">
        <f>(G9+G11)</f>
        <v>0</v>
      </c>
      <c r="U19" s="11" t="s">
        <v>805</v>
      </c>
      <c r="V19" s="1450">
        <f>C19*S19</f>
        <v>9.5522823529411768E-3</v>
      </c>
      <c r="W19" s="1450">
        <f>SQRT(((D19*S19)^2)+((C19*T19)^2))</f>
        <v>0</v>
      </c>
      <c r="X19" s="3" t="s">
        <v>190</v>
      </c>
      <c r="Y19" s="1449">
        <f>(H9+H11)</f>
        <v>8.4705882352941183E-6</v>
      </c>
      <c r="Z19" s="1449">
        <f>(I9+I11)</f>
        <v>0</v>
      </c>
      <c r="AA19" s="11" t="s">
        <v>807</v>
      </c>
      <c r="AB19" s="688">
        <f>C19*Y19</f>
        <v>2.8656847058823529E-3</v>
      </c>
      <c r="AC19" s="688">
        <f>SQRT(((D19*Y19)^2)+((C19*Z19)^2))</f>
        <v>0</v>
      </c>
    </row>
    <row r="20" spans="1:29" s="3" customFormat="1" x14ac:dyDescent="0.25">
      <c r="A20" s="1525" t="s">
        <v>1879</v>
      </c>
      <c r="B20" s="852" t="s">
        <v>553</v>
      </c>
      <c r="C20" s="690">
        <f>B13</f>
        <v>96.389999999999986</v>
      </c>
      <c r="D20" s="690">
        <v>0</v>
      </c>
      <c r="E20" s="1447" t="s">
        <v>2011</v>
      </c>
      <c r="F20" s="844" t="s">
        <v>15</v>
      </c>
      <c r="G20" s="1478">
        <v>20</v>
      </c>
      <c r="H20" s="1478">
        <v>3</v>
      </c>
      <c r="I20" s="1447" t="s">
        <v>1909</v>
      </c>
      <c r="J20" s="685">
        <f t="shared" ref="J20" si="0">C20*G20</f>
        <v>1927.7999999999997</v>
      </c>
      <c r="K20" s="685">
        <f t="shared" ref="K20" si="1">SQRT(((D20*G20)^2)+((C20*H20)^2))</f>
        <v>289.16999999999996</v>
      </c>
      <c r="L20" s="844" t="s">
        <v>16</v>
      </c>
      <c r="M20" s="860">
        <v>1.1200000000000001</v>
      </c>
      <c r="N20" s="860">
        <v>0.17</v>
      </c>
      <c r="O20" s="1447" t="s">
        <v>1910</v>
      </c>
      <c r="P20" s="685">
        <f t="shared" ref="P20" si="2">C20*M20</f>
        <v>107.9568</v>
      </c>
      <c r="Q20" s="685">
        <f t="shared" ref="Q20" si="3">SQRT(((D20*M20)^2)+((C20*N20)^2))</f>
        <v>16.386299999999999</v>
      </c>
      <c r="R20" s="844" t="s">
        <v>1392</v>
      </c>
      <c r="S20" s="1477">
        <v>3.2499999999999999E-3</v>
      </c>
      <c r="T20" s="1477">
        <v>4.8999999999999998E-4</v>
      </c>
      <c r="U20" s="1447" t="s">
        <v>1912</v>
      </c>
      <c r="V20" s="1450">
        <f t="shared" ref="V20" si="4">C20*S20</f>
        <v>0.31326749999999992</v>
      </c>
      <c r="W20" s="1450">
        <f t="shared" ref="W20" si="5">SQRT(((D20*S20)^2)+((C20*T20)^2))</f>
        <v>4.7231099999999991E-2</v>
      </c>
      <c r="X20" s="844" t="s">
        <v>1393</v>
      </c>
      <c r="Y20" s="862">
        <v>0</v>
      </c>
      <c r="Z20" s="862">
        <v>0</v>
      </c>
      <c r="AA20" s="1447" t="s">
        <v>1911</v>
      </c>
      <c r="AB20" s="688">
        <f t="shared" ref="AB20" si="6">C20*Y20</f>
        <v>0</v>
      </c>
      <c r="AC20" s="688">
        <f t="shared" ref="AC20" si="7">SQRT(((D20*Y20)^2)+((C20*Z20)^2))</f>
        <v>0</v>
      </c>
    </row>
    <row r="21" spans="1:29" s="3" customFormat="1" x14ac:dyDescent="0.25">
      <c r="A21" s="43"/>
      <c r="J21" s="686"/>
      <c r="K21" s="686"/>
      <c r="P21" s="686"/>
      <c r="Q21" s="686"/>
      <c r="V21" s="1451"/>
      <c r="W21" s="1451"/>
      <c r="AB21" s="689"/>
      <c r="AC21" s="689"/>
    </row>
    <row r="22" spans="1:29" s="2" customFormat="1" x14ac:dyDescent="0.25">
      <c r="A22" s="17" t="s">
        <v>369</v>
      </c>
      <c r="J22" s="493">
        <f>SUM(J19:J20)</f>
        <v>1927.7999999999997</v>
      </c>
      <c r="K22" s="493">
        <f>SQRT(SUMSQ(K19:K20))</f>
        <v>289.16999999999996</v>
      </c>
      <c r="P22" s="493">
        <f>SUM(P19:P20)</f>
        <v>107.9568</v>
      </c>
      <c r="Q22" s="493">
        <f>SQRT(SUMSQ(Q19:Q20))</f>
        <v>16.386299999999999</v>
      </c>
      <c r="V22" s="604">
        <f>SUM(V19:V20)</f>
        <v>0.32281978235294112</v>
      </c>
      <c r="W22" s="604">
        <f>SQRT(SUMSQ(W19:W20))</f>
        <v>4.7231099999999991E-2</v>
      </c>
      <c r="AB22" s="677">
        <f>SUM(AB19:AB20)</f>
        <v>2.8656847058823529E-3</v>
      </c>
      <c r="AC22" s="677">
        <f>SQRT(SUMSQ(AC19:AC20))</f>
        <v>0</v>
      </c>
    </row>
    <row r="23" spans="1:29" x14ac:dyDescent="0.25">
      <c r="A23" s="15"/>
    </row>
    <row r="24" spans="1:29" s="42" customFormat="1" x14ac:dyDescent="0.25">
      <c r="B24" s="353"/>
      <c r="C24" s="10"/>
      <c r="D24" s="10"/>
      <c r="E24" s="11"/>
      <c r="G24" s="10"/>
      <c r="H24" s="10"/>
      <c r="I24" s="10"/>
      <c r="J24" s="10"/>
      <c r="K24" s="10"/>
      <c r="M24" s="10"/>
      <c r="N24" s="10"/>
      <c r="O24" s="10"/>
      <c r="P24" s="10"/>
      <c r="Q24" s="10"/>
      <c r="S24" s="10"/>
      <c r="T24" s="10"/>
      <c r="U24" s="10"/>
      <c r="V24" s="10"/>
      <c r="W24" s="10"/>
      <c r="Y24" s="10"/>
      <c r="Z24" s="10"/>
      <c r="AA24" s="10"/>
      <c r="AB24" s="10"/>
      <c r="AC24" s="10"/>
    </row>
    <row r="25" spans="1:29" s="42" customFormat="1" x14ac:dyDescent="0.25">
      <c r="B25" s="353"/>
      <c r="C25" s="10"/>
      <c r="D25" s="10"/>
      <c r="E25" s="11"/>
      <c r="G25" s="10"/>
      <c r="H25" s="10"/>
      <c r="I25" s="10"/>
      <c r="J25" s="10"/>
      <c r="K25" s="10"/>
      <c r="M25" s="10"/>
      <c r="N25" s="10"/>
      <c r="O25" s="10"/>
      <c r="P25" s="10"/>
      <c r="Q25" s="10"/>
      <c r="S25" s="10"/>
      <c r="T25" s="10"/>
      <c r="U25" s="10"/>
      <c r="V25" s="10"/>
      <c r="W25" s="10"/>
      <c r="Y25" s="10"/>
      <c r="Z25" s="10"/>
      <c r="AA25" s="10"/>
      <c r="AB25" s="10"/>
      <c r="AC25" s="10"/>
    </row>
    <row r="26" spans="1:29" s="42" customFormat="1" x14ac:dyDescent="0.25">
      <c r="B26" s="353"/>
      <c r="C26" s="10"/>
      <c r="D26" s="10"/>
      <c r="E26" s="11"/>
      <c r="G26" s="10"/>
      <c r="H26" s="10"/>
      <c r="I26" s="10"/>
      <c r="J26" s="10"/>
      <c r="K26" s="10"/>
      <c r="M26" s="10"/>
      <c r="N26" s="10"/>
      <c r="O26" s="10"/>
      <c r="P26" s="10"/>
      <c r="Q26" s="10"/>
      <c r="S26" s="10"/>
      <c r="T26" s="10"/>
      <c r="U26" s="10"/>
      <c r="V26" s="10"/>
      <c r="W26" s="10"/>
      <c r="Y26" s="10"/>
      <c r="Z26" s="10"/>
      <c r="AA26" s="10"/>
      <c r="AB26" s="10"/>
      <c r="AC26" s="10"/>
    </row>
    <row r="27" spans="1:29" s="42" customFormat="1" x14ac:dyDescent="0.25">
      <c r="B27" s="353"/>
      <c r="C27" s="204"/>
      <c r="D27" s="10"/>
      <c r="E27" s="10"/>
      <c r="G27" s="205"/>
      <c r="H27" s="205"/>
      <c r="I27" s="10"/>
      <c r="J27" s="10"/>
      <c r="K27" s="10"/>
      <c r="M27" s="205"/>
      <c r="N27" s="205"/>
      <c r="O27" s="10"/>
      <c r="P27" s="10"/>
      <c r="Q27" s="10"/>
      <c r="S27" s="206"/>
      <c r="T27" s="206"/>
      <c r="U27" s="10"/>
      <c r="V27" s="10"/>
      <c r="W27" s="10"/>
      <c r="Y27" s="207"/>
      <c r="Z27" s="207"/>
      <c r="AA27" s="10"/>
      <c r="AB27" s="10"/>
      <c r="AC27" s="10"/>
    </row>
    <row r="28" spans="1:29" s="42" customFormat="1" x14ac:dyDescent="0.25">
      <c r="C28" s="204"/>
      <c r="D28" s="10"/>
      <c r="E28" s="10"/>
      <c r="G28" s="205"/>
      <c r="H28" s="205"/>
      <c r="I28" s="10"/>
      <c r="J28" s="10"/>
      <c r="K28" s="10"/>
      <c r="M28" s="205"/>
      <c r="N28" s="205"/>
      <c r="O28" s="10"/>
      <c r="P28" s="10"/>
      <c r="Q28" s="10"/>
      <c r="S28" s="206"/>
      <c r="T28" s="206"/>
      <c r="U28" s="10"/>
      <c r="V28" s="10"/>
      <c r="W28" s="10"/>
      <c r="Y28" s="207"/>
      <c r="Z28" s="207"/>
      <c r="AA28" s="10"/>
      <c r="AB28" s="10"/>
      <c r="AC28" s="10"/>
    </row>
    <row r="29" spans="1:29" s="42" customFormat="1" x14ac:dyDescent="0.25">
      <c r="B29" s="353"/>
      <c r="C29" s="10"/>
      <c r="D29" s="10"/>
      <c r="E29" s="11"/>
      <c r="G29" s="10"/>
      <c r="H29" s="10"/>
      <c r="I29" s="10"/>
      <c r="J29" s="10"/>
      <c r="K29" s="10"/>
      <c r="M29" s="10"/>
      <c r="N29" s="10"/>
      <c r="O29" s="10"/>
      <c r="P29" s="10"/>
      <c r="Q29" s="10"/>
      <c r="S29" s="10"/>
      <c r="T29" s="10"/>
      <c r="U29" s="10"/>
      <c r="V29" s="10"/>
      <c r="W29" s="10"/>
      <c r="Y29" s="10"/>
      <c r="Z29" s="10"/>
      <c r="AA29" s="10"/>
      <c r="AB29" s="10"/>
      <c r="AC29" s="10"/>
    </row>
    <row r="30" spans="1:29" s="42" customFormat="1" x14ac:dyDescent="0.25">
      <c r="C30" s="10"/>
      <c r="D30" s="10"/>
      <c r="E30" s="10"/>
      <c r="G30" s="10"/>
      <c r="H30" s="10"/>
      <c r="I30" s="10"/>
      <c r="J30" s="10"/>
      <c r="K30" s="10"/>
      <c r="M30" s="10"/>
      <c r="N30" s="10"/>
      <c r="O30" s="10"/>
      <c r="P30" s="10"/>
      <c r="Q30" s="10"/>
      <c r="S30" s="10"/>
      <c r="T30" s="10"/>
      <c r="U30" s="10"/>
      <c r="V30" s="10"/>
      <c r="W30" s="10"/>
      <c r="Y30" s="10"/>
      <c r="Z30" s="10"/>
      <c r="AA30" s="10"/>
      <c r="AB30" s="10"/>
      <c r="AC30" s="10"/>
    </row>
    <row r="31" spans="1:29" s="42" customFormat="1" x14ac:dyDescent="0.25">
      <c r="A31" s="143"/>
      <c r="B31" s="143"/>
      <c r="C31" s="354"/>
      <c r="D31" s="354"/>
      <c r="E31" s="354"/>
      <c r="F31" s="143"/>
      <c r="G31" s="354"/>
      <c r="H31" s="354"/>
      <c r="I31" s="354"/>
      <c r="J31" s="354"/>
      <c r="K31" s="354"/>
      <c r="L31" s="143"/>
      <c r="M31" s="354"/>
      <c r="N31" s="354"/>
      <c r="O31" s="354"/>
      <c r="P31" s="354"/>
      <c r="Q31" s="354"/>
      <c r="R31" s="143"/>
      <c r="S31" s="354"/>
      <c r="T31" s="354"/>
      <c r="U31" s="354"/>
      <c r="V31" s="354"/>
      <c r="W31" s="354"/>
      <c r="X31" s="143"/>
      <c r="Y31" s="354"/>
      <c r="Z31" s="354"/>
      <c r="AA31" s="354"/>
      <c r="AB31" s="354"/>
      <c r="AC31" s="354"/>
    </row>
    <row r="32" spans="1:29" s="42" customFormat="1" x14ac:dyDescent="0.25"/>
    <row r="33" s="42" customFormat="1" x14ac:dyDescent="0.25"/>
    <row r="34" s="42" customFormat="1" x14ac:dyDescent="0.25"/>
  </sheetData>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2"/>
  <sheetViews>
    <sheetView workbookViewId="0">
      <pane xSplit="1" ySplit="15" topLeftCell="B16" activePane="bottomRight" state="frozen"/>
      <selection pane="topRight" activeCell="B1" sqref="B1"/>
      <selection pane="bottomLeft" activeCell="A16" sqref="A16"/>
      <selection pane="bottomRight"/>
    </sheetView>
  </sheetViews>
  <sheetFormatPr defaultRowHeight="13.2" x14ac:dyDescent="0.25"/>
  <cols>
    <col min="1" max="1" width="54.6640625" customWidth="1"/>
    <col min="2" max="2" width="27.88671875" customWidth="1"/>
    <col min="3" max="9" width="25.6640625" customWidth="1"/>
    <col min="10" max="10" width="12.6640625" customWidth="1"/>
    <col min="11" max="11" width="13.44140625" customWidth="1"/>
    <col min="12" max="12" width="12" customWidth="1"/>
    <col min="16" max="16" width="14.6640625" customWidth="1"/>
    <col min="17" max="17" width="19.44140625" customWidth="1"/>
    <col min="18" max="18" width="13" customWidth="1"/>
    <col min="19" max="19" width="10.5546875" bestFit="1" customWidth="1"/>
    <col min="20" max="20" width="12.6640625" customWidth="1"/>
    <col min="21" max="21" width="10" customWidth="1"/>
    <col min="22" max="22" width="14.109375" customWidth="1"/>
    <col min="23" max="23" width="15" customWidth="1"/>
    <col min="24" max="24" width="11.88671875" customWidth="1"/>
    <col min="25" max="25" width="12.5546875" customWidth="1"/>
    <col min="26" max="26" width="13.5546875" customWidth="1"/>
    <col min="27" max="27" width="10" customWidth="1"/>
    <col min="28" max="28" width="14.6640625" customWidth="1"/>
    <col min="29" max="29" width="18.6640625" customWidth="1"/>
  </cols>
  <sheetData>
    <row r="1" spans="1:29" x14ac:dyDescent="0.25">
      <c r="A1" s="2" t="s">
        <v>240</v>
      </c>
      <c r="B1" s="877" t="s">
        <v>2018</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75" t="s">
        <v>21</v>
      </c>
      <c r="C6" s="175"/>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c r="J7" s="156"/>
      <c r="K7" s="156"/>
      <c r="L7" s="42"/>
      <c r="M7" s="42"/>
      <c r="N7" s="42"/>
      <c r="O7" s="42"/>
      <c r="P7" s="42"/>
      <c r="Q7" s="42"/>
      <c r="R7" s="42"/>
      <c r="S7" s="42"/>
      <c r="T7" s="42"/>
      <c r="U7" s="42"/>
      <c r="V7" s="42"/>
      <c r="W7" s="42"/>
      <c r="X7" s="42"/>
      <c r="Y7" s="42"/>
      <c r="Z7" s="42"/>
      <c r="AA7" s="42"/>
      <c r="AB7" s="42"/>
      <c r="AC7" s="42"/>
    </row>
    <row r="8" spans="1:29" x14ac:dyDescent="0.25">
      <c r="A8" s="144" t="s">
        <v>119</v>
      </c>
      <c r="B8" s="180">
        <f>EnergySupply!B26*Unitflowchart!$S$126</f>
        <v>0</v>
      </c>
      <c r="C8" s="180">
        <f>EnergySupply!C26*Unitflowchart!$S$126</f>
        <v>0</v>
      </c>
      <c r="D8" s="180">
        <f>EnergySupply!D26*Unitflowchart!$S$126</f>
        <v>0</v>
      </c>
      <c r="E8" s="180">
        <f>EnergySupply!E26*Unitflowchart!$S$126</f>
        <v>0</v>
      </c>
      <c r="F8" s="195">
        <f>EnergySupply!F26*Unitflowchart!$S$126</f>
        <v>0</v>
      </c>
      <c r="G8" s="195">
        <f>EnergySupply!G26*Unitflowchart!$S$126</f>
        <v>0</v>
      </c>
      <c r="H8" s="196">
        <f>EnergySupply!H26*Unitflowchart!$S$126</f>
        <v>0</v>
      </c>
      <c r="I8" s="196">
        <f>EnergySupply!I26*Unitflowchart!$S$126</f>
        <v>0</v>
      </c>
    </row>
    <row r="9" spans="1:29" x14ac:dyDescent="0.25">
      <c r="A9" s="144" t="s">
        <v>120</v>
      </c>
      <c r="B9" s="180">
        <f>EnergySupply!B27*Unitflowchart!$S$126</f>
        <v>0</v>
      </c>
      <c r="C9" s="180">
        <f>EnergySupply!C27*Unitflowchart!$S$126</f>
        <v>0</v>
      </c>
      <c r="D9" s="180">
        <f>EnergySupply!D27*Unitflowchart!$S$126</f>
        <v>0</v>
      </c>
      <c r="E9" s="180">
        <f>EnergySupply!E27*Unitflowchart!$S$126</f>
        <v>0</v>
      </c>
      <c r="F9" s="195">
        <f>EnergySupply!F27*Unitflowchart!$S$126</f>
        <v>0</v>
      </c>
      <c r="G9" s="195">
        <f>EnergySupply!G27*Unitflowchart!$S$126</f>
        <v>0</v>
      </c>
      <c r="H9" s="196">
        <f>EnergySupply!H27*Unitflowchart!$S$126</f>
        <v>0</v>
      </c>
      <c r="I9" s="196">
        <f>EnergySupply!I27*Unitflowchart!$S$126</f>
        <v>0</v>
      </c>
    </row>
    <row r="10" spans="1:29" x14ac:dyDescent="0.25">
      <c r="A10" s="144" t="s">
        <v>121</v>
      </c>
      <c r="B10" s="180">
        <f>EnergySupply!B31*Unitflowchart!$S$128</f>
        <v>0</v>
      </c>
      <c r="C10" s="180">
        <f>EnergySupply!C31*Unitflowchart!$S$128</f>
        <v>0</v>
      </c>
      <c r="D10" s="180">
        <f>EnergySupply!D31*Unitflowchart!$S$128</f>
        <v>0</v>
      </c>
      <c r="E10" s="180">
        <f>EnergySupply!E31*Unitflowchart!$S$128</f>
        <v>0</v>
      </c>
      <c r="F10" s="195">
        <f>EnergySupply!F31*Unitflowchart!$S$128</f>
        <v>1.411764705882353E-5</v>
      </c>
      <c r="G10" s="195">
        <f>EnergySupply!G31*Unitflowchart!$S$128</f>
        <v>0</v>
      </c>
      <c r="H10" s="196">
        <f>EnergySupply!H31*Unitflowchart!$S$128</f>
        <v>4.2352941176470591E-6</v>
      </c>
      <c r="I10" s="196">
        <f>EnergySupply!I31*Unitflowchart!$S$128</f>
        <v>0</v>
      </c>
    </row>
    <row r="11" spans="1:29" x14ac:dyDescent="0.25">
      <c r="A11" s="146" t="s">
        <v>800</v>
      </c>
      <c r="B11" s="197">
        <f>EnergySupply!B34*Unitflowchart!$S$128</f>
        <v>0</v>
      </c>
      <c r="C11" s="197">
        <f>EnergySupply!C34*Unitflowchart!$S$128</f>
        <v>0</v>
      </c>
      <c r="D11" s="197">
        <f>EnergySupply!D34*Unitflowchart!$S$128</f>
        <v>0</v>
      </c>
      <c r="E11" s="197">
        <f>EnergySupply!E34*Unitflowchart!$S$128</f>
        <v>0</v>
      </c>
      <c r="F11" s="198">
        <f>EnergySupply!F34*Unitflowchart!$S$128</f>
        <v>2.8235294117647067E-5</v>
      </c>
      <c r="G11" s="198">
        <f>EnergySupply!G34*Unitflowchart!$S$128</f>
        <v>0</v>
      </c>
      <c r="H11" s="199">
        <f>EnergySupply!H34*Unitflowchart!$S$128</f>
        <v>8.4705882352941183E-6</v>
      </c>
      <c r="I11" s="199">
        <f>EnergySupply!I34*Unitflowchart!$S$128</f>
        <v>0</v>
      </c>
    </row>
    <row r="12" spans="1:29" x14ac:dyDescent="0.25">
      <c r="A12" s="1495" t="s">
        <v>2019</v>
      </c>
      <c r="B12" s="185">
        <f>Unitflowchart!S261</f>
        <v>150.4</v>
      </c>
      <c r="C12" s="186"/>
      <c r="D12" s="186"/>
      <c r="E12" s="186"/>
      <c r="F12" s="187"/>
      <c r="G12" s="187"/>
      <c r="H12" s="188"/>
      <c r="I12" s="188"/>
    </row>
    <row r="13" spans="1:29" s="42" customFormat="1" x14ac:dyDescent="0.25">
      <c r="A13" s="208"/>
      <c r="B13" s="209"/>
      <c r="C13" s="186"/>
      <c r="D13" s="186"/>
      <c r="E13" s="186"/>
      <c r="F13" s="187"/>
      <c r="G13" s="187"/>
      <c r="H13" s="188"/>
      <c r="I13" s="188"/>
    </row>
    <row r="14" spans="1:29" s="358" customFormat="1" x14ac:dyDescent="0.25">
      <c r="A14" s="358" t="s">
        <v>245</v>
      </c>
      <c r="B14" s="358" t="s">
        <v>244</v>
      </c>
      <c r="E14" s="358" t="s">
        <v>27</v>
      </c>
      <c r="F14" s="358" t="s">
        <v>247</v>
      </c>
      <c r="I14" s="358" t="s">
        <v>27</v>
      </c>
      <c r="J14" s="358" t="s">
        <v>811</v>
      </c>
      <c r="L14" s="358" t="s">
        <v>251</v>
      </c>
      <c r="O14" s="358" t="s">
        <v>27</v>
      </c>
      <c r="P14" s="358" t="s">
        <v>812</v>
      </c>
      <c r="R14" s="358" t="s">
        <v>253</v>
      </c>
      <c r="U14" s="358" t="s">
        <v>27</v>
      </c>
      <c r="V14" s="358" t="s">
        <v>814</v>
      </c>
      <c r="X14" s="358" t="s">
        <v>255</v>
      </c>
      <c r="AA14" s="358" t="s">
        <v>27</v>
      </c>
      <c r="AB14" s="358" t="s">
        <v>815</v>
      </c>
    </row>
    <row r="15" spans="1:29" s="3" customFormat="1" x14ac:dyDescent="0.25">
      <c r="A15" s="43"/>
      <c r="B15" s="358" t="s">
        <v>246</v>
      </c>
      <c r="C15" s="358" t="s">
        <v>248</v>
      </c>
      <c r="D15" s="358" t="s">
        <v>249</v>
      </c>
      <c r="E15" s="358"/>
      <c r="F15" s="358"/>
      <c r="G15" s="358" t="s">
        <v>248</v>
      </c>
      <c r="H15" s="358" t="s">
        <v>249</v>
      </c>
      <c r="I15" s="358"/>
      <c r="J15" s="358" t="s">
        <v>248</v>
      </c>
      <c r="K15" s="358" t="s">
        <v>249</v>
      </c>
      <c r="L15" s="358" t="s">
        <v>246</v>
      </c>
      <c r="M15" s="358" t="s">
        <v>248</v>
      </c>
      <c r="N15" s="358" t="s">
        <v>249</v>
      </c>
      <c r="O15" s="358"/>
      <c r="P15" s="358" t="s">
        <v>248</v>
      </c>
      <c r="Q15" s="358" t="s">
        <v>249</v>
      </c>
      <c r="R15" s="358" t="s">
        <v>246</v>
      </c>
      <c r="S15" s="358" t="s">
        <v>248</v>
      </c>
      <c r="T15" s="358" t="s">
        <v>249</v>
      </c>
      <c r="U15" s="358"/>
      <c r="V15" s="358" t="s">
        <v>248</v>
      </c>
      <c r="W15" s="358" t="s">
        <v>249</v>
      </c>
      <c r="X15" s="358" t="s">
        <v>246</v>
      </c>
      <c r="Y15" s="358" t="s">
        <v>248</v>
      </c>
      <c r="Z15" s="358" t="s">
        <v>249</v>
      </c>
      <c r="AA15" s="358"/>
      <c r="AB15" s="358" t="s">
        <v>248</v>
      </c>
      <c r="AC15" s="358" t="s">
        <v>249</v>
      </c>
    </row>
    <row r="16" spans="1:29" s="3" customFormat="1" x14ac:dyDescent="0.25">
      <c r="A16" s="1496" t="s">
        <v>2018</v>
      </c>
      <c r="C16" s="327"/>
      <c r="D16" s="327"/>
      <c r="E16" s="327"/>
      <c r="G16" s="327"/>
      <c r="H16" s="327"/>
      <c r="I16" s="327"/>
      <c r="J16" s="327"/>
      <c r="K16" s="327"/>
    </row>
    <row r="17" spans="1:29" s="359" customFormat="1" x14ac:dyDescent="0.25">
      <c r="A17" s="357"/>
    </row>
    <row r="18" spans="1:29" x14ac:dyDescent="0.25">
      <c r="A18" s="15" t="s">
        <v>122</v>
      </c>
      <c r="B18" t="s">
        <v>739</v>
      </c>
      <c r="C18" s="356">
        <f>$B$12</f>
        <v>150.4</v>
      </c>
      <c r="D18" s="414">
        <v>0</v>
      </c>
      <c r="E18" s="10" t="s">
        <v>2020</v>
      </c>
      <c r="F18" t="s">
        <v>187</v>
      </c>
      <c r="G18" s="862">
        <f>3.6*(B9+B11)</f>
        <v>0</v>
      </c>
      <c r="H18" s="862">
        <f>3.6*(C9+C11)</f>
        <v>0</v>
      </c>
      <c r="I18" s="10" t="s">
        <v>808</v>
      </c>
      <c r="J18" s="490">
        <f>C18*G18</f>
        <v>0</v>
      </c>
      <c r="K18" s="490">
        <f>SQRT(((D18*G18)^2)+((C18*H18)^2))</f>
        <v>0</v>
      </c>
      <c r="L18" t="s">
        <v>188</v>
      </c>
      <c r="M18" s="862">
        <f>(D9+D11)</f>
        <v>0</v>
      </c>
      <c r="N18" s="862">
        <f>(E9+E11)</f>
        <v>0</v>
      </c>
      <c r="O18" s="10" t="s">
        <v>803</v>
      </c>
      <c r="P18" s="490">
        <f>C18*M18</f>
        <v>0</v>
      </c>
      <c r="Q18" s="490">
        <f>SQRT(((D18*M18)^2)+((C18*N18)^2))</f>
        <v>0</v>
      </c>
      <c r="R18" t="s">
        <v>189</v>
      </c>
      <c r="S18" s="1449">
        <f>(F9+F11)</f>
        <v>2.8235294117647067E-5</v>
      </c>
      <c r="T18" s="1449">
        <f>(G9+G11)</f>
        <v>0</v>
      </c>
      <c r="U18" s="10" t="s">
        <v>805</v>
      </c>
      <c r="V18" s="573">
        <f>C18*S18</f>
        <v>4.2465882352941192E-3</v>
      </c>
      <c r="W18" s="573">
        <f>SQRT(((D18*S18)^2)+((C18*T18)^2))</f>
        <v>0</v>
      </c>
      <c r="X18" t="s">
        <v>190</v>
      </c>
      <c r="Y18" s="1452">
        <f>(H9+H11)</f>
        <v>8.4705882352941183E-6</v>
      </c>
      <c r="Z18" s="1452">
        <f>(I9+I11)</f>
        <v>0</v>
      </c>
      <c r="AA18" s="10" t="s">
        <v>807</v>
      </c>
      <c r="AB18" s="487">
        <f>C18*Y18</f>
        <v>1.2739764705882355E-3</v>
      </c>
      <c r="AC18" s="487">
        <f>SQRT(((D18*Y18)^2)+((C18*Z18)^2))</f>
        <v>0</v>
      </c>
    </row>
    <row r="19" spans="1:29" s="3" customFormat="1" x14ac:dyDescent="0.25">
      <c r="A19" s="43"/>
      <c r="J19" s="686"/>
      <c r="K19" s="686"/>
      <c r="P19" s="686"/>
      <c r="Q19" s="686"/>
      <c r="V19" s="687"/>
      <c r="W19" s="687"/>
      <c r="AB19" s="689"/>
      <c r="AC19" s="689"/>
    </row>
    <row r="20" spans="1:29" s="2" customFormat="1" x14ac:dyDescent="0.25">
      <c r="A20" s="17" t="s">
        <v>369</v>
      </c>
      <c r="J20" s="493">
        <f>SUM(J18:J19)</f>
        <v>0</v>
      </c>
      <c r="K20" s="493">
        <f>SQRT(SUMSQ(K18:K18))</f>
        <v>0</v>
      </c>
      <c r="P20" s="493">
        <f>SUM(P18:P19)</f>
        <v>0</v>
      </c>
      <c r="Q20" s="493">
        <f>SQRT(SUMSQ(Q18:Q18))</f>
        <v>0</v>
      </c>
      <c r="V20" s="489">
        <f>SUM(V18:V19)</f>
        <v>4.2465882352941192E-3</v>
      </c>
      <c r="W20" s="489">
        <f>SQRT(SUMSQ(W18:W18))</f>
        <v>0</v>
      </c>
      <c r="AB20" s="677">
        <f>SUM(AB18:AB19)</f>
        <v>1.2739764705882355E-3</v>
      </c>
      <c r="AC20" s="677">
        <f>SQRT(SUMSQ(AC18:AC18))</f>
        <v>0</v>
      </c>
    </row>
    <row r="21" spans="1:29" x14ac:dyDescent="0.25">
      <c r="A21" s="15"/>
    </row>
    <row r="22" spans="1:29" s="42" customFormat="1" x14ac:dyDescent="0.25">
      <c r="B22" s="353"/>
      <c r="C22" s="10"/>
      <c r="D22" s="10"/>
      <c r="E22" s="11"/>
      <c r="G22" s="10"/>
      <c r="H22" s="10"/>
      <c r="I22" s="10"/>
      <c r="J22" s="10"/>
      <c r="K22" s="10"/>
      <c r="M22" s="10"/>
      <c r="N22" s="10"/>
      <c r="O22" s="10"/>
      <c r="P22" s="10"/>
      <c r="Q22" s="10"/>
      <c r="S22" s="10"/>
      <c r="T22" s="10"/>
      <c r="U22" s="10"/>
      <c r="V22" s="10"/>
      <c r="W22" s="10"/>
      <c r="Y22" s="10"/>
      <c r="Z22" s="10"/>
      <c r="AA22" s="10"/>
      <c r="AB22" s="10"/>
      <c r="AC22" s="10"/>
    </row>
    <row r="23" spans="1:29" s="42" customFormat="1" x14ac:dyDescent="0.25">
      <c r="B23" s="353"/>
      <c r="C23" s="10"/>
      <c r="D23" s="10"/>
      <c r="E23" s="11"/>
      <c r="G23" s="10"/>
      <c r="H23" s="10"/>
      <c r="I23" s="10"/>
      <c r="J23" s="10"/>
      <c r="K23" s="10"/>
      <c r="M23" s="10"/>
      <c r="N23" s="10"/>
      <c r="O23" s="10"/>
      <c r="P23" s="10"/>
      <c r="Q23" s="10"/>
      <c r="S23" s="10"/>
      <c r="T23" s="10"/>
      <c r="U23" s="10"/>
      <c r="V23" s="10"/>
      <c r="W23" s="10"/>
      <c r="Y23" s="10"/>
      <c r="Z23" s="10"/>
      <c r="AA23" s="10"/>
      <c r="AB23" s="10"/>
      <c r="AC23" s="10"/>
    </row>
    <row r="24" spans="1:29" s="42" customFormat="1" x14ac:dyDescent="0.25">
      <c r="B24" s="353"/>
      <c r="C24" s="10"/>
      <c r="D24" s="10"/>
      <c r="E24" s="11"/>
      <c r="G24" s="10"/>
      <c r="H24" s="10"/>
      <c r="I24" s="10"/>
      <c r="J24" s="10"/>
      <c r="K24" s="10"/>
      <c r="M24" s="10"/>
      <c r="N24" s="10"/>
      <c r="O24" s="10"/>
      <c r="P24" s="10"/>
      <c r="Q24" s="10"/>
      <c r="S24" s="10"/>
      <c r="T24" s="10"/>
      <c r="U24" s="10"/>
      <c r="V24" s="10"/>
      <c r="W24" s="10"/>
      <c r="Y24" s="10"/>
      <c r="Z24" s="10"/>
      <c r="AA24" s="10"/>
      <c r="AB24" s="10"/>
      <c r="AC24" s="10"/>
    </row>
    <row r="25" spans="1:29" s="42" customFormat="1" x14ac:dyDescent="0.25">
      <c r="B25" s="353"/>
      <c r="C25" s="204"/>
      <c r="D25" s="10"/>
      <c r="E25" s="10"/>
      <c r="G25" s="205"/>
      <c r="H25" s="205"/>
      <c r="I25" s="10"/>
      <c r="J25" s="10"/>
      <c r="K25" s="10"/>
      <c r="M25" s="205"/>
      <c r="N25" s="205"/>
      <c r="O25" s="10"/>
      <c r="P25" s="10"/>
      <c r="Q25" s="10"/>
      <c r="S25" s="206"/>
      <c r="T25" s="206"/>
      <c r="U25" s="10"/>
      <c r="V25" s="10"/>
      <c r="W25" s="10"/>
      <c r="Y25" s="207"/>
      <c r="Z25" s="207"/>
      <c r="AA25" s="10"/>
      <c r="AB25" s="10"/>
      <c r="AC25" s="10"/>
    </row>
    <row r="26" spans="1:29" s="42" customFormat="1" x14ac:dyDescent="0.25">
      <c r="C26" s="204"/>
      <c r="D26" s="10"/>
      <c r="E26" s="10"/>
      <c r="G26" s="205"/>
      <c r="H26" s="205"/>
      <c r="I26" s="10"/>
      <c r="J26" s="10"/>
      <c r="K26" s="10"/>
      <c r="M26" s="205"/>
      <c r="N26" s="205"/>
      <c r="O26" s="10"/>
      <c r="P26" s="10"/>
      <c r="Q26" s="10"/>
      <c r="S26" s="206"/>
      <c r="T26" s="206"/>
      <c r="U26" s="10"/>
      <c r="V26" s="10"/>
      <c r="W26" s="10"/>
      <c r="Y26" s="207"/>
      <c r="Z26" s="207"/>
      <c r="AA26" s="10"/>
      <c r="AB26" s="10"/>
      <c r="AC26" s="10"/>
    </row>
    <row r="27" spans="1:29" s="42" customFormat="1" x14ac:dyDescent="0.25">
      <c r="B27" s="353"/>
      <c r="C27" s="10"/>
      <c r="D27" s="10"/>
      <c r="E27" s="11"/>
      <c r="G27" s="10"/>
      <c r="H27" s="10"/>
      <c r="I27" s="10"/>
      <c r="J27" s="10"/>
      <c r="K27" s="10"/>
      <c r="M27" s="10"/>
      <c r="N27" s="10"/>
      <c r="O27" s="10"/>
      <c r="P27" s="10"/>
      <c r="Q27" s="10"/>
      <c r="S27" s="10"/>
      <c r="T27" s="10"/>
      <c r="U27" s="10"/>
      <c r="V27" s="10"/>
      <c r="W27" s="10"/>
      <c r="Y27" s="10"/>
      <c r="Z27" s="10"/>
      <c r="AA27" s="10"/>
      <c r="AB27" s="10"/>
      <c r="AC27" s="10"/>
    </row>
    <row r="28" spans="1:29" s="42" customFormat="1" x14ac:dyDescent="0.25">
      <c r="C28" s="10"/>
      <c r="D28" s="10"/>
      <c r="E28" s="10"/>
      <c r="G28" s="10"/>
      <c r="H28" s="10"/>
      <c r="I28" s="10"/>
      <c r="J28" s="10"/>
      <c r="K28" s="10"/>
      <c r="M28" s="10"/>
      <c r="N28" s="10"/>
      <c r="O28" s="10"/>
      <c r="P28" s="10"/>
      <c r="Q28" s="10"/>
      <c r="S28" s="10"/>
      <c r="T28" s="10"/>
      <c r="U28" s="10"/>
      <c r="V28" s="10"/>
      <c r="W28" s="10"/>
      <c r="Y28" s="10"/>
      <c r="Z28" s="10"/>
      <c r="AA28" s="10"/>
      <c r="AB28" s="10"/>
      <c r="AC28" s="10"/>
    </row>
    <row r="29" spans="1:29" s="42" customFormat="1" x14ac:dyDescent="0.25">
      <c r="A29" s="143"/>
      <c r="B29" s="143"/>
      <c r="C29" s="354"/>
      <c r="D29" s="354"/>
      <c r="E29" s="354"/>
      <c r="F29" s="143"/>
      <c r="G29" s="354"/>
      <c r="H29" s="354"/>
      <c r="I29" s="354"/>
      <c r="J29" s="354"/>
      <c r="K29" s="354"/>
      <c r="L29" s="143"/>
      <c r="M29" s="354"/>
      <c r="N29" s="354"/>
      <c r="O29" s="354"/>
      <c r="P29" s="354"/>
      <c r="Q29" s="354"/>
      <c r="R29" s="143"/>
      <c r="S29" s="354"/>
      <c r="T29" s="354"/>
      <c r="U29" s="354"/>
      <c r="V29" s="354"/>
      <c r="W29" s="354"/>
      <c r="X29" s="143"/>
      <c r="Y29" s="354"/>
      <c r="Z29" s="354"/>
      <c r="AA29" s="354"/>
      <c r="AB29" s="354"/>
      <c r="AC29" s="354"/>
    </row>
    <row r="30" spans="1:29" s="42" customFormat="1" x14ac:dyDescent="0.25"/>
    <row r="31" spans="1:29" s="42" customFormat="1" x14ac:dyDescent="0.25"/>
    <row r="32" spans="1:29" s="42" customFormat="1" x14ac:dyDescent="0.25"/>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4"/>
  <sheetViews>
    <sheetView workbookViewId="0">
      <pane xSplit="1" ySplit="12" topLeftCell="B13" activePane="bottomRight" state="frozen"/>
      <selection pane="topRight" activeCell="B1" sqref="B1"/>
      <selection pane="bottomLeft" activeCell="A13" sqref="A13"/>
      <selection pane="bottomRight"/>
    </sheetView>
  </sheetViews>
  <sheetFormatPr defaultRowHeight="13.2" x14ac:dyDescent="0.25"/>
  <cols>
    <col min="1" max="1" width="34.6640625" customWidth="1"/>
    <col min="2" max="2" width="17.33203125" customWidth="1"/>
    <col min="3" max="3" width="11.44140625" customWidth="1"/>
    <col min="4" max="4" width="19.5546875" customWidth="1"/>
    <col min="5" max="5" width="10.88671875" customWidth="1"/>
    <col min="6" max="6" width="20" customWidth="1"/>
    <col min="8" max="8" width="20.44140625" customWidth="1"/>
    <col min="9" max="9" width="17.6640625" customWidth="1"/>
    <col min="10" max="10" width="13.5546875" customWidth="1"/>
    <col min="11" max="11" width="12.33203125" customWidth="1"/>
    <col min="16" max="16" width="17.33203125" customWidth="1"/>
    <col min="17" max="17" width="19.44140625" customWidth="1"/>
    <col min="22" max="22" width="13.6640625" customWidth="1"/>
    <col min="23" max="23" width="14.5546875" customWidth="1"/>
    <col min="25" max="25" width="11.33203125" customWidth="1"/>
    <col min="26" max="26" width="10.5546875" customWidth="1"/>
    <col min="28" max="28" width="18.6640625" customWidth="1"/>
    <col min="29" max="29" width="15.44140625" customWidth="1"/>
  </cols>
  <sheetData>
    <row r="1" spans="1:29" x14ac:dyDescent="0.25">
      <c r="A1" s="151" t="s">
        <v>240</v>
      </c>
      <c r="B1" s="208" t="s">
        <v>647</v>
      </c>
    </row>
    <row r="2" spans="1:29" x14ac:dyDescent="0.25">
      <c r="A2" s="151" t="s">
        <v>243</v>
      </c>
      <c r="B2" s="208" t="s">
        <v>441</v>
      </c>
    </row>
    <row r="3" spans="1:29" x14ac:dyDescent="0.25">
      <c r="A3" s="151" t="s">
        <v>241</v>
      </c>
      <c r="B3" s="852" t="s">
        <v>1115</v>
      </c>
    </row>
    <row r="4" spans="1:29" x14ac:dyDescent="0.25">
      <c r="A4" s="151" t="s">
        <v>242</v>
      </c>
      <c r="B4" s="41">
        <v>2004</v>
      </c>
    </row>
    <row r="6" spans="1:29" x14ac:dyDescent="0.25">
      <c r="A6" s="437" t="s">
        <v>408</v>
      </c>
      <c r="B6" s="172" t="s">
        <v>21</v>
      </c>
      <c r="C6" s="173"/>
      <c r="D6" s="174" t="s">
        <v>22</v>
      </c>
      <c r="E6" s="175"/>
      <c r="F6" s="174" t="s">
        <v>23</v>
      </c>
      <c r="G6" s="175"/>
      <c r="H6" s="174" t="s">
        <v>24</v>
      </c>
      <c r="I6" s="176"/>
    </row>
    <row r="7" spans="1:29" x14ac:dyDescent="0.25">
      <c r="A7" s="177"/>
      <c r="B7" s="178" t="s">
        <v>200</v>
      </c>
      <c r="C7" s="178" t="s">
        <v>212</v>
      </c>
      <c r="D7" s="178" t="s">
        <v>201</v>
      </c>
      <c r="E7" s="179" t="s">
        <v>213</v>
      </c>
      <c r="F7" s="178" t="s">
        <v>203</v>
      </c>
      <c r="G7" s="178" t="s">
        <v>249</v>
      </c>
      <c r="H7" s="178" t="s">
        <v>205</v>
      </c>
      <c r="I7" s="178" t="s">
        <v>249</v>
      </c>
    </row>
    <row r="8" spans="1:29" x14ac:dyDescent="0.25">
      <c r="A8" s="144" t="s">
        <v>214</v>
      </c>
      <c r="B8" s="180">
        <f>EnergySupply!B35*Unitflowchart!$S$128</f>
        <v>0</v>
      </c>
      <c r="C8" s="181">
        <f>EnergySupply!C35*Unitflowchart!$S$128</f>
        <v>0</v>
      </c>
      <c r="D8" s="181">
        <f>EnergySupply!D35*Unitflowchart!$S$128</f>
        <v>0</v>
      </c>
      <c r="E8" s="181">
        <f>EnergySupply!E35*Unitflowchart!$S$128</f>
        <v>0</v>
      </c>
      <c r="F8" s="182">
        <f>EnergySupply!F35*Unitflowchart!$S$128</f>
        <v>-1.44E-4</v>
      </c>
      <c r="G8" s="182">
        <f>EnergySupply!G35*Unitflowchart!$S$128</f>
        <v>0</v>
      </c>
      <c r="H8" s="183">
        <f>EnergySupply!H35*Unitflowchart!$S$128</f>
        <v>-4.32E-5</v>
      </c>
      <c r="I8" s="183">
        <f>EnergySupply!I35*Unitflowchart!$S$128</f>
        <v>0</v>
      </c>
    </row>
    <row r="9" spans="1:29" x14ac:dyDescent="0.25">
      <c r="A9" s="184" t="s">
        <v>822</v>
      </c>
      <c r="B9" s="185">
        <f>Unitflowchart!S128*Unitflowchart!AA132</f>
        <v>340.59444576914461</v>
      </c>
      <c r="C9" s="186"/>
      <c r="D9" s="186"/>
      <c r="E9" s="186"/>
      <c r="F9" s="187"/>
      <c r="G9" s="187"/>
      <c r="H9" s="188"/>
      <c r="I9" s="188"/>
    </row>
    <row r="11" spans="1:29" x14ac:dyDescent="0.25">
      <c r="A11" t="s">
        <v>245</v>
      </c>
      <c r="B11" t="s">
        <v>244</v>
      </c>
      <c r="E11" t="s">
        <v>27</v>
      </c>
      <c r="F11" t="s">
        <v>247</v>
      </c>
      <c r="I11" t="s">
        <v>27</v>
      </c>
      <c r="J11" t="s">
        <v>811</v>
      </c>
      <c r="L11" t="s">
        <v>251</v>
      </c>
      <c r="O11" t="s">
        <v>27</v>
      </c>
      <c r="P11" t="s">
        <v>812</v>
      </c>
      <c r="R11" t="s">
        <v>253</v>
      </c>
      <c r="U11" t="s">
        <v>27</v>
      </c>
      <c r="V11" t="s">
        <v>814</v>
      </c>
      <c r="X11" t="s">
        <v>255</v>
      </c>
      <c r="AA11" t="s">
        <v>27</v>
      </c>
      <c r="AB11" t="s">
        <v>815</v>
      </c>
    </row>
    <row r="12" spans="1:29" x14ac:dyDescent="0.25">
      <c r="B12" t="s">
        <v>246</v>
      </c>
      <c r="C12" t="s">
        <v>248</v>
      </c>
      <c r="D12" t="s">
        <v>249</v>
      </c>
      <c r="F12" t="s">
        <v>246</v>
      </c>
      <c r="G12" t="s">
        <v>248</v>
      </c>
      <c r="H12" t="s">
        <v>249</v>
      </c>
      <c r="J12" t="s">
        <v>248</v>
      </c>
      <c r="K12" t="s">
        <v>249</v>
      </c>
      <c r="L12" t="s">
        <v>246</v>
      </c>
      <c r="M12" t="s">
        <v>248</v>
      </c>
      <c r="N12" t="s">
        <v>249</v>
      </c>
      <c r="P12" t="s">
        <v>248</v>
      </c>
      <c r="Q12" t="s">
        <v>249</v>
      </c>
      <c r="R12" t="s">
        <v>246</v>
      </c>
      <c r="S12" t="s">
        <v>248</v>
      </c>
      <c r="T12" t="s">
        <v>249</v>
      </c>
      <c r="V12" t="s">
        <v>248</v>
      </c>
      <c r="W12" t="s">
        <v>249</v>
      </c>
      <c r="X12" t="s">
        <v>246</v>
      </c>
      <c r="Y12" t="s">
        <v>248</v>
      </c>
      <c r="Z12" t="s">
        <v>249</v>
      </c>
      <c r="AB12" t="s">
        <v>248</v>
      </c>
      <c r="AC12" t="s">
        <v>249</v>
      </c>
    </row>
    <row r="13" spans="1:29" x14ac:dyDescent="0.25">
      <c r="A13" s="2" t="s">
        <v>215</v>
      </c>
    </row>
    <row r="15" spans="1:29" x14ac:dyDescent="0.25">
      <c r="A15" t="s">
        <v>216</v>
      </c>
      <c r="B15" t="s">
        <v>739</v>
      </c>
      <c r="C15" s="356">
        <f>$B$9</f>
        <v>340.59444576914461</v>
      </c>
      <c r="D15" s="356">
        <v>0</v>
      </c>
      <c r="E15" s="10" t="s">
        <v>217</v>
      </c>
      <c r="F15" t="s">
        <v>187</v>
      </c>
      <c r="G15" s="692">
        <f>3.6*B8</f>
        <v>0</v>
      </c>
      <c r="H15" s="692">
        <f>3.6*C8</f>
        <v>0</v>
      </c>
      <c r="I15" s="10" t="s">
        <v>823</v>
      </c>
      <c r="J15" s="490">
        <f>(C15*G15)</f>
        <v>0</v>
      </c>
      <c r="K15" s="490">
        <f>(SQRT(((D15*G15)^2)+((C15*H15)^2)))</f>
        <v>0</v>
      </c>
      <c r="L15" t="s">
        <v>188</v>
      </c>
      <c r="M15" s="681">
        <f>D8</f>
        <v>0</v>
      </c>
      <c r="N15" s="681">
        <f>E8</f>
        <v>0</v>
      </c>
      <c r="O15" s="10" t="s">
        <v>824</v>
      </c>
      <c r="P15" s="490">
        <f>C15*M15</f>
        <v>0</v>
      </c>
      <c r="Q15" s="490">
        <f>SQRT(((D15*M15)^2)+((C15*N15)^2))</f>
        <v>0</v>
      </c>
      <c r="R15" t="s">
        <v>189</v>
      </c>
      <c r="S15" s="684">
        <f>F8</f>
        <v>-1.44E-4</v>
      </c>
      <c r="T15" s="684">
        <f>G8</f>
        <v>0</v>
      </c>
      <c r="U15" s="10" t="s">
        <v>825</v>
      </c>
      <c r="V15" s="629">
        <f>C15*S15</f>
        <v>-4.9045600190756829E-2</v>
      </c>
      <c r="W15" s="629">
        <f>SQRT(((D15*S15)^2)+((C15*T15)^2))</f>
        <v>0</v>
      </c>
      <c r="X15" t="s">
        <v>190</v>
      </c>
      <c r="Y15" s="691">
        <f>H8</f>
        <v>-4.32E-5</v>
      </c>
      <c r="Z15" s="691">
        <f>I8</f>
        <v>0</v>
      </c>
      <c r="AA15" s="10" t="s">
        <v>826</v>
      </c>
      <c r="AB15" s="611">
        <f>C15*Y15</f>
        <v>-1.4713680057227048E-2</v>
      </c>
      <c r="AC15" s="611">
        <f>SQRT(((D15*Y15)^2)+((C15*Z15)^2))</f>
        <v>0</v>
      </c>
    </row>
    <row r="16" spans="1:29" x14ac:dyDescent="0.25">
      <c r="C16" s="1"/>
      <c r="D16" s="1"/>
      <c r="E16" s="1"/>
      <c r="G16" s="1"/>
      <c r="H16" s="1"/>
      <c r="I16" s="1"/>
      <c r="J16" s="491"/>
      <c r="K16" s="491"/>
      <c r="M16" s="1"/>
      <c r="N16" s="1"/>
      <c r="O16" s="1"/>
      <c r="P16" s="491"/>
      <c r="Q16" s="491"/>
      <c r="S16" s="1"/>
      <c r="T16" s="1"/>
      <c r="U16" s="1"/>
      <c r="V16" s="630"/>
      <c r="W16" s="630"/>
      <c r="Y16" s="1"/>
      <c r="Z16" s="1"/>
      <c r="AA16" s="1"/>
      <c r="AB16" s="612"/>
      <c r="AC16" s="612"/>
    </row>
    <row r="17" spans="1:29" x14ac:dyDescent="0.25">
      <c r="A17" s="2" t="s">
        <v>18</v>
      </c>
      <c r="B17" s="2"/>
      <c r="C17" s="4"/>
      <c r="D17" s="4"/>
      <c r="E17" s="4"/>
      <c r="F17" s="2"/>
      <c r="G17" s="4"/>
      <c r="H17" s="4"/>
      <c r="I17" s="4"/>
      <c r="J17" s="493">
        <f>SUM(J15:J15)</f>
        <v>0</v>
      </c>
      <c r="K17" s="493">
        <f>K15</f>
        <v>0</v>
      </c>
      <c r="L17" s="2"/>
      <c r="M17" s="4"/>
      <c r="N17" s="4"/>
      <c r="O17" s="4"/>
      <c r="P17" s="493">
        <f>SUM(P15:P15)</f>
        <v>0</v>
      </c>
      <c r="Q17" s="493">
        <f>Q15</f>
        <v>0</v>
      </c>
      <c r="R17" s="2"/>
      <c r="S17" s="4"/>
      <c r="T17" s="4"/>
      <c r="U17" s="4"/>
      <c r="V17" s="631">
        <f>SUM(V15:V15)</f>
        <v>-4.9045600190756829E-2</v>
      </c>
      <c r="W17" s="631">
        <f>W15</f>
        <v>0</v>
      </c>
      <c r="X17" s="2"/>
      <c r="Y17" s="4"/>
      <c r="Z17" s="4"/>
      <c r="AA17" s="4"/>
      <c r="AB17" s="613">
        <f>SUM(AB15:AB15)</f>
        <v>-1.4713680057227048E-2</v>
      </c>
      <c r="AC17" s="613">
        <f>AC15</f>
        <v>0</v>
      </c>
    </row>
    <row r="22" spans="1:29" x14ac:dyDescent="0.25">
      <c r="A22" s="3"/>
      <c r="E22" s="116"/>
      <c r="I22" s="116"/>
      <c r="O22" s="116"/>
      <c r="U22" s="116"/>
      <c r="AA22" s="116"/>
    </row>
    <row r="23" spans="1:29" x14ac:dyDescent="0.25">
      <c r="A23" s="3"/>
      <c r="E23" s="116"/>
      <c r="I23" s="116"/>
      <c r="O23" s="116"/>
      <c r="U23" s="116"/>
      <c r="AA23" s="116"/>
    </row>
    <row r="24" spans="1:29" x14ac:dyDescent="0.25">
      <c r="A24" s="3"/>
      <c r="E24" s="116"/>
      <c r="I24" s="116"/>
      <c r="O24" s="116"/>
      <c r="U24" s="116"/>
      <c r="AA24" s="116"/>
    </row>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heetViews>
  <sheetFormatPr defaultRowHeight="13.2" x14ac:dyDescent="0.25"/>
  <cols>
    <col min="1" max="1" width="13.88671875" bestFit="1" customWidth="1"/>
    <col min="2" max="2" width="86.109375" customWidth="1"/>
    <col min="3" max="3" width="19" customWidth="1"/>
    <col min="4" max="4" width="13.6640625" customWidth="1"/>
    <col min="5" max="5" width="80.33203125" customWidth="1"/>
    <col min="6" max="6" width="17" customWidth="1"/>
  </cols>
  <sheetData>
    <row r="1" spans="1:6" x14ac:dyDescent="0.25">
      <c r="A1" s="2" t="s">
        <v>954</v>
      </c>
      <c r="F1" s="844" t="s">
        <v>1153</v>
      </c>
    </row>
    <row r="2" spans="1:6" x14ac:dyDescent="0.25">
      <c r="A2" s="2" t="s">
        <v>112</v>
      </c>
      <c r="B2" s="2" t="s">
        <v>113</v>
      </c>
      <c r="C2" s="2" t="s">
        <v>114</v>
      </c>
      <c r="D2" s="2" t="s">
        <v>115</v>
      </c>
      <c r="E2" s="2" t="s">
        <v>116</v>
      </c>
    </row>
    <row r="4" spans="1:6" x14ac:dyDescent="0.25">
      <c r="A4" s="1462" t="s">
        <v>1747</v>
      </c>
    </row>
    <row r="6" spans="1:6" x14ac:dyDescent="0.25">
      <c r="A6" s="415" t="s">
        <v>1554</v>
      </c>
      <c r="B6" s="859" t="s">
        <v>1179</v>
      </c>
      <c r="C6" s="106" t="s">
        <v>1177</v>
      </c>
      <c r="D6" s="935" t="s">
        <v>1520</v>
      </c>
      <c r="E6" s="859"/>
      <c r="F6" s="859"/>
    </row>
    <row r="7" spans="1:6" x14ac:dyDescent="0.25">
      <c r="A7" s="415" t="s">
        <v>1555</v>
      </c>
      <c r="B7" s="859" t="s">
        <v>1545</v>
      </c>
      <c r="C7" s="859" t="s">
        <v>1177</v>
      </c>
      <c r="D7" s="935" t="s">
        <v>1546</v>
      </c>
      <c r="E7" s="290"/>
    </row>
    <row r="8" spans="1:6" x14ac:dyDescent="0.25">
      <c r="A8" s="415" t="s">
        <v>1556</v>
      </c>
      <c r="B8" s="106" t="s">
        <v>1548</v>
      </c>
      <c r="C8" s="106" t="s">
        <v>1549</v>
      </c>
      <c r="D8" s="218" t="s">
        <v>1550</v>
      </c>
      <c r="E8" s="106" t="s">
        <v>1551</v>
      </c>
    </row>
    <row r="9" spans="1:6" ht="63" customHeight="1" x14ac:dyDescent="0.25">
      <c r="A9" s="415" t="s">
        <v>1552</v>
      </c>
      <c r="B9" s="859" t="s">
        <v>1694</v>
      </c>
      <c r="C9" s="106" t="s">
        <v>1553</v>
      </c>
      <c r="D9" s="935" t="s">
        <v>1662</v>
      </c>
      <c r="E9" s="106"/>
    </row>
    <row r="10" spans="1:6" ht="66.75" customHeight="1" x14ac:dyDescent="0.25">
      <c r="A10" s="415" t="s">
        <v>1695</v>
      </c>
      <c r="B10" s="859" t="s">
        <v>1709</v>
      </c>
      <c r="C10" s="859" t="s">
        <v>1553</v>
      </c>
      <c r="D10" s="935" t="s">
        <v>1696</v>
      </c>
      <c r="E10" s="106"/>
    </row>
    <row r="11" spans="1:6" ht="128.25" customHeight="1" x14ac:dyDescent="0.25">
      <c r="A11" s="415" t="s">
        <v>1708</v>
      </c>
      <c r="B11" s="106" t="s">
        <v>1742</v>
      </c>
      <c r="C11" s="859" t="s">
        <v>1553</v>
      </c>
      <c r="D11" s="935" t="s">
        <v>1740</v>
      </c>
      <c r="E11" s="1445"/>
    </row>
    <row r="12" spans="1:6" ht="39.6" x14ac:dyDescent="0.25">
      <c r="A12" s="415" t="s">
        <v>1744</v>
      </c>
      <c r="B12" s="859" t="s">
        <v>1746</v>
      </c>
      <c r="C12" s="106" t="s">
        <v>1553</v>
      </c>
      <c r="D12" s="859" t="s">
        <v>1745</v>
      </c>
      <c r="E12" s="290"/>
    </row>
    <row r="13" spans="1:6" x14ac:dyDescent="0.25">
      <c r="A13" s="415"/>
      <c r="B13" s="290"/>
      <c r="C13" s="290"/>
      <c r="D13" s="290"/>
      <c r="E13" s="106"/>
    </row>
    <row r="14" spans="1:6" x14ac:dyDescent="0.25">
      <c r="A14" s="1463" t="s">
        <v>1776</v>
      </c>
      <c r="B14" s="106"/>
      <c r="C14" s="106"/>
      <c r="D14" s="106"/>
      <c r="E14" s="106"/>
    </row>
    <row r="15" spans="1:6" x14ac:dyDescent="0.25">
      <c r="A15" s="415"/>
      <c r="B15" s="290"/>
      <c r="C15" s="106"/>
      <c r="D15" s="106"/>
      <c r="E15" s="106"/>
    </row>
    <row r="16" spans="1:6" ht="142.5" customHeight="1" x14ac:dyDescent="0.25">
      <c r="A16" s="415" t="s">
        <v>1554</v>
      </c>
      <c r="B16" s="859" t="s">
        <v>2013</v>
      </c>
      <c r="C16" s="859" t="s">
        <v>1553</v>
      </c>
      <c r="D16" s="859" t="s">
        <v>2025</v>
      </c>
      <c r="E16" s="106"/>
    </row>
    <row r="17" spans="1:5" ht="39.6" x14ac:dyDescent="0.25">
      <c r="A17" s="415" t="s">
        <v>1555</v>
      </c>
      <c r="B17" s="1445" t="s">
        <v>2029</v>
      </c>
      <c r="C17" s="859" t="s">
        <v>1553</v>
      </c>
      <c r="D17" s="859" t="s">
        <v>2026</v>
      </c>
      <c r="E17" s="106"/>
    </row>
    <row r="18" spans="1:5" ht="39.6" x14ac:dyDescent="0.25">
      <c r="A18" s="415" t="s">
        <v>1556</v>
      </c>
      <c r="B18" s="106" t="s">
        <v>2031</v>
      </c>
      <c r="C18" s="106" t="s">
        <v>1553</v>
      </c>
      <c r="D18" s="106" t="s">
        <v>2030</v>
      </c>
      <c r="E18" s="106"/>
    </row>
    <row r="19" spans="1:5" x14ac:dyDescent="0.25">
      <c r="A19" s="415"/>
      <c r="B19" s="106"/>
      <c r="C19" s="106"/>
      <c r="D19" s="106"/>
      <c r="E19" s="106"/>
    </row>
    <row r="20" spans="1:5" x14ac:dyDescent="0.25">
      <c r="A20" s="1463" t="s">
        <v>2032</v>
      </c>
      <c r="B20" s="106"/>
      <c r="C20" s="106"/>
      <c r="D20" s="106"/>
      <c r="E20" s="106"/>
    </row>
    <row r="21" spans="1:5" x14ac:dyDescent="0.25">
      <c r="A21" s="415"/>
      <c r="B21" s="106"/>
      <c r="C21" s="106"/>
      <c r="D21" s="106"/>
      <c r="E21" s="106"/>
    </row>
    <row r="22" spans="1:5" ht="66" x14ac:dyDescent="0.25">
      <c r="A22" s="415" t="s">
        <v>1554</v>
      </c>
      <c r="B22" s="859" t="s">
        <v>2091</v>
      </c>
      <c r="C22" s="859" t="s">
        <v>1553</v>
      </c>
      <c r="D22" s="859" t="s">
        <v>2104</v>
      </c>
      <c r="E22" s="106"/>
    </row>
    <row r="23" spans="1:5" x14ac:dyDescent="0.25">
      <c r="A23" s="415"/>
      <c r="B23" s="106"/>
      <c r="C23" s="106"/>
      <c r="D23" s="106"/>
      <c r="E23" s="106"/>
    </row>
    <row r="24" spans="1:5" x14ac:dyDescent="0.25">
      <c r="A24" s="106"/>
      <c r="B24" s="106"/>
      <c r="C24" s="106"/>
      <c r="D24" s="106"/>
      <c r="E24" s="106"/>
    </row>
    <row r="25" spans="1:5" x14ac:dyDescent="0.25">
      <c r="A25" s="106"/>
      <c r="B25" s="106"/>
      <c r="C25" s="106"/>
      <c r="D25" s="106"/>
      <c r="E25" s="106"/>
    </row>
    <row r="26" spans="1:5" x14ac:dyDescent="0.25">
      <c r="A26" s="106"/>
      <c r="B26" s="106"/>
      <c r="C26" s="106"/>
      <c r="D26" s="106"/>
      <c r="E26" s="106"/>
    </row>
    <row r="27" spans="1:5" x14ac:dyDescent="0.25">
      <c r="A27" s="106"/>
      <c r="B27" s="106"/>
      <c r="C27" s="106"/>
      <c r="D27" s="106"/>
      <c r="E27" s="106"/>
    </row>
  </sheetData>
  <phoneticPr fontId="0" type="noConversion"/>
  <pageMargins left="0.75" right="0.75" top="1" bottom="1" header="0.5" footer="0.5"/>
  <pageSetup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6"/>
  <sheetViews>
    <sheetView workbookViewId="0">
      <pane xSplit="1" ySplit="14" topLeftCell="B15" activePane="bottomRight" state="frozen"/>
      <selection pane="topRight" activeCell="B1" sqref="B1"/>
      <selection pane="bottomLeft" activeCell="A12" sqref="A12"/>
      <selection pane="bottomRight"/>
    </sheetView>
  </sheetViews>
  <sheetFormatPr defaultRowHeight="13.2" x14ac:dyDescent="0.25"/>
  <cols>
    <col min="1" max="1" width="41.109375" customWidth="1"/>
    <col min="2" max="2" width="18" customWidth="1"/>
    <col min="3" max="3" width="9.5546875" bestFit="1" customWidth="1"/>
    <col min="10" max="10" width="14" customWidth="1"/>
    <col min="11" max="11" width="12.6640625" customWidth="1"/>
    <col min="12" max="12" width="15.109375" customWidth="1"/>
    <col min="16" max="16" width="18.33203125" customWidth="1"/>
    <col min="17" max="17" width="16.88671875" customWidth="1"/>
    <col min="18" max="18" width="15.5546875" customWidth="1"/>
    <col min="19" max="20" width="13.88671875" customWidth="1"/>
    <col min="22" max="22" width="14.44140625" customWidth="1"/>
    <col min="23" max="23" width="14.88671875" customWidth="1"/>
    <col min="24" max="24" width="16.5546875" customWidth="1"/>
    <col min="25" max="25" width="18.109375" customWidth="1"/>
    <col min="26" max="26" width="17.6640625" customWidth="1"/>
    <col min="28" max="28" width="15.88671875" customWidth="1"/>
    <col min="29" max="29" width="18.33203125" customWidth="1"/>
  </cols>
  <sheetData>
    <row r="1" spans="1:29" x14ac:dyDescent="0.25">
      <c r="A1" s="2" t="s">
        <v>240</v>
      </c>
      <c r="B1" s="3" t="s">
        <v>652</v>
      </c>
    </row>
    <row r="2" spans="1:29" x14ac:dyDescent="0.25">
      <c r="A2" s="2" t="s">
        <v>243</v>
      </c>
      <c r="B2" s="3" t="s">
        <v>441</v>
      </c>
    </row>
    <row r="3" spans="1:29" x14ac:dyDescent="0.25">
      <c r="A3" s="2" t="s">
        <v>241</v>
      </c>
      <c r="B3" s="844" t="s">
        <v>1115</v>
      </c>
    </row>
    <row r="4" spans="1:29" x14ac:dyDescent="0.25">
      <c r="A4" s="2" t="s">
        <v>242</v>
      </c>
      <c r="B4" s="1">
        <v>2004</v>
      </c>
    </row>
    <row r="5" spans="1:29" x14ac:dyDescent="0.25">
      <c r="B5" s="1"/>
    </row>
    <row r="6" spans="1:29" x14ac:dyDescent="0.25">
      <c r="A6" s="437" t="s">
        <v>408</v>
      </c>
      <c r="B6" s="101"/>
      <c r="C6" s="102"/>
    </row>
    <row r="7" spans="1:29" x14ac:dyDescent="0.25">
      <c r="A7" s="144" t="s">
        <v>645</v>
      </c>
      <c r="B7" s="326" t="s">
        <v>371</v>
      </c>
      <c r="C7" s="113">
        <f>include_machinery</f>
        <v>0</v>
      </c>
    </row>
    <row r="8" spans="1:29" x14ac:dyDescent="0.25">
      <c r="A8" s="846" t="s">
        <v>2109</v>
      </c>
      <c r="B8" s="326" t="s">
        <v>371</v>
      </c>
      <c r="C8" s="113">
        <f>sce_option</f>
        <v>0</v>
      </c>
    </row>
    <row r="9" spans="1:29" x14ac:dyDescent="0.25">
      <c r="A9" s="846" t="s">
        <v>2108</v>
      </c>
      <c r="B9" s="326"/>
      <c r="C9" s="1572">
        <f>Unitflowchart!S101*((100-Unitflowchart!S155)/100)*((100-Unitflowchart!S168)/100)</f>
        <v>160000</v>
      </c>
    </row>
    <row r="10" spans="1:29" x14ac:dyDescent="0.25">
      <c r="A10" s="144" t="s">
        <v>650</v>
      </c>
      <c r="B10" s="293" t="s">
        <v>649</v>
      </c>
      <c r="C10" s="1572">
        <f>Unitflowchart!$S$101*Unitflowchart!$S$357/Unitflowchart!$S$72</f>
        <v>22353.54912</v>
      </c>
    </row>
    <row r="11" spans="1:29" x14ac:dyDescent="0.25">
      <c r="A11" s="146" t="s">
        <v>651</v>
      </c>
      <c r="B11" s="202" t="s">
        <v>422</v>
      </c>
      <c r="C11" s="114">
        <f>Unitflowchart!$S$103</f>
        <v>20</v>
      </c>
    </row>
    <row r="13" spans="1:29" x14ac:dyDescent="0.25">
      <c r="A13" t="s">
        <v>245</v>
      </c>
      <c r="B13" t="s">
        <v>244</v>
      </c>
      <c r="E13" t="s">
        <v>27</v>
      </c>
      <c r="F13" t="s">
        <v>247</v>
      </c>
      <c r="I13" t="s">
        <v>27</v>
      </c>
      <c r="J13" t="s">
        <v>811</v>
      </c>
      <c r="L13" t="s">
        <v>251</v>
      </c>
      <c r="O13" t="s">
        <v>27</v>
      </c>
      <c r="P13" t="s">
        <v>812</v>
      </c>
      <c r="R13" t="s">
        <v>253</v>
      </c>
      <c r="U13" t="s">
        <v>27</v>
      </c>
      <c r="V13" t="s">
        <v>814</v>
      </c>
      <c r="X13" t="s">
        <v>255</v>
      </c>
      <c r="AA13" t="s">
        <v>27</v>
      </c>
      <c r="AB13" t="s">
        <v>827</v>
      </c>
    </row>
    <row r="14" spans="1:29" x14ac:dyDescent="0.25">
      <c r="B14" t="s">
        <v>246</v>
      </c>
      <c r="C14" t="s">
        <v>248</v>
      </c>
      <c r="D14" t="s">
        <v>249</v>
      </c>
      <c r="F14" t="s">
        <v>246</v>
      </c>
      <c r="G14" t="s">
        <v>248</v>
      </c>
      <c r="H14" t="s">
        <v>249</v>
      </c>
      <c r="J14" t="s">
        <v>248</v>
      </c>
      <c r="K14" t="s">
        <v>249</v>
      </c>
      <c r="L14" t="s">
        <v>246</v>
      </c>
      <c r="M14" t="s">
        <v>248</v>
      </c>
      <c r="N14" t="s">
        <v>249</v>
      </c>
      <c r="P14" t="s">
        <v>248</v>
      </c>
      <c r="Q14" t="s">
        <v>249</v>
      </c>
      <c r="R14" t="s">
        <v>246</v>
      </c>
      <c r="S14" t="s">
        <v>248</v>
      </c>
      <c r="T14" t="s">
        <v>249</v>
      </c>
      <c r="V14" t="s">
        <v>248</v>
      </c>
      <c r="W14" t="s">
        <v>249</v>
      </c>
      <c r="X14" t="s">
        <v>246</v>
      </c>
      <c r="Y14" t="s">
        <v>248</v>
      </c>
      <c r="Z14" t="s">
        <v>249</v>
      </c>
      <c r="AB14" t="s">
        <v>248</v>
      </c>
      <c r="AC14" t="s">
        <v>249</v>
      </c>
    </row>
    <row r="15" spans="1:29" x14ac:dyDescent="0.25">
      <c r="A15" s="2" t="s">
        <v>648</v>
      </c>
      <c r="C15" s="1"/>
      <c r="D15" s="1"/>
      <c r="E15" s="1"/>
      <c r="G15" s="1"/>
      <c r="H15" s="1"/>
      <c r="I15" s="1"/>
      <c r="J15" s="1"/>
      <c r="K15" s="1"/>
    </row>
    <row r="16" spans="1:29" ht="15.6" x14ac:dyDescent="0.35">
      <c r="A16" t="s">
        <v>47</v>
      </c>
      <c r="B16" s="844" t="s">
        <v>2110</v>
      </c>
      <c r="C16" s="629">
        <f>((C8*12067*(($C$9)^(2/3)))/($C$10*$C$11))+((31450*(($C$10)^(2/3)))/($C$10*$C$11))</f>
        <v>55.822398388507288</v>
      </c>
      <c r="D16" s="629">
        <f>0.15*C16</f>
        <v>8.3733597582760932</v>
      </c>
      <c r="E16" s="1447" t="s">
        <v>2114</v>
      </c>
      <c r="F16" s="844" t="s">
        <v>2111</v>
      </c>
      <c r="G16" s="609">
        <v>16.5</v>
      </c>
      <c r="H16" s="482">
        <v>0</v>
      </c>
      <c r="I16" s="1573" t="s">
        <v>2112</v>
      </c>
      <c r="J16" s="490">
        <f>$C16*G16*$C7</f>
        <v>0</v>
      </c>
      <c r="K16" s="490">
        <f>SQRT((($D16*G16)^2)+(($C16*H16)^2))*$C7</f>
        <v>0</v>
      </c>
      <c r="L16" s="844" t="s">
        <v>2116</v>
      </c>
      <c r="M16" s="482">
        <v>1.0920000000000001</v>
      </c>
      <c r="N16" s="482">
        <v>0</v>
      </c>
      <c r="O16" s="1573" t="s">
        <v>2117</v>
      </c>
      <c r="P16" s="490">
        <f>$C16*M16*$C7</f>
        <v>0</v>
      </c>
      <c r="Q16" s="490">
        <f>SQRT((($D16*M16)^2)+(($C16*N16)^2))*$C7</f>
        <v>0</v>
      </c>
      <c r="R16" s="844" t="s">
        <v>2121</v>
      </c>
      <c r="S16" s="497">
        <v>1.603E-3</v>
      </c>
      <c r="T16" s="497">
        <v>0</v>
      </c>
      <c r="U16" s="1573" t="s">
        <v>2118</v>
      </c>
      <c r="V16" s="573">
        <f>$C16*S16*$C7</f>
        <v>0</v>
      </c>
      <c r="W16" s="573">
        <f>SQRT((($D16*S16)^2)+(($C16*T16)^2))*$C7</f>
        <v>0</v>
      </c>
      <c r="X16" s="844" t="s">
        <v>2119</v>
      </c>
      <c r="Y16" s="1574">
        <v>6.4090000000000005E-5</v>
      </c>
      <c r="Z16" s="1574">
        <v>0</v>
      </c>
      <c r="AA16" s="1573" t="s">
        <v>2120</v>
      </c>
      <c r="AB16" s="676">
        <f>$C16*Y16*$C7</f>
        <v>0</v>
      </c>
      <c r="AC16" s="676">
        <f>SQRT((($D16*Y16)^2)+(($C16*Z16)^2))*$C7</f>
        <v>0</v>
      </c>
    </row>
    <row r="17" spans="1:29" x14ac:dyDescent="0.25">
      <c r="A17" t="s">
        <v>48</v>
      </c>
      <c r="B17" s="844" t="s">
        <v>37</v>
      </c>
      <c r="C17" s="482">
        <v>1.5</v>
      </c>
      <c r="D17" s="482">
        <v>0</v>
      </c>
      <c r="E17" s="1573" t="s">
        <v>2115</v>
      </c>
      <c r="G17" s="482"/>
      <c r="H17" s="482"/>
      <c r="I17" s="1"/>
      <c r="J17" s="500">
        <f>$C7*$C11*($C17/100)*J16</f>
        <v>0</v>
      </c>
      <c r="K17" s="490">
        <f>SQRT((($C11*K16*$C17/100)^2)+(($C11*J16*$D17/100)^2))*$C7</f>
        <v>0</v>
      </c>
      <c r="M17" s="1575"/>
      <c r="N17" s="1575"/>
      <c r="O17" s="1447"/>
      <c r="P17" s="500">
        <f>$C7*$C11*($C17/100)*P16</f>
        <v>0</v>
      </c>
      <c r="Q17" s="490">
        <f>SQRT((($C11*Q16*$C17/100)^2)+(($C11*P16*$D17/100)^2))*$C7</f>
        <v>0</v>
      </c>
      <c r="S17" s="1576"/>
      <c r="T17" s="1576"/>
      <c r="U17" s="1"/>
      <c r="V17" s="576">
        <f>$C7*$C11*($C17/100)*V16</f>
        <v>0</v>
      </c>
      <c r="W17" s="573">
        <f>SQRT((($C11*W16*$C17/100)^2)+(($C11*V16*$D17/100)^2))*$C7</f>
        <v>0</v>
      </c>
      <c r="Y17" s="1577"/>
      <c r="Z17" s="1577"/>
      <c r="AA17" s="1"/>
      <c r="AB17" s="1578">
        <f>$C7*$C11*($C17/100)*AB16</f>
        <v>0</v>
      </c>
      <c r="AC17" s="676">
        <f>SQRT((($C11*AC16*$C17/100)^2)+(($C11*AB16*$D17/100)^2))*$C7</f>
        <v>0</v>
      </c>
    </row>
    <row r="18" spans="1:29" x14ac:dyDescent="0.25">
      <c r="A18" t="s">
        <v>49</v>
      </c>
      <c r="B18" s="844" t="s">
        <v>37</v>
      </c>
      <c r="C18" s="482">
        <v>4</v>
      </c>
      <c r="D18" s="482">
        <v>1</v>
      </c>
      <c r="E18" s="1573" t="s">
        <v>2113</v>
      </c>
      <c r="G18" s="482"/>
      <c r="H18" s="482"/>
      <c r="I18" s="1"/>
      <c r="J18" s="490">
        <f>$C7*($C18/100)*J16</f>
        <v>0</v>
      </c>
      <c r="K18" s="490">
        <f>SQRT(((K16*($C18/100))^2)+((J16*($D18/100))^2))*$C7</f>
        <v>0</v>
      </c>
      <c r="M18" s="1575"/>
      <c r="N18" s="1575"/>
      <c r="O18" s="1447"/>
      <c r="P18" s="490">
        <f>$C7*($C18/100)*P16</f>
        <v>0</v>
      </c>
      <c r="Q18" s="490">
        <f>SQRT(((Q16*($C18/100))^2)+((P16*($D18/100))^2))*$C7</f>
        <v>0</v>
      </c>
      <c r="S18" s="1576"/>
      <c r="T18" s="1576"/>
      <c r="U18" s="1"/>
      <c r="V18" s="573">
        <f>$C7*($C18/100)*V16</f>
        <v>0</v>
      </c>
      <c r="W18" s="573">
        <f>SQRT(((W16*($C18/100))^2)+((V16*($D18/100))^2))*$C7</f>
        <v>0</v>
      </c>
      <c r="Y18" s="1577"/>
      <c r="Z18" s="1577"/>
      <c r="AA18" s="1"/>
      <c r="AB18" s="676">
        <f>$C7*($C18/100)*AB16</f>
        <v>0</v>
      </c>
      <c r="AC18" s="676">
        <f>SQRT(((AC16*($C18/100))^2)+((AB16*($D18/100))^2))*$C7</f>
        <v>0</v>
      </c>
    </row>
    <row r="19" spans="1:29" x14ac:dyDescent="0.25">
      <c r="C19" s="1"/>
      <c r="D19" s="1"/>
      <c r="E19" s="1"/>
      <c r="G19" s="1"/>
      <c r="H19" s="1"/>
      <c r="I19" s="1"/>
      <c r="J19" s="491"/>
      <c r="K19" s="491"/>
      <c r="M19" s="1"/>
      <c r="N19" s="1"/>
      <c r="O19" s="1"/>
      <c r="P19" s="630"/>
      <c r="Q19" s="630"/>
      <c r="S19" s="1"/>
      <c r="T19" s="1"/>
      <c r="U19" s="1"/>
      <c r="V19" s="574"/>
      <c r="W19" s="574"/>
      <c r="Y19" s="1"/>
      <c r="Z19" s="1"/>
      <c r="AA19" s="1"/>
      <c r="AB19" s="682"/>
      <c r="AC19" s="682"/>
    </row>
    <row r="20" spans="1:29" x14ac:dyDescent="0.25">
      <c r="A20" s="2" t="s">
        <v>18</v>
      </c>
      <c r="B20" s="2"/>
      <c r="C20" s="4"/>
      <c r="D20" s="4"/>
      <c r="E20" s="4"/>
      <c r="F20" s="2"/>
      <c r="G20" s="4"/>
      <c r="H20" s="4"/>
      <c r="I20" s="4"/>
      <c r="J20" s="493">
        <f>SUM(J16:J18)</f>
        <v>0</v>
      </c>
      <c r="K20" s="493">
        <f>SQRT((K16^2)+(K17^2)+(K18^2))</f>
        <v>0</v>
      </c>
      <c r="L20" s="2"/>
      <c r="M20" s="4"/>
      <c r="N20" s="4"/>
      <c r="O20" s="4"/>
      <c r="P20" s="493">
        <f>SUM(P16:P18)</f>
        <v>0</v>
      </c>
      <c r="Q20" s="493">
        <f>SQRT((Q16^2)+(Q17^2)+(Q18^2))</f>
        <v>0</v>
      </c>
      <c r="R20" s="2"/>
      <c r="S20" s="4"/>
      <c r="T20" s="4"/>
      <c r="U20" s="4"/>
      <c r="V20" s="604">
        <f>SUM(V16:V18)</f>
        <v>0</v>
      </c>
      <c r="W20" s="604">
        <f>SQRT((W16^2)+(W17^2)+(W18^2))</f>
        <v>0</v>
      </c>
      <c r="X20" s="2"/>
      <c r="Y20" s="4"/>
      <c r="Z20" s="4"/>
      <c r="AA20" s="4"/>
      <c r="AB20" s="677">
        <f>SUM(AB16:AB18)</f>
        <v>0</v>
      </c>
      <c r="AC20" s="677">
        <f>SQRT((AC16^2)+(AC17^2)+(AC18^2))</f>
        <v>0</v>
      </c>
    </row>
    <row r="25" spans="1:29" x14ac:dyDescent="0.25">
      <c r="E25" s="23"/>
    </row>
    <row r="26" spans="1:29" x14ac:dyDescent="0.25">
      <c r="E26" s="23"/>
    </row>
  </sheetData>
  <phoneticPr fontId="0" type="noConversion"/>
  <pageMargins left="0.75" right="0.75" top="1" bottom="1" header="0.5" footer="0.5"/>
  <pageSetup paperSize="9" orientation="portrait" horizontalDpi="300"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16" customWidth="1"/>
    <col min="2" max="2" width="15.33203125" style="116" customWidth="1"/>
    <col min="3" max="3" width="11.5546875" style="116" customWidth="1"/>
    <col min="4" max="9" width="9.109375" style="116"/>
    <col min="10" max="10" width="13.33203125" style="116" customWidth="1"/>
    <col min="11" max="11" width="14.33203125" style="116" customWidth="1"/>
    <col min="12" max="15" width="9.109375" style="116"/>
    <col min="16" max="16" width="17.5546875" style="116" customWidth="1"/>
    <col min="17" max="17" width="17.6640625" style="116" customWidth="1"/>
    <col min="18" max="21" width="9.109375" style="116"/>
    <col min="22" max="22" width="15.6640625" style="116" customWidth="1"/>
    <col min="23" max="23" width="18" style="116" customWidth="1"/>
    <col min="24" max="27" width="9.109375" style="116"/>
    <col min="28" max="28" width="17.109375" style="116" customWidth="1"/>
    <col min="29" max="29" width="17.6640625" style="116" customWidth="1"/>
    <col min="30" max="16384" width="9.109375" style="116"/>
  </cols>
  <sheetData>
    <row r="1" spans="1:29" x14ac:dyDescent="0.25">
      <c r="A1" s="149" t="s">
        <v>240</v>
      </c>
      <c r="B1" s="289" t="s">
        <v>663</v>
      </c>
    </row>
    <row r="2" spans="1:29" x14ac:dyDescent="0.25">
      <c r="A2" s="149" t="s">
        <v>243</v>
      </c>
      <c r="B2" s="116" t="s">
        <v>170</v>
      </c>
    </row>
    <row r="3" spans="1:29" x14ac:dyDescent="0.25">
      <c r="A3" s="149" t="s">
        <v>241</v>
      </c>
      <c r="B3" s="116" t="s">
        <v>171</v>
      </c>
    </row>
    <row r="4" spans="1:29" x14ac:dyDescent="0.25">
      <c r="A4" s="149" t="s">
        <v>242</v>
      </c>
      <c r="B4" s="1">
        <v>2001</v>
      </c>
    </row>
    <row r="5" spans="1:29" x14ac:dyDescent="0.25">
      <c r="A5" s="149"/>
    </row>
    <row r="6" spans="1:29" x14ac:dyDescent="0.25">
      <c r="A6" s="564" t="s">
        <v>408</v>
      </c>
      <c r="B6" s="407"/>
      <c r="C6" s="408"/>
    </row>
    <row r="7" spans="1:29" x14ac:dyDescent="0.25">
      <c r="A7" s="571" t="s">
        <v>571</v>
      </c>
      <c r="B7" s="572" t="s">
        <v>431</v>
      </c>
      <c r="C7" s="570">
        <f>Unitflowchart!S301</f>
        <v>44</v>
      </c>
    </row>
    <row r="8" spans="1:29" x14ac:dyDescent="0.25">
      <c r="A8" s="409" t="s">
        <v>363</v>
      </c>
      <c r="B8" s="410" t="s">
        <v>364</v>
      </c>
      <c r="C8" s="411">
        <f>include_machinery</f>
        <v>0</v>
      </c>
    </row>
    <row r="10" spans="1:29" x14ac:dyDescent="0.25">
      <c r="A10" s="117" t="s">
        <v>245</v>
      </c>
      <c r="B10" s="117" t="s">
        <v>244</v>
      </c>
      <c r="C10" s="117"/>
      <c r="D10" s="117"/>
      <c r="E10" s="194" t="s">
        <v>27</v>
      </c>
      <c r="F10" s="117" t="s">
        <v>247</v>
      </c>
      <c r="G10" s="117"/>
      <c r="H10" s="117"/>
      <c r="I10" s="194" t="s">
        <v>27</v>
      </c>
      <c r="J10" s="117" t="s">
        <v>91</v>
      </c>
      <c r="K10" s="117"/>
      <c r="L10" s="117" t="s">
        <v>251</v>
      </c>
      <c r="M10" s="117"/>
      <c r="N10" s="117"/>
      <c r="O10" s="194" t="s">
        <v>27</v>
      </c>
      <c r="P10" s="117" t="s">
        <v>365</v>
      </c>
      <c r="Q10" s="117"/>
      <c r="R10" s="117" t="s">
        <v>253</v>
      </c>
      <c r="S10" s="117"/>
      <c r="T10" s="117"/>
      <c r="U10" s="194" t="s">
        <v>27</v>
      </c>
      <c r="V10" s="117" t="s">
        <v>366</v>
      </c>
      <c r="W10" s="117"/>
      <c r="X10" s="117" t="s">
        <v>255</v>
      </c>
      <c r="Y10" s="117"/>
      <c r="Z10" s="117"/>
      <c r="AA10" s="194" t="s">
        <v>27</v>
      </c>
      <c r="AB10" s="117" t="s">
        <v>367</v>
      </c>
      <c r="AC10" s="117"/>
    </row>
    <row r="11" spans="1:29" x14ac:dyDescent="0.25">
      <c r="A11" s="310" t="s">
        <v>92</v>
      </c>
      <c r="B11" s="117" t="s">
        <v>246</v>
      </c>
      <c r="C11" s="117" t="s">
        <v>248</v>
      </c>
      <c r="D11" s="117" t="s">
        <v>249</v>
      </c>
      <c r="E11" s="194"/>
      <c r="F11" s="117" t="s">
        <v>246</v>
      </c>
      <c r="G11" s="117" t="s">
        <v>248</v>
      </c>
      <c r="H11" s="117" t="s">
        <v>249</v>
      </c>
      <c r="I11" s="194"/>
      <c r="J11" s="117" t="s">
        <v>248</v>
      </c>
      <c r="K11" s="117" t="s">
        <v>249</v>
      </c>
      <c r="L11" s="117" t="s">
        <v>246</v>
      </c>
      <c r="M11" s="117" t="s">
        <v>248</v>
      </c>
      <c r="N11" s="117" t="s">
        <v>249</v>
      </c>
      <c r="O11" s="194"/>
      <c r="P11" s="117" t="s">
        <v>248</v>
      </c>
      <c r="Q11" s="117" t="s">
        <v>249</v>
      </c>
      <c r="R11" s="117" t="s">
        <v>246</v>
      </c>
      <c r="S11" s="117" t="s">
        <v>248</v>
      </c>
      <c r="T11" s="117" t="s">
        <v>249</v>
      </c>
      <c r="U11" s="194"/>
      <c r="V11" s="117" t="s">
        <v>248</v>
      </c>
      <c r="W11" s="117" t="s">
        <v>249</v>
      </c>
      <c r="X11" s="117" t="s">
        <v>246</v>
      </c>
      <c r="Y11" s="117" t="s">
        <v>248</v>
      </c>
      <c r="Z11" s="117" t="s">
        <v>249</v>
      </c>
      <c r="AA11" s="194"/>
      <c r="AB11" s="117" t="s">
        <v>248</v>
      </c>
      <c r="AC11" s="117" t="s">
        <v>249</v>
      </c>
    </row>
    <row r="12" spans="1:29" x14ac:dyDescent="0.25">
      <c r="A12" s="117"/>
      <c r="B12" s="117"/>
      <c r="C12" s="117"/>
      <c r="D12" s="117"/>
      <c r="E12" s="194"/>
      <c r="F12" s="117"/>
      <c r="G12" s="117"/>
      <c r="H12" s="117"/>
      <c r="I12" s="194"/>
      <c r="J12" s="117"/>
      <c r="K12" s="117"/>
      <c r="L12" s="117"/>
      <c r="M12" s="117"/>
      <c r="N12" s="117"/>
      <c r="O12" s="194"/>
      <c r="P12" s="117"/>
      <c r="Q12" s="117"/>
      <c r="R12" s="117"/>
      <c r="S12" s="117"/>
      <c r="T12" s="117"/>
      <c r="U12" s="194"/>
      <c r="V12" s="117"/>
      <c r="W12" s="117"/>
      <c r="X12" s="117"/>
      <c r="Y12" s="117"/>
      <c r="Z12" s="117"/>
      <c r="AA12" s="194"/>
      <c r="AB12" s="117"/>
      <c r="AC12" s="117"/>
    </row>
    <row r="13" spans="1:29" x14ac:dyDescent="0.25">
      <c r="A13" s="311" t="s">
        <v>658</v>
      </c>
      <c r="B13" s="312"/>
      <c r="C13" s="312"/>
      <c r="D13" s="312"/>
      <c r="E13" s="313"/>
      <c r="F13" s="312"/>
      <c r="G13" s="312"/>
      <c r="H13" s="312"/>
      <c r="I13" s="313"/>
      <c r="J13" s="312"/>
      <c r="K13" s="312"/>
      <c r="L13" s="312"/>
      <c r="M13" s="312"/>
      <c r="N13" s="312"/>
      <c r="O13" s="313"/>
      <c r="P13" s="312"/>
      <c r="Q13" s="312"/>
      <c r="R13" s="312"/>
      <c r="S13" s="312"/>
      <c r="T13" s="312"/>
      <c r="U13" s="313"/>
      <c r="V13" s="312"/>
      <c r="W13" s="312"/>
      <c r="X13" s="312"/>
      <c r="Y13" s="312"/>
      <c r="Z13" s="312"/>
      <c r="AA13" s="313"/>
      <c r="AB13" s="312"/>
      <c r="AC13" s="312"/>
    </row>
    <row r="14" spans="1:29" ht="12.75" customHeight="1" x14ac:dyDescent="0.25">
      <c r="A14" s="314" t="s">
        <v>839</v>
      </c>
      <c r="B14" s="314" t="s">
        <v>17</v>
      </c>
      <c r="C14" s="568">
        <v>0.40221087474535716</v>
      </c>
      <c r="D14" s="568">
        <v>1.8903911113031788E-2</v>
      </c>
      <c r="E14" s="853" t="s">
        <v>1158</v>
      </c>
      <c r="F14" s="314" t="s">
        <v>6</v>
      </c>
      <c r="G14" s="569">
        <v>1.073</v>
      </c>
      <c r="H14" s="569">
        <v>0</v>
      </c>
      <c r="I14" s="312" t="s">
        <v>1161</v>
      </c>
      <c r="J14" s="573">
        <f>C14*G14</f>
        <v>0.43157226860176823</v>
      </c>
      <c r="K14" s="573">
        <f>SQRT(((D14*G14)^2)+((C14*H14)^2))</f>
        <v>2.0283896624283107E-2</v>
      </c>
      <c r="L14" s="312" t="s">
        <v>7</v>
      </c>
      <c r="M14" s="569">
        <v>7.6999999999999999E-2</v>
      </c>
      <c r="N14" s="569">
        <v>0</v>
      </c>
      <c r="O14" s="312" t="s">
        <v>1165</v>
      </c>
      <c r="P14" s="578">
        <f>C14*M14</f>
        <v>3.0970237355392501E-2</v>
      </c>
      <c r="Q14" s="578">
        <f>SQRT(((D14*M14)^2)+((C14*N14)^2))</f>
        <v>1.4556011557034477E-3</v>
      </c>
      <c r="R14" s="312" t="s">
        <v>8</v>
      </c>
      <c r="S14" s="569">
        <v>1.5999999999999999E-5</v>
      </c>
      <c r="T14" s="569">
        <v>0</v>
      </c>
      <c r="U14" s="312" t="s">
        <v>1166</v>
      </c>
      <c r="V14" s="589">
        <f>C14*S14</f>
        <v>6.4353739959257139E-6</v>
      </c>
      <c r="W14" s="589">
        <f>SQRT(((D14*S14)^2)+((C14*T14)^2))</f>
        <v>3.0246257780850857E-7</v>
      </c>
      <c r="X14" s="312" t="s">
        <v>9</v>
      </c>
      <c r="Y14" s="569">
        <v>2.0800000000000001E-5</v>
      </c>
      <c r="Z14" s="569">
        <v>0</v>
      </c>
      <c r="AA14" s="312" t="s">
        <v>1168</v>
      </c>
      <c r="AB14" s="390">
        <f>C14*Y14</f>
        <v>8.3659861947034292E-6</v>
      </c>
      <c r="AC14" s="390">
        <f>SQRT(((D14*Y14)^2)+((C14*Z14)^2))</f>
        <v>3.9320135115106121E-7</v>
      </c>
    </row>
    <row r="15" spans="1:29" ht="12.75" customHeight="1" x14ac:dyDescent="0.25">
      <c r="A15" s="314" t="s">
        <v>840</v>
      </c>
      <c r="B15" s="314" t="s">
        <v>17</v>
      </c>
      <c r="C15" s="568">
        <v>4.4670266666666673E-2</v>
      </c>
      <c r="D15" s="568">
        <v>5.181750933333334E-3</v>
      </c>
      <c r="E15" s="317" t="s">
        <v>1159</v>
      </c>
      <c r="F15" s="314" t="s">
        <v>6</v>
      </c>
      <c r="G15" s="568">
        <v>1</v>
      </c>
      <c r="H15" s="568">
        <v>0</v>
      </c>
      <c r="I15" s="317"/>
      <c r="J15" s="505">
        <f>$C15*$G15*$C$8</f>
        <v>0</v>
      </c>
      <c r="K15" s="505">
        <f>SQRT((($D15*$G15)^2)+(($C15*$H15)^2))*$C$8</f>
        <v>0</v>
      </c>
      <c r="L15" s="314" t="s">
        <v>220</v>
      </c>
      <c r="M15" s="568">
        <v>3.0166933333333336E-3</v>
      </c>
      <c r="N15" s="568">
        <v>3.4993642666666675E-4</v>
      </c>
      <c r="O15" s="317" t="s">
        <v>1169</v>
      </c>
      <c r="P15" s="578">
        <f>M15*$C$8</f>
        <v>0</v>
      </c>
      <c r="Q15" s="578">
        <f>N15*$C$8</f>
        <v>0</v>
      </c>
      <c r="R15" s="314" t="s">
        <v>221</v>
      </c>
      <c r="S15" s="568">
        <v>4.7773980000000006E-6</v>
      </c>
      <c r="T15" s="568">
        <v>5.5417816800000013E-7</v>
      </c>
      <c r="U15" s="317" t="s">
        <v>1171</v>
      </c>
      <c r="V15" s="589">
        <f>S15*$C$8</f>
        <v>0</v>
      </c>
      <c r="W15" s="589">
        <f>T15*$C$8</f>
        <v>0</v>
      </c>
      <c r="X15" s="314" t="s">
        <v>222</v>
      </c>
      <c r="Y15" s="568">
        <v>2.3785466666666669E-7</v>
      </c>
      <c r="Z15" s="568">
        <v>2.7591141333333336E-8</v>
      </c>
      <c r="AA15" s="317" t="s">
        <v>1174</v>
      </c>
      <c r="AB15" s="390">
        <f>Y15*$C$8</f>
        <v>0</v>
      </c>
      <c r="AC15" s="390">
        <f>Z15*$C$8</f>
        <v>0</v>
      </c>
    </row>
    <row r="16" spans="1:29" ht="15" customHeight="1" x14ac:dyDescent="0.25">
      <c r="A16" s="314" t="s">
        <v>223</v>
      </c>
      <c r="B16" s="314" t="s">
        <v>11</v>
      </c>
      <c r="C16" s="568">
        <v>2</v>
      </c>
      <c r="D16" s="568">
        <v>0.3</v>
      </c>
      <c r="E16" s="317" t="s">
        <v>1160</v>
      </c>
      <c r="F16" s="314"/>
      <c r="G16" s="319"/>
      <c r="H16" s="319"/>
      <c r="I16" s="317"/>
      <c r="J16" s="505">
        <f>($C$16/100)*$J$15</f>
        <v>0</v>
      </c>
      <c r="K16" s="505">
        <f>SQRT(((($D$16/100)*J15)^2)+((($C$16/100)*K15)^2))</f>
        <v>0</v>
      </c>
      <c r="L16" s="314"/>
      <c r="M16" s="319"/>
      <c r="N16" s="319"/>
      <c r="O16" s="317" t="s">
        <v>1170</v>
      </c>
      <c r="P16" s="579">
        <f>($C$16/100)*$P15</f>
        <v>0</v>
      </c>
      <c r="Q16" s="579">
        <f>SQRT(((($D$16/100)*$P15)^2)+((($C$16/100)*$Q15)^2))</f>
        <v>0</v>
      </c>
      <c r="R16" s="314"/>
      <c r="S16" s="319"/>
      <c r="T16" s="319"/>
      <c r="U16" s="317" t="s">
        <v>1172</v>
      </c>
      <c r="V16" s="590">
        <f>($C$16/100)*$V15</f>
        <v>0</v>
      </c>
      <c r="W16" s="590">
        <f>SQRT(((($D$16/100)*$V15)^2)+((($C$16/100)*$W15)^2))</f>
        <v>0</v>
      </c>
      <c r="X16" s="314"/>
      <c r="Y16" s="319"/>
      <c r="Z16" s="319"/>
      <c r="AA16" s="317" t="s">
        <v>1175</v>
      </c>
      <c r="AB16" s="584">
        <f>($C$16/100)*$AB15</f>
        <v>0</v>
      </c>
      <c r="AC16" s="584">
        <f>SQRT(((($D$16/100)*$AB15)^2)+((($C$16/100)*$AC15)^2))</f>
        <v>0</v>
      </c>
    </row>
    <row r="17" spans="1:29" x14ac:dyDescent="0.25">
      <c r="A17" s="314"/>
      <c r="B17" s="314"/>
      <c r="C17" s="314"/>
      <c r="D17" s="314"/>
      <c r="E17" s="317"/>
      <c r="F17" s="314"/>
      <c r="G17" s="314"/>
      <c r="H17" s="314"/>
      <c r="I17" s="317"/>
      <c r="J17" s="503"/>
      <c r="K17" s="503"/>
      <c r="L17" s="314"/>
      <c r="M17" s="314"/>
      <c r="N17" s="314"/>
      <c r="O17" s="317"/>
      <c r="P17" s="580"/>
      <c r="Q17" s="580"/>
      <c r="R17" s="314"/>
      <c r="S17" s="314"/>
      <c r="T17" s="314"/>
      <c r="U17" s="317"/>
      <c r="V17" s="591"/>
      <c r="W17" s="591"/>
      <c r="X17" s="314"/>
      <c r="Y17" s="314"/>
      <c r="Z17" s="314"/>
      <c r="AA17" s="317"/>
      <c r="AB17" s="585"/>
      <c r="AC17" s="585"/>
    </row>
    <row r="18" spans="1:29" x14ac:dyDescent="0.25">
      <c r="A18" s="320" t="s">
        <v>18</v>
      </c>
      <c r="B18" s="320"/>
      <c r="C18" s="320"/>
      <c r="D18" s="320"/>
      <c r="E18" s="321"/>
      <c r="F18" s="320"/>
      <c r="G18" s="320"/>
      <c r="H18" s="320"/>
      <c r="I18" s="321"/>
      <c r="J18" s="504">
        <f>SUM(J14:J16)</f>
        <v>0.43157226860176823</v>
      </c>
      <c r="K18" s="504">
        <f>SQRT((K14^2)+(K15^2)+(K16^2))</f>
        <v>2.0283896624283107E-2</v>
      </c>
      <c r="L18" s="320"/>
      <c r="M18" s="320"/>
      <c r="N18" s="320"/>
      <c r="O18" s="321"/>
      <c r="P18" s="581">
        <f>SUM(P14:P16)</f>
        <v>3.0970237355392501E-2</v>
      </c>
      <c r="Q18" s="581">
        <f>SQRT((Q14^2)+(Q15^2)+(Q16^2))</f>
        <v>1.4556011557034477E-3</v>
      </c>
      <c r="R18" s="320"/>
      <c r="S18" s="320"/>
      <c r="T18" s="320"/>
      <c r="U18" s="321"/>
      <c r="V18" s="592">
        <f>SUM(V14:V16)</f>
        <v>6.4353739959257139E-6</v>
      </c>
      <c r="W18" s="592">
        <f>SQRT((W14^2)+(W15^2)+(W16^2))</f>
        <v>3.0246257780850857E-7</v>
      </c>
      <c r="X18" s="320"/>
      <c r="Y18" s="320"/>
      <c r="Z18" s="320"/>
      <c r="AA18" s="321"/>
      <c r="AB18" s="586">
        <f>SUM(AB14:AB16)</f>
        <v>8.3659861947034292E-6</v>
      </c>
      <c r="AC18" s="586">
        <f>SQRT((AC14^2)+(AC15^2)+(AC16^2))</f>
        <v>3.9320135115106121E-7</v>
      </c>
    </row>
    <row r="19" spans="1:29" x14ac:dyDescent="0.25">
      <c r="J19" s="574"/>
      <c r="K19" s="574"/>
      <c r="P19" s="323"/>
      <c r="Q19" s="323"/>
      <c r="V19" s="324"/>
      <c r="W19" s="324"/>
      <c r="AB19" s="587"/>
      <c r="AC19" s="587"/>
    </row>
    <row r="20" spans="1:29" x14ac:dyDescent="0.25">
      <c r="A20" s="322" t="s">
        <v>660</v>
      </c>
      <c r="J20" s="574"/>
      <c r="K20" s="574"/>
      <c r="P20" s="323"/>
      <c r="Q20" s="323"/>
      <c r="V20" s="324"/>
      <c r="W20" s="324"/>
      <c r="AB20" s="587"/>
      <c r="AC20" s="587"/>
    </row>
    <row r="21" spans="1:29" ht="14.25" customHeight="1" x14ac:dyDescent="0.25">
      <c r="A21" s="314" t="s">
        <v>839</v>
      </c>
      <c r="B21" s="314" t="s">
        <v>17</v>
      </c>
      <c r="C21" s="568">
        <v>0.39664394222292981</v>
      </c>
      <c r="D21" s="568">
        <v>1.86422652844777E-2</v>
      </c>
      <c r="E21" s="317" t="s">
        <v>1158</v>
      </c>
      <c r="F21" s="314" t="s">
        <v>6</v>
      </c>
      <c r="G21" s="569">
        <v>1.073</v>
      </c>
      <c r="H21" s="569">
        <v>0</v>
      </c>
      <c r="I21" s="312" t="s">
        <v>1161</v>
      </c>
      <c r="J21" s="573">
        <f>C21*G21</f>
        <v>0.42559895000520365</v>
      </c>
      <c r="K21" s="573">
        <f>SQRT(((D21*G21)^2)+((C21*H21)^2))</f>
        <v>2.0003150650244571E-2</v>
      </c>
      <c r="L21" s="312" t="s">
        <v>7</v>
      </c>
      <c r="M21" s="569">
        <v>7.6999999999999999E-2</v>
      </c>
      <c r="N21" s="569">
        <v>0</v>
      </c>
      <c r="O21" s="312" t="s">
        <v>1165</v>
      </c>
      <c r="P21" s="578">
        <f>C21*M21</f>
        <v>3.0541583551165596E-2</v>
      </c>
      <c r="Q21" s="578">
        <f>SQRT(((D21*M21)^2)+((C21*N21)^2))</f>
        <v>1.4354544269047829E-3</v>
      </c>
      <c r="R21" s="312" t="s">
        <v>8</v>
      </c>
      <c r="S21" s="569">
        <v>1.5999999999999999E-5</v>
      </c>
      <c r="T21" s="569">
        <v>0</v>
      </c>
      <c r="U21" s="312" t="s">
        <v>1173</v>
      </c>
      <c r="V21" s="589">
        <f>C21*S21</f>
        <v>6.3463030755668767E-6</v>
      </c>
      <c r="W21" s="589">
        <f>SQRT(((D21*S21)^2)+((C21*T21)^2))</f>
        <v>2.9827624455164321E-7</v>
      </c>
      <c r="X21" s="312" t="s">
        <v>9</v>
      </c>
      <c r="Y21" s="569">
        <v>2.0800000000000001E-5</v>
      </c>
      <c r="Z21" s="569">
        <v>0</v>
      </c>
      <c r="AA21" s="312" t="s">
        <v>1168</v>
      </c>
      <c r="AB21" s="390">
        <f>C21*Y21</f>
        <v>8.2501939982369412E-6</v>
      </c>
      <c r="AC21" s="390">
        <f>SQRT(((D21*Y21)^2)+((C21*Z21)^2))</f>
        <v>3.877591179171362E-7</v>
      </c>
    </row>
    <row r="22" spans="1:29" ht="15" customHeight="1" x14ac:dyDescent="0.25">
      <c r="A22" s="314" t="s">
        <v>840</v>
      </c>
      <c r="B22" s="314" t="s">
        <v>17</v>
      </c>
      <c r="C22" s="568">
        <v>3.586992156862745E-2</v>
      </c>
      <c r="D22" s="568">
        <v>4.1609109019607841E-3</v>
      </c>
      <c r="E22" s="317" t="s">
        <v>1159</v>
      </c>
      <c r="F22" s="314" t="s">
        <v>6</v>
      </c>
      <c r="G22" s="568">
        <v>1</v>
      </c>
      <c r="H22" s="568">
        <v>0</v>
      </c>
      <c r="I22" s="317"/>
      <c r="J22" s="505">
        <f>$C22*$G22*$C$8</f>
        <v>0</v>
      </c>
      <c r="K22" s="505">
        <f>SQRT((($D22*$G22)^2)+(($C22*$H22)^2))*$C$8</f>
        <v>0</v>
      </c>
      <c r="L22" s="314" t="s">
        <v>220</v>
      </c>
      <c r="M22" s="568">
        <v>2.4223843137254901E-3</v>
      </c>
      <c r="N22" s="568">
        <v>2.8099658039215685E-4</v>
      </c>
      <c r="O22" s="317" t="s">
        <v>1169</v>
      </c>
      <c r="P22" s="578">
        <f>M22*$C$8</f>
        <v>0</v>
      </c>
      <c r="Q22" s="578">
        <f>N22*$C$8</f>
        <v>0</v>
      </c>
      <c r="R22" s="314" t="s">
        <v>221</v>
      </c>
      <c r="S22" s="568">
        <v>3.8362182352941178E-6</v>
      </c>
      <c r="T22" s="568">
        <v>4.4500131529411761E-7</v>
      </c>
      <c r="U22" s="317" t="s">
        <v>1167</v>
      </c>
      <c r="V22" s="589">
        <f>S22*$C$8</f>
        <v>0</v>
      </c>
      <c r="W22" s="589">
        <f>T22*$C$8</f>
        <v>0</v>
      </c>
      <c r="X22" s="314" t="s">
        <v>222</v>
      </c>
      <c r="Y22" s="568">
        <v>1.909956862745098E-7</v>
      </c>
      <c r="Z22" s="568">
        <v>2.2155499607843137E-8</v>
      </c>
      <c r="AA22" s="317" t="s">
        <v>1174</v>
      </c>
      <c r="AB22" s="390">
        <f>Y22*$C$8</f>
        <v>0</v>
      </c>
      <c r="AC22" s="390">
        <f>Z22*$C$8</f>
        <v>0</v>
      </c>
    </row>
    <row r="23" spans="1:29" ht="14.25" customHeight="1" x14ac:dyDescent="0.25">
      <c r="A23" s="314" t="s">
        <v>223</v>
      </c>
      <c r="B23" s="314" t="s">
        <v>11</v>
      </c>
      <c r="C23" s="568">
        <v>2</v>
      </c>
      <c r="D23" s="568">
        <v>0.3</v>
      </c>
      <c r="E23" s="317" t="s">
        <v>1160</v>
      </c>
      <c r="F23" s="314"/>
      <c r="G23" s="319"/>
      <c r="H23" s="319"/>
      <c r="I23" s="317"/>
      <c r="J23" s="505">
        <f>($C$16/100)*$J$15</f>
        <v>0</v>
      </c>
      <c r="K23" s="505">
        <f>SQRT(((($D$16/100)*J22)^2)+((($C$16/100)*K22)^2))</f>
        <v>0</v>
      </c>
      <c r="L23" s="314"/>
      <c r="M23" s="319"/>
      <c r="N23" s="319"/>
      <c r="O23" s="317" t="s">
        <v>1170</v>
      </c>
      <c r="P23" s="579">
        <f>($C$16/100)*$P22</f>
        <v>0</v>
      </c>
      <c r="Q23" s="579">
        <f>SQRT(((($D$16/100)*$P22)^2)+((($C$16/100)*$Q22)^2))</f>
        <v>0</v>
      </c>
      <c r="R23" s="314"/>
      <c r="S23" s="319"/>
      <c r="T23" s="319"/>
      <c r="U23" s="317" t="s">
        <v>1172</v>
      </c>
      <c r="V23" s="590">
        <f>($C$16/100)*$V22</f>
        <v>0</v>
      </c>
      <c r="W23" s="590">
        <f>SQRT(((($D$16/100)*$V22)^2)+((($C$16/100)*$W22)^2))</f>
        <v>0</v>
      </c>
      <c r="X23" s="314"/>
      <c r="Y23" s="319"/>
      <c r="Z23" s="319"/>
      <c r="AA23" s="317" t="s">
        <v>1175</v>
      </c>
      <c r="AB23" s="584">
        <f>($C$16/100)*$AB22</f>
        <v>0</v>
      </c>
      <c r="AC23" s="584">
        <f>SQRT(((($D$16/100)*$AB22)^2)+((($C$16/100)*$AC22)^2))</f>
        <v>0</v>
      </c>
    </row>
    <row r="24" spans="1:29" x14ac:dyDescent="0.25">
      <c r="A24" s="314"/>
      <c r="B24" s="314"/>
      <c r="C24" s="314"/>
      <c r="D24" s="314"/>
      <c r="E24" s="317"/>
      <c r="F24" s="314"/>
      <c r="G24" s="314"/>
      <c r="H24" s="314"/>
      <c r="I24" s="317"/>
      <c r="J24" s="503"/>
      <c r="K24" s="503"/>
      <c r="L24" s="314"/>
      <c r="M24" s="314"/>
      <c r="N24" s="314"/>
      <c r="O24" s="317"/>
      <c r="P24" s="580"/>
      <c r="Q24" s="580"/>
      <c r="R24" s="314"/>
      <c r="S24" s="314"/>
      <c r="T24" s="314"/>
      <c r="U24" s="317"/>
      <c r="V24" s="591"/>
      <c r="W24" s="591"/>
      <c r="X24" s="314"/>
      <c r="Y24" s="314"/>
      <c r="Z24" s="314"/>
      <c r="AA24" s="317"/>
      <c r="AB24" s="585"/>
      <c r="AC24" s="585"/>
    </row>
    <row r="25" spans="1:29" x14ac:dyDescent="0.25">
      <c r="A25" s="320" t="s">
        <v>18</v>
      </c>
      <c r="B25" s="320"/>
      <c r="C25" s="320"/>
      <c r="D25" s="320"/>
      <c r="E25" s="321"/>
      <c r="F25" s="320"/>
      <c r="G25" s="320"/>
      <c r="H25" s="320"/>
      <c r="I25" s="321"/>
      <c r="J25" s="504">
        <f>SUM(J21:J23)</f>
        <v>0.42559895000520365</v>
      </c>
      <c r="K25" s="504">
        <f>SQRT((K21^2)+(K22^2)+(K23^2))</f>
        <v>2.0003150650244571E-2</v>
      </c>
      <c r="L25" s="320"/>
      <c r="M25" s="320"/>
      <c r="N25" s="320"/>
      <c r="O25" s="321"/>
      <c r="P25" s="581">
        <f>SUM(P21:P23)</f>
        <v>3.0541583551165596E-2</v>
      </c>
      <c r="Q25" s="581">
        <f>SQRT((Q21^2)+(Q22^2)+(Q23^2))</f>
        <v>1.4354544269047829E-3</v>
      </c>
      <c r="R25" s="320"/>
      <c r="S25" s="320"/>
      <c r="T25" s="320"/>
      <c r="U25" s="321"/>
      <c r="V25" s="592">
        <f>SUM(V21:V23)</f>
        <v>6.3463030755668767E-6</v>
      </c>
      <c r="W25" s="592">
        <f>SQRT((W21^2)+(W22^2)+(W23^2))</f>
        <v>2.9827624455164321E-7</v>
      </c>
      <c r="X25" s="320"/>
      <c r="Y25" s="320"/>
      <c r="Z25" s="320"/>
      <c r="AA25" s="321"/>
      <c r="AB25" s="586">
        <f>SUM(AB21:AB23)</f>
        <v>8.2501939982369412E-6</v>
      </c>
      <c r="AC25" s="586">
        <f>SQRT((AC21^2)+(AC22^2)+(AC23^2))</f>
        <v>3.877591179171362E-7</v>
      </c>
    </row>
    <row r="26" spans="1:29" x14ac:dyDescent="0.25">
      <c r="J26" s="574"/>
      <c r="K26" s="574"/>
      <c r="P26" s="323"/>
      <c r="Q26" s="323"/>
      <c r="V26" s="324"/>
      <c r="W26" s="324"/>
      <c r="AB26" s="587"/>
      <c r="AC26" s="587"/>
    </row>
    <row r="27" spans="1:29" x14ac:dyDescent="0.25">
      <c r="A27" s="322" t="s">
        <v>661</v>
      </c>
      <c r="J27" s="574"/>
      <c r="K27" s="574"/>
      <c r="P27" s="323"/>
      <c r="Q27" s="323"/>
      <c r="V27" s="324"/>
      <c r="W27" s="324"/>
      <c r="AB27" s="587"/>
      <c r="AC27" s="587"/>
    </row>
    <row r="28" spans="1:29" ht="14.25" customHeight="1" x14ac:dyDescent="0.25">
      <c r="A28" s="314" t="s">
        <v>839</v>
      </c>
      <c r="B28" s="314" t="s">
        <v>17</v>
      </c>
      <c r="C28" s="568">
        <v>0.50542371826466825</v>
      </c>
      <c r="D28" s="568">
        <v>2.3754914758439407E-2</v>
      </c>
      <c r="E28" s="317" t="s">
        <v>1158</v>
      </c>
      <c r="F28" s="314" t="s">
        <v>6</v>
      </c>
      <c r="G28" s="569">
        <v>1.073</v>
      </c>
      <c r="H28" s="569">
        <v>0</v>
      </c>
      <c r="I28" s="312" t="s">
        <v>1161</v>
      </c>
      <c r="J28" s="573">
        <f>C28*G28</f>
        <v>0.54231964969798896</v>
      </c>
      <c r="K28" s="573">
        <f>SQRT(((D28*G28)^2)+((C28*H28)^2))</f>
        <v>2.5489023535805483E-2</v>
      </c>
      <c r="L28" s="312" t="s">
        <v>7</v>
      </c>
      <c r="M28" s="569">
        <v>7.6999999999999999E-2</v>
      </c>
      <c r="N28" s="569">
        <v>0</v>
      </c>
      <c r="O28" s="312" t="s">
        <v>1165</v>
      </c>
      <c r="P28" s="578">
        <f>C28*M28</f>
        <v>3.8917626306379453E-2</v>
      </c>
      <c r="Q28" s="578">
        <f>SQRT(((D28*M28)^2)+((C28*N28)^2))</f>
        <v>1.8291284363998344E-3</v>
      </c>
      <c r="R28" s="312" t="s">
        <v>8</v>
      </c>
      <c r="S28" s="569">
        <v>1.5999999999999999E-5</v>
      </c>
      <c r="T28" s="569">
        <v>0</v>
      </c>
      <c r="U28" s="312" t="s">
        <v>1166</v>
      </c>
      <c r="V28" s="589">
        <f>C28*S28</f>
        <v>8.0867794922346925E-6</v>
      </c>
      <c r="W28" s="589">
        <f>SQRT(((D28*S28)^2)+((C28*T28)^2))</f>
        <v>3.8007863613503047E-7</v>
      </c>
      <c r="X28" s="312" t="s">
        <v>9</v>
      </c>
      <c r="Y28" s="569">
        <v>2.0800000000000001E-5</v>
      </c>
      <c r="Z28" s="569">
        <v>0</v>
      </c>
      <c r="AA28" s="312" t="s">
        <v>1168</v>
      </c>
      <c r="AB28" s="390">
        <f>C28*Y28</f>
        <v>1.05128133399051E-5</v>
      </c>
      <c r="AC28" s="390">
        <f>SQRT(((D28*Y28)^2)+((C28*Z28)^2))</f>
        <v>4.9410222697553969E-7</v>
      </c>
    </row>
    <row r="29" spans="1:29" ht="13.5" customHeight="1" x14ac:dyDescent="0.25">
      <c r="A29" s="314" t="s">
        <v>840</v>
      </c>
      <c r="B29" s="314" t="s">
        <v>17</v>
      </c>
      <c r="C29" s="568">
        <v>3.9389533333333331E-2</v>
      </c>
      <c r="D29" s="568">
        <v>4.6085754000000003E-3</v>
      </c>
      <c r="E29" s="317" t="s">
        <v>1159</v>
      </c>
      <c r="F29" s="314" t="s">
        <v>6</v>
      </c>
      <c r="G29" s="568">
        <v>1</v>
      </c>
      <c r="H29" s="568">
        <v>0</v>
      </c>
      <c r="I29" s="317"/>
      <c r="J29" s="505">
        <f>$C29*$G29*$C$8</f>
        <v>0</v>
      </c>
      <c r="K29" s="505">
        <f>SQRT((($D29*$G29)^2)+(($C29*$H29)^2))*$C$8</f>
        <v>0</v>
      </c>
      <c r="L29" s="314" t="s">
        <v>220</v>
      </c>
      <c r="M29" s="568">
        <v>2.6600723809523811E-3</v>
      </c>
      <c r="N29" s="568">
        <v>3.112284685714286E-4</v>
      </c>
      <c r="O29" s="317" t="s">
        <v>1169</v>
      </c>
      <c r="P29" s="578">
        <f>M29*$C$8</f>
        <v>0</v>
      </c>
      <c r="Q29" s="578">
        <f>N29*$C$8</f>
        <v>0</v>
      </c>
      <c r="R29" s="314" t="s">
        <v>221</v>
      </c>
      <c r="S29" s="568">
        <v>4.2126338571428568E-6</v>
      </c>
      <c r="T29" s="568">
        <v>4.9287816128571433E-7</v>
      </c>
      <c r="U29" s="317" t="s">
        <v>1171</v>
      </c>
      <c r="V29" s="589">
        <f>S29*$C$8</f>
        <v>0</v>
      </c>
      <c r="W29" s="589">
        <f>T29*$C$8</f>
        <v>0</v>
      </c>
      <c r="X29" s="314" t="s">
        <v>222</v>
      </c>
      <c r="Y29" s="568">
        <v>2.0973647619047619E-7</v>
      </c>
      <c r="Z29" s="568">
        <v>2.4539167714285718E-8</v>
      </c>
      <c r="AA29" s="317" t="s">
        <v>1174</v>
      </c>
      <c r="AB29" s="390">
        <f>Y29*$C$8</f>
        <v>0</v>
      </c>
      <c r="AC29" s="390">
        <f>Z29*$C$8</f>
        <v>0</v>
      </c>
    </row>
    <row r="30" spans="1:29" ht="14.25" customHeight="1" x14ac:dyDescent="0.25">
      <c r="A30" s="314" t="s">
        <v>223</v>
      </c>
      <c r="B30" s="314" t="s">
        <v>11</v>
      </c>
      <c r="C30" s="568">
        <v>2</v>
      </c>
      <c r="D30" s="568">
        <v>0.3</v>
      </c>
      <c r="E30" s="317" t="s">
        <v>1160</v>
      </c>
      <c r="F30" s="314"/>
      <c r="G30" s="319"/>
      <c r="H30" s="319"/>
      <c r="I30" s="317"/>
      <c r="J30" s="505">
        <f>($C$16/100)*$J$15</f>
        <v>0</v>
      </c>
      <c r="K30" s="505">
        <f>SQRT(((($D$16/100)*J29)^2)+((($C$16/100)*K29)^2))</f>
        <v>0</v>
      </c>
      <c r="L30" s="314"/>
      <c r="M30" s="319"/>
      <c r="N30" s="319"/>
      <c r="O30" s="317" t="s">
        <v>1170</v>
      </c>
      <c r="P30" s="579">
        <f>($C$16/100)*$P29</f>
        <v>0</v>
      </c>
      <c r="Q30" s="579">
        <f>SQRT(((($D$16/100)*$P29)^2)+((($C$16/100)*$Q29)^2))</f>
        <v>0</v>
      </c>
      <c r="R30" s="314"/>
      <c r="S30" s="319"/>
      <c r="T30" s="319"/>
      <c r="U30" s="317" t="s">
        <v>1172</v>
      </c>
      <c r="V30" s="590">
        <f>($C$16/100)*$V29</f>
        <v>0</v>
      </c>
      <c r="W30" s="590">
        <f>SQRT(((($D$16/100)*$V29)^2)+((($C$16/100)*$W29)^2))</f>
        <v>0</v>
      </c>
      <c r="X30" s="314"/>
      <c r="Y30" s="319"/>
      <c r="Z30" s="319"/>
      <c r="AA30" s="317" t="s">
        <v>1175</v>
      </c>
      <c r="AB30" s="584">
        <f>($C$16/100)*$AB29</f>
        <v>0</v>
      </c>
      <c r="AC30" s="584">
        <f>SQRT(((($D$16/100)*$AB29)^2)+((($C$16/100)*$AC29)^2))</f>
        <v>0</v>
      </c>
    </row>
    <row r="31" spans="1:29" x14ac:dyDescent="0.25">
      <c r="A31" s="314"/>
      <c r="B31" s="314"/>
      <c r="C31" s="314"/>
      <c r="D31" s="314"/>
      <c r="E31" s="317"/>
      <c r="F31" s="314"/>
      <c r="G31" s="314"/>
      <c r="H31" s="314"/>
      <c r="I31" s="317"/>
      <c r="J31" s="503"/>
      <c r="K31" s="503"/>
      <c r="L31" s="314"/>
      <c r="M31" s="314"/>
      <c r="N31" s="314"/>
      <c r="O31" s="317"/>
      <c r="P31" s="580"/>
      <c r="Q31" s="580"/>
      <c r="R31" s="314"/>
      <c r="S31" s="314"/>
      <c r="T31" s="314"/>
      <c r="U31" s="317"/>
      <c r="V31" s="591"/>
      <c r="W31" s="591"/>
      <c r="X31" s="314"/>
      <c r="Y31" s="314"/>
      <c r="Z31" s="314"/>
      <c r="AA31" s="317"/>
      <c r="AB31" s="585"/>
      <c r="AC31" s="585"/>
    </row>
    <row r="32" spans="1:29" x14ac:dyDescent="0.25">
      <c r="A32" s="320" t="s">
        <v>18</v>
      </c>
      <c r="B32" s="320"/>
      <c r="C32" s="320"/>
      <c r="D32" s="320"/>
      <c r="E32" s="321"/>
      <c r="F32" s="320"/>
      <c r="G32" s="320"/>
      <c r="H32" s="320"/>
      <c r="I32" s="321"/>
      <c r="J32" s="504">
        <f>SUM(J28:J30)</f>
        <v>0.54231964969798896</v>
      </c>
      <c r="K32" s="504">
        <f>SQRT((K28^2)+(K29^2)+(K30^2))</f>
        <v>2.5489023535805483E-2</v>
      </c>
      <c r="L32" s="320"/>
      <c r="M32" s="320"/>
      <c r="N32" s="320"/>
      <c r="O32" s="321"/>
      <c r="P32" s="581">
        <f>SUM(P28:P30)</f>
        <v>3.8917626306379453E-2</v>
      </c>
      <c r="Q32" s="581">
        <f>SQRT((Q28^2)+(Q29^2)+(Q30^2))</f>
        <v>1.8291284363998344E-3</v>
      </c>
      <c r="R32" s="320"/>
      <c r="S32" s="320"/>
      <c r="T32" s="320"/>
      <c r="U32" s="321"/>
      <c r="V32" s="592">
        <f>SUM(V28:V30)</f>
        <v>8.0867794922346925E-6</v>
      </c>
      <c r="W32" s="592">
        <f>SQRT((W28^2)+(W29^2)+(W30^2))</f>
        <v>3.8007863613503047E-7</v>
      </c>
      <c r="X32" s="320"/>
      <c r="Y32" s="320"/>
      <c r="Z32" s="320"/>
      <c r="AA32" s="321"/>
      <c r="AB32" s="586">
        <f>SUM(AB28:AB30)</f>
        <v>1.05128133399051E-5</v>
      </c>
      <c r="AC32" s="586">
        <f>SQRT((AC28^2)+(AC29^2)+(AC30^2))</f>
        <v>4.9410222697553969E-7</v>
      </c>
    </row>
    <row r="33" spans="1:29" x14ac:dyDescent="0.25">
      <c r="J33" s="574"/>
      <c r="K33" s="574"/>
      <c r="P33" s="323"/>
      <c r="Q33" s="323"/>
      <c r="V33" s="324"/>
      <c r="W33" s="324"/>
      <c r="AB33" s="587"/>
      <c r="AC33" s="587"/>
    </row>
    <row r="34" spans="1:29" x14ac:dyDescent="0.25">
      <c r="A34" s="322" t="s">
        <v>662</v>
      </c>
      <c r="J34" s="574"/>
      <c r="K34" s="574"/>
      <c r="P34" s="323"/>
      <c r="Q34" s="323"/>
      <c r="V34" s="324"/>
      <c r="W34" s="324"/>
      <c r="AB34" s="587"/>
      <c r="AC34" s="587"/>
    </row>
    <row r="35" spans="1:29" ht="15.75" customHeight="1" x14ac:dyDescent="0.25">
      <c r="A35" s="314" t="s">
        <v>839</v>
      </c>
      <c r="B35" s="314" t="s">
        <v>17</v>
      </c>
      <c r="C35" s="568">
        <v>0.53174526519557186</v>
      </c>
      <c r="D35" s="568">
        <v>2.4992027464191876E-2</v>
      </c>
      <c r="E35" s="317" t="s">
        <v>1158</v>
      </c>
      <c r="F35" s="314" t="s">
        <v>6</v>
      </c>
      <c r="G35" s="569">
        <v>1.073</v>
      </c>
      <c r="H35" s="569">
        <v>0</v>
      </c>
      <c r="I35" s="312" t="s">
        <v>1161</v>
      </c>
      <c r="J35" s="573">
        <f>C35*G35</f>
        <v>0.57056266955484858</v>
      </c>
      <c r="K35" s="573">
        <f>SQRT(((D35*G35)^2)+((C35*H35)^2))</f>
        <v>2.6816445469077882E-2</v>
      </c>
      <c r="L35" s="312" t="s">
        <v>7</v>
      </c>
      <c r="M35" s="569">
        <v>7.6999999999999999E-2</v>
      </c>
      <c r="N35" s="569">
        <v>0</v>
      </c>
      <c r="O35" s="312" t="s">
        <v>1165</v>
      </c>
      <c r="P35" s="578">
        <f>C35*M35</f>
        <v>4.0944385420059036E-2</v>
      </c>
      <c r="Q35" s="578">
        <f>SQRT(((D35*M35)^2)+((C35*N35)^2))</f>
        <v>1.9243861147427745E-3</v>
      </c>
      <c r="R35" s="312" t="s">
        <v>8</v>
      </c>
      <c r="S35" s="569">
        <v>1.5999999999999999E-5</v>
      </c>
      <c r="T35" s="569">
        <v>0</v>
      </c>
      <c r="U35" s="312" t="s">
        <v>1166</v>
      </c>
      <c r="V35" s="589">
        <f>C35*S35</f>
        <v>8.5079242431291499E-6</v>
      </c>
      <c r="W35" s="589">
        <f>SQRT(((D35*S35)^2)+((C35*T35)^2))</f>
        <v>3.9987243942706999E-7</v>
      </c>
      <c r="X35" s="312" t="s">
        <v>9</v>
      </c>
      <c r="Y35" s="569">
        <v>2.0800000000000001E-5</v>
      </c>
      <c r="Z35" s="569">
        <v>0</v>
      </c>
      <c r="AA35" s="312" t="s">
        <v>1168</v>
      </c>
      <c r="AB35" s="390">
        <f>C35*Y35</f>
        <v>1.1060301516067895E-5</v>
      </c>
      <c r="AC35" s="390">
        <f>SQRT(((D35*Y35)^2)+((C35*Z35)^2))</f>
        <v>5.1983417125519107E-7</v>
      </c>
    </row>
    <row r="36" spans="1:29" ht="16.5" customHeight="1" x14ac:dyDescent="0.25">
      <c r="A36" s="314" t="s">
        <v>840</v>
      </c>
      <c r="B36" s="314" t="s">
        <v>17</v>
      </c>
      <c r="C36" s="568">
        <v>4.0225337209302325E-2</v>
      </c>
      <c r="D36" s="568">
        <v>4.7465897906976747E-3</v>
      </c>
      <c r="E36" s="317" t="s">
        <v>1159</v>
      </c>
      <c r="F36" s="314" t="s">
        <v>6</v>
      </c>
      <c r="G36" s="568">
        <v>1</v>
      </c>
      <c r="H36" s="568">
        <v>0</v>
      </c>
      <c r="I36" s="317"/>
      <c r="J36" s="505">
        <f>$C36*$G36*$C$8</f>
        <v>0</v>
      </c>
      <c r="K36" s="505">
        <f>SQRT((($D36*$G36)^2)+(($C36*$H36)^2))*$C$8</f>
        <v>0</v>
      </c>
      <c r="L36" s="314" t="s">
        <v>220</v>
      </c>
      <c r="M36" s="568">
        <v>2.7165162790697677E-3</v>
      </c>
      <c r="N36" s="568">
        <v>3.2054892093023255E-4</v>
      </c>
      <c r="O36" s="317" t="s">
        <v>1169</v>
      </c>
      <c r="P36" s="578">
        <f>M36*$C$8</f>
        <v>0</v>
      </c>
      <c r="Q36" s="578">
        <f>N36*$C$8</f>
        <v>0</v>
      </c>
      <c r="R36" s="314" t="s">
        <v>221</v>
      </c>
      <c r="S36" s="568">
        <v>4.3020214534883724E-6</v>
      </c>
      <c r="T36" s="568">
        <v>5.0763853151162794E-7</v>
      </c>
      <c r="U36" s="317" t="s">
        <v>1171</v>
      </c>
      <c r="V36" s="589">
        <f>S36*$C$8</f>
        <v>0</v>
      </c>
      <c r="W36" s="589">
        <f>T36*$C$8</f>
        <v>0</v>
      </c>
      <c r="X36" s="314" t="s">
        <v>222</v>
      </c>
      <c r="Y36" s="568">
        <v>2.1418686046511628E-7</v>
      </c>
      <c r="Z36" s="568">
        <v>2.5274049534883721E-8</v>
      </c>
      <c r="AA36" s="317" t="s">
        <v>1174</v>
      </c>
      <c r="AB36" s="390">
        <f>Y36*$C$8</f>
        <v>0</v>
      </c>
      <c r="AC36" s="390">
        <f>Z36*$C$8</f>
        <v>0</v>
      </c>
    </row>
    <row r="37" spans="1:29" ht="15.75" customHeight="1" x14ac:dyDescent="0.25">
      <c r="A37" s="314" t="s">
        <v>223</v>
      </c>
      <c r="B37" s="314" t="s">
        <v>11</v>
      </c>
      <c r="C37" s="568">
        <v>2</v>
      </c>
      <c r="D37" s="568">
        <v>0.3</v>
      </c>
      <c r="E37" s="317" t="s">
        <v>1160</v>
      </c>
      <c r="F37" s="314"/>
      <c r="G37" s="319"/>
      <c r="H37" s="319"/>
      <c r="I37" s="317"/>
      <c r="J37" s="505">
        <f>($C$16/100)*$J$15</f>
        <v>0</v>
      </c>
      <c r="K37" s="505">
        <f>SQRT(((($D$16/100)*J36)^2)+((($C$16/100)*K36)^2))</f>
        <v>0</v>
      </c>
      <c r="L37" s="314"/>
      <c r="M37" s="319"/>
      <c r="N37" s="319"/>
      <c r="O37" s="317" t="s">
        <v>1170</v>
      </c>
      <c r="P37" s="579">
        <f>($C$16/100)*$P36</f>
        <v>0</v>
      </c>
      <c r="Q37" s="579">
        <f>SQRT(((($D$16/100)*$P36)^2)+((($C$16/100)*$Q36)^2))</f>
        <v>0</v>
      </c>
      <c r="R37" s="314"/>
      <c r="S37" s="319"/>
      <c r="T37" s="319"/>
      <c r="U37" s="317" t="s">
        <v>1172</v>
      </c>
      <c r="V37" s="590">
        <f>($C$16/100)*$V36</f>
        <v>0</v>
      </c>
      <c r="W37" s="590">
        <f>SQRT(((($D$16/100)*$V36)^2)+((($C$16/100)*$W36)^2))</f>
        <v>0</v>
      </c>
      <c r="X37" s="314"/>
      <c r="Y37" s="319"/>
      <c r="Z37" s="319"/>
      <c r="AA37" s="317" t="s">
        <v>1175</v>
      </c>
      <c r="AB37" s="584">
        <f>($C$16/100)*$AB36</f>
        <v>0</v>
      </c>
      <c r="AC37" s="584">
        <f>SQRT(((($D$16/100)*$AB36)^2)+((($C$16/100)*$AC36)^2))</f>
        <v>0</v>
      </c>
    </row>
    <row r="38" spans="1:29" x14ac:dyDescent="0.25">
      <c r="A38" s="314"/>
      <c r="B38" s="314"/>
      <c r="C38" s="314"/>
      <c r="D38" s="314"/>
      <c r="E38" s="317"/>
      <c r="F38" s="314"/>
      <c r="G38" s="314"/>
      <c r="H38" s="314"/>
      <c r="I38" s="317"/>
      <c r="J38" s="503"/>
      <c r="K38" s="503"/>
      <c r="L38" s="314"/>
      <c r="M38" s="314"/>
      <c r="N38" s="314"/>
      <c r="O38" s="317"/>
      <c r="P38" s="580"/>
      <c r="Q38" s="580"/>
      <c r="R38" s="314"/>
      <c r="S38" s="314"/>
      <c r="T38" s="314"/>
      <c r="U38" s="317"/>
      <c r="V38" s="591"/>
      <c r="W38" s="591"/>
      <c r="X38" s="314"/>
      <c r="Y38" s="314"/>
      <c r="Z38" s="314"/>
      <c r="AA38" s="317"/>
      <c r="AB38" s="585"/>
      <c r="AC38" s="585"/>
    </row>
    <row r="39" spans="1:29" x14ac:dyDescent="0.25">
      <c r="A39" s="320" t="s">
        <v>18</v>
      </c>
      <c r="B39" s="320"/>
      <c r="C39" s="320"/>
      <c r="D39" s="320"/>
      <c r="E39" s="321"/>
      <c r="F39" s="320"/>
      <c r="G39" s="320"/>
      <c r="H39" s="320"/>
      <c r="I39" s="321"/>
      <c r="J39" s="504">
        <f>SUM(J35:J37)</f>
        <v>0.57056266955484858</v>
      </c>
      <c r="K39" s="504">
        <f>SQRT((K35^2)+(K36^2)+(K37^2))</f>
        <v>2.6816445469077882E-2</v>
      </c>
      <c r="L39" s="320"/>
      <c r="M39" s="320"/>
      <c r="N39" s="320"/>
      <c r="O39" s="321"/>
      <c r="P39" s="581">
        <f>SUM(P35:P37)</f>
        <v>4.0944385420059036E-2</v>
      </c>
      <c r="Q39" s="581">
        <f>SQRT((Q35^2)+(Q36^2)+(Q37^2))</f>
        <v>1.9243861147427745E-3</v>
      </c>
      <c r="R39" s="320"/>
      <c r="S39" s="320"/>
      <c r="T39" s="320"/>
      <c r="U39" s="321"/>
      <c r="V39" s="592">
        <f>SUM(V35:V37)</f>
        <v>8.5079242431291499E-6</v>
      </c>
      <c r="W39" s="592">
        <f>SQRT((W35^2)+(W36^2)+(W37^2))</f>
        <v>3.9987243942706999E-7</v>
      </c>
      <c r="X39" s="320"/>
      <c r="Y39" s="320"/>
      <c r="Z39" s="320"/>
      <c r="AA39" s="321"/>
      <c r="AB39" s="586">
        <f>SUM(AB35:AB37)</f>
        <v>1.1060301516067895E-5</v>
      </c>
      <c r="AC39" s="586">
        <f>SQRT((AC35^2)+(AC36^2)+(AC37^2))</f>
        <v>5.1983417125519107E-7</v>
      </c>
    </row>
    <row r="40" spans="1:29" x14ac:dyDescent="0.25">
      <c r="J40" s="574"/>
      <c r="K40" s="574"/>
      <c r="P40" s="323"/>
      <c r="Q40" s="323"/>
      <c r="V40" s="324"/>
      <c r="W40" s="324"/>
      <c r="AB40" s="587"/>
      <c r="AC40" s="587"/>
    </row>
    <row r="41" spans="1:29" x14ac:dyDescent="0.25">
      <c r="A41" s="149" t="s">
        <v>368</v>
      </c>
      <c r="J41" s="575"/>
      <c r="K41" s="575"/>
      <c r="P41" s="323"/>
      <c r="Q41" s="323"/>
      <c r="V41" s="324"/>
      <c r="W41" s="324"/>
      <c r="AB41" s="587"/>
      <c r="AC41" s="587"/>
    </row>
    <row r="42" spans="1:29" x14ac:dyDescent="0.25">
      <c r="A42" s="149" t="s">
        <v>839</v>
      </c>
      <c r="J42" s="576">
        <f>IF($C$7=44,J14,IF($C$7=40,J21,IF($C$7=32,J28,J35)))</f>
        <v>0.43157226860176823</v>
      </c>
      <c r="K42" s="576">
        <f>IF($C$7=44,K14,IF($C$7=40,K21,IF($C$7=32,K28,K35)))</f>
        <v>2.0283896624283107E-2</v>
      </c>
      <c r="P42" s="582">
        <f>IF($C$7=44,P14,IF($C$7=40,P21,IF($C$7=32,P28,P35)))</f>
        <v>3.0970237355392501E-2</v>
      </c>
      <c r="Q42" s="582">
        <f>IF($C$7=44,Q14,IF($C$7=40,Q21,IF($C$7=32,Q28,Q35)))</f>
        <v>1.4556011557034477E-3</v>
      </c>
      <c r="V42" s="593">
        <f>IF($C$7=44,V14,IF($C$7=40,V21,IF($C$7=32,V28,V35)))</f>
        <v>6.4353739959257139E-6</v>
      </c>
      <c r="W42" s="593">
        <f>IF($C$7=44,W14,IF($C$7=40,W21,IF($C$7=32,W28,W35)))</f>
        <v>3.0246257780850857E-7</v>
      </c>
      <c r="AB42" s="588">
        <f>IF($C$7=44,AB14,IF($C$7=40,AB21,IF($C$7=32,AB28,AB35)))</f>
        <v>8.3659861947034292E-6</v>
      </c>
      <c r="AC42" s="588">
        <f>IF($C$7=44,AC14,IF($C$7=40,AC21,IF($C$7=32,AC28,AC35)))</f>
        <v>3.9320135115106121E-7</v>
      </c>
    </row>
    <row r="43" spans="1:29" x14ac:dyDescent="0.25">
      <c r="A43" s="149" t="s">
        <v>841</v>
      </c>
      <c r="J43" s="576">
        <f t="shared" ref="J43:K43" si="0">IF($C$7=44,J15,IF($C$7=40,J22,IF($C$7=32,J29,J36)))</f>
        <v>0</v>
      </c>
      <c r="K43" s="576">
        <f t="shared" si="0"/>
        <v>0</v>
      </c>
      <c r="P43" s="582">
        <f t="shared" ref="P43:Q43" si="1">IF($C$7=44,P15,IF($C$7=40,P22,IF($C$7=32,P29,P36)))</f>
        <v>0</v>
      </c>
      <c r="Q43" s="582">
        <f t="shared" si="1"/>
        <v>0</v>
      </c>
      <c r="V43" s="593">
        <f t="shared" ref="V43:W43" si="2">IF($C$7=44,V15,IF($C$7=40,V22,IF($C$7=32,V29,V36)))</f>
        <v>0</v>
      </c>
      <c r="W43" s="593">
        <f t="shared" si="2"/>
        <v>0</v>
      </c>
      <c r="AB43" s="588">
        <f t="shared" ref="AB43:AC43" si="3">IF($C$7=44,AB15,IF($C$7=40,AB22,IF($C$7=32,AB29,AB36)))</f>
        <v>0</v>
      </c>
      <c r="AC43" s="588">
        <f t="shared" si="3"/>
        <v>0</v>
      </c>
    </row>
    <row r="44" spans="1:29" x14ac:dyDescent="0.25">
      <c r="A44" s="149" t="s">
        <v>223</v>
      </c>
      <c r="J44" s="576">
        <f t="shared" ref="J44:K44" si="4">IF($C$7=44,J16,IF($C$7=40,J23,IF($C$7=32,J30,J37)))</f>
        <v>0</v>
      </c>
      <c r="K44" s="576">
        <f t="shared" si="4"/>
        <v>0</v>
      </c>
      <c r="P44" s="582">
        <f t="shared" ref="P44:Q44" si="5">IF($C$7=44,P16,IF($C$7=40,P23,IF($C$7=32,P30,P37)))</f>
        <v>0</v>
      </c>
      <c r="Q44" s="582">
        <f t="shared" si="5"/>
        <v>0</v>
      </c>
      <c r="V44" s="593">
        <f t="shared" ref="V44:W44" si="6">IF($C$7=44,V16,IF($C$7=40,V23,IF($C$7=32,V30,V37)))</f>
        <v>0</v>
      </c>
      <c r="W44" s="593">
        <f t="shared" si="6"/>
        <v>0</v>
      </c>
      <c r="AB44" s="588">
        <f t="shared" ref="AB44:AC44" si="7">IF($C$7=44,AB16,IF($C$7=40,AB23,IF($C$7=32,AB30,AB37)))</f>
        <v>0</v>
      </c>
      <c r="AC44" s="588">
        <f t="shared" si="7"/>
        <v>0</v>
      </c>
    </row>
    <row r="45" spans="1:29" x14ac:dyDescent="0.25">
      <c r="A45" s="2"/>
      <c r="J45" s="574"/>
      <c r="K45" s="574"/>
      <c r="P45" s="323"/>
      <c r="Q45" s="323"/>
      <c r="V45" s="324"/>
      <c r="W45" s="324"/>
      <c r="AB45" s="587"/>
      <c r="AC45" s="587"/>
    </row>
    <row r="46" spans="1:29" x14ac:dyDescent="0.25">
      <c r="A46" s="2" t="s">
        <v>369</v>
      </c>
      <c r="J46" s="577">
        <f t="shared" ref="J46:K46" si="8">IF($C$7=44,J18,IF($C$7=40,J25,IF($C$7=32,J32,J39)))</f>
        <v>0.43157226860176823</v>
      </c>
      <c r="K46" s="577">
        <f t="shared" si="8"/>
        <v>2.0283896624283107E-2</v>
      </c>
      <c r="P46" s="583">
        <f t="shared" ref="P46:Q46" si="9">IF($C$7=44,P18,IF($C$7=40,P25,IF($C$7=32,P32,P39)))</f>
        <v>3.0970237355392501E-2</v>
      </c>
      <c r="Q46" s="583">
        <f t="shared" si="9"/>
        <v>1.4556011557034477E-3</v>
      </c>
      <c r="V46" s="594">
        <f t="shared" ref="V46:W46" si="10">IF($C$7=44,V18,IF($C$7=40,V25,IF($C$7=32,V32,V39)))</f>
        <v>6.4353739959257139E-6</v>
      </c>
      <c r="W46" s="594">
        <f t="shared" si="10"/>
        <v>3.0246257780850857E-7</v>
      </c>
      <c r="AB46" s="595">
        <f t="shared" ref="AB46:AC46" si="11">IF($C$7=44,AB18,IF($C$7=40,AB25,IF($C$7=32,AB32,AB39)))</f>
        <v>8.3659861947034292E-6</v>
      </c>
      <c r="AC46" s="595">
        <f t="shared" si="11"/>
        <v>3.9320135115106121E-7</v>
      </c>
    </row>
  </sheetData>
  <pageMargins left="0.75" right="0.75"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16" customWidth="1"/>
    <col min="2" max="2" width="15.33203125" style="116" customWidth="1"/>
    <col min="3" max="3" width="11.5546875" style="116" customWidth="1"/>
    <col min="4" max="9" width="9.109375" style="116"/>
    <col min="10" max="10" width="13.33203125" style="116" customWidth="1"/>
    <col min="11" max="11" width="14.33203125" style="116" customWidth="1"/>
    <col min="12" max="15" width="9.109375" style="116"/>
    <col min="16" max="16" width="17.5546875" style="116" customWidth="1"/>
    <col min="17" max="17" width="17.6640625" style="116" customWidth="1"/>
    <col min="18" max="21" width="9.109375" style="116"/>
    <col min="22" max="22" width="15.6640625" style="116" customWidth="1"/>
    <col min="23" max="23" width="18" style="116" customWidth="1"/>
    <col min="24" max="27" width="9.109375" style="116"/>
    <col min="28" max="28" width="17.109375" style="116" customWidth="1"/>
    <col min="29" max="29" width="17.6640625" style="116" customWidth="1"/>
    <col min="30" max="16384" width="9.109375" style="116"/>
  </cols>
  <sheetData>
    <row r="1" spans="1:29" x14ac:dyDescent="0.25">
      <c r="A1" s="149" t="s">
        <v>240</v>
      </c>
      <c r="B1" s="289" t="s">
        <v>736</v>
      </c>
    </row>
    <row r="2" spans="1:29" x14ac:dyDescent="0.25">
      <c r="A2" s="149" t="s">
        <v>243</v>
      </c>
      <c r="B2" s="116" t="s">
        <v>170</v>
      </c>
    </row>
    <row r="3" spans="1:29" x14ac:dyDescent="0.25">
      <c r="A3" s="149" t="s">
        <v>241</v>
      </c>
      <c r="B3" s="116" t="s">
        <v>171</v>
      </c>
    </row>
    <row r="4" spans="1:29" x14ac:dyDescent="0.25">
      <c r="A4" s="149" t="s">
        <v>242</v>
      </c>
      <c r="B4" s="1">
        <v>2001</v>
      </c>
    </row>
    <row r="5" spans="1:29" x14ac:dyDescent="0.25">
      <c r="A5" s="149"/>
    </row>
    <row r="6" spans="1:29" x14ac:dyDescent="0.25">
      <c r="A6" s="564" t="s">
        <v>408</v>
      </c>
      <c r="B6" s="407"/>
      <c r="C6" s="408"/>
    </row>
    <row r="7" spans="1:29" x14ac:dyDescent="0.25">
      <c r="A7" s="571" t="s">
        <v>571</v>
      </c>
      <c r="B7" s="572" t="s">
        <v>431</v>
      </c>
      <c r="C7" s="570">
        <f>Unitflowchart!S322</f>
        <v>44</v>
      </c>
    </row>
    <row r="8" spans="1:29" x14ac:dyDescent="0.25">
      <c r="A8" s="409" t="s">
        <v>363</v>
      </c>
      <c r="B8" s="410" t="s">
        <v>364</v>
      </c>
      <c r="C8" s="411">
        <f>include_machinery</f>
        <v>0</v>
      </c>
    </row>
    <row r="10" spans="1:29" x14ac:dyDescent="0.25">
      <c r="A10" s="117" t="s">
        <v>245</v>
      </c>
      <c r="B10" s="117" t="s">
        <v>244</v>
      </c>
      <c r="C10" s="117"/>
      <c r="D10" s="117"/>
      <c r="E10" s="194" t="s">
        <v>27</v>
      </c>
      <c r="F10" s="117" t="s">
        <v>247</v>
      </c>
      <c r="G10" s="117"/>
      <c r="H10" s="117"/>
      <c r="I10" s="194" t="s">
        <v>27</v>
      </c>
      <c r="J10" s="117" t="s">
        <v>91</v>
      </c>
      <c r="K10" s="117"/>
      <c r="L10" s="117" t="s">
        <v>251</v>
      </c>
      <c r="M10" s="117"/>
      <c r="N10" s="117"/>
      <c r="O10" s="194" t="s">
        <v>27</v>
      </c>
      <c r="P10" s="117" t="s">
        <v>365</v>
      </c>
      <c r="Q10" s="117"/>
      <c r="R10" s="117" t="s">
        <v>253</v>
      </c>
      <c r="S10" s="117"/>
      <c r="T10" s="117"/>
      <c r="U10" s="194" t="s">
        <v>27</v>
      </c>
      <c r="V10" s="117" t="s">
        <v>366</v>
      </c>
      <c r="W10" s="117"/>
      <c r="X10" s="117" t="s">
        <v>255</v>
      </c>
      <c r="Y10" s="117"/>
      <c r="Z10" s="117"/>
      <c r="AA10" s="194" t="s">
        <v>27</v>
      </c>
      <c r="AB10" s="117" t="s">
        <v>367</v>
      </c>
      <c r="AC10" s="117"/>
    </row>
    <row r="11" spans="1:29" x14ac:dyDescent="0.25">
      <c r="A11" s="310" t="s">
        <v>92</v>
      </c>
      <c r="B11" s="117" t="s">
        <v>246</v>
      </c>
      <c r="C11" s="117" t="s">
        <v>248</v>
      </c>
      <c r="D11" s="117" t="s">
        <v>249</v>
      </c>
      <c r="E11" s="194"/>
      <c r="F11" s="117" t="s">
        <v>246</v>
      </c>
      <c r="G11" s="117" t="s">
        <v>248</v>
      </c>
      <c r="H11" s="117" t="s">
        <v>249</v>
      </c>
      <c r="I11" s="194"/>
      <c r="J11" s="117" t="s">
        <v>248</v>
      </c>
      <c r="K11" s="117" t="s">
        <v>249</v>
      </c>
      <c r="L11" s="117" t="s">
        <v>246</v>
      </c>
      <c r="M11" s="117" t="s">
        <v>248</v>
      </c>
      <c r="N11" s="117" t="s">
        <v>249</v>
      </c>
      <c r="O11" s="194"/>
      <c r="P11" s="117" t="s">
        <v>248</v>
      </c>
      <c r="Q11" s="117" t="s">
        <v>249</v>
      </c>
      <c r="R11" s="117" t="s">
        <v>246</v>
      </c>
      <c r="S11" s="117" t="s">
        <v>248</v>
      </c>
      <c r="T11" s="117" t="s">
        <v>249</v>
      </c>
      <c r="U11" s="194"/>
      <c r="V11" s="117" t="s">
        <v>248</v>
      </c>
      <c r="W11" s="117" t="s">
        <v>249</v>
      </c>
      <c r="X11" s="117" t="s">
        <v>246</v>
      </c>
      <c r="Y11" s="117" t="s">
        <v>248</v>
      </c>
      <c r="Z11" s="117" t="s">
        <v>249</v>
      </c>
      <c r="AA11" s="194"/>
      <c r="AB11" s="117" t="s">
        <v>248</v>
      </c>
      <c r="AC11" s="117" t="s">
        <v>249</v>
      </c>
    </row>
    <row r="12" spans="1:29" x14ac:dyDescent="0.25">
      <c r="A12" s="117"/>
      <c r="B12" s="117"/>
      <c r="C12" s="117"/>
      <c r="D12" s="117"/>
      <c r="E12" s="194"/>
      <c r="F12" s="117"/>
      <c r="G12" s="117"/>
      <c r="H12" s="117"/>
      <c r="I12" s="194"/>
      <c r="J12" s="117"/>
      <c r="K12" s="117"/>
      <c r="L12" s="117"/>
      <c r="M12" s="117"/>
      <c r="N12" s="117"/>
      <c r="O12" s="194"/>
      <c r="P12" s="117"/>
      <c r="Q12" s="117"/>
      <c r="R12" s="117"/>
      <c r="S12" s="117"/>
      <c r="T12" s="117"/>
      <c r="U12" s="194"/>
      <c r="V12" s="117"/>
      <c r="W12" s="117"/>
      <c r="X12" s="117"/>
      <c r="Y12" s="117"/>
      <c r="Z12" s="117"/>
      <c r="AA12" s="194"/>
      <c r="AB12" s="117"/>
      <c r="AC12" s="117"/>
    </row>
    <row r="13" spans="1:29" x14ac:dyDescent="0.25">
      <c r="A13" s="311" t="s">
        <v>658</v>
      </c>
      <c r="B13" s="312"/>
      <c r="C13" s="312"/>
      <c r="D13" s="312"/>
      <c r="E13" s="313"/>
      <c r="F13" s="312"/>
      <c r="G13" s="312"/>
      <c r="H13" s="312"/>
      <c r="I13" s="313"/>
      <c r="J13" s="312"/>
      <c r="K13" s="312"/>
      <c r="L13" s="312"/>
      <c r="M13" s="312"/>
      <c r="N13" s="312"/>
      <c r="O13" s="313"/>
      <c r="P13" s="312"/>
      <c r="Q13" s="312"/>
      <c r="R13" s="312"/>
      <c r="S13" s="312"/>
      <c r="T13" s="312"/>
      <c r="U13" s="313"/>
      <c r="V13" s="312"/>
      <c r="W13" s="312"/>
      <c r="X13" s="312"/>
      <c r="Y13" s="312"/>
      <c r="Z13" s="312"/>
      <c r="AA13" s="313"/>
      <c r="AB13" s="312"/>
      <c r="AC13" s="312"/>
    </row>
    <row r="14" spans="1:29" ht="12.75" customHeight="1" x14ac:dyDescent="0.25">
      <c r="A14" s="314" t="s">
        <v>839</v>
      </c>
      <c r="B14" s="314" t="s">
        <v>17</v>
      </c>
      <c r="C14" s="568">
        <v>0.40221087474535716</v>
      </c>
      <c r="D14" s="568">
        <v>1.8903911113031788E-2</v>
      </c>
      <c r="E14" s="315" t="s">
        <v>1158</v>
      </c>
      <c r="F14" s="314" t="s">
        <v>6</v>
      </c>
      <c r="G14" s="569">
        <v>1.073</v>
      </c>
      <c r="H14" s="569">
        <v>0</v>
      </c>
      <c r="I14" s="312" t="s">
        <v>1161</v>
      </c>
      <c r="J14" s="573">
        <f>C14*G14</f>
        <v>0.43157226860176823</v>
      </c>
      <c r="K14" s="573">
        <f>SQRT(((D14*G14)^2)+((C14*H14)^2))</f>
        <v>2.0283896624283107E-2</v>
      </c>
      <c r="L14" s="312" t="s">
        <v>7</v>
      </c>
      <c r="M14" s="569">
        <v>7.6999999999999999E-2</v>
      </c>
      <c r="N14" s="569">
        <v>0</v>
      </c>
      <c r="O14" s="312" t="s">
        <v>1165</v>
      </c>
      <c r="P14" s="578">
        <f>C14*M14</f>
        <v>3.0970237355392501E-2</v>
      </c>
      <c r="Q14" s="578">
        <f>SQRT(((D14*M14)^2)+((C14*N14)^2))</f>
        <v>1.4556011557034477E-3</v>
      </c>
      <c r="R14" s="312" t="s">
        <v>8</v>
      </c>
      <c r="S14" s="569">
        <v>1.5999999999999999E-5</v>
      </c>
      <c r="T14" s="569">
        <v>0</v>
      </c>
      <c r="U14" s="312" t="s">
        <v>1166</v>
      </c>
      <c r="V14" s="589">
        <f>C14*S14</f>
        <v>6.4353739959257139E-6</v>
      </c>
      <c r="W14" s="589">
        <f>SQRT(((D14*S14)^2)+((C14*T14)^2))</f>
        <v>3.0246257780850857E-7</v>
      </c>
      <c r="X14" s="312" t="s">
        <v>9</v>
      </c>
      <c r="Y14" s="569">
        <v>2.0800000000000001E-5</v>
      </c>
      <c r="Z14" s="569">
        <v>0</v>
      </c>
      <c r="AA14" s="312" t="s">
        <v>1168</v>
      </c>
      <c r="AB14" s="390">
        <f>C14*Y14</f>
        <v>8.3659861947034292E-6</v>
      </c>
      <c r="AC14" s="390">
        <f>SQRT(((D14*Y14)^2)+((C14*Z14)^2))</f>
        <v>3.9320135115106121E-7</v>
      </c>
    </row>
    <row r="15" spans="1:29" ht="12.75" customHeight="1" x14ac:dyDescent="0.25">
      <c r="A15" s="314" t="s">
        <v>840</v>
      </c>
      <c r="B15" s="314" t="s">
        <v>17</v>
      </c>
      <c r="C15" s="568">
        <v>4.4670266666666673E-2</v>
      </c>
      <c r="D15" s="568">
        <v>5.181750933333334E-3</v>
      </c>
      <c r="E15" s="317" t="s">
        <v>1159</v>
      </c>
      <c r="F15" s="314" t="s">
        <v>6</v>
      </c>
      <c r="G15" s="568">
        <v>1</v>
      </c>
      <c r="H15" s="568">
        <v>0</v>
      </c>
      <c r="I15" s="317"/>
      <c r="J15" s="505">
        <f>$C15*$G15*$C$8</f>
        <v>0</v>
      </c>
      <c r="K15" s="505">
        <f>SQRT((($D15*$G15)^2)+(($C15*$H15)^2))*$C$8</f>
        <v>0</v>
      </c>
      <c r="L15" s="314" t="s">
        <v>220</v>
      </c>
      <c r="M15" s="568">
        <v>3.0166933333333336E-3</v>
      </c>
      <c r="N15" s="568">
        <v>3.4993642666666675E-4</v>
      </c>
      <c r="O15" s="317" t="s">
        <v>1169</v>
      </c>
      <c r="P15" s="578">
        <f>M15*$C$8</f>
        <v>0</v>
      </c>
      <c r="Q15" s="578">
        <f>N15*$C$8</f>
        <v>0</v>
      </c>
      <c r="R15" s="314" t="s">
        <v>221</v>
      </c>
      <c r="S15" s="568">
        <v>4.7773980000000006E-6</v>
      </c>
      <c r="T15" s="568">
        <v>5.5417816800000013E-7</v>
      </c>
      <c r="U15" s="317" t="s">
        <v>1171</v>
      </c>
      <c r="V15" s="589">
        <f>S15*$C$8</f>
        <v>0</v>
      </c>
      <c r="W15" s="589">
        <f>T15*$C$8</f>
        <v>0</v>
      </c>
      <c r="X15" s="314" t="s">
        <v>222</v>
      </c>
      <c r="Y15" s="568">
        <v>2.3785466666666669E-7</v>
      </c>
      <c r="Z15" s="568">
        <v>2.7591141333333336E-8</v>
      </c>
      <c r="AA15" s="317" t="s">
        <v>1174</v>
      </c>
      <c r="AB15" s="390">
        <f>Y15*$C$8</f>
        <v>0</v>
      </c>
      <c r="AC15" s="390">
        <f>Z15*$C$8</f>
        <v>0</v>
      </c>
    </row>
    <row r="16" spans="1:29" ht="15" customHeight="1" x14ac:dyDescent="0.25">
      <c r="A16" s="314" t="s">
        <v>223</v>
      </c>
      <c r="B16" s="314" t="s">
        <v>11</v>
      </c>
      <c r="C16" s="568">
        <v>2</v>
      </c>
      <c r="D16" s="568">
        <v>0.3</v>
      </c>
      <c r="E16" s="317" t="s">
        <v>1160</v>
      </c>
      <c r="F16" s="314"/>
      <c r="G16" s="319"/>
      <c r="H16" s="319"/>
      <c r="I16" s="317"/>
      <c r="J16" s="505">
        <f>($C$16/100)*$J$15</f>
        <v>0</v>
      </c>
      <c r="K16" s="505">
        <f>SQRT(((($D$16/100)*J15)^2)+((($C$16/100)*K15)^2))</f>
        <v>0</v>
      </c>
      <c r="L16" s="314"/>
      <c r="M16" s="319"/>
      <c r="N16" s="319"/>
      <c r="O16" s="317" t="s">
        <v>1170</v>
      </c>
      <c r="P16" s="579">
        <f>($C$16/100)*$P15</f>
        <v>0</v>
      </c>
      <c r="Q16" s="579">
        <f>SQRT(((($D$16/100)*$P15)^2)+((($C$16/100)*$Q15)^2))</f>
        <v>0</v>
      </c>
      <c r="R16" s="314"/>
      <c r="S16" s="319"/>
      <c r="T16" s="319"/>
      <c r="U16" s="317" t="s">
        <v>1172</v>
      </c>
      <c r="V16" s="590">
        <f>($C$16/100)*$V15</f>
        <v>0</v>
      </c>
      <c r="W16" s="590">
        <f>SQRT(((($D$16/100)*$V15)^2)+((($C$16/100)*$W15)^2))</f>
        <v>0</v>
      </c>
      <c r="X16" s="314"/>
      <c r="Y16" s="319"/>
      <c r="Z16" s="319"/>
      <c r="AA16" s="317" t="s">
        <v>1175</v>
      </c>
      <c r="AB16" s="584">
        <f>($C$16/100)*$AB15</f>
        <v>0</v>
      </c>
      <c r="AC16" s="584">
        <f>SQRT(((($D$16/100)*$AB15)^2)+((($C$16/100)*$AC15)^2))</f>
        <v>0</v>
      </c>
    </row>
    <row r="17" spans="1:29" x14ac:dyDescent="0.25">
      <c r="A17" s="314"/>
      <c r="B17" s="314"/>
      <c r="C17" s="314"/>
      <c r="D17" s="314"/>
      <c r="E17" s="317"/>
      <c r="F17" s="314"/>
      <c r="G17" s="314"/>
      <c r="H17" s="314"/>
      <c r="I17" s="317"/>
      <c r="J17" s="503"/>
      <c r="K17" s="503"/>
      <c r="L17" s="314"/>
      <c r="M17" s="314"/>
      <c r="N17" s="314"/>
      <c r="O17" s="317"/>
      <c r="P17" s="580"/>
      <c r="Q17" s="580"/>
      <c r="R17" s="314"/>
      <c r="S17" s="314"/>
      <c r="T17" s="314"/>
      <c r="U17" s="317"/>
      <c r="V17" s="591"/>
      <c r="W17" s="591"/>
      <c r="X17" s="314"/>
      <c r="Y17" s="314"/>
      <c r="Z17" s="314"/>
      <c r="AA17" s="317"/>
      <c r="AB17" s="585"/>
      <c r="AC17" s="585"/>
    </row>
    <row r="18" spans="1:29" x14ac:dyDescent="0.25">
      <c r="A18" s="320" t="s">
        <v>18</v>
      </c>
      <c r="B18" s="320"/>
      <c r="C18" s="320"/>
      <c r="D18" s="320"/>
      <c r="E18" s="321"/>
      <c r="F18" s="320"/>
      <c r="G18" s="320"/>
      <c r="H18" s="320"/>
      <c r="I18" s="321"/>
      <c r="J18" s="504">
        <f>SUM(J14:J16)</f>
        <v>0.43157226860176823</v>
      </c>
      <c r="K18" s="504">
        <f>SQRT((K14^2)+(K15^2)+(K16^2))</f>
        <v>2.0283896624283107E-2</v>
      </c>
      <c r="L18" s="320"/>
      <c r="M18" s="320"/>
      <c r="N18" s="320"/>
      <c r="O18" s="321"/>
      <c r="P18" s="581">
        <f>SUM(P14:P16)</f>
        <v>3.0970237355392501E-2</v>
      </c>
      <c r="Q18" s="581">
        <f>SQRT((Q14^2)+(Q15^2)+(Q16^2))</f>
        <v>1.4556011557034477E-3</v>
      </c>
      <c r="R18" s="320"/>
      <c r="S18" s="320"/>
      <c r="T18" s="320"/>
      <c r="U18" s="321"/>
      <c r="V18" s="592">
        <f>SUM(V14:V16)</f>
        <v>6.4353739959257139E-6</v>
      </c>
      <c r="W18" s="592">
        <f>SQRT((W14^2)+(W15^2)+(W16^2))</f>
        <v>3.0246257780850857E-7</v>
      </c>
      <c r="X18" s="320"/>
      <c r="Y18" s="320"/>
      <c r="Z18" s="320"/>
      <c r="AA18" s="321"/>
      <c r="AB18" s="586">
        <f>SUM(AB14:AB16)</f>
        <v>8.3659861947034292E-6</v>
      </c>
      <c r="AC18" s="586">
        <f>SQRT((AC14^2)+(AC15^2)+(AC16^2))</f>
        <v>3.9320135115106121E-7</v>
      </c>
    </row>
    <row r="19" spans="1:29" x14ac:dyDescent="0.25">
      <c r="J19" s="574"/>
      <c r="K19" s="574"/>
      <c r="P19" s="323"/>
      <c r="Q19" s="323"/>
      <c r="V19" s="324"/>
      <c r="W19" s="324"/>
      <c r="AB19" s="587"/>
      <c r="AC19" s="587"/>
    </row>
    <row r="20" spans="1:29" x14ac:dyDescent="0.25">
      <c r="A20" s="322" t="s">
        <v>660</v>
      </c>
      <c r="J20" s="574"/>
      <c r="K20" s="574"/>
      <c r="P20" s="323"/>
      <c r="Q20" s="323"/>
      <c r="V20" s="324"/>
      <c r="W20" s="324"/>
      <c r="AB20" s="587"/>
      <c r="AC20" s="587"/>
    </row>
    <row r="21" spans="1:29" ht="14.25" customHeight="1" x14ac:dyDescent="0.25">
      <c r="A21" s="314" t="s">
        <v>839</v>
      </c>
      <c r="B21" s="314" t="s">
        <v>17</v>
      </c>
      <c r="C21" s="568">
        <v>0.39664394222292981</v>
      </c>
      <c r="D21" s="568">
        <v>1.86422652844777E-2</v>
      </c>
      <c r="E21" s="317" t="s">
        <v>1158</v>
      </c>
      <c r="F21" s="314" t="s">
        <v>6</v>
      </c>
      <c r="G21" s="569">
        <v>1.073</v>
      </c>
      <c r="H21" s="569">
        <v>0</v>
      </c>
      <c r="I21" s="312" t="s">
        <v>1161</v>
      </c>
      <c r="J21" s="573">
        <f>C21*G21</f>
        <v>0.42559895000520365</v>
      </c>
      <c r="K21" s="573">
        <f>SQRT(((D21*G21)^2)+((C21*H21)^2))</f>
        <v>2.0003150650244571E-2</v>
      </c>
      <c r="L21" s="312" t="s">
        <v>7</v>
      </c>
      <c r="M21" s="569">
        <v>7.6999999999999999E-2</v>
      </c>
      <c r="N21" s="569">
        <v>0</v>
      </c>
      <c r="O21" s="312" t="s">
        <v>1165</v>
      </c>
      <c r="P21" s="578">
        <f>C21*M21</f>
        <v>3.0541583551165596E-2</v>
      </c>
      <c r="Q21" s="578">
        <f>SQRT(((D21*M21)^2)+((C21*N21)^2))</f>
        <v>1.4354544269047829E-3</v>
      </c>
      <c r="R21" s="312" t="s">
        <v>8</v>
      </c>
      <c r="S21" s="569">
        <v>1.5999999999999999E-5</v>
      </c>
      <c r="T21" s="569">
        <v>0</v>
      </c>
      <c r="U21" s="312" t="s">
        <v>1173</v>
      </c>
      <c r="V21" s="589">
        <f>C21*S21</f>
        <v>6.3463030755668767E-6</v>
      </c>
      <c r="W21" s="589">
        <f>SQRT(((D21*S21)^2)+((C21*T21)^2))</f>
        <v>2.9827624455164321E-7</v>
      </c>
      <c r="X21" s="312" t="s">
        <v>9</v>
      </c>
      <c r="Y21" s="569">
        <v>2.0800000000000001E-5</v>
      </c>
      <c r="Z21" s="569">
        <v>0</v>
      </c>
      <c r="AA21" s="312" t="s">
        <v>1168</v>
      </c>
      <c r="AB21" s="390">
        <f>C21*Y21</f>
        <v>8.2501939982369412E-6</v>
      </c>
      <c r="AC21" s="390">
        <f>SQRT(((D21*Y21)^2)+((C21*Z21)^2))</f>
        <v>3.877591179171362E-7</v>
      </c>
    </row>
    <row r="22" spans="1:29" ht="15" customHeight="1" x14ac:dyDescent="0.25">
      <c r="A22" s="314" t="s">
        <v>840</v>
      </c>
      <c r="B22" s="314" t="s">
        <v>17</v>
      </c>
      <c r="C22" s="568">
        <v>3.586992156862745E-2</v>
      </c>
      <c r="D22" s="568">
        <v>4.1609109019607841E-3</v>
      </c>
      <c r="E22" s="317" t="s">
        <v>1159</v>
      </c>
      <c r="F22" s="314" t="s">
        <v>6</v>
      </c>
      <c r="G22" s="568">
        <v>1</v>
      </c>
      <c r="H22" s="568">
        <v>0</v>
      </c>
      <c r="I22" s="317"/>
      <c r="J22" s="505">
        <f>$C22*$G22*$C$8</f>
        <v>0</v>
      </c>
      <c r="K22" s="505">
        <f>SQRT((($D22*$G22)^2)+(($C22*$H22)^2))*$C$8</f>
        <v>0</v>
      </c>
      <c r="L22" s="314" t="s">
        <v>220</v>
      </c>
      <c r="M22" s="568">
        <v>2.4223843137254901E-3</v>
      </c>
      <c r="N22" s="568">
        <v>2.8099658039215685E-4</v>
      </c>
      <c r="O22" s="317" t="s">
        <v>1169</v>
      </c>
      <c r="P22" s="578">
        <f>M22*$C$8</f>
        <v>0</v>
      </c>
      <c r="Q22" s="578">
        <f>N22*$C$8</f>
        <v>0</v>
      </c>
      <c r="R22" s="314" t="s">
        <v>221</v>
      </c>
      <c r="S22" s="568">
        <v>3.8362182352941178E-6</v>
      </c>
      <c r="T22" s="568">
        <v>4.4500131529411761E-7</v>
      </c>
      <c r="U22" s="317" t="s">
        <v>1167</v>
      </c>
      <c r="V22" s="589">
        <f>S22*$C$8</f>
        <v>0</v>
      </c>
      <c r="W22" s="589">
        <f>T22*$C$8</f>
        <v>0</v>
      </c>
      <c r="X22" s="314" t="s">
        <v>222</v>
      </c>
      <c r="Y22" s="568">
        <v>1.909956862745098E-7</v>
      </c>
      <c r="Z22" s="568">
        <v>2.2155499607843137E-8</v>
      </c>
      <c r="AA22" s="317" t="s">
        <v>1174</v>
      </c>
      <c r="AB22" s="390">
        <f>Y22*$C$8</f>
        <v>0</v>
      </c>
      <c r="AC22" s="390">
        <f>Z22*$C$8</f>
        <v>0</v>
      </c>
    </row>
    <row r="23" spans="1:29" ht="14.25" customHeight="1" x14ac:dyDescent="0.25">
      <c r="A23" s="314" t="s">
        <v>223</v>
      </c>
      <c r="B23" s="314" t="s">
        <v>11</v>
      </c>
      <c r="C23" s="568">
        <v>2</v>
      </c>
      <c r="D23" s="568">
        <v>0.3</v>
      </c>
      <c r="E23" s="317" t="s">
        <v>1160</v>
      </c>
      <c r="F23" s="314"/>
      <c r="G23" s="319"/>
      <c r="H23" s="319"/>
      <c r="I23" s="317"/>
      <c r="J23" s="505">
        <f>($C$16/100)*$J$15</f>
        <v>0</v>
      </c>
      <c r="K23" s="505">
        <f>SQRT(((($D$16/100)*J22)^2)+((($C$16/100)*K22)^2))</f>
        <v>0</v>
      </c>
      <c r="L23" s="314"/>
      <c r="M23" s="319"/>
      <c r="N23" s="319"/>
      <c r="O23" s="317" t="s">
        <v>1170</v>
      </c>
      <c r="P23" s="579">
        <f>($C$16/100)*$P22</f>
        <v>0</v>
      </c>
      <c r="Q23" s="579">
        <f>SQRT(((($D$16/100)*$P22)^2)+((($C$16/100)*$Q22)^2))</f>
        <v>0</v>
      </c>
      <c r="R23" s="314"/>
      <c r="S23" s="319"/>
      <c r="T23" s="319"/>
      <c r="U23" s="317" t="s">
        <v>1172</v>
      </c>
      <c r="V23" s="590">
        <f>($C$16/100)*$V22</f>
        <v>0</v>
      </c>
      <c r="W23" s="590">
        <f>SQRT(((($D$16/100)*$V22)^2)+((($C$16/100)*$W22)^2))</f>
        <v>0</v>
      </c>
      <c r="X23" s="314"/>
      <c r="Y23" s="319"/>
      <c r="Z23" s="319"/>
      <c r="AA23" s="317" t="s">
        <v>1175</v>
      </c>
      <c r="AB23" s="584">
        <f>($C$16/100)*$AB22</f>
        <v>0</v>
      </c>
      <c r="AC23" s="584">
        <f>SQRT(((($D$16/100)*$AB22)^2)+((($C$16/100)*$AC22)^2))</f>
        <v>0</v>
      </c>
    </row>
    <row r="24" spans="1:29" x14ac:dyDescent="0.25">
      <c r="A24" s="314"/>
      <c r="B24" s="314"/>
      <c r="C24" s="314"/>
      <c r="D24" s="314"/>
      <c r="E24" s="317"/>
      <c r="F24" s="314"/>
      <c r="G24" s="314"/>
      <c r="H24" s="314"/>
      <c r="I24" s="317"/>
      <c r="J24" s="503"/>
      <c r="K24" s="503"/>
      <c r="L24" s="314"/>
      <c r="M24" s="314"/>
      <c r="N24" s="314"/>
      <c r="O24" s="317"/>
      <c r="P24" s="580"/>
      <c r="Q24" s="580"/>
      <c r="R24" s="314"/>
      <c r="S24" s="314"/>
      <c r="T24" s="314"/>
      <c r="U24" s="317"/>
      <c r="V24" s="591"/>
      <c r="W24" s="591"/>
      <c r="X24" s="314"/>
      <c r="Y24" s="314"/>
      <c r="Z24" s="314"/>
      <c r="AA24" s="317"/>
      <c r="AB24" s="585"/>
      <c r="AC24" s="585"/>
    </row>
    <row r="25" spans="1:29" x14ac:dyDescent="0.25">
      <c r="A25" s="320" t="s">
        <v>18</v>
      </c>
      <c r="B25" s="320"/>
      <c r="C25" s="320"/>
      <c r="D25" s="320"/>
      <c r="E25" s="321"/>
      <c r="F25" s="320"/>
      <c r="G25" s="320"/>
      <c r="H25" s="320"/>
      <c r="I25" s="321"/>
      <c r="J25" s="504">
        <f>SUM(J21:J23)</f>
        <v>0.42559895000520365</v>
      </c>
      <c r="K25" s="504">
        <f>SQRT((K21^2)+(K22^2)+(K23^2))</f>
        <v>2.0003150650244571E-2</v>
      </c>
      <c r="L25" s="320"/>
      <c r="M25" s="320"/>
      <c r="N25" s="320"/>
      <c r="O25" s="321"/>
      <c r="P25" s="581">
        <f>SUM(P21:P23)</f>
        <v>3.0541583551165596E-2</v>
      </c>
      <c r="Q25" s="581">
        <f>SQRT((Q21^2)+(Q22^2)+(Q23^2))</f>
        <v>1.4354544269047829E-3</v>
      </c>
      <c r="R25" s="320"/>
      <c r="S25" s="320"/>
      <c r="T25" s="320"/>
      <c r="U25" s="321"/>
      <c r="V25" s="592">
        <f>SUM(V21:V23)</f>
        <v>6.3463030755668767E-6</v>
      </c>
      <c r="W25" s="592">
        <f>SQRT((W21^2)+(W22^2)+(W23^2))</f>
        <v>2.9827624455164321E-7</v>
      </c>
      <c r="X25" s="320"/>
      <c r="Y25" s="320"/>
      <c r="Z25" s="320"/>
      <c r="AA25" s="321"/>
      <c r="AB25" s="586">
        <f>SUM(AB21:AB23)</f>
        <v>8.2501939982369412E-6</v>
      </c>
      <c r="AC25" s="586">
        <f>SQRT((AC21^2)+(AC22^2)+(AC23^2))</f>
        <v>3.877591179171362E-7</v>
      </c>
    </row>
    <row r="26" spans="1:29" x14ac:dyDescent="0.25">
      <c r="J26" s="574"/>
      <c r="K26" s="574"/>
      <c r="P26" s="323"/>
      <c r="Q26" s="323"/>
      <c r="V26" s="324"/>
      <c r="W26" s="324"/>
      <c r="AB26" s="587"/>
      <c r="AC26" s="587"/>
    </row>
    <row r="27" spans="1:29" x14ac:dyDescent="0.25">
      <c r="A27" s="322" t="s">
        <v>661</v>
      </c>
      <c r="J27" s="574"/>
      <c r="K27" s="574"/>
      <c r="P27" s="323"/>
      <c r="Q27" s="323"/>
      <c r="V27" s="324"/>
      <c r="W27" s="324"/>
      <c r="AB27" s="587"/>
      <c r="AC27" s="587"/>
    </row>
    <row r="28" spans="1:29" ht="14.25" customHeight="1" x14ac:dyDescent="0.25">
      <c r="A28" s="314" t="s">
        <v>839</v>
      </c>
      <c r="B28" s="314" t="s">
        <v>17</v>
      </c>
      <c r="C28" s="568">
        <v>0.50542371826466825</v>
      </c>
      <c r="D28" s="568">
        <v>2.3754914758439407E-2</v>
      </c>
      <c r="E28" s="317" t="s">
        <v>1158</v>
      </c>
      <c r="F28" s="314" t="s">
        <v>6</v>
      </c>
      <c r="G28" s="569">
        <v>1.073</v>
      </c>
      <c r="H28" s="569">
        <v>0</v>
      </c>
      <c r="I28" s="312" t="s">
        <v>1161</v>
      </c>
      <c r="J28" s="573">
        <f>C28*G28</f>
        <v>0.54231964969798896</v>
      </c>
      <c r="K28" s="573">
        <f>SQRT(((D28*G28)^2)+((C28*H28)^2))</f>
        <v>2.5489023535805483E-2</v>
      </c>
      <c r="L28" s="312" t="s">
        <v>7</v>
      </c>
      <c r="M28" s="569">
        <v>7.6999999999999999E-2</v>
      </c>
      <c r="N28" s="569">
        <v>0</v>
      </c>
      <c r="O28" s="312" t="s">
        <v>1165</v>
      </c>
      <c r="P28" s="578">
        <f>C28*M28</f>
        <v>3.8917626306379453E-2</v>
      </c>
      <c r="Q28" s="578">
        <f>SQRT(((D28*M28)^2)+((C28*N28)^2))</f>
        <v>1.8291284363998344E-3</v>
      </c>
      <c r="R28" s="312" t="s">
        <v>8</v>
      </c>
      <c r="S28" s="569">
        <v>1.5999999999999999E-5</v>
      </c>
      <c r="T28" s="569">
        <v>0</v>
      </c>
      <c r="U28" s="312" t="s">
        <v>1166</v>
      </c>
      <c r="V28" s="589">
        <f>C28*S28</f>
        <v>8.0867794922346925E-6</v>
      </c>
      <c r="W28" s="589">
        <f>SQRT(((D28*S28)^2)+((C28*T28)^2))</f>
        <v>3.8007863613503047E-7</v>
      </c>
      <c r="X28" s="312" t="s">
        <v>9</v>
      </c>
      <c r="Y28" s="569">
        <v>2.0800000000000001E-5</v>
      </c>
      <c r="Z28" s="569">
        <v>0</v>
      </c>
      <c r="AA28" s="312" t="s">
        <v>1168</v>
      </c>
      <c r="AB28" s="390">
        <f>C28*Y28</f>
        <v>1.05128133399051E-5</v>
      </c>
      <c r="AC28" s="390">
        <f>SQRT(((D28*Y28)^2)+((C28*Z28)^2))</f>
        <v>4.9410222697553969E-7</v>
      </c>
    </row>
    <row r="29" spans="1:29" ht="13.5" customHeight="1" x14ac:dyDescent="0.25">
      <c r="A29" s="314" t="s">
        <v>840</v>
      </c>
      <c r="B29" s="314" t="s">
        <v>17</v>
      </c>
      <c r="C29" s="568">
        <v>3.9389533333333331E-2</v>
      </c>
      <c r="D29" s="568">
        <v>4.6085754000000003E-3</v>
      </c>
      <c r="E29" s="317" t="s">
        <v>1159</v>
      </c>
      <c r="F29" s="314" t="s">
        <v>6</v>
      </c>
      <c r="G29" s="568">
        <v>1</v>
      </c>
      <c r="H29" s="568">
        <v>0</v>
      </c>
      <c r="I29" s="317"/>
      <c r="J29" s="505">
        <f>$C29*$G29*$C$8</f>
        <v>0</v>
      </c>
      <c r="K29" s="505">
        <f>SQRT((($D29*$G29)^2)+(($C29*$H29)^2))*$C$8</f>
        <v>0</v>
      </c>
      <c r="L29" s="314" t="s">
        <v>220</v>
      </c>
      <c r="M29" s="568">
        <v>2.6600723809523811E-3</v>
      </c>
      <c r="N29" s="568">
        <v>3.112284685714286E-4</v>
      </c>
      <c r="O29" s="317" t="s">
        <v>1169</v>
      </c>
      <c r="P29" s="578">
        <f>M29*$C$8</f>
        <v>0</v>
      </c>
      <c r="Q29" s="578">
        <f>N29*$C$8</f>
        <v>0</v>
      </c>
      <c r="R29" s="314" t="s">
        <v>221</v>
      </c>
      <c r="S29" s="568">
        <v>4.2126338571428568E-6</v>
      </c>
      <c r="T29" s="568">
        <v>4.9287816128571433E-7</v>
      </c>
      <c r="U29" s="317" t="s">
        <v>1171</v>
      </c>
      <c r="V29" s="589">
        <f>S29*$C$8</f>
        <v>0</v>
      </c>
      <c r="W29" s="589">
        <f>T29*$C$8</f>
        <v>0</v>
      </c>
      <c r="X29" s="314" t="s">
        <v>222</v>
      </c>
      <c r="Y29" s="568">
        <v>2.0973647619047619E-7</v>
      </c>
      <c r="Z29" s="568">
        <v>2.4539167714285718E-8</v>
      </c>
      <c r="AA29" s="317" t="s">
        <v>1174</v>
      </c>
      <c r="AB29" s="390">
        <f>Y29*$C$8</f>
        <v>0</v>
      </c>
      <c r="AC29" s="390">
        <f>Z29*$C$8</f>
        <v>0</v>
      </c>
    </row>
    <row r="30" spans="1:29" ht="14.25" customHeight="1" x14ac:dyDescent="0.25">
      <c r="A30" s="314" t="s">
        <v>223</v>
      </c>
      <c r="B30" s="314" t="s">
        <v>11</v>
      </c>
      <c r="C30" s="568">
        <v>2</v>
      </c>
      <c r="D30" s="568">
        <v>0.3</v>
      </c>
      <c r="E30" s="317" t="s">
        <v>1160</v>
      </c>
      <c r="F30" s="314"/>
      <c r="G30" s="319"/>
      <c r="H30" s="319"/>
      <c r="I30" s="317"/>
      <c r="J30" s="505">
        <f>($C$16/100)*$J$15</f>
        <v>0</v>
      </c>
      <c r="K30" s="505">
        <f>SQRT(((($D$16/100)*J29)^2)+((($C$16/100)*K29)^2))</f>
        <v>0</v>
      </c>
      <c r="L30" s="314"/>
      <c r="M30" s="319"/>
      <c r="N30" s="319"/>
      <c r="O30" s="317" t="s">
        <v>1170</v>
      </c>
      <c r="P30" s="579">
        <f>($C$16/100)*$P29</f>
        <v>0</v>
      </c>
      <c r="Q30" s="579">
        <f>SQRT(((($D$16/100)*$P29)^2)+((($C$16/100)*$Q29)^2))</f>
        <v>0</v>
      </c>
      <c r="R30" s="314"/>
      <c r="S30" s="319"/>
      <c r="T30" s="319"/>
      <c r="U30" s="317" t="s">
        <v>1172</v>
      </c>
      <c r="V30" s="590">
        <f>($C$16/100)*$V29</f>
        <v>0</v>
      </c>
      <c r="W30" s="590">
        <f>SQRT(((($D$16/100)*$V29)^2)+((($C$16/100)*$W29)^2))</f>
        <v>0</v>
      </c>
      <c r="X30" s="314"/>
      <c r="Y30" s="319"/>
      <c r="Z30" s="319"/>
      <c r="AA30" s="317" t="s">
        <v>1175</v>
      </c>
      <c r="AB30" s="584">
        <f>($C$16/100)*$AB29</f>
        <v>0</v>
      </c>
      <c r="AC30" s="584">
        <f>SQRT(((($D$16/100)*$AB29)^2)+((($C$16/100)*$AC29)^2))</f>
        <v>0</v>
      </c>
    </row>
    <row r="31" spans="1:29" x14ac:dyDescent="0.25">
      <c r="A31" s="314"/>
      <c r="B31" s="314"/>
      <c r="C31" s="314"/>
      <c r="D31" s="314"/>
      <c r="E31" s="317"/>
      <c r="F31" s="314"/>
      <c r="G31" s="314"/>
      <c r="H31" s="314"/>
      <c r="I31" s="317"/>
      <c r="J31" s="503"/>
      <c r="K31" s="503"/>
      <c r="L31" s="314"/>
      <c r="M31" s="314"/>
      <c r="N31" s="314"/>
      <c r="O31" s="317"/>
      <c r="P31" s="580"/>
      <c r="Q31" s="580"/>
      <c r="R31" s="314"/>
      <c r="S31" s="314"/>
      <c r="T31" s="314"/>
      <c r="U31" s="317"/>
      <c r="V31" s="591"/>
      <c r="W31" s="591"/>
      <c r="X31" s="314"/>
      <c r="Y31" s="314"/>
      <c r="Z31" s="314"/>
      <c r="AA31" s="317"/>
      <c r="AB31" s="585"/>
      <c r="AC31" s="585"/>
    </row>
    <row r="32" spans="1:29" x14ac:dyDescent="0.25">
      <c r="A32" s="320" t="s">
        <v>18</v>
      </c>
      <c r="B32" s="320"/>
      <c r="C32" s="320"/>
      <c r="D32" s="320"/>
      <c r="E32" s="321"/>
      <c r="F32" s="320"/>
      <c r="G32" s="320"/>
      <c r="H32" s="320"/>
      <c r="I32" s="321"/>
      <c r="J32" s="504">
        <f>SUM(J28:J30)</f>
        <v>0.54231964969798896</v>
      </c>
      <c r="K32" s="504">
        <f>SQRT((K28^2)+(K29^2)+(K30^2))</f>
        <v>2.5489023535805483E-2</v>
      </c>
      <c r="L32" s="320"/>
      <c r="M32" s="320"/>
      <c r="N32" s="320"/>
      <c r="O32" s="321"/>
      <c r="P32" s="581">
        <f>SUM(P28:P30)</f>
        <v>3.8917626306379453E-2</v>
      </c>
      <c r="Q32" s="581">
        <f>SQRT((Q28^2)+(Q29^2)+(Q30^2))</f>
        <v>1.8291284363998344E-3</v>
      </c>
      <c r="R32" s="320"/>
      <c r="S32" s="320"/>
      <c r="T32" s="320"/>
      <c r="U32" s="321"/>
      <c r="V32" s="592">
        <f>SUM(V28:V30)</f>
        <v>8.0867794922346925E-6</v>
      </c>
      <c r="W32" s="592">
        <f>SQRT((W28^2)+(W29^2)+(W30^2))</f>
        <v>3.8007863613503047E-7</v>
      </c>
      <c r="X32" s="320"/>
      <c r="Y32" s="320"/>
      <c r="Z32" s="320"/>
      <c r="AA32" s="321"/>
      <c r="AB32" s="586">
        <f>SUM(AB28:AB30)</f>
        <v>1.05128133399051E-5</v>
      </c>
      <c r="AC32" s="586">
        <f>SQRT((AC28^2)+(AC29^2)+(AC30^2))</f>
        <v>4.9410222697553969E-7</v>
      </c>
    </row>
    <row r="33" spans="1:29" x14ac:dyDescent="0.25">
      <c r="J33" s="574"/>
      <c r="K33" s="574"/>
      <c r="P33" s="323"/>
      <c r="Q33" s="323"/>
      <c r="V33" s="324"/>
      <c r="W33" s="324"/>
      <c r="AB33" s="587"/>
      <c r="AC33" s="587"/>
    </row>
    <row r="34" spans="1:29" x14ac:dyDescent="0.25">
      <c r="A34" s="322" t="s">
        <v>662</v>
      </c>
      <c r="J34" s="574"/>
      <c r="K34" s="574"/>
      <c r="P34" s="323"/>
      <c r="Q34" s="323"/>
      <c r="V34" s="324"/>
      <c r="W34" s="324"/>
      <c r="AB34" s="587"/>
      <c r="AC34" s="587"/>
    </row>
    <row r="35" spans="1:29" ht="15.75" customHeight="1" x14ac:dyDescent="0.25">
      <c r="A35" s="314" t="s">
        <v>839</v>
      </c>
      <c r="B35" s="314" t="s">
        <v>17</v>
      </c>
      <c r="C35" s="568">
        <v>0.56034614423932938</v>
      </c>
      <c r="D35" s="568">
        <v>3.1E-2</v>
      </c>
      <c r="E35" s="317" t="s">
        <v>93</v>
      </c>
      <c r="F35" s="314" t="s">
        <v>6</v>
      </c>
      <c r="G35" s="569">
        <v>1.073</v>
      </c>
      <c r="H35" s="569">
        <v>0</v>
      </c>
      <c r="I35" s="312" t="s">
        <v>1161</v>
      </c>
      <c r="J35" s="573">
        <f>C35*G35</f>
        <v>0.60125141276880045</v>
      </c>
      <c r="K35" s="573">
        <f>SQRT(((D35*G35)^2)+((C35*H35)^2))</f>
        <v>3.3263000000000001E-2</v>
      </c>
      <c r="L35" s="312" t="s">
        <v>7</v>
      </c>
      <c r="M35" s="569">
        <v>7.6999999999999999E-2</v>
      </c>
      <c r="N35" s="569">
        <v>0</v>
      </c>
      <c r="O35" s="312" t="s">
        <v>1165</v>
      </c>
      <c r="P35" s="578">
        <f>C35*M35</f>
        <v>4.3146653106428359E-2</v>
      </c>
      <c r="Q35" s="578">
        <f>SQRT(((D35*M35)^2)+((C35*N35)^2))</f>
        <v>2.3869999999999998E-3</v>
      </c>
      <c r="R35" s="312" t="s">
        <v>8</v>
      </c>
      <c r="S35" s="569">
        <v>1.5999999999999999E-5</v>
      </c>
      <c r="T35" s="569">
        <v>0</v>
      </c>
      <c r="U35" s="312" t="s">
        <v>1166</v>
      </c>
      <c r="V35" s="589">
        <f>C35*S35</f>
        <v>8.9655383078292691E-6</v>
      </c>
      <c r="W35" s="589">
        <f>SQRT(((D35*S35)^2)+((C35*T35)^2))</f>
        <v>4.9599999999999999E-7</v>
      </c>
      <c r="X35" s="312" t="s">
        <v>9</v>
      </c>
      <c r="Y35" s="569">
        <v>2.0800000000000001E-5</v>
      </c>
      <c r="Z35" s="569">
        <v>0</v>
      </c>
      <c r="AA35" s="312" t="s">
        <v>1168</v>
      </c>
      <c r="AB35" s="390">
        <f>C35*Y35</f>
        <v>1.1655199800178051E-5</v>
      </c>
      <c r="AC35" s="390">
        <f>SQRT(((D35*Y35)^2)+((C35*Z35)^2))</f>
        <v>6.4480000000000006E-7</v>
      </c>
    </row>
    <row r="36" spans="1:29" ht="16.5" customHeight="1" x14ac:dyDescent="0.25">
      <c r="A36" s="314" t="s">
        <v>840</v>
      </c>
      <c r="B36" s="314" t="s">
        <v>17</v>
      </c>
      <c r="C36" s="568">
        <v>8.0450674418604651E-2</v>
      </c>
      <c r="D36" s="568">
        <v>9.4931795813953494E-3</v>
      </c>
      <c r="E36" s="317" t="s">
        <v>94</v>
      </c>
      <c r="F36" s="314" t="s">
        <v>6</v>
      </c>
      <c r="G36" s="568">
        <v>1</v>
      </c>
      <c r="H36" s="568">
        <v>0</v>
      </c>
      <c r="I36" s="317"/>
      <c r="J36" s="505">
        <f>$C36*$G36*$C$8</f>
        <v>0</v>
      </c>
      <c r="K36" s="505">
        <f>SQRT((($D36*$G36)^2)+(($C36*$H36)^2))*$C$8</f>
        <v>0</v>
      </c>
      <c r="L36" s="314" t="s">
        <v>220</v>
      </c>
      <c r="M36" s="568">
        <v>2.7165162790697677E-3</v>
      </c>
      <c r="N36" s="568">
        <v>3.2054892093023255E-4</v>
      </c>
      <c r="O36" s="317" t="s">
        <v>1169</v>
      </c>
      <c r="P36" s="578">
        <f>M36*$C$8</f>
        <v>0</v>
      </c>
      <c r="Q36" s="578">
        <f>N36*$C$8</f>
        <v>0</v>
      </c>
      <c r="R36" s="314" t="s">
        <v>221</v>
      </c>
      <c r="S36" s="568">
        <v>4.3020214534883724E-6</v>
      </c>
      <c r="T36" s="568">
        <v>5.0763853151162794E-7</v>
      </c>
      <c r="U36" s="317" t="s">
        <v>1171</v>
      </c>
      <c r="V36" s="589">
        <f>S36*$C$8</f>
        <v>0</v>
      </c>
      <c r="W36" s="589">
        <f>T36*$C$8</f>
        <v>0</v>
      </c>
      <c r="X36" s="314" t="s">
        <v>222</v>
      </c>
      <c r="Y36" s="568">
        <v>2.1418686046511628E-7</v>
      </c>
      <c r="Z36" s="568">
        <v>2.5274049534883721E-8</v>
      </c>
      <c r="AA36" s="317" t="s">
        <v>1174</v>
      </c>
      <c r="AB36" s="390">
        <f>Y36*$C$8</f>
        <v>0</v>
      </c>
      <c r="AC36" s="390">
        <f>Z36*$C$8</f>
        <v>0</v>
      </c>
    </row>
    <row r="37" spans="1:29" ht="15.75" customHeight="1" x14ac:dyDescent="0.25">
      <c r="A37" s="314" t="s">
        <v>223</v>
      </c>
      <c r="B37" s="314" t="s">
        <v>11</v>
      </c>
      <c r="C37" s="568">
        <v>2</v>
      </c>
      <c r="D37" s="568">
        <f>C37*15/100</f>
        <v>0.3</v>
      </c>
      <c r="E37" s="317" t="s">
        <v>659</v>
      </c>
      <c r="F37" s="314"/>
      <c r="G37" s="319"/>
      <c r="H37" s="319"/>
      <c r="I37" s="317"/>
      <c r="J37" s="505">
        <f>($C$16/100)*$J$15</f>
        <v>0</v>
      </c>
      <c r="K37" s="505">
        <f>SQRT(((($D$16/100)*J36)^2)+((($C$16/100)*K36)^2))</f>
        <v>0</v>
      </c>
      <c r="L37" s="314"/>
      <c r="M37" s="319"/>
      <c r="N37" s="319"/>
      <c r="O37" s="317" t="s">
        <v>1170</v>
      </c>
      <c r="P37" s="579">
        <f>($C$16/100)*$P36</f>
        <v>0</v>
      </c>
      <c r="Q37" s="579">
        <f>SQRT(((($D$16/100)*$P36)^2)+((($C$16/100)*$Q36)^2))</f>
        <v>0</v>
      </c>
      <c r="R37" s="314"/>
      <c r="S37" s="319"/>
      <c r="T37" s="319"/>
      <c r="U37" s="317" t="s">
        <v>1172</v>
      </c>
      <c r="V37" s="590">
        <f>($C$16/100)*$V36</f>
        <v>0</v>
      </c>
      <c r="W37" s="590">
        <f>SQRT(((($D$16/100)*$V36)^2)+((($C$16/100)*$W36)^2))</f>
        <v>0</v>
      </c>
      <c r="X37" s="314"/>
      <c r="Y37" s="319"/>
      <c r="Z37" s="319"/>
      <c r="AA37" s="317" t="s">
        <v>1175</v>
      </c>
      <c r="AB37" s="584">
        <f>($C$16/100)*$AB36</f>
        <v>0</v>
      </c>
      <c r="AC37" s="584">
        <f>SQRT(((($D$16/100)*$AB36)^2)+((($C$16/100)*$AC36)^2))</f>
        <v>0</v>
      </c>
    </row>
    <row r="38" spans="1:29" x14ac:dyDescent="0.25">
      <c r="A38" s="314"/>
      <c r="B38" s="314"/>
      <c r="C38" s="314"/>
      <c r="D38" s="314"/>
      <c r="E38" s="317"/>
      <c r="F38" s="314"/>
      <c r="G38" s="314"/>
      <c r="H38" s="314"/>
      <c r="I38" s="317"/>
      <c r="J38" s="503"/>
      <c r="K38" s="503"/>
      <c r="L38" s="314"/>
      <c r="M38" s="314"/>
      <c r="N38" s="314"/>
      <c r="O38" s="317"/>
      <c r="P38" s="580"/>
      <c r="Q38" s="580"/>
      <c r="R38" s="314"/>
      <c r="S38" s="314"/>
      <c r="T38" s="314"/>
      <c r="U38" s="317"/>
      <c r="V38" s="591"/>
      <c r="W38" s="591"/>
      <c r="X38" s="314"/>
      <c r="Y38" s="314"/>
      <c r="Z38" s="314"/>
      <c r="AA38" s="317"/>
      <c r="AB38" s="585"/>
      <c r="AC38" s="585"/>
    </row>
    <row r="39" spans="1:29" x14ac:dyDescent="0.25">
      <c r="A39" s="320" t="s">
        <v>18</v>
      </c>
      <c r="B39" s="320"/>
      <c r="C39" s="320"/>
      <c r="D39" s="320"/>
      <c r="E39" s="321"/>
      <c r="F39" s="320"/>
      <c r="G39" s="320"/>
      <c r="H39" s="320"/>
      <c r="I39" s="321"/>
      <c r="J39" s="504">
        <f>SUM(J35:J37)</f>
        <v>0.60125141276880045</v>
      </c>
      <c r="K39" s="504">
        <f>SQRT((K35^2)+(K36^2)+(K37^2))</f>
        <v>3.3263000000000001E-2</v>
      </c>
      <c r="L39" s="320"/>
      <c r="M39" s="320"/>
      <c r="N39" s="320"/>
      <c r="O39" s="321"/>
      <c r="P39" s="581">
        <f>SUM(P35:P37)</f>
        <v>4.3146653106428359E-2</v>
      </c>
      <c r="Q39" s="581">
        <f>SQRT((Q35^2)+(Q36^2)+(Q37^2))</f>
        <v>2.3869999999999998E-3</v>
      </c>
      <c r="R39" s="320"/>
      <c r="S39" s="320"/>
      <c r="T39" s="320"/>
      <c r="U39" s="321"/>
      <c r="V39" s="592">
        <f>SUM(V35:V37)</f>
        <v>8.9655383078292691E-6</v>
      </c>
      <c r="W39" s="592">
        <f>SQRT((W35^2)+(W36^2)+(W37^2))</f>
        <v>4.9599999999999999E-7</v>
      </c>
      <c r="X39" s="320"/>
      <c r="Y39" s="320"/>
      <c r="Z39" s="320"/>
      <c r="AA39" s="321"/>
      <c r="AB39" s="586">
        <f>SUM(AB35:AB37)</f>
        <v>1.1655199800178051E-5</v>
      </c>
      <c r="AC39" s="586">
        <f>SQRT((AC35^2)+(AC36^2)+(AC37^2))</f>
        <v>6.4480000000000006E-7</v>
      </c>
    </row>
    <row r="40" spans="1:29" x14ac:dyDescent="0.25">
      <c r="J40" s="574"/>
      <c r="K40" s="574"/>
      <c r="P40" s="323"/>
      <c r="Q40" s="323"/>
      <c r="V40" s="324"/>
      <c r="W40" s="324"/>
      <c r="AB40" s="587"/>
      <c r="AC40" s="587"/>
    </row>
    <row r="41" spans="1:29" x14ac:dyDescent="0.25">
      <c r="A41" s="149" t="s">
        <v>368</v>
      </c>
      <c r="J41" s="575"/>
      <c r="K41" s="575"/>
      <c r="P41" s="323"/>
      <c r="Q41" s="323"/>
      <c r="V41" s="324"/>
      <c r="W41" s="324"/>
      <c r="AB41" s="587"/>
      <c r="AC41" s="587"/>
    </row>
    <row r="42" spans="1:29" x14ac:dyDescent="0.25">
      <c r="A42" s="149" t="s">
        <v>839</v>
      </c>
      <c r="J42" s="576">
        <f>IF($C$7=44,J14,IF($C$7=40,J21,IF($C$7=32,J28,J35)))</f>
        <v>0.43157226860176823</v>
      </c>
      <c r="K42" s="576">
        <f>IF($C$7=44,K14,IF($C$7=40,K21,IF($C$7=32,K28,K35)))</f>
        <v>2.0283896624283107E-2</v>
      </c>
      <c r="P42" s="582">
        <f>IF($C$7=44,P14,IF($C$7=40,P21,IF($C$7=32,P28,P35)))</f>
        <v>3.0970237355392501E-2</v>
      </c>
      <c r="Q42" s="582">
        <f>IF($C$7=44,Q14,IF($C$7=40,Q21,IF($C$7=32,Q28,Q35)))</f>
        <v>1.4556011557034477E-3</v>
      </c>
      <c r="V42" s="593">
        <f>IF($C$7=44,V14,IF($C$7=40,V21,IF($C$7=32,V28,V35)))</f>
        <v>6.4353739959257139E-6</v>
      </c>
      <c r="W42" s="593">
        <f>IF($C$7=44,W14,IF($C$7=40,W21,IF($C$7=32,W28,W35)))</f>
        <v>3.0246257780850857E-7</v>
      </c>
      <c r="AB42" s="588">
        <f>IF($C$7=44,AB14,IF($C$7=40,AB21,IF($C$7=32,AB28,AB35)))</f>
        <v>8.3659861947034292E-6</v>
      </c>
      <c r="AC42" s="588">
        <f>IF($C$7=44,AC14,IF($C$7=40,AC21,IF($C$7=32,AC28,AC35)))</f>
        <v>3.9320135115106121E-7</v>
      </c>
    </row>
    <row r="43" spans="1:29" x14ac:dyDescent="0.25">
      <c r="A43" s="149" t="s">
        <v>841</v>
      </c>
      <c r="J43" s="576">
        <f t="shared" ref="J43:K44" si="0">IF($C$7=44,J15,IF($C$7=40,J22,IF($C$7=32,J29,J36)))</f>
        <v>0</v>
      </c>
      <c r="K43" s="576">
        <f t="shared" si="0"/>
        <v>0</v>
      </c>
      <c r="P43" s="582">
        <f t="shared" ref="P43:Q44" si="1">IF($C$7=44,P15,IF($C$7=40,P22,IF($C$7=32,P29,P36)))</f>
        <v>0</v>
      </c>
      <c r="Q43" s="582">
        <f t="shared" si="1"/>
        <v>0</v>
      </c>
      <c r="V43" s="593">
        <f t="shared" ref="V43:W44" si="2">IF($C$7=44,V15,IF($C$7=40,V22,IF($C$7=32,V29,V36)))</f>
        <v>0</v>
      </c>
      <c r="W43" s="593">
        <f t="shared" si="2"/>
        <v>0</v>
      </c>
      <c r="AB43" s="588">
        <f t="shared" ref="AB43:AC44" si="3">IF($C$7=44,AB15,IF($C$7=40,AB22,IF($C$7=32,AB29,AB36)))</f>
        <v>0</v>
      </c>
      <c r="AC43" s="588">
        <f t="shared" si="3"/>
        <v>0</v>
      </c>
    </row>
    <row r="44" spans="1:29" x14ac:dyDescent="0.25">
      <c r="A44" s="149" t="s">
        <v>223</v>
      </c>
      <c r="J44" s="576">
        <f t="shared" si="0"/>
        <v>0</v>
      </c>
      <c r="K44" s="576">
        <f t="shared" si="0"/>
        <v>0</v>
      </c>
      <c r="P44" s="582">
        <f t="shared" si="1"/>
        <v>0</v>
      </c>
      <c r="Q44" s="582">
        <f t="shared" si="1"/>
        <v>0</v>
      </c>
      <c r="V44" s="593">
        <f t="shared" si="2"/>
        <v>0</v>
      </c>
      <c r="W44" s="593">
        <f t="shared" si="2"/>
        <v>0</v>
      </c>
      <c r="AB44" s="588">
        <f t="shared" si="3"/>
        <v>0</v>
      </c>
      <c r="AC44" s="588">
        <f t="shared" si="3"/>
        <v>0</v>
      </c>
    </row>
    <row r="45" spans="1:29" x14ac:dyDescent="0.25">
      <c r="A45" s="2"/>
      <c r="J45" s="574"/>
      <c r="K45" s="574"/>
      <c r="P45" s="323"/>
      <c r="Q45" s="323"/>
      <c r="V45" s="324"/>
      <c r="W45" s="324"/>
      <c r="AB45" s="587"/>
      <c r="AC45" s="587"/>
    </row>
    <row r="46" spans="1:29" x14ac:dyDescent="0.25">
      <c r="A46" s="2" t="s">
        <v>369</v>
      </c>
      <c r="J46" s="577">
        <f t="shared" ref="J46:K46" si="4">IF($C$7=44,J18,IF($C$7=40,J25,IF($C$7=32,J32,J39)))</f>
        <v>0.43157226860176823</v>
      </c>
      <c r="K46" s="577">
        <f t="shared" si="4"/>
        <v>2.0283896624283107E-2</v>
      </c>
      <c r="P46" s="583">
        <f t="shared" ref="P46:Q46" si="5">IF($C$7=44,P18,IF($C$7=40,P25,IF($C$7=32,P32,P39)))</f>
        <v>3.0970237355392501E-2</v>
      </c>
      <c r="Q46" s="583">
        <f t="shared" si="5"/>
        <v>1.4556011557034477E-3</v>
      </c>
      <c r="V46" s="594">
        <f t="shared" ref="V46:W46" si="6">IF($C$7=44,V18,IF($C$7=40,V25,IF($C$7=32,V32,V39)))</f>
        <v>6.4353739959257139E-6</v>
      </c>
      <c r="W46" s="594">
        <f t="shared" si="6"/>
        <v>3.0246257780850857E-7</v>
      </c>
      <c r="AB46" s="595">
        <f t="shared" ref="AB46:AC46" si="7">IF($C$7=44,AB18,IF($C$7=40,AB25,IF($C$7=32,AB32,AB39)))</f>
        <v>8.3659861947034292E-6</v>
      </c>
      <c r="AC46" s="595">
        <f t="shared" si="7"/>
        <v>3.9320135115106121E-7</v>
      </c>
    </row>
  </sheetData>
  <pageMargins left="0.75" right="0.75" top="1" bottom="1" header="0.5" footer="0.5"/>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6"/>
  <sheetViews>
    <sheetView workbookViewId="0">
      <pane xSplit="1" ySplit="11" topLeftCell="B12" activePane="bottomRight" state="frozen"/>
      <selection pane="topRight" activeCell="B1" sqref="B1"/>
      <selection pane="bottomLeft" activeCell="A11" sqref="A11"/>
      <selection pane="bottomRight"/>
    </sheetView>
  </sheetViews>
  <sheetFormatPr defaultColWidth="9.109375" defaultRowHeight="13.2" x14ac:dyDescent="0.25"/>
  <cols>
    <col min="1" max="1" width="46.44140625" style="116" customWidth="1"/>
    <col min="2" max="2" width="15.33203125" style="116" customWidth="1"/>
    <col min="3" max="3" width="11.5546875" style="116" customWidth="1"/>
    <col min="4" max="9" width="9.109375" style="116"/>
    <col min="10" max="10" width="13.33203125" style="116" customWidth="1"/>
    <col min="11" max="11" width="14.33203125" style="116" customWidth="1"/>
    <col min="12" max="15" width="9.109375" style="116"/>
    <col min="16" max="16" width="17.5546875" style="116" customWidth="1"/>
    <col min="17" max="17" width="17.6640625" style="116" customWidth="1"/>
    <col min="18" max="21" width="9.109375" style="116"/>
    <col min="22" max="22" width="15.6640625" style="116" customWidth="1"/>
    <col min="23" max="23" width="18" style="116" customWidth="1"/>
    <col min="24" max="27" width="9.109375" style="116"/>
    <col min="28" max="28" width="17.109375" style="116" customWidth="1"/>
    <col min="29" max="29" width="17.6640625" style="116" customWidth="1"/>
    <col min="30" max="16384" width="9.109375" style="116"/>
  </cols>
  <sheetData>
    <row r="1" spans="1:29" x14ac:dyDescent="0.25">
      <c r="A1" s="149" t="s">
        <v>240</v>
      </c>
      <c r="B1" s="289" t="s">
        <v>737</v>
      </c>
    </row>
    <row r="2" spans="1:29" x14ac:dyDescent="0.25">
      <c r="A2" s="149" t="s">
        <v>243</v>
      </c>
      <c r="B2" s="116" t="s">
        <v>170</v>
      </c>
    </row>
    <row r="3" spans="1:29" x14ac:dyDescent="0.25">
      <c r="A3" s="149" t="s">
        <v>241</v>
      </c>
      <c r="B3" s="116" t="s">
        <v>171</v>
      </c>
    </row>
    <row r="4" spans="1:29" x14ac:dyDescent="0.25">
      <c r="A4" s="149" t="s">
        <v>242</v>
      </c>
      <c r="B4" s="1">
        <v>2001</v>
      </c>
    </row>
    <row r="5" spans="1:29" x14ac:dyDescent="0.25">
      <c r="A5" s="149"/>
    </row>
    <row r="6" spans="1:29" x14ac:dyDescent="0.25">
      <c r="A6" s="564" t="s">
        <v>408</v>
      </c>
      <c r="B6" s="407"/>
      <c r="C6" s="408"/>
    </row>
    <row r="7" spans="1:29" x14ac:dyDescent="0.25">
      <c r="A7" s="571" t="s">
        <v>571</v>
      </c>
      <c r="B7" s="572" t="s">
        <v>431</v>
      </c>
      <c r="C7" s="570">
        <f>Unitflowchart!S343</f>
        <v>44</v>
      </c>
    </row>
    <row r="8" spans="1:29" x14ac:dyDescent="0.25">
      <c r="A8" s="409" t="s">
        <v>363</v>
      </c>
      <c r="B8" s="410" t="s">
        <v>364</v>
      </c>
      <c r="C8" s="411">
        <f>include_machinery</f>
        <v>0</v>
      </c>
    </row>
    <row r="10" spans="1:29" x14ac:dyDescent="0.25">
      <c r="A10" s="117" t="s">
        <v>245</v>
      </c>
      <c r="B10" s="117" t="s">
        <v>244</v>
      </c>
      <c r="C10" s="117"/>
      <c r="D10" s="117"/>
      <c r="E10" s="194" t="s">
        <v>27</v>
      </c>
      <c r="F10" s="117" t="s">
        <v>247</v>
      </c>
      <c r="G10" s="117"/>
      <c r="H10" s="117"/>
      <c r="I10" s="194" t="s">
        <v>27</v>
      </c>
      <c r="J10" s="117" t="s">
        <v>91</v>
      </c>
      <c r="K10" s="117"/>
      <c r="L10" s="117" t="s">
        <v>251</v>
      </c>
      <c r="M10" s="117"/>
      <c r="N10" s="117"/>
      <c r="O10" s="194" t="s">
        <v>27</v>
      </c>
      <c r="P10" s="117" t="s">
        <v>365</v>
      </c>
      <c r="Q10" s="117"/>
      <c r="R10" s="117" t="s">
        <v>253</v>
      </c>
      <c r="S10" s="117"/>
      <c r="T10" s="117"/>
      <c r="U10" s="194" t="s">
        <v>27</v>
      </c>
      <c r="V10" s="117" t="s">
        <v>366</v>
      </c>
      <c r="W10" s="117"/>
      <c r="X10" s="117" t="s">
        <v>255</v>
      </c>
      <c r="Y10" s="117"/>
      <c r="Z10" s="117"/>
      <c r="AA10" s="194" t="s">
        <v>27</v>
      </c>
      <c r="AB10" s="117" t="s">
        <v>367</v>
      </c>
      <c r="AC10" s="117"/>
    </row>
    <row r="11" spans="1:29" x14ac:dyDescent="0.25">
      <c r="A11" s="310" t="s">
        <v>92</v>
      </c>
      <c r="B11" s="117" t="s">
        <v>246</v>
      </c>
      <c r="C11" s="117" t="s">
        <v>248</v>
      </c>
      <c r="D11" s="117" t="s">
        <v>249</v>
      </c>
      <c r="E11" s="194"/>
      <c r="F11" s="117" t="s">
        <v>246</v>
      </c>
      <c r="G11" s="117" t="s">
        <v>248</v>
      </c>
      <c r="H11" s="117" t="s">
        <v>249</v>
      </c>
      <c r="I11" s="194"/>
      <c r="J11" s="117" t="s">
        <v>248</v>
      </c>
      <c r="K11" s="117" t="s">
        <v>249</v>
      </c>
      <c r="L11" s="117" t="s">
        <v>246</v>
      </c>
      <c r="M11" s="117" t="s">
        <v>248</v>
      </c>
      <c r="N11" s="117" t="s">
        <v>249</v>
      </c>
      <c r="O11" s="194"/>
      <c r="P11" s="117" t="s">
        <v>248</v>
      </c>
      <c r="Q11" s="117" t="s">
        <v>249</v>
      </c>
      <c r="R11" s="117" t="s">
        <v>246</v>
      </c>
      <c r="S11" s="117" t="s">
        <v>248</v>
      </c>
      <c r="T11" s="117" t="s">
        <v>249</v>
      </c>
      <c r="U11" s="194"/>
      <c r="V11" s="117" t="s">
        <v>248</v>
      </c>
      <c r="W11" s="117" t="s">
        <v>249</v>
      </c>
      <c r="X11" s="117" t="s">
        <v>246</v>
      </c>
      <c r="Y11" s="117" t="s">
        <v>248</v>
      </c>
      <c r="Z11" s="117" t="s">
        <v>249</v>
      </c>
      <c r="AA11" s="194"/>
      <c r="AB11" s="117" t="s">
        <v>248</v>
      </c>
      <c r="AC11" s="117" t="s">
        <v>249</v>
      </c>
    </row>
    <row r="12" spans="1:29" x14ac:dyDescent="0.25">
      <c r="A12" s="117"/>
      <c r="B12" s="117"/>
      <c r="C12" s="117"/>
      <c r="D12" s="117"/>
      <c r="E12" s="194"/>
      <c r="F12" s="117"/>
      <c r="G12" s="117"/>
      <c r="H12" s="117"/>
      <c r="I12" s="194"/>
      <c r="J12" s="117"/>
      <c r="K12" s="117"/>
      <c r="L12" s="117"/>
      <c r="M12" s="117"/>
      <c r="N12" s="117"/>
      <c r="O12" s="194"/>
      <c r="P12" s="117"/>
      <c r="Q12" s="117"/>
      <c r="R12" s="117"/>
      <c r="S12" s="117"/>
      <c r="T12" s="117"/>
      <c r="U12" s="194"/>
      <c r="V12" s="117"/>
      <c r="W12" s="117"/>
      <c r="X12" s="117"/>
      <c r="Y12" s="117"/>
      <c r="Z12" s="117"/>
      <c r="AA12" s="194"/>
      <c r="AB12" s="117"/>
      <c r="AC12" s="117"/>
    </row>
    <row r="13" spans="1:29" x14ac:dyDescent="0.25">
      <c r="A13" s="311" t="s">
        <v>658</v>
      </c>
      <c r="B13" s="312"/>
      <c r="C13" s="312"/>
      <c r="D13" s="312"/>
      <c r="E13" s="313"/>
      <c r="F13" s="312"/>
      <c r="G13" s="312"/>
      <c r="H13" s="312"/>
      <c r="I13" s="313"/>
      <c r="J13" s="312"/>
      <c r="K13" s="312"/>
      <c r="L13" s="312"/>
      <c r="M13" s="312"/>
      <c r="N13" s="312"/>
      <c r="O13" s="313"/>
      <c r="P13" s="312"/>
      <c r="Q13" s="312"/>
      <c r="R13" s="312"/>
      <c r="S13" s="312"/>
      <c r="T13" s="312"/>
      <c r="U13" s="313"/>
      <c r="V13" s="312"/>
      <c r="W13" s="312"/>
      <c r="X13" s="312"/>
      <c r="Y13" s="312"/>
      <c r="Z13" s="312"/>
      <c r="AA13" s="313"/>
      <c r="AB13" s="312"/>
      <c r="AC13" s="312"/>
    </row>
    <row r="14" spans="1:29" ht="12.75" customHeight="1" x14ac:dyDescent="0.25">
      <c r="A14" s="314" t="s">
        <v>839</v>
      </c>
      <c r="B14" s="314" t="s">
        <v>17</v>
      </c>
      <c r="C14" s="568">
        <v>0.40221087474535716</v>
      </c>
      <c r="D14" s="568">
        <v>1.8903911113031788E-2</v>
      </c>
      <c r="E14" s="315" t="s">
        <v>1158</v>
      </c>
      <c r="F14" s="314" t="s">
        <v>6</v>
      </c>
      <c r="G14" s="569">
        <v>1.073</v>
      </c>
      <c r="H14" s="569">
        <v>0</v>
      </c>
      <c r="I14" s="312" t="s">
        <v>1161</v>
      </c>
      <c r="J14" s="573">
        <f>C14*G14</f>
        <v>0.43157226860176823</v>
      </c>
      <c r="K14" s="573">
        <f>SQRT(((D14*G14)^2)+((C14*H14)^2))</f>
        <v>2.0283896624283107E-2</v>
      </c>
      <c r="L14" s="312" t="s">
        <v>7</v>
      </c>
      <c r="M14" s="569">
        <v>7.6999999999999999E-2</v>
      </c>
      <c r="N14" s="569">
        <v>0</v>
      </c>
      <c r="O14" s="312" t="s">
        <v>1165</v>
      </c>
      <c r="P14" s="578">
        <f>C14*M14</f>
        <v>3.0970237355392501E-2</v>
      </c>
      <c r="Q14" s="578">
        <f>SQRT(((D14*M14)^2)+((C14*N14)^2))</f>
        <v>1.4556011557034477E-3</v>
      </c>
      <c r="R14" s="312" t="s">
        <v>8</v>
      </c>
      <c r="S14" s="569">
        <v>1.5999999999999999E-5</v>
      </c>
      <c r="T14" s="569">
        <v>0</v>
      </c>
      <c r="U14" s="312" t="s">
        <v>1166</v>
      </c>
      <c r="V14" s="589">
        <f>C14*S14</f>
        <v>6.4353739959257139E-6</v>
      </c>
      <c r="W14" s="589">
        <f>SQRT(((D14*S14)^2)+((C14*T14)^2))</f>
        <v>3.0246257780850857E-7</v>
      </c>
      <c r="X14" s="312" t="s">
        <v>9</v>
      </c>
      <c r="Y14" s="569">
        <v>2.0800000000000001E-5</v>
      </c>
      <c r="Z14" s="569">
        <v>0</v>
      </c>
      <c r="AA14" s="312" t="s">
        <v>1168</v>
      </c>
      <c r="AB14" s="390">
        <f>C14*Y14</f>
        <v>8.3659861947034292E-6</v>
      </c>
      <c r="AC14" s="390">
        <f>SQRT(((D14*Y14)^2)+((C14*Z14)^2))</f>
        <v>3.9320135115106121E-7</v>
      </c>
    </row>
    <row r="15" spans="1:29" ht="12.75" customHeight="1" x14ac:dyDescent="0.25">
      <c r="A15" s="314" t="s">
        <v>840</v>
      </c>
      <c r="B15" s="314" t="s">
        <v>17</v>
      </c>
      <c r="C15" s="568">
        <v>4.4670266666666673E-2</v>
      </c>
      <c r="D15" s="568">
        <v>5.181750933333334E-3</v>
      </c>
      <c r="E15" s="317" t="s">
        <v>1159</v>
      </c>
      <c r="F15" s="314" t="s">
        <v>6</v>
      </c>
      <c r="G15" s="568">
        <v>1</v>
      </c>
      <c r="H15" s="568">
        <v>0</v>
      </c>
      <c r="I15" s="317"/>
      <c r="J15" s="505">
        <f>$C15*$G15*$C$8</f>
        <v>0</v>
      </c>
      <c r="K15" s="505">
        <f>SQRT((($D15*$G15)^2)+(($C15*$H15)^2))*$C$8</f>
        <v>0</v>
      </c>
      <c r="L15" s="314" t="s">
        <v>220</v>
      </c>
      <c r="M15" s="568">
        <v>3.0166933333333336E-3</v>
      </c>
      <c r="N15" s="568">
        <v>3.4993642666666675E-4</v>
      </c>
      <c r="O15" s="317" t="s">
        <v>1169</v>
      </c>
      <c r="P15" s="578">
        <f>M15*$C$8</f>
        <v>0</v>
      </c>
      <c r="Q15" s="578">
        <f>N15*$C$8</f>
        <v>0</v>
      </c>
      <c r="R15" s="314" t="s">
        <v>221</v>
      </c>
      <c r="S15" s="568">
        <v>4.7773980000000006E-6</v>
      </c>
      <c r="T15" s="568">
        <v>5.5417816800000013E-7</v>
      </c>
      <c r="U15" s="317" t="s">
        <v>1171</v>
      </c>
      <c r="V15" s="589">
        <f>S15*$C$8</f>
        <v>0</v>
      </c>
      <c r="W15" s="589">
        <f>T15*$C$8</f>
        <v>0</v>
      </c>
      <c r="X15" s="314" t="s">
        <v>222</v>
      </c>
      <c r="Y15" s="568">
        <v>2.3785466666666669E-7</v>
      </c>
      <c r="Z15" s="568">
        <v>2.7591141333333336E-8</v>
      </c>
      <c r="AA15" s="317" t="s">
        <v>1174</v>
      </c>
      <c r="AB15" s="390">
        <f>Y15*$C$8</f>
        <v>0</v>
      </c>
      <c r="AC15" s="390">
        <f>Z15*$C$8</f>
        <v>0</v>
      </c>
    </row>
    <row r="16" spans="1:29" ht="15" customHeight="1" x14ac:dyDescent="0.25">
      <c r="A16" s="314" t="s">
        <v>223</v>
      </c>
      <c r="B16" s="314" t="s">
        <v>11</v>
      </c>
      <c r="C16" s="568">
        <v>2</v>
      </c>
      <c r="D16" s="568">
        <v>0.3</v>
      </c>
      <c r="E16" s="317" t="s">
        <v>1160</v>
      </c>
      <c r="F16" s="314"/>
      <c r="G16" s="319"/>
      <c r="H16" s="319"/>
      <c r="I16" s="317"/>
      <c r="J16" s="505">
        <f>($C$16/100)*$J$15</f>
        <v>0</v>
      </c>
      <c r="K16" s="505">
        <f>SQRT(((($D$16/100)*J15)^2)+((($C$16/100)*K15)^2))</f>
        <v>0</v>
      </c>
      <c r="L16" s="314"/>
      <c r="M16" s="319"/>
      <c r="N16" s="319"/>
      <c r="O16" s="317" t="s">
        <v>1170</v>
      </c>
      <c r="P16" s="579">
        <f>($C$16/100)*$P15</f>
        <v>0</v>
      </c>
      <c r="Q16" s="579">
        <f>SQRT(((($D$16/100)*$P15)^2)+((($C$16/100)*$Q15)^2))</f>
        <v>0</v>
      </c>
      <c r="R16" s="314"/>
      <c r="S16" s="319"/>
      <c r="T16" s="319"/>
      <c r="U16" s="317" t="s">
        <v>1172</v>
      </c>
      <c r="V16" s="590">
        <f>($C$16/100)*$V15</f>
        <v>0</v>
      </c>
      <c r="W16" s="590">
        <f>SQRT(((($D$16/100)*$V15)^2)+((($C$16/100)*$W15)^2))</f>
        <v>0</v>
      </c>
      <c r="X16" s="314"/>
      <c r="Y16" s="319"/>
      <c r="Z16" s="319"/>
      <c r="AA16" s="317" t="s">
        <v>1175</v>
      </c>
      <c r="AB16" s="584">
        <f>($C$16/100)*$AB15</f>
        <v>0</v>
      </c>
      <c r="AC16" s="584">
        <f>SQRT(((($D$16/100)*$AB15)^2)+((($C$16/100)*$AC15)^2))</f>
        <v>0</v>
      </c>
    </row>
    <row r="17" spans="1:29" x14ac:dyDescent="0.25">
      <c r="A17" s="314"/>
      <c r="B17" s="314"/>
      <c r="C17" s="314"/>
      <c r="D17" s="314"/>
      <c r="E17" s="317"/>
      <c r="F17" s="314"/>
      <c r="G17" s="314"/>
      <c r="H17" s="314"/>
      <c r="I17" s="317"/>
      <c r="J17" s="503"/>
      <c r="K17" s="503"/>
      <c r="L17" s="314"/>
      <c r="M17" s="314"/>
      <c r="N17" s="314"/>
      <c r="O17" s="317"/>
      <c r="P17" s="580"/>
      <c r="Q17" s="580"/>
      <c r="R17" s="314"/>
      <c r="S17" s="314"/>
      <c r="T17" s="314"/>
      <c r="U17" s="317"/>
      <c r="V17" s="591"/>
      <c r="W17" s="591"/>
      <c r="X17" s="314"/>
      <c r="Y17" s="314"/>
      <c r="Z17" s="314"/>
      <c r="AA17" s="317"/>
      <c r="AB17" s="585"/>
      <c r="AC17" s="585"/>
    </row>
    <row r="18" spans="1:29" x14ac:dyDescent="0.25">
      <c r="A18" s="320" t="s">
        <v>18</v>
      </c>
      <c r="B18" s="320"/>
      <c r="C18" s="320"/>
      <c r="D18" s="320"/>
      <c r="E18" s="321"/>
      <c r="F18" s="320"/>
      <c r="G18" s="320"/>
      <c r="H18" s="320"/>
      <c r="I18" s="321"/>
      <c r="J18" s="504">
        <f>SUM(J14:J16)</f>
        <v>0.43157226860176823</v>
      </c>
      <c r="K18" s="504">
        <f>SQRT((K14^2)+(K15^2)+(K16^2))</f>
        <v>2.0283896624283107E-2</v>
      </c>
      <c r="L18" s="320"/>
      <c r="M18" s="320"/>
      <c r="N18" s="320"/>
      <c r="O18" s="321"/>
      <c r="P18" s="581">
        <f>SUM(P14:P16)</f>
        <v>3.0970237355392501E-2</v>
      </c>
      <c r="Q18" s="581">
        <f>SQRT((Q14^2)+(Q15^2)+(Q16^2))</f>
        <v>1.4556011557034477E-3</v>
      </c>
      <c r="R18" s="320"/>
      <c r="S18" s="320"/>
      <c r="T18" s="320"/>
      <c r="U18" s="321"/>
      <c r="V18" s="592">
        <f>SUM(V14:V16)</f>
        <v>6.4353739959257139E-6</v>
      </c>
      <c r="W18" s="592">
        <f>SQRT((W14^2)+(W15^2)+(W16^2))</f>
        <v>3.0246257780850857E-7</v>
      </c>
      <c r="X18" s="320"/>
      <c r="Y18" s="320"/>
      <c r="Z18" s="320"/>
      <c r="AA18" s="321"/>
      <c r="AB18" s="586">
        <f>SUM(AB14:AB16)</f>
        <v>8.3659861947034292E-6</v>
      </c>
      <c r="AC18" s="586">
        <f>SQRT((AC14^2)+(AC15^2)+(AC16^2))</f>
        <v>3.9320135115106121E-7</v>
      </c>
    </row>
    <row r="19" spans="1:29" x14ac:dyDescent="0.25">
      <c r="J19" s="574"/>
      <c r="K19" s="574"/>
      <c r="P19" s="323"/>
      <c r="Q19" s="323"/>
      <c r="V19" s="324"/>
      <c r="W19" s="324"/>
      <c r="AB19" s="587"/>
      <c r="AC19" s="587"/>
    </row>
    <row r="20" spans="1:29" x14ac:dyDescent="0.25">
      <c r="A20" s="322" t="s">
        <v>660</v>
      </c>
      <c r="J20" s="574"/>
      <c r="K20" s="574"/>
      <c r="P20" s="323"/>
      <c r="Q20" s="323"/>
      <c r="V20" s="324"/>
      <c r="W20" s="324"/>
      <c r="AB20" s="587"/>
      <c r="AC20" s="587"/>
    </row>
    <row r="21" spans="1:29" ht="14.25" customHeight="1" x14ac:dyDescent="0.25">
      <c r="A21" s="314" t="s">
        <v>839</v>
      </c>
      <c r="B21" s="314" t="s">
        <v>17</v>
      </c>
      <c r="C21" s="568">
        <v>0.39664394222292981</v>
      </c>
      <c r="D21" s="568">
        <v>1.86422652844777E-2</v>
      </c>
      <c r="E21" s="317" t="s">
        <v>1158</v>
      </c>
      <c r="F21" s="314" t="s">
        <v>6</v>
      </c>
      <c r="G21" s="569">
        <v>1.073</v>
      </c>
      <c r="H21" s="569">
        <v>0</v>
      </c>
      <c r="I21" s="312" t="s">
        <v>1161</v>
      </c>
      <c r="J21" s="573">
        <f>C21*G21</f>
        <v>0.42559895000520365</v>
      </c>
      <c r="K21" s="573">
        <f>SQRT(((D21*G21)^2)+((C21*H21)^2))</f>
        <v>2.0003150650244571E-2</v>
      </c>
      <c r="L21" s="312" t="s">
        <v>7</v>
      </c>
      <c r="M21" s="569">
        <v>7.6999999999999999E-2</v>
      </c>
      <c r="N21" s="569">
        <v>0</v>
      </c>
      <c r="O21" s="312" t="s">
        <v>1165</v>
      </c>
      <c r="P21" s="578">
        <f>C21*M21</f>
        <v>3.0541583551165596E-2</v>
      </c>
      <c r="Q21" s="578">
        <f>SQRT(((D21*M21)^2)+((C21*N21)^2))</f>
        <v>1.4354544269047829E-3</v>
      </c>
      <c r="R21" s="312" t="s">
        <v>8</v>
      </c>
      <c r="S21" s="569">
        <v>1.5999999999999999E-5</v>
      </c>
      <c r="T21" s="569">
        <v>0</v>
      </c>
      <c r="U21" s="312" t="s">
        <v>1173</v>
      </c>
      <c r="V21" s="589">
        <f>C21*S21</f>
        <v>6.3463030755668767E-6</v>
      </c>
      <c r="W21" s="589">
        <f>SQRT(((D21*S21)^2)+((C21*T21)^2))</f>
        <v>2.9827624455164321E-7</v>
      </c>
      <c r="X21" s="312" t="s">
        <v>9</v>
      </c>
      <c r="Y21" s="569">
        <v>2.0800000000000001E-5</v>
      </c>
      <c r="Z21" s="569">
        <v>0</v>
      </c>
      <c r="AA21" s="312" t="s">
        <v>1168</v>
      </c>
      <c r="AB21" s="390">
        <f>C21*Y21</f>
        <v>8.2501939982369412E-6</v>
      </c>
      <c r="AC21" s="390">
        <f>SQRT(((D21*Y21)^2)+((C21*Z21)^2))</f>
        <v>3.877591179171362E-7</v>
      </c>
    </row>
    <row r="22" spans="1:29" ht="15" customHeight="1" x14ac:dyDescent="0.25">
      <c r="A22" s="314" t="s">
        <v>840</v>
      </c>
      <c r="B22" s="314" t="s">
        <v>17</v>
      </c>
      <c r="C22" s="568">
        <v>3.586992156862745E-2</v>
      </c>
      <c r="D22" s="568">
        <v>4.1609109019607841E-3</v>
      </c>
      <c r="E22" s="317" t="s">
        <v>1159</v>
      </c>
      <c r="F22" s="314" t="s">
        <v>6</v>
      </c>
      <c r="G22" s="568">
        <v>1</v>
      </c>
      <c r="H22" s="568">
        <v>0</v>
      </c>
      <c r="I22" s="317"/>
      <c r="J22" s="505">
        <f>$C22*$G22*$C$8</f>
        <v>0</v>
      </c>
      <c r="K22" s="505">
        <f>SQRT((($D22*$G22)^2)+(($C22*$H22)^2))*$C$8</f>
        <v>0</v>
      </c>
      <c r="L22" s="314" t="s">
        <v>220</v>
      </c>
      <c r="M22" s="568">
        <v>2.4223843137254901E-3</v>
      </c>
      <c r="N22" s="568">
        <v>2.8099658039215685E-4</v>
      </c>
      <c r="O22" s="317" t="s">
        <v>1169</v>
      </c>
      <c r="P22" s="578">
        <f>M22*$C$8</f>
        <v>0</v>
      </c>
      <c r="Q22" s="578">
        <f>N22*$C$8</f>
        <v>0</v>
      </c>
      <c r="R22" s="314" t="s">
        <v>221</v>
      </c>
      <c r="S22" s="568">
        <v>3.8362182352941178E-6</v>
      </c>
      <c r="T22" s="568">
        <v>4.4500131529411761E-7</v>
      </c>
      <c r="U22" s="317" t="s">
        <v>1167</v>
      </c>
      <c r="V22" s="589">
        <f>S22*$C$8</f>
        <v>0</v>
      </c>
      <c r="W22" s="589">
        <f>T22*$C$8</f>
        <v>0</v>
      </c>
      <c r="X22" s="314" t="s">
        <v>222</v>
      </c>
      <c r="Y22" s="568">
        <v>1.909956862745098E-7</v>
      </c>
      <c r="Z22" s="568">
        <v>2.2155499607843137E-8</v>
      </c>
      <c r="AA22" s="317" t="s">
        <v>1174</v>
      </c>
      <c r="AB22" s="390">
        <f>Y22*$C$8</f>
        <v>0</v>
      </c>
      <c r="AC22" s="390">
        <f>Z22*$C$8</f>
        <v>0</v>
      </c>
    </row>
    <row r="23" spans="1:29" ht="14.25" customHeight="1" x14ac:dyDescent="0.25">
      <c r="A23" s="314" t="s">
        <v>223</v>
      </c>
      <c r="B23" s="314" t="s">
        <v>11</v>
      </c>
      <c r="C23" s="568">
        <v>2</v>
      </c>
      <c r="D23" s="568">
        <v>0.3</v>
      </c>
      <c r="E23" s="317" t="s">
        <v>1160</v>
      </c>
      <c r="F23" s="314"/>
      <c r="G23" s="319"/>
      <c r="H23" s="319"/>
      <c r="I23" s="317"/>
      <c r="J23" s="505">
        <f>($C$16/100)*$J$15</f>
        <v>0</v>
      </c>
      <c r="K23" s="505">
        <f>SQRT(((($D$16/100)*J22)^2)+((($C$16/100)*K22)^2))</f>
        <v>0</v>
      </c>
      <c r="L23" s="314"/>
      <c r="M23" s="319"/>
      <c r="N23" s="319"/>
      <c r="O23" s="317" t="s">
        <v>1170</v>
      </c>
      <c r="P23" s="579">
        <f>($C$16/100)*$P22</f>
        <v>0</v>
      </c>
      <c r="Q23" s="579">
        <f>SQRT(((($D$16/100)*$P22)^2)+((($C$16/100)*$Q22)^2))</f>
        <v>0</v>
      </c>
      <c r="R23" s="314"/>
      <c r="S23" s="319"/>
      <c r="T23" s="319"/>
      <c r="U23" s="317" t="s">
        <v>1172</v>
      </c>
      <c r="V23" s="590">
        <f>($C$16/100)*$V22</f>
        <v>0</v>
      </c>
      <c r="W23" s="590">
        <f>SQRT(((($D$16/100)*$V22)^2)+((($C$16/100)*$W22)^2))</f>
        <v>0</v>
      </c>
      <c r="X23" s="314"/>
      <c r="Y23" s="319"/>
      <c r="Z23" s="319"/>
      <c r="AA23" s="317" t="s">
        <v>1175</v>
      </c>
      <c r="AB23" s="584">
        <f>($C$16/100)*$AB22</f>
        <v>0</v>
      </c>
      <c r="AC23" s="584">
        <f>SQRT(((($D$16/100)*$AB22)^2)+((($C$16/100)*$AC22)^2))</f>
        <v>0</v>
      </c>
    </row>
    <row r="24" spans="1:29" x14ac:dyDescent="0.25">
      <c r="A24" s="314"/>
      <c r="B24" s="314"/>
      <c r="C24" s="314"/>
      <c r="D24" s="314"/>
      <c r="E24" s="317"/>
      <c r="F24" s="314"/>
      <c r="G24" s="314"/>
      <c r="H24" s="314"/>
      <c r="I24" s="317"/>
      <c r="J24" s="503"/>
      <c r="K24" s="503"/>
      <c r="L24" s="314"/>
      <c r="M24" s="314"/>
      <c r="N24" s="314"/>
      <c r="O24" s="317"/>
      <c r="P24" s="580"/>
      <c r="Q24" s="580"/>
      <c r="R24" s="314"/>
      <c r="S24" s="314"/>
      <c r="T24" s="314"/>
      <c r="U24" s="317"/>
      <c r="V24" s="591"/>
      <c r="W24" s="591"/>
      <c r="X24" s="314"/>
      <c r="Y24" s="314"/>
      <c r="Z24" s="314"/>
      <c r="AA24" s="317"/>
      <c r="AB24" s="585"/>
      <c r="AC24" s="585"/>
    </row>
    <row r="25" spans="1:29" x14ac:dyDescent="0.25">
      <c r="A25" s="320" t="s">
        <v>18</v>
      </c>
      <c r="B25" s="320"/>
      <c r="C25" s="320"/>
      <c r="D25" s="320"/>
      <c r="E25" s="321"/>
      <c r="F25" s="320"/>
      <c r="G25" s="320"/>
      <c r="H25" s="320"/>
      <c r="I25" s="321"/>
      <c r="J25" s="504">
        <f>SUM(J21:J23)</f>
        <v>0.42559895000520365</v>
      </c>
      <c r="K25" s="504">
        <f>SQRT((K21^2)+(K22^2)+(K23^2))</f>
        <v>2.0003150650244571E-2</v>
      </c>
      <c r="L25" s="320"/>
      <c r="M25" s="320"/>
      <c r="N25" s="320"/>
      <c r="O25" s="321"/>
      <c r="P25" s="581">
        <f>SUM(P21:P23)</f>
        <v>3.0541583551165596E-2</v>
      </c>
      <c r="Q25" s="581">
        <f>SQRT((Q21^2)+(Q22^2)+(Q23^2))</f>
        <v>1.4354544269047829E-3</v>
      </c>
      <c r="R25" s="320"/>
      <c r="S25" s="320"/>
      <c r="T25" s="320"/>
      <c r="U25" s="321"/>
      <c r="V25" s="592">
        <f>SUM(V21:V23)</f>
        <v>6.3463030755668767E-6</v>
      </c>
      <c r="W25" s="592">
        <f>SQRT((W21^2)+(W22^2)+(W23^2))</f>
        <v>2.9827624455164321E-7</v>
      </c>
      <c r="X25" s="320"/>
      <c r="Y25" s="320"/>
      <c r="Z25" s="320"/>
      <c r="AA25" s="321"/>
      <c r="AB25" s="586">
        <f>SUM(AB21:AB23)</f>
        <v>8.2501939982369412E-6</v>
      </c>
      <c r="AC25" s="586">
        <f>SQRT((AC21^2)+(AC22^2)+(AC23^2))</f>
        <v>3.877591179171362E-7</v>
      </c>
    </row>
    <row r="26" spans="1:29" x14ac:dyDescent="0.25">
      <c r="J26" s="574"/>
      <c r="K26" s="574"/>
      <c r="P26" s="323"/>
      <c r="Q26" s="323"/>
      <c r="V26" s="324"/>
      <c r="W26" s="324"/>
      <c r="AB26" s="587"/>
      <c r="AC26" s="587"/>
    </row>
    <row r="27" spans="1:29" x14ac:dyDescent="0.25">
      <c r="A27" s="322" t="s">
        <v>661</v>
      </c>
      <c r="J27" s="574"/>
      <c r="K27" s="574"/>
      <c r="P27" s="323"/>
      <c r="Q27" s="323"/>
      <c r="V27" s="324"/>
      <c r="W27" s="324"/>
      <c r="AB27" s="587"/>
      <c r="AC27" s="587"/>
    </row>
    <row r="28" spans="1:29" ht="14.25" customHeight="1" x14ac:dyDescent="0.25">
      <c r="A28" s="314" t="s">
        <v>839</v>
      </c>
      <c r="B28" s="314" t="s">
        <v>17</v>
      </c>
      <c r="C28" s="568">
        <v>0.50542371826466825</v>
      </c>
      <c r="D28" s="568">
        <v>2.3754914758439407E-2</v>
      </c>
      <c r="E28" s="317" t="s">
        <v>1158</v>
      </c>
      <c r="F28" s="314" t="s">
        <v>6</v>
      </c>
      <c r="G28" s="569">
        <v>1.073</v>
      </c>
      <c r="H28" s="569">
        <v>0</v>
      </c>
      <c r="I28" s="312" t="s">
        <v>1161</v>
      </c>
      <c r="J28" s="573">
        <f>C28*G28</f>
        <v>0.54231964969798896</v>
      </c>
      <c r="K28" s="573">
        <f>SQRT(((D28*G28)^2)+((C28*H28)^2))</f>
        <v>2.5489023535805483E-2</v>
      </c>
      <c r="L28" s="312" t="s">
        <v>7</v>
      </c>
      <c r="M28" s="569">
        <v>7.6999999999999999E-2</v>
      </c>
      <c r="N28" s="569">
        <v>0</v>
      </c>
      <c r="O28" s="312" t="s">
        <v>1165</v>
      </c>
      <c r="P28" s="578">
        <f>C28*M28</f>
        <v>3.8917626306379453E-2</v>
      </c>
      <c r="Q28" s="578">
        <f>SQRT(((D28*M28)^2)+((C28*N28)^2))</f>
        <v>1.8291284363998344E-3</v>
      </c>
      <c r="R28" s="312" t="s">
        <v>8</v>
      </c>
      <c r="S28" s="569">
        <v>1.5999999999999999E-5</v>
      </c>
      <c r="T28" s="569">
        <v>0</v>
      </c>
      <c r="U28" s="312" t="s">
        <v>1166</v>
      </c>
      <c r="V28" s="589">
        <f>C28*S28</f>
        <v>8.0867794922346925E-6</v>
      </c>
      <c r="W28" s="589">
        <f>SQRT(((D28*S28)^2)+((C28*T28)^2))</f>
        <v>3.8007863613503047E-7</v>
      </c>
      <c r="X28" s="312" t="s">
        <v>9</v>
      </c>
      <c r="Y28" s="569">
        <v>2.0800000000000001E-5</v>
      </c>
      <c r="Z28" s="569">
        <v>0</v>
      </c>
      <c r="AA28" s="312" t="s">
        <v>1168</v>
      </c>
      <c r="AB28" s="390">
        <f>C28*Y28</f>
        <v>1.05128133399051E-5</v>
      </c>
      <c r="AC28" s="390">
        <f>SQRT(((D28*Y28)^2)+((C28*Z28)^2))</f>
        <v>4.9410222697553969E-7</v>
      </c>
    </row>
    <row r="29" spans="1:29" ht="13.5" customHeight="1" x14ac:dyDescent="0.25">
      <c r="A29" s="314" t="s">
        <v>840</v>
      </c>
      <c r="B29" s="314" t="s">
        <v>17</v>
      </c>
      <c r="C29" s="568">
        <v>3.9389533333333331E-2</v>
      </c>
      <c r="D29" s="568">
        <v>4.6085754000000003E-3</v>
      </c>
      <c r="E29" s="317" t="s">
        <v>1159</v>
      </c>
      <c r="F29" s="314" t="s">
        <v>6</v>
      </c>
      <c r="G29" s="568">
        <v>1</v>
      </c>
      <c r="H29" s="568">
        <v>0</v>
      </c>
      <c r="I29" s="317"/>
      <c r="J29" s="505">
        <f>$C29*$G29*$C$8</f>
        <v>0</v>
      </c>
      <c r="K29" s="505">
        <f>SQRT((($D29*$G29)^2)+(($C29*$H29)^2))*$C$8</f>
        <v>0</v>
      </c>
      <c r="L29" s="314" t="s">
        <v>220</v>
      </c>
      <c r="M29" s="568">
        <v>2.6600723809523811E-3</v>
      </c>
      <c r="N29" s="568">
        <v>3.112284685714286E-4</v>
      </c>
      <c r="O29" s="317" t="s">
        <v>1169</v>
      </c>
      <c r="P29" s="578">
        <f>M29*$C$8</f>
        <v>0</v>
      </c>
      <c r="Q29" s="578">
        <f>N29*$C$8</f>
        <v>0</v>
      </c>
      <c r="R29" s="314" t="s">
        <v>221</v>
      </c>
      <c r="S29" s="568">
        <v>4.2126338571428568E-6</v>
      </c>
      <c r="T29" s="568">
        <v>4.9287816128571433E-7</v>
      </c>
      <c r="U29" s="317" t="s">
        <v>1171</v>
      </c>
      <c r="V29" s="589">
        <f>S29*$C$8</f>
        <v>0</v>
      </c>
      <c r="W29" s="589">
        <f>T29*$C$8</f>
        <v>0</v>
      </c>
      <c r="X29" s="314" t="s">
        <v>222</v>
      </c>
      <c r="Y29" s="568">
        <v>2.0973647619047619E-7</v>
      </c>
      <c r="Z29" s="568">
        <v>2.4539167714285718E-8</v>
      </c>
      <c r="AA29" s="317" t="s">
        <v>1174</v>
      </c>
      <c r="AB29" s="390">
        <f>Y29*$C$8</f>
        <v>0</v>
      </c>
      <c r="AC29" s="390">
        <f>Z29*$C$8</f>
        <v>0</v>
      </c>
    </row>
    <row r="30" spans="1:29" ht="14.25" customHeight="1" x14ac:dyDescent="0.25">
      <c r="A30" s="314" t="s">
        <v>223</v>
      </c>
      <c r="B30" s="314" t="s">
        <v>11</v>
      </c>
      <c r="C30" s="568">
        <v>2</v>
      </c>
      <c r="D30" s="568">
        <v>0.3</v>
      </c>
      <c r="E30" s="317" t="s">
        <v>1160</v>
      </c>
      <c r="F30" s="314"/>
      <c r="G30" s="319"/>
      <c r="H30" s="319"/>
      <c r="I30" s="317"/>
      <c r="J30" s="505">
        <f>($C$16/100)*$J$15</f>
        <v>0</v>
      </c>
      <c r="K30" s="505">
        <f>SQRT(((($D$16/100)*J29)^2)+((($C$16/100)*K29)^2))</f>
        <v>0</v>
      </c>
      <c r="L30" s="314"/>
      <c r="M30" s="319"/>
      <c r="N30" s="319"/>
      <c r="O30" s="317" t="s">
        <v>1170</v>
      </c>
      <c r="P30" s="579">
        <f>($C$16/100)*$P29</f>
        <v>0</v>
      </c>
      <c r="Q30" s="579">
        <f>SQRT(((($D$16/100)*$P29)^2)+((($C$16/100)*$Q29)^2))</f>
        <v>0</v>
      </c>
      <c r="R30" s="314"/>
      <c r="S30" s="319"/>
      <c r="T30" s="319"/>
      <c r="U30" s="317" t="s">
        <v>1172</v>
      </c>
      <c r="V30" s="590">
        <f>($C$16/100)*$V29</f>
        <v>0</v>
      </c>
      <c r="W30" s="590">
        <f>SQRT(((($D$16/100)*$V29)^2)+((($C$16/100)*$W29)^2))</f>
        <v>0</v>
      </c>
      <c r="X30" s="314"/>
      <c r="Y30" s="319"/>
      <c r="Z30" s="319"/>
      <c r="AA30" s="317" t="s">
        <v>1175</v>
      </c>
      <c r="AB30" s="584">
        <f>($C$16/100)*$AB29</f>
        <v>0</v>
      </c>
      <c r="AC30" s="584">
        <f>SQRT(((($D$16/100)*$AB29)^2)+((($C$16/100)*$AC29)^2))</f>
        <v>0</v>
      </c>
    </row>
    <row r="31" spans="1:29" x14ac:dyDescent="0.25">
      <c r="A31" s="314"/>
      <c r="B31" s="314"/>
      <c r="C31" s="314"/>
      <c r="D31" s="314"/>
      <c r="E31" s="317"/>
      <c r="F31" s="314"/>
      <c r="G31" s="314"/>
      <c r="H31" s="314"/>
      <c r="I31" s="317"/>
      <c r="J31" s="503"/>
      <c r="K31" s="503"/>
      <c r="L31" s="314"/>
      <c r="M31" s="314"/>
      <c r="N31" s="314"/>
      <c r="O31" s="317"/>
      <c r="P31" s="580"/>
      <c r="Q31" s="580"/>
      <c r="R31" s="314"/>
      <c r="S31" s="314"/>
      <c r="T31" s="314"/>
      <c r="U31" s="317"/>
      <c r="V31" s="591"/>
      <c r="W31" s="591"/>
      <c r="X31" s="314"/>
      <c r="Y31" s="314"/>
      <c r="Z31" s="314"/>
      <c r="AA31" s="317"/>
      <c r="AB31" s="585"/>
      <c r="AC31" s="585"/>
    </row>
    <row r="32" spans="1:29" x14ac:dyDescent="0.25">
      <c r="A32" s="320" t="s">
        <v>18</v>
      </c>
      <c r="B32" s="320"/>
      <c r="C32" s="320"/>
      <c r="D32" s="320"/>
      <c r="E32" s="321"/>
      <c r="F32" s="320"/>
      <c r="G32" s="320"/>
      <c r="H32" s="320"/>
      <c r="I32" s="321"/>
      <c r="J32" s="504">
        <f>SUM(J28:J30)</f>
        <v>0.54231964969798896</v>
      </c>
      <c r="K32" s="504">
        <f>SQRT((K28^2)+(K29^2)+(K30^2))</f>
        <v>2.5489023535805483E-2</v>
      </c>
      <c r="L32" s="320"/>
      <c r="M32" s="320"/>
      <c r="N32" s="320"/>
      <c r="O32" s="321"/>
      <c r="P32" s="581">
        <f>SUM(P28:P30)</f>
        <v>3.8917626306379453E-2</v>
      </c>
      <c r="Q32" s="581">
        <f>SQRT((Q28^2)+(Q29^2)+(Q30^2))</f>
        <v>1.8291284363998344E-3</v>
      </c>
      <c r="R32" s="320"/>
      <c r="S32" s="320"/>
      <c r="T32" s="320"/>
      <c r="U32" s="321"/>
      <c r="V32" s="592">
        <f>SUM(V28:V30)</f>
        <v>8.0867794922346925E-6</v>
      </c>
      <c r="W32" s="592">
        <f>SQRT((W28^2)+(W29^2)+(W30^2))</f>
        <v>3.8007863613503047E-7</v>
      </c>
      <c r="X32" s="320"/>
      <c r="Y32" s="320"/>
      <c r="Z32" s="320"/>
      <c r="AA32" s="321"/>
      <c r="AB32" s="586">
        <f>SUM(AB28:AB30)</f>
        <v>1.05128133399051E-5</v>
      </c>
      <c r="AC32" s="586">
        <f>SQRT((AC28^2)+(AC29^2)+(AC30^2))</f>
        <v>4.9410222697553969E-7</v>
      </c>
    </row>
    <row r="33" spans="1:29" x14ac:dyDescent="0.25">
      <c r="J33" s="574"/>
      <c r="K33" s="574"/>
      <c r="P33" s="323"/>
      <c r="Q33" s="323"/>
      <c r="V33" s="324"/>
      <c r="W33" s="324"/>
      <c r="AB33" s="587"/>
      <c r="AC33" s="587"/>
    </row>
    <row r="34" spans="1:29" x14ac:dyDescent="0.25">
      <c r="A34" s="322" t="s">
        <v>662</v>
      </c>
      <c r="J34" s="574"/>
      <c r="K34" s="574"/>
      <c r="P34" s="323"/>
      <c r="Q34" s="323"/>
      <c r="V34" s="324"/>
      <c r="W34" s="324"/>
      <c r="AB34" s="587"/>
      <c r="AC34" s="587"/>
    </row>
    <row r="35" spans="1:29" ht="15.75" customHeight="1" x14ac:dyDescent="0.25">
      <c r="A35" s="314" t="s">
        <v>839</v>
      </c>
      <c r="B35" s="314" t="s">
        <v>17</v>
      </c>
      <c r="C35" s="568">
        <v>0.56034614423932938</v>
      </c>
      <c r="D35" s="568">
        <v>3.1E-2</v>
      </c>
      <c r="E35" s="317" t="s">
        <v>93</v>
      </c>
      <c r="F35" s="314" t="s">
        <v>6</v>
      </c>
      <c r="G35" s="569">
        <v>1.073</v>
      </c>
      <c r="H35" s="569">
        <v>0</v>
      </c>
      <c r="I35" s="312" t="s">
        <v>1161</v>
      </c>
      <c r="J35" s="573">
        <f>C35*G35</f>
        <v>0.60125141276880045</v>
      </c>
      <c r="K35" s="573">
        <f>SQRT(((D35*G35)^2)+((C35*H35)^2))</f>
        <v>3.3263000000000001E-2</v>
      </c>
      <c r="L35" s="312" t="s">
        <v>7</v>
      </c>
      <c r="M35" s="569">
        <v>7.6999999999999999E-2</v>
      </c>
      <c r="N35" s="569">
        <v>0</v>
      </c>
      <c r="O35" s="312" t="s">
        <v>1165</v>
      </c>
      <c r="P35" s="578">
        <f>C35*M35</f>
        <v>4.3146653106428359E-2</v>
      </c>
      <c r="Q35" s="578">
        <f>SQRT(((D35*M35)^2)+((C35*N35)^2))</f>
        <v>2.3869999999999998E-3</v>
      </c>
      <c r="R35" s="312" t="s">
        <v>8</v>
      </c>
      <c r="S35" s="569">
        <v>1.5999999999999999E-5</v>
      </c>
      <c r="T35" s="569">
        <v>0</v>
      </c>
      <c r="U35" s="312" t="s">
        <v>1166</v>
      </c>
      <c r="V35" s="589">
        <f>C35*S35</f>
        <v>8.9655383078292691E-6</v>
      </c>
      <c r="W35" s="589">
        <f>SQRT(((D35*S35)^2)+((C35*T35)^2))</f>
        <v>4.9599999999999999E-7</v>
      </c>
      <c r="X35" s="312" t="s">
        <v>9</v>
      </c>
      <c r="Y35" s="569">
        <v>2.0800000000000001E-5</v>
      </c>
      <c r="Z35" s="569">
        <v>0</v>
      </c>
      <c r="AA35" s="312" t="s">
        <v>1168</v>
      </c>
      <c r="AB35" s="390">
        <f>C35*Y35</f>
        <v>1.1655199800178051E-5</v>
      </c>
      <c r="AC35" s="390">
        <f>SQRT(((D35*Y35)^2)+((C35*Z35)^2))</f>
        <v>6.4480000000000006E-7</v>
      </c>
    </row>
    <row r="36" spans="1:29" ht="16.5" customHeight="1" x14ac:dyDescent="0.25">
      <c r="A36" s="314" t="s">
        <v>840</v>
      </c>
      <c r="B36" s="314" t="s">
        <v>17</v>
      </c>
      <c r="C36" s="568">
        <v>8.0450674418604651E-2</v>
      </c>
      <c r="D36" s="568">
        <v>9.4931795813953494E-3</v>
      </c>
      <c r="E36" s="317" t="s">
        <v>94</v>
      </c>
      <c r="F36" s="314" t="s">
        <v>6</v>
      </c>
      <c r="G36" s="568">
        <v>1</v>
      </c>
      <c r="H36" s="568">
        <v>0</v>
      </c>
      <c r="I36" s="317"/>
      <c r="J36" s="505">
        <f>$C36*$G36*$C$8</f>
        <v>0</v>
      </c>
      <c r="K36" s="505">
        <f>SQRT((($D36*$G36)^2)+(($C36*$H36)^2))*$C$8</f>
        <v>0</v>
      </c>
      <c r="L36" s="314" t="s">
        <v>220</v>
      </c>
      <c r="M36" s="568">
        <v>2.7165162790697677E-3</v>
      </c>
      <c r="N36" s="568">
        <v>3.2054892093023255E-4</v>
      </c>
      <c r="O36" s="317" t="s">
        <v>1169</v>
      </c>
      <c r="P36" s="578">
        <f>M36*$C$8</f>
        <v>0</v>
      </c>
      <c r="Q36" s="578">
        <f>N36*$C$8</f>
        <v>0</v>
      </c>
      <c r="R36" s="314" t="s">
        <v>221</v>
      </c>
      <c r="S36" s="568">
        <v>4.3020214534883724E-6</v>
      </c>
      <c r="T36" s="568">
        <v>5.0763853151162794E-7</v>
      </c>
      <c r="U36" s="317" t="s">
        <v>1171</v>
      </c>
      <c r="V36" s="589">
        <f>S36*$C$8</f>
        <v>0</v>
      </c>
      <c r="W36" s="589">
        <f>T36*$C$8</f>
        <v>0</v>
      </c>
      <c r="X36" s="314" t="s">
        <v>222</v>
      </c>
      <c r="Y36" s="568">
        <v>2.1418686046511628E-7</v>
      </c>
      <c r="Z36" s="568">
        <v>2.5274049534883721E-8</v>
      </c>
      <c r="AA36" s="317" t="s">
        <v>1174</v>
      </c>
      <c r="AB36" s="390">
        <f>Y36*$C$8</f>
        <v>0</v>
      </c>
      <c r="AC36" s="390">
        <f>Z36*$C$8</f>
        <v>0</v>
      </c>
    </row>
    <row r="37" spans="1:29" ht="15.75" customHeight="1" x14ac:dyDescent="0.25">
      <c r="A37" s="314" t="s">
        <v>223</v>
      </c>
      <c r="B37" s="314" t="s">
        <v>11</v>
      </c>
      <c r="C37" s="568">
        <v>2</v>
      </c>
      <c r="D37" s="568">
        <f>C37*15/100</f>
        <v>0.3</v>
      </c>
      <c r="E37" s="317" t="s">
        <v>659</v>
      </c>
      <c r="F37" s="314"/>
      <c r="G37" s="319"/>
      <c r="H37" s="319"/>
      <c r="I37" s="317"/>
      <c r="J37" s="505">
        <f>($C$16/100)*$J$15</f>
        <v>0</v>
      </c>
      <c r="K37" s="505">
        <f>SQRT(((($D$16/100)*J36)^2)+((($C$16/100)*K36)^2))</f>
        <v>0</v>
      </c>
      <c r="L37" s="314"/>
      <c r="M37" s="319"/>
      <c r="N37" s="319"/>
      <c r="O37" s="317" t="s">
        <v>1170</v>
      </c>
      <c r="P37" s="579">
        <f>($C$16/100)*$P36</f>
        <v>0</v>
      </c>
      <c r="Q37" s="579">
        <f>SQRT(((($D$16/100)*$P36)^2)+((($C$16/100)*$Q36)^2))</f>
        <v>0</v>
      </c>
      <c r="R37" s="314"/>
      <c r="S37" s="319"/>
      <c r="T37" s="319"/>
      <c r="U37" s="317" t="s">
        <v>1172</v>
      </c>
      <c r="V37" s="590">
        <f>($C$16/100)*$V36</f>
        <v>0</v>
      </c>
      <c r="W37" s="590">
        <f>SQRT(((($D$16/100)*$V36)^2)+((($C$16/100)*$W36)^2))</f>
        <v>0</v>
      </c>
      <c r="X37" s="314"/>
      <c r="Y37" s="319"/>
      <c r="Z37" s="319"/>
      <c r="AA37" s="317" t="s">
        <v>1175</v>
      </c>
      <c r="AB37" s="584">
        <f>($C$16/100)*$AB36</f>
        <v>0</v>
      </c>
      <c r="AC37" s="584">
        <f>SQRT(((($D$16/100)*$AB36)^2)+((($C$16/100)*$AC36)^2))</f>
        <v>0</v>
      </c>
    </row>
    <row r="38" spans="1:29" x14ac:dyDescent="0.25">
      <c r="A38" s="314"/>
      <c r="B38" s="314"/>
      <c r="C38" s="314"/>
      <c r="D38" s="314"/>
      <c r="E38" s="317"/>
      <c r="F38" s="314"/>
      <c r="G38" s="314"/>
      <c r="H38" s="314"/>
      <c r="I38" s="317"/>
      <c r="J38" s="503"/>
      <c r="K38" s="503"/>
      <c r="L38" s="314"/>
      <c r="M38" s="314"/>
      <c r="N38" s="314"/>
      <c r="O38" s="317"/>
      <c r="P38" s="580"/>
      <c r="Q38" s="580"/>
      <c r="R38" s="314"/>
      <c r="S38" s="314"/>
      <c r="T38" s="314"/>
      <c r="U38" s="317"/>
      <c r="V38" s="591"/>
      <c r="W38" s="591"/>
      <c r="X38" s="314"/>
      <c r="Y38" s="314"/>
      <c r="Z38" s="314"/>
      <c r="AA38" s="317"/>
      <c r="AB38" s="585"/>
      <c r="AC38" s="585"/>
    </row>
    <row r="39" spans="1:29" x14ac:dyDescent="0.25">
      <c r="A39" s="320" t="s">
        <v>18</v>
      </c>
      <c r="B39" s="320"/>
      <c r="C39" s="320"/>
      <c r="D39" s="320"/>
      <c r="E39" s="321"/>
      <c r="F39" s="320"/>
      <c r="G39" s="320"/>
      <c r="H39" s="320"/>
      <c r="I39" s="321"/>
      <c r="J39" s="504">
        <f>SUM(J35:J37)</f>
        <v>0.60125141276880045</v>
      </c>
      <c r="K39" s="504">
        <f>SQRT((K35^2)+(K36^2)+(K37^2))</f>
        <v>3.3263000000000001E-2</v>
      </c>
      <c r="L39" s="320"/>
      <c r="M39" s="320"/>
      <c r="N39" s="320"/>
      <c r="O39" s="321"/>
      <c r="P39" s="581">
        <f>SUM(P35:P37)</f>
        <v>4.3146653106428359E-2</v>
      </c>
      <c r="Q39" s="581">
        <f>SQRT((Q35^2)+(Q36^2)+(Q37^2))</f>
        <v>2.3869999999999998E-3</v>
      </c>
      <c r="R39" s="320"/>
      <c r="S39" s="320"/>
      <c r="T39" s="320"/>
      <c r="U39" s="321"/>
      <c r="V39" s="592">
        <f>SUM(V35:V37)</f>
        <v>8.9655383078292691E-6</v>
      </c>
      <c r="W39" s="592">
        <f>SQRT((W35^2)+(W36^2)+(W37^2))</f>
        <v>4.9599999999999999E-7</v>
      </c>
      <c r="X39" s="320"/>
      <c r="Y39" s="320"/>
      <c r="Z39" s="320"/>
      <c r="AA39" s="321"/>
      <c r="AB39" s="586">
        <f>SUM(AB35:AB37)</f>
        <v>1.1655199800178051E-5</v>
      </c>
      <c r="AC39" s="586">
        <f>SQRT((AC35^2)+(AC36^2)+(AC37^2))</f>
        <v>6.4480000000000006E-7</v>
      </c>
    </row>
    <row r="40" spans="1:29" x14ac:dyDescent="0.25">
      <c r="J40" s="574"/>
      <c r="K40" s="574"/>
      <c r="P40" s="323"/>
      <c r="Q40" s="323"/>
      <c r="V40" s="324"/>
      <c r="W40" s="324"/>
      <c r="AB40" s="587"/>
      <c r="AC40" s="587"/>
    </row>
    <row r="41" spans="1:29" x14ac:dyDescent="0.25">
      <c r="A41" s="149" t="s">
        <v>368</v>
      </c>
      <c r="J41" s="575"/>
      <c r="K41" s="575"/>
      <c r="P41" s="323"/>
      <c r="Q41" s="323"/>
      <c r="V41" s="324"/>
      <c r="W41" s="324"/>
      <c r="AB41" s="587"/>
      <c r="AC41" s="587"/>
    </row>
    <row r="42" spans="1:29" x14ac:dyDescent="0.25">
      <c r="A42" s="320" t="s">
        <v>839</v>
      </c>
      <c r="J42" s="576">
        <f>IF($C$7=44,J14,IF($C$7=40,J21,IF($C$7=32,J28,J35)))</f>
        <v>0.43157226860176823</v>
      </c>
      <c r="K42" s="576">
        <f>IF($C$7=44,K14,IF($C$7=40,K21,IF($C$7=32,K28,K35)))</f>
        <v>2.0283896624283107E-2</v>
      </c>
      <c r="P42" s="582">
        <f>IF($C$7=44,P14,IF($C$7=40,P21,IF($C$7=32,P28,P35)))</f>
        <v>3.0970237355392501E-2</v>
      </c>
      <c r="Q42" s="582">
        <f>IF($C$7=44,Q14,IF($C$7=40,Q21,IF($C$7=32,Q28,Q35)))</f>
        <v>1.4556011557034477E-3</v>
      </c>
      <c r="V42" s="593">
        <f>IF($C$7=44,V14,IF($C$7=40,V21,IF($C$7=32,V28,V35)))</f>
        <v>6.4353739959257139E-6</v>
      </c>
      <c r="W42" s="593">
        <f>IF($C$7=44,W14,IF($C$7=40,W21,IF($C$7=32,W28,W35)))</f>
        <v>3.0246257780850857E-7</v>
      </c>
      <c r="AB42" s="588">
        <f>IF($C$7=44,AB14,IF($C$7=40,AB21,IF($C$7=32,AB28,AB35)))</f>
        <v>8.3659861947034292E-6</v>
      </c>
      <c r="AC42" s="588">
        <f>IF($C$7=44,AC14,IF($C$7=40,AC21,IF($C$7=32,AC28,AC35)))</f>
        <v>3.9320135115106121E-7</v>
      </c>
    </row>
    <row r="43" spans="1:29" x14ac:dyDescent="0.25">
      <c r="A43" s="320" t="s">
        <v>840</v>
      </c>
      <c r="J43" s="576">
        <f t="shared" ref="J43:K44" si="0">IF($C$7=44,J15,IF($C$7=40,J22,IF($C$7=32,J29,J36)))</f>
        <v>0</v>
      </c>
      <c r="K43" s="576">
        <f t="shared" si="0"/>
        <v>0</v>
      </c>
      <c r="P43" s="582">
        <f t="shared" ref="P43:Q44" si="1">IF($C$7=44,P15,IF($C$7=40,P22,IF($C$7=32,P29,P36)))</f>
        <v>0</v>
      </c>
      <c r="Q43" s="582">
        <f t="shared" si="1"/>
        <v>0</v>
      </c>
      <c r="V43" s="593">
        <f t="shared" ref="V43:W44" si="2">IF($C$7=44,V15,IF($C$7=40,V22,IF($C$7=32,V29,V36)))</f>
        <v>0</v>
      </c>
      <c r="W43" s="593">
        <f t="shared" si="2"/>
        <v>0</v>
      </c>
      <c r="AB43" s="588">
        <f t="shared" ref="AB43:AC44" si="3">IF($C$7=44,AB15,IF($C$7=40,AB22,IF($C$7=32,AB29,AB36)))</f>
        <v>0</v>
      </c>
      <c r="AC43" s="588">
        <f t="shared" si="3"/>
        <v>0</v>
      </c>
    </row>
    <row r="44" spans="1:29" x14ac:dyDescent="0.25">
      <c r="A44" s="320" t="s">
        <v>223</v>
      </c>
      <c r="J44" s="576">
        <f t="shared" si="0"/>
        <v>0</v>
      </c>
      <c r="K44" s="576">
        <f t="shared" si="0"/>
        <v>0</v>
      </c>
      <c r="P44" s="582">
        <f t="shared" si="1"/>
        <v>0</v>
      </c>
      <c r="Q44" s="582">
        <f t="shared" si="1"/>
        <v>0</v>
      </c>
      <c r="V44" s="593">
        <f t="shared" si="2"/>
        <v>0</v>
      </c>
      <c r="W44" s="593">
        <f t="shared" si="2"/>
        <v>0</v>
      </c>
      <c r="AB44" s="588">
        <f t="shared" si="3"/>
        <v>0</v>
      </c>
      <c r="AC44" s="588">
        <f t="shared" si="3"/>
        <v>0</v>
      </c>
    </row>
    <row r="45" spans="1:29" x14ac:dyDescent="0.25">
      <c r="A45" s="2"/>
      <c r="J45" s="574"/>
      <c r="K45" s="574"/>
      <c r="P45" s="323"/>
      <c r="Q45" s="323"/>
      <c r="V45" s="324"/>
      <c r="W45" s="324"/>
      <c r="AB45" s="587"/>
      <c r="AC45" s="587"/>
    </row>
    <row r="46" spans="1:29" x14ac:dyDescent="0.25">
      <c r="A46" s="2" t="s">
        <v>369</v>
      </c>
      <c r="J46" s="577">
        <f t="shared" ref="J46:K46" si="4">IF($C$7=44,J18,IF($C$7=40,J25,IF($C$7=32,J32,J39)))</f>
        <v>0.43157226860176823</v>
      </c>
      <c r="K46" s="577">
        <f t="shared" si="4"/>
        <v>2.0283896624283107E-2</v>
      </c>
      <c r="P46" s="583">
        <f t="shared" ref="P46:Q46" si="5">IF($C$7=44,P18,IF($C$7=40,P25,IF($C$7=32,P32,P39)))</f>
        <v>3.0970237355392501E-2</v>
      </c>
      <c r="Q46" s="583">
        <f t="shared" si="5"/>
        <v>1.4556011557034477E-3</v>
      </c>
      <c r="V46" s="594">
        <f t="shared" ref="V46:W46" si="6">IF($C$7=44,V18,IF($C$7=40,V25,IF($C$7=32,V32,V39)))</f>
        <v>6.4353739959257139E-6</v>
      </c>
      <c r="W46" s="594">
        <f t="shared" si="6"/>
        <v>3.0246257780850857E-7</v>
      </c>
      <c r="AB46" s="595">
        <f t="shared" ref="AB46:AC46" si="7">IF($C$7=44,AB18,IF($C$7=40,AB25,IF($C$7=32,AB32,AB39)))</f>
        <v>8.3659861947034292E-6</v>
      </c>
      <c r="AC46" s="595">
        <f t="shared" si="7"/>
        <v>3.9320135115106121E-7</v>
      </c>
    </row>
  </sheetData>
  <pageMargins left="0.75" right="0.75" top="1" bottom="1" header="0.5" footer="0.5"/>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4"/>
  <sheetViews>
    <sheetView workbookViewId="0"/>
  </sheetViews>
  <sheetFormatPr defaultRowHeight="13.2" x14ac:dyDescent="0.25"/>
  <cols>
    <col min="1" max="1" width="11.6640625" customWidth="1"/>
  </cols>
  <sheetData>
    <row r="1" spans="1:2" x14ac:dyDescent="0.25">
      <c r="A1" s="2" t="s">
        <v>28</v>
      </c>
    </row>
    <row r="3" spans="1:2" x14ac:dyDescent="0.25">
      <c r="A3">
        <v>1</v>
      </c>
      <c r="B3" t="s">
        <v>29</v>
      </c>
    </row>
    <row r="4" spans="1:2" x14ac:dyDescent="0.25">
      <c r="A4">
        <v>2</v>
      </c>
      <c r="B4" t="s">
        <v>30</v>
      </c>
    </row>
    <row r="5" spans="1:2" x14ac:dyDescent="0.25">
      <c r="A5">
        <v>3</v>
      </c>
      <c r="B5" t="s">
        <v>601</v>
      </c>
    </row>
    <row r="6" spans="1:2" x14ac:dyDescent="0.25">
      <c r="A6">
        <v>4</v>
      </c>
      <c r="B6" s="844" t="s">
        <v>909</v>
      </c>
    </row>
    <row r="7" spans="1:2" x14ac:dyDescent="0.25">
      <c r="A7">
        <v>5</v>
      </c>
      <c r="B7" s="3" t="s">
        <v>908</v>
      </c>
    </row>
    <row r="8" spans="1:2" x14ac:dyDescent="0.25">
      <c r="A8">
        <v>6</v>
      </c>
      <c r="B8" s="280" t="s">
        <v>914</v>
      </c>
    </row>
    <row r="9" spans="1:2" x14ac:dyDescent="0.25">
      <c r="A9">
        <v>7</v>
      </c>
      <c r="B9" t="s">
        <v>51</v>
      </c>
    </row>
    <row r="10" spans="1:2" x14ac:dyDescent="0.25">
      <c r="A10">
        <v>8</v>
      </c>
      <c r="B10" t="s">
        <v>1117</v>
      </c>
    </row>
    <row r="11" spans="1:2" x14ac:dyDescent="0.25">
      <c r="A11">
        <v>9</v>
      </c>
      <c r="B11" s="3" t="s">
        <v>31</v>
      </c>
    </row>
    <row r="12" spans="1:2" x14ac:dyDescent="0.25">
      <c r="A12">
        <v>10</v>
      </c>
      <c r="B12" t="s">
        <v>32</v>
      </c>
    </row>
    <row r="13" spans="1:2" x14ac:dyDescent="0.25">
      <c r="A13">
        <v>11</v>
      </c>
      <c r="B13" t="s">
        <v>1541</v>
      </c>
    </row>
    <row r="14" spans="1:2" x14ac:dyDescent="0.25">
      <c r="A14">
        <v>12</v>
      </c>
      <c r="B14" t="s">
        <v>52</v>
      </c>
    </row>
    <row r="15" spans="1:2" x14ac:dyDescent="0.25">
      <c r="A15">
        <v>13</v>
      </c>
      <c r="B15" t="s">
        <v>53</v>
      </c>
    </row>
    <row r="16" spans="1:2" x14ac:dyDescent="0.25">
      <c r="A16">
        <v>14</v>
      </c>
      <c r="B16" s="116" t="s">
        <v>396</v>
      </c>
    </row>
    <row r="17" spans="1:2" x14ac:dyDescent="0.25">
      <c r="A17">
        <v>15</v>
      </c>
      <c r="B17" s="891" t="s">
        <v>539</v>
      </c>
    </row>
    <row r="18" spans="1:2" x14ac:dyDescent="0.25">
      <c r="A18">
        <v>16</v>
      </c>
      <c r="B18" s="443" t="s">
        <v>1522</v>
      </c>
    </row>
    <row r="19" spans="1:2" x14ac:dyDescent="0.25">
      <c r="A19">
        <v>17</v>
      </c>
      <c r="B19" t="s">
        <v>35</v>
      </c>
    </row>
    <row r="20" spans="1:2" x14ac:dyDescent="0.25">
      <c r="A20">
        <v>18</v>
      </c>
      <c r="B20" s="844" t="s">
        <v>1486</v>
      </c>
    </row>
    <row r="21" spans="1:2" x14ac:dyDescent="0.25">
      <c r="A21">
        <v>19</v>
      </c>
      <c r="B21" t="s">
        <v>36</v>
      </c>
    </row>
    <row r="22" spans="1:2" x14ac:dyDescent="0.25">
      <c r="A22">
        <v>20</v>
      </c>
      <c r="B22" s="117" t="s">
        <v>57</v>
      </c>
    </row>
    <row r="23" spans="1:2" x14ac:dyDescent="0.25">
      <c r="A23">
        <v>21</v>
      </c>
      <c r="B23" t="s">
        <v>89</v>
      </c>
    </row>
    <row r="24" spans="1:2" x14ac:dyDescent="0.25">
      <c r="A24">
        <v>22</v>
      </c>
      <c r="B24" t="s">
        <v>88</v>
      </c>
    </row>
    <row r="25" spans="1:2" x14ac:dyDescent="0.25">
      <c r="A25">
        <v>23</v>
      </c>
      <c r="B25" t="s">
        <v>90</v>
      </c>
    </row>
    <row r="26" spans="1:2" x14ac:dyDescent="0.25">
      <c r="A26">
        <v>24</v>
      </c>
      <c r="B26" s="116" t="s">
        <v>1741</v>
      </c>
    </row>
    <row r="27" spans="1:2" x14ac:dyDescent="0.25">
      <c r="A27">
        <v>25</v>
      </c>
      <c r="B27" s="117" t="s">
        <v>84</v>
      </c>
    </row>
    <row r="28" spans="1:2" x14ac:dyDescent="0.25">
      <c r="A28">
        <v>26</v>
      </c>
      <c r="B28" s="116" t="s">
        <v>236</v>
      </c>
    </row>
    <row r="29" spans="1:2" x14ac:dyDescent="0.25">
      <c r="A29">
        <v>27</v>
      </c>
      <c r="B29" t="s">
        <v>289</v>
      </c>
    </row>
    <row r="30" spans="1:2" x14ac:dyDescent="0.25">
      <c r="A30" s="42">
        <v>28</v>
      </c>
      <c r="B30" s="116" t="s">
        <v>54</v>
      </c>
    </row>
    <row r="31" spans="1:2" x14ac:dyDescent="0.25">
      <c r="A31" s="42">
        <v>29</v>
      </c>
      <c r="B31" s="117" t="s">
        <v>85</v>
      </c>
    </row>
    <row r="32" spans="1:2" x14ac:dyDescent="0.25">
      <c r="A32" s="42">
        <v>30</v>
      </c>
      <c r="B32" s="117" t="s">
        <v>86</v>
      </c>
    </row>
    <row r="33" spans="1:2" ht="15.6" x14ac:dyDescent="0.35">
      <c r="A33" s="42">
        <v>31</v>
      </c>
      <c r="B33" s="117" t="s">
        <v>239</v>
      </c>
    </row>
    <row r="34" spans="1:2" x14ac:dyDescent="0.25">
      <c r="A34" s="42">
        <v>32</v>
      </c>
      <c r="B34" s="116" t="s">
        <v>295</v>
      </c>
    </row>
    <row r="35" spans="1:2" x14ac:dyDescent="0.25">
      <c r="A35">
        <v>33</v>
      </c>
      <c r="B35" t="s">
        <v>237</v>
      </c>
    </row>
    <row r="36" spans="1:2" x14ac:dyDescent="0.25">
      <c r="A36">
        <v>34</v>
      </c>
      <c r="B36" t="s">
        <v>238</v>
      </c>
    </row>
    <row r="37" spans="1:2" x14ac:dyDescent="0.25">
      <c r="A37">
        <v>35</v>
      </c>
      <c r="B37" s="208" t="s">
        <v>296</v>
      </c>
    </row>
    <row r="38" spans="1:2" x14ac:dyDescent="0.25">
      <c r="A38">
        <v>36</v>
      </c>
      <c r="B38" s="208" t="s">
        <v>297</v>
      </c>
    </row>
    <row r="39" spans="1:2" x14ac:dyDescent="0.25">
      <c r="A39">
        <v>37</v>
      </c>
      <c r="B39" s="845" t="s">
        <v>1738</v>
      </c>
    </row>
    <row r="40" spans="1:2" x14ac:dyDescent="0.25">
      <c r="A40">
        <v>38</v>
      </c>
      <c r="B40" s="280" t="s">
        <v>299</v>
      </c>
    </row>
    <row r="41" spans="1:2" x14ac:dyDescent="0.25">
      <c r="A41">
        <v>39</v>
      </c>
      <c r="B41" s="3" t="s">
        <v>301</v>
      </c>
    </row>
    <row r="42" spans="1:2" x14ac:dyDescent="0.25">
      <c r="A42">
        <v>40</v>
      </c>
      <c r="B42" s="3" t="s">
        <v>302</v>
      </c>
    </row>
    <row r="43" spans="1:2" x14ac:dyDescent="0.25">
      <c r="A43">
        <v>41</v>
      </c>
      <c r="B43" s="280" t="s">
        <v>306</v>
      </c>
    </row>
    <row r="44" spans="1:2" x14ac:dyDescent="0.25">
      <c r="A44">
        <v>42</v>
      </c>
      <c r="B44" s="280" t="s">
        <v>307</v>
      </c>
    </row>
    <row r="45" spans="1:2" x14ac:dyDescent="0.25">
      <c r="A45">
        <v>43</v>
      </c>
      <c r="B45" s="280" t="s">
        <v>421</v>
      </c>
    </row>
    <row r="46" spans="1:2" x14ac:dyDescent="0.25">
      <c r="A46">
        <v>44</v>
      </c>
      <c r="B46" s="280" t="s">
        <v>58</v>
      </c>
    </row>
    <row r="47" spans="1:2" x14ac:dyDescent="0.25">
      <c r="A47">
        <v>45</v>
      </c>
      <c r="B47" s="280" t="s">
        <v>315</v>
      </c>
    </row>
    <row r="48" spans="1:2" x14ac:dyDescent="0.25">
      <c r="A48">
        <v>46</v>
      </c>
      <c r="B48" t="s">
        <v>317</v>
      </c>
    </row>
    <row r="49" spans="1:2" x14ac:dyDescent="0.25">
      <c r="A49">
        <v>47</v>
      </c>
      <c r="B49" t="s">
        <v>318</v>
      </c>
    </row>
    <row r="50" spans="1:2" x14ac:dyDescent="0.25">
      <c r="A50" s="42">
        <v>48</v>
      </c>
      <c r="B50" s="3" t="s">
        <v>458</v>
      </c>
    </row>
    <row r="51" spans="1:2" x14ac:dyDescent="0.25">
      <c r="A51">
        <v>49</v>
      </c>
      <c r="B51" t="s">
        <v>319</v>
      </c>
    </row>
    <row r="52" spans="1:2" x14ac:dyDescent="0.25">
      <c r="A52">
        <v>50</v>
      </c>
      <c r="B52" s="309" t="s">
        <v>326</v>
      </c>
    </row>
    <row r="53" spans="1:2" x14ac:dyDescent="0.25">
      <c r="A53">
        <v>51</v>
      </c>
      <c r="B53" s="280" t="s">
        <v>346</v>
      </c>
    </row>
    <row r="54" spans="1:2" x14ac:dyDescent="0.25">
      <c r="A54">
        <v>52</v>
      </c>
      <c r="B54" s="117" t="s">
        <v>347</v>
      </c>
    </row>
    <row r="55" spans="1:2" x14ac:dyDescent="0.25">
      <c r="A55">
        <v>53</v>
      </c>
      <c r="B55" s="100" t="s">
        <v>354</v>
      </c>
    </row>
    <row r="56" spans="1:2" x14ac:dyDescent="0.25">
      <c r="A56">
        <v>54</v>
      </c>
      <c r="B56" s="100" t="s">
        <v>355</v>
      </c>
    </row>
    <row r="57" spans="1:2" x14ac:dyDescent="0.25">
      <c r="A57">
        <v>55</v>
      </c>
      <c r="B57" s="280" t="s">
        <v>360</v>
      </c>
    </row>
    <row r="58" spans="1:2" x14ac:dyDescent="0.25">
      <c r="A58">
        <v>56</v>
      </c>
      <c r="B58" s="309" t="s">
        <v>359</v>
      </c>
    </row>
    <row r="59" spans="1:2" x14ac:dyDescent="0.25">
      <c r="A59">
        <v>57</v>
      </c>
      <c r="B59" s="844" t="s">
        <v>1719</v>
      </c>
    </row>
    <row r="60" spans="1:2" ht="12" customHeight="1" x14ac:dyDescent="0.25">
      <c r="A60">
        <v>58</v>
      </c>
      <c r="B60" s="280" t="s">
        <v>362</v>
      </c>
    </row>
    <row r="61" spans="1:2" ht="12" customHeight="1" x14ac:dyDescent="0.25">
      <c r="A61">
        <v>59</v>
      </c>
      <c r="B61" s="328" t="s">
        <v>370</v>
      </c>
    </row>
    <row r="62" spans="1:2" ht="15" customHeight="1" x14ac:dyDescent="0.35">
      <c r="A62">
        <v>60</v>
      </c>
      <c r="B62" s="334" t="s">
        <v>372</v>
      </c>
    </row>
    <row r="63" spans="1:2" ht="12" customHeight="1" x14ac:dyDescent="0.25">
      <c r="A63">
        <v>61</v>
      </c>
      <c r="B63" t="s">
        <v>373</v>
      </c>
    </row>
    <row r="64" spans="1:2" ht="12" customHeight="1" x14ac:dyDescent="0.25">
      <c r="A64">
        <v>62</v>
      </c>
      <c r="B64" s="3" t="s">
        <v>543</v>
      </c>
    </row>
    <row r="65" spans="1:2" ht="12" customHeight="1" x14ac:dyDescent="0.25">
      <c r="A65">
        <v>63</v>
      </c>
      <c r="B65" s="280" t="s">
        <v>928</v>
      </c>
    </row>
    <row r="66" spans="1:2" ht="12" customHeight="1" x14ac:dyDescent="0.25">
      <c r="A66">
        <v>64</v>
      </c>
      <c r="B66" s="844" t="s">
        <v>1646</v>
      </c>
    </row>
    <row r="67" spans="1:2" ht="12" customHeight="1" x14ac:dyDescent="0.25">
      <c r="A67">
        <v>65</v>
      </c>
      <c r="B67" s="3" t="s">
        <v>546</v>
      </c>
    </row>
    <row r="68" spans="1:2" ht="12" customHeight="1" x14ac:dyDescent="0.25">
      <c r="A68">
        <v>66</v>
      </c>
      <c r="B68" s="280" t="s">
        <v>927</v>
      </c>
    </row>
    <row r="69" spans="1:2" ht="12" customHeight="1" x14ac:dyDescent="0.25">
      <c r="A69">
        <v>67</v>
      </c>
      <c r="B69" s="351" t="s">
        <v>479</v>
      </c>
    </row>
    <row r="70" spans="1:2" ht="12" customHeight="1" x14ac:dyDescent="0.25">
      <c r="A70">
        <v>68</v>
      </c>
      <c r="B70" s="3" t="s">
        <v>480</v>
      </c>
    </row>
    <row r="71" spans="1:2" ht="12" customHeight="1" x14ac:dyDescent="0.25">
      <c r="A71">
        <v>69</v>
      </c>
      <c r="B71" s="3" t="s">
        <v>544</v>
      </c>
    </row>
    <row r="72" spans="1:2" ht="12" customHeight="1" x14ac:dyDescent="0.25">
      <c r="A72">
        <v>70</v>
      </c>
      <c r="B72" s="3" t="s">
        <v>545</v>
      </c>
    </row>
    <row r="73" spans="1:2" ht="12" customHeight="1" x14ac:dyDescent="0.25">
      <c r="A73">
        <v>71</v>
      </c>
      <c r="B73" s="3" t="s">
        <v>610</v>
      </c>
    </row>
    <row r="74" spans="1:2" ht="12" customHeight="1" x14ac:dyDescent="0.25">
      <c r="A74">
        <v>72</v>
      </c>
      <c r="B74" s="3" t="s">
        <v>619</v>
      </c>
    </row>
    <row r="75" spans="1:2" x14ac:dyDescent="0.25">
      <c r="A75">
        <v>73</v>
      </c>
      <c r="B75" t="s">
        <v>1287</v>
      </c>
    </row>
    <row r="76" spans="1:2" x14ac:dyDescent="0.25">
      <c r="A76">
        <v>74</v>
      </c>
      <c r="B76" s="877" t="s">
        <v>1309</v>
      </c>
    </row>
    <row r="77" spans="1:2" x14ac:dyDescent="0.25">
      <c r="A77">
        <v>75</v>
      </c>
      <c r="B77" s="42" t="s">
        <v>1310</v>
      </c>
    </row>
    <row r="78" spans="1:2" x14ac:dyDescent="0.25">
      <c r="A78">
        <v>76</v>
      </c>
      <c r="B78" t="s">
        <v>1530</v>
      </c>
    </row>
    <row r="79" spans="1:2" x14ac:dyDescent="0.25">
      <c r="A79">
        <v>77</v>
      </c>
      <c r="B79" s="877" t="s">
        <v>1599</v>
      </c>
    </row>
    <row r="80" spans="1:2" ht="12" customHeight="1" x14ac:dyDescent="0.25">
      <c r="A80">
        <v>78</v>
      </c>
      <c r="B80" s="280" t="s">
        <v>1603</v>
      </c>
    </row>
    <row r="81" spans="1:2" ht="12" customHeight="1" x14ac:dyDescent="0.25">
      <c r="A81">
        <v>79</v>
      </c>
      <c r="B81" s="280" t="s">
        <v>1604</v>
      </c>
    </row>
    <row r="82" spans="1:2" ht="12" customHeight="1" x14ac:dyDescent="0.25">
      <c r="A82">
        <v>80</v>
      </c>
      <c r="B82" s="280" t="s">
        <v>1605</v>
      </c>
    </row>
    <row r="83" spans="1:2" ht="12" customHeight="1" x14ac:dyDescent="0.25">
      <c r="A83">
        <v>81</v>
      </c>
      <c r="B83" s="280" t="s">
        <v>1640</v>
      </c>
    </row>
    <row r="84" spans="1:2" ht="12" customHeight="1" x14ac:dyDescent="0.25">
      <c r="A84">
        <v>82</v>
      </c>
      <c r="B84" s="280" t="s">
        <v>1647</v>
      </c>
    </row>
    <row r="85" spans="1:2" ht="12" customHeight="1" x14ac:dyDescent="0.25">
      <c r="A85">
        <v>83</v>
      </c>
      <c r="B85" s="280" t="s">
        <v>1648</v>
      </c>
    </row>
    <row r="86" spans="1:2" ht="12" customHeight="1" x14ac:dyDescent="0.25">
      <c r="A86">
        <v>84</v>
      </c>
      <c r="B86" s="891" t="s">
        <v>1671</v>
      </c>
    </row>
    <row r="87" spans="1:2" ht="12" customHeight="1" x14ac:dyDescent="0.25">
      <c r="A87">
        <v>85</v>
      </c>
      <c r="B87" s="891" t="s">
        <v>1712</v>
      </c>
    </row>
    <row r="88" spans="1:2" ht="12" customHeight="1" x14ac:dyDescent="0.25">
      <c r="A88">
        <v>86</v>
      </c>
      <c r="B88" s="891" t="s">
        <v>1720</v>
      </c>
    </row>
    <row r="89" spans="1:2" ht="12" customHeight="1" x14ac:dyDescent="0.25">
      <c r="A89">
        <v>87</v>
      </c>
      <c r="B89" s="845" t="s">
        <v>1748</v>
      </c>
    </row>
    <row r="90" spans="1:2" ht="12" customHeight="1" x14ac:dyDescent="0.25">
      <c r="A90">
        <v>88</v>
      </c>
      <c r="B90" s="1479" t="s">
        <v>1850</v>
      </c>
    </row>
    <row r="91" spans="1:2" ht="12" customHeight="1" x14ac:dyDescent="0.25">
      <c r="A91" s="844">
        <v>89</v>
      </c>
      <c r="B91" s="1479" t="s">
        <v>1865</v>
      </c>
    </row>
    <row r="92" spans="1:2" ht="12" customHeight="1" x14ac:dyDescent="0.25">
      <c r="A92" s="844">
        <v>90</v>
      </c>
      <c r="B92" s="1479" t="s">
        <v>1871</v>
      </c>
    </row>
    <row r="93" spans="1:2" ht="12" customHeight="1" x14ac:dyDescent="0.35">
      <c r="A93">
        <v>91</v>
      </c>
      <c r="B93" s="845" t="s">
        <v>2051</v>
      </c>
    </row>
    <row r="94" spans="1:2" ht="12" customHeight="1" x14ac:dyDescent="0.35">
      <c r="A94">
        <v>92</v>
      </c>
      <c r="B94" s="845" t="s">
        <v>2052</v>
      </c>
    </row>
    <row r="95" spans="1:2" ht="12" customHeight="1" x14ac:dyDescent="0.25">
      <c r="A95">
        <v>93</v>
      </c>
      <c r="B95" s="845" t="s">
        <v>2053</v>
      </c>
    </row>
    <row r="96" spans="1:2" ht="12" customHeight="1" x14ac:dyDescent="0.25">
      <c r="A96">
        <v>94</v>
      </c>
      <c r="B96" s="845" t="s">
        <v>2054</v>
      </c>
    </row>
    <row r="97" spans="1:13" ht="12" customHeight="1" x14ac:dyDescent="0.25">
      <c r="A97">
        <v>95</v>
      </c>
      <c r="B97" s="845" t="s">
        <v>2055</v>
      </c>
    </row>
    <row r="98" spans="1:13" ht="12" customHeight="1" x14ac:dyDescent="0.25">
      <c r="A98">
        <v>96</v>
      </c>
      <c r="B98" s="845" t="s">
        <v>2056</v>
      </c>
    </row>
    <row r="99" spans="1:13" ht="12" customHeight="1" x14ac:dyDescent="0.25">
      <c r="A99" s="844"/>
      <c r="B99" s="1479"/>
    </row>
    <row r="100" spans="1:13" ht="12" customHeight="1" x14ac:dyDescent="0.25">
      <c r="A100" s="2" t="s">
        <v>975</v>
      </c>
      <c r="B100" s="280"/>
    </row>
    <row r="101" spans="1:13" ht="12" customHeight="1" x14ac:dyDescent="0.25">
      <c r="B101" s="280"/>
    </row>
    <row r="102" spans="1:13" ht="12" customHeight="1" x14ac:dyDescent="0.25">
      <c r="A102" s="844" t="s">
        <v>976</v>
      </c>
      <c r="B102" s="845" t="s">
        <v>977</v>
      </c>
    </row>
    <row r="103" spans="1:13" ht="12" customHeight="1" x14ac:dyDescent="0.25">
      <c r="A103" s="844" t="s">
        <v>1014</v>
      </c>
      <c r="B103" s="845" t="s">
        <v>1015</v>
      </c>
    </row>
    <row r="104" spans="1:13" s="844" customFormat="1" x14ac:dyDescent="0.25">
      <c r="A104" s="844" t="s">
        <v>1107</v>
      </c>
      <c r="B104" s="891" t="s">
        <v>1108</v>
      </c>
      <c r="M104" s="835"/>
    </row>
    <row r="105" spans="1:13" s="844" customFormat="1" x14ac:dyDescent="0.25">
      <c r="A105" s="844" t="s">
        <v>1111</v>
      </c>
      <c r="B105" s="844" t="s">
        <v>238</v>
      </c>
      <c r="M105" s="835"/>
    </row>
    <row r="106" spans="1:13" s="844" customFormat="1" x14ac:dyDescent="0.25">
      <c r="A106" s="844" t="s">
        <v>1104</v>
      </c>
      <c r="B106" s="891" t="s">
        <v>1105</v>
      </c>
      <c r="M106" s="835"/>
    </row>
    <row r="107" spans="1:13" s="844" customFormat="1" x14ac:dyDescent="0.25">
      <c r="A107" s="844" t="s">
        <v>1103</v>
      </c>
      <c r="B107" s="844" t="s">
        <v>480</v>
      </c>
      <c r="C107" s="854"/>
      <c r="M107" s="835"/>
    </row>
    <row r="108" spans="1:13" s="844" customFormat="1" x14ac:dyDescent="0.25">
      <c r="A108" s="844" t="s">
        <v>1097</v>
      </c>
      <c r="B108" s="328" t="s">
        <v>370</v>
      </c>
      <c r="C108" s="854"/>
      <c r="M108" s="835"/>
    </row>
    <row r="109" spans="1:13" s="844" customFormat="1" x14ac:dyDescent="0.25">
      <c r="A109" s="844" t="s">
        <v>1109</v>
      </c>
      <c r="B109" s="845" t="s">
        <v>346</v>
      </c>
      <c r="C109" s="854"/>
      <c r="M109" s="835"/>
    </row>
    <row r="110" spans="1:13" s="844" customFormat="1" x14ac:dyDescent="0.25">
      <c r="A110" s="844" t="s">
        <v>1110</v>
      </c>
      <c r="B110" s="891" t="s">
        <v>479</v>
      </c>
      <c r="C110" s="854"/>
      <c r="M110" s="835"/>
    </row>
    <row r="111" spans="1:13" s="844" customFormat="1" x14ac:dyDescent="0.25">
      <c r="A111" s="844" t="s">
        <v>1101</v>
      </c>
      <c r="B111" s="117" t="s">
        <v>85</v>
      </c>
      <c r="C111" s="854"/>
      <c r="M111" s="835"/>
    </row>
    <row r="112" spans="1:13" s="844" customFormat="1" x14ac:dyDescent="0.25">
      <c r="A112" s="844" t="s">
        <v>1102</v>
      </c>
      <c r="B112" s="117" t="s">
        <v>86</v>
      </c>
      <c r="C112" s="854"/>
      <c r="M112" s="835"/>
    </row>
    <row r="113" spans="1:2" ht="12" customHeight="1" x14ac:dyDescent="0.25">
      <c r="B113" s="280"/>
    </row>
    <row r="114" spans="1:2" ht="12" customHeight="1" x14ac:dyDescent="0.25">
      <c r="A114" s="2" t="s">
        <v>59</v>
      </c>
      <c r="B114" s="116"/>
    </row>
    <row r="115" spans="1:2" x14ac:dyDescent="0.25">
      <c r="A115" s="2"/>
      <c r="B115" s="116"/>
    </row>
    <row r="116" spans="1:2" x14ac:dyDescent="0.25">
      <c r="A116" t="s">
        <v>60</v>
      </c>
      <c r="B116" s="116" t="s">
        <v>61</v>
      </c>
    </row>
    <row r="117" spans="1:2" x14ac:dyDescent="0.25">
      <c r="A117" t="s">
        <v>62</v>
      </c>
      <c r="B117" s="116" t="s">
        <v>63</v>
      </c>
    </row>
    <row r="118" spans="1:2" x14ac:dyDescent="0.25">
      <c r="A118" t="s">
        <v>64</v>
      </c>
      <c r="B118" s="116" t="s">
        <v>30</v>
      </c>
    </row>
    <row r="119" spans="1:2" x14ac:dyDescent="0.25">
      <c r="A119" t="s">
        <v>65</v>
      </c>
      <c r="B119" s="116" t="s">
        <v>34</v>
      </c>
    </row>
    <row r="120" spans="1:2" x14ac:dyDescent="0.25">
      <c r="A120" t="s">
        <v>66</v>
      </c>
      <c r="B120" s="116" t="s">
        <v>67</v>
      </c>
    </row>
    <row r="121" spans="1:2" x14ac:dyDescent="0.25">
      <c r="A121" t="s">
        <v>68</v>
      </c>
      <c r="B121" s="116" t="s">
        <v>69</v>
      </c>
    </row>
    <row r="122" spans="1:2" x14ac:dyDescent="0.25">
      <c r="A122" t="s">
        <v>70</v>
      </c>
      <c r="B122" s="116" t="s">
        <v>71</v>
      </c>
    </row>
    <row r="123" spans="1:2" x14ac:dyDescent="0.25">
      <c r="A123" t="s">
        <v>72</v>
      </c>
      <c r="B123" s="116" t="s">
        <v>73</v>
      </c>
    </row>
    <row r="124" spans="1:2" x14ac:dyDescent="0.25">
      <c r="A124" t="s">
        <v>74</v>
      </c>
      <c r="B124" s="116" t="s">
        <v>51</v>
      </c>
    </row>
    <row r="125" spans="1:2" x14ac:dyDescent="0.25">
      <c r="A125" t="s">
        <v>320</v>
      </c>
      <c r="B125" t="s">
        <v>327</v>
      </c>
    </row>
    <row r="126" spans="1:2" x14ac:dyDescent="0.25">
      <c r="A126" s="3" t="s">
        <v>387</v>
      </c>
      <c r="B126" s="844" t="s">
        <v>1155</v>
      </c>
    </row>
    <row r="127" spans="1:2" x14ac:dyDescent="0.25">
      <c r="A127" s="3" t="s">
        <v>388</v>
      </c>
      <c r="B127" s="3" t="s">
        <v>742</v>
      </c>
    </row>
    <row r="128" spans="1:2" x14ac:dyDescent="0.25">
      <c r="A128" s="3" t="s">
        <v>389</v>
      </c>
      <c r="B128" s="351" t="s">
        <v>743</v>
      </c>
    </row>
    <row r="129" spans="1:2" x14ac:dyDescent="0.25">
      <c r="A129" s="3" t="s">
        <v>745</v>
      </c>
      <c r="B129" s="147" t="s">
        <v>744</v>
      </c>
    </row>
    <row r="130" spans="1:2" x14ac:dyDescent="0.25">
      <c r="A130" s="844" t="s">
        <v>1067</v>
      </c>
      <c r="B130" t="s">
        <v>1066</v>
      </c>
    </row>
    <row r="131" spans="1:2" x14ac:dyDescent="0.25">
      <c r="A131" s="844" t="s">
        <v>1156</v>
      </c>
      <c r="B131" s="843" t="s">
        <v>1157</v>
      </c>
    </row>
    <row r="133" spans="1:2" x14ac:dyDescent="0.25">
      <c r="A133" s="2" t="s">
        <v>75</v>
      </c>
      <c r="B133" s="116"/>
    </row>
    <row r="134" spans="1:2" x14ac:dyDescent="0.25">
      <c r="B134" s="116"/>
    </row>
    <row r="135" spans="1:2" x14ac:dyDescent="0.25">
      <c r="A135" t="s">
        <v>76</v>
      </c>
      <c r="B135" s="66" t="s">
        <v>77</v>
      </c>
    </row>
    <row r="136" spans="1:2" x14ac:dyDescent="0.25">
      <c r="A136" t="s">
        <v>78</v>
      </c>
      <c r="B136" s="66" t="s">
        <v>218</v>
      </c>
    </row>
    <row r="137" spans="1:2" x14ac:dyDescent="0.25">
      <c r="A137" t="s">
        <v>79</v>
      </c>
      <c r="B137" s="66" t="s">
        <v>61</v>
      </c>
    </row>
    <row r="138" spans="1:2" x14ac:dyDescent="0.25">
      <c r="A138" t="s">
        <v>80</v>
      </c>
      <c r="B138" s="147" t="s">
        <v>744</v>
      </c>
    </row>
    <row r="139" spans="1:2" x14ac:dyDescent="0.25">
      <c r="A139" t="s">
        <v>81</v>
      </c>
      <c r="B139" s="66" t="s">
        <v>30</v>
      </c>
    </row>
    <row r="140" spans="1:2" x14ac:dyDescent="0.25">
      <c r="A140" s="3" t="s">
        <v>419</v>
      </c>
      <c r="B140" s="289" t="s">
        <v>540</v>
      </c>
    </row>
    <row r="141" spans="1:2" x14ac:dyDescent="0.25">
      <c r="A141" s="3" t="s">
        <v>741</v>
      </c>
      <c r="B141" s="147" t="s">
        <v>743</v>
      </c>
    </row>
    <row r="143" spans="1:2" x14ac:dyDescent="0.25">
      <c r="A143" s="2" t="s">
        <v>99</v>
      </c>
      <c r="B143" s="116"/>
    </row>
    <row r="144" spans="1:2" x14ac:dyDescent="0.25">
      <c r="B144" s="116"/>
    </row>
    <row r="145" spans="1:13" x14ac:dyDescent="0.25">
      <c r="A145" t="s">
        <v>100</v>
      </c>
      <c r="B145" s="116" t="s">
        <v>101</v>
      </c>
    </row>
    <row r="146" spans="1:13" x14ac:dyDescent="0.25">
      <c r="A146" t="s">
        <v>102</v>
      </c>
      <c r="B146" s="116" t="s">
        <v>103</v>
      </c>
    </row>
    <row r="147" spans="1:13" x14ac:dyDescent="0.25">
      <c r="A147" t="s">
        <v>104</v>
      </c>
      <c r="B147" s="117" t="s">
        <v>55</v>
      </c>
    </row>
    <row r="148" spans="1:13" x14ac:dyDescent="0.25">
      <c r="A148" t="s">
        <v>105</v>
      </c>
      <c r="B148" s="117" t="s">
        <v>57</v>
      </c>
    </row>
    <row r="149" spans="1:13" x14ac:dyDescent="0.25">
      <c r="A149" t="s">
        <v>106</v>
      </c>
      <c r="B149" s="116" t="s">
        <v>32</v>
      </c>
    </row>
    <row r="150" spans="1:13" x14ac:dyDescent="0.25">
      <c r="A150" t="s">
        <v>107</v>
      </c>
      <c r="B150" s="116" t="s">
        <v>54</v>
      </c>
    </row>
    <row r="151" spans="1:13" x14ac:dyDescent="0.25">
      <c r="A151" t="s">
        <v>108</v>
      </c>
      <c r="B151" s="116" t="s">
        <v>109</v>
      </c>
    </row>
    <row r="152" spans="1:13" x14ac:dyDescent="0.25">
      <c r="A152" t="s">
        <v>110</v>
      </c>
      <c r="B152" s="116" t="s">
        <v>56</v>
      </c>
    </row>
    <row r="153" spans="1:13" x14ac:dyDescent="0.25">
      <c r="A153" t="s">
        <v>111</v>
      </c>
      <c r="B153" s="116" t="s">
        <v>36</v>
      </c>
    </row>
    <row r="154" spans="1:13" s="3" customFormat="1" x14ac:dyDescent="0.25">
      <c r="A154" t="s">
        <v>406</v>
      </c>
      <c r="B154" s="854" t="s">
        <v>1544</v>
      </c>
      <c r="M154" s="288"/>
    </row>
    <row r="155" spans="1:13" s="3" customFormat="1" ht="13.8" x14ac:dyDescent="0.25">
      <c r="A155"/>
      <c r="B155" s="385"/>
      <c r="M155" s="288"/>
    </row>
    <row r="156" spans="1:13" s="3" customFormat="1" x14ac:dyDescent="0.25">
      <c r="A156" s="2" t="s">
        <v>328</v>
      </c>
      <c r="M156" s="288"/>
    </row>
    <row r="157" spans="1:13" s="3" customFormat="1" x14ac:dyDescent="0.25">
      <c r="A157" s="844" t="s">
        <v>329</v>
      </c>
      <c r="B157" s="3" t="s">
        <v>330</v>
      </c>
      <c r="M157" s="288"/>
    </row>
    <row r="158" spans="1:13" s="3" customFormat="1" x14ac:dyDescent="0.25">
      <c r="A158" s="3" t="s">
        <v>331</v>
      </c>
      <c r="B158" s="289" t="s">
        <v>332</v>
      </c>
      <c r="M158" s="288"/>
    </row>
    <row r="159" spans="1:13" x14ac:dyDescent="0.25">
      <c r="A159" s="3" t="s">
        <v>333</v>
      </c>
      <c r="B159" s="3" t="s">
        <v>334</v>
      </c>
    </row>
    <row r="160" spans="1:13" x14ac:dyDescent="0.25">
      <c r="A160" s="3" t="s">
        <v>335</v>
      </c>
      <c r="B160" s="280" t="s">
        <v>336</v>
      </c>
    </row>
    <row r="161" spans="1:2" x14ac:dyDescent="0.25">
      <c r="A161" s="3" t="s">
        <v>919</v>
      </c>
      <c r="B161" s="208" t="s">
        <v>920</v>
      </c>
    </row>
    <row r="162" spans="1:2" x14ac:dyDescent="0.25">
      <c r="A162" s="3" t="s">
        <v>921</v>
      </c>
      <c r="B162" s="208" t="s">
        <v>922</v>
      </c>
    </row>
    <row r="163" spans="1:2" x14ac:dyDescent="0.25">
      <c r="A163" s="3" t="s">
        <v>929</v>
      </c>
      <c r="B163" s="208" t="s">
        <v>932</v>
      </c>
    </row>
    <row r="164" spans="1:2" x14ac:dyDescent="0.25">
      <c r="A164" s="3" t="s">
        <v>930</v>
      </c>
      <c r="B164" s="3" t="s">
        <v>931</v>
      </c>
    </row>
  </sheetData>
  <phoneticPr fontId="0" type="noConversion"/>
  <hyperlinks>
    <hyperlink ref="B160" r:id="rId1" display="http://www.ipcc.ch/ipccreports/assessment-reports.php"/>
    <hyperlink ref="B53" r:id="rId2" display="http://www.ipcc.ch/ipccreports/assessment-reports.php"/>
    <hyperlink ref="B55" r:id="rId3"/>
    <hyperlink ref="B56" r:id="rId4"/>
    <hyperlink ref="B58" r:id="rId5" location="calcresults accessed 19/05/11"/>
    <hyperlink ref="B52" r:id="rId6"/>
    <hyperlink ref="B109" r:id="rId7" display="http://www.ipcc.ch/ipccreports/assessment-reports.php"/>
  </hyperlinks>
  <pageMargins left="0.75" right="0.75" top="1" bottom="1" header="0.5" footer="0.5"/>
  <pageSetup paperSize="9" orientation="portrait" verticalDpi="300" r:id="rId8"/>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Q317"/>
  <sheetViews>
    <sheetView zoomScaleNormal="100" workbookViewId="0"/>
  </sheetViews>
  <sheetFormatPr defaultColWidth="9.109375" defaultRowHeight="15" customHeight="1" x14ac:dyDescent="0.35"/>
  <cols>
    <col min="1" max="1" width="53.109375" style="989" customWidth="1"/>
    <col min="2" max="2" width="105" style="989" customWidth="1"/>
    <col min="3" max="3" width="13" style="989" customWidth="1"/>
    <col min="4" max="4" width="77.109375" style="989" customWidth="1"/>
    <col min="5" max="5" width="20.5546875" style="1010" customWidth="1"/>
    <col min="6" max="6" width="31" style="1011" customWidth="1"/>
    <col min="7" max="7" width="25" style="1013" customWidth="1"/>
    <col min="8" max="8" width="93.33203125" style="1012" customWidth="1"/>
    <col min="9" max="10" width="49.5546875" style="989" customWidth="1"/>
    <col min="11" max="11" width="14" style="989" customWidth="1"/>
    <col min="12" max="12" width="63" style="989" customWidth="1"/>
    <col min="13" max="13" width="6.6640625" style="989" customWidth="1"/>
    <col min="14" max="14" width="63.44140625" style="989" customWidth="1"/>
    <col min="15" max="15" width="9.109375" style="989"/>
    <col min="16" max="16" width="64.6640625" style="989" customWidth="1"/>
    <col min="17" max="17" width="9.109375" style="989"/>
    <col min="18" max="18" width="71.109375" style="989" customWidth="1"/>
    <col min="19" max="19" width="6.5546875" style="989" customWidth="1"/>
    <col min="20" max="20" width="23.44140625" style="989" hidden="1" customWidth="1"/>
    <col min="21" max="21" width="51.6640625" style="989" customWidth="1"/>
    <col min="22" max="22" width="5.109375" style="989" customWidth="1"/>
    <col min="23" max="23" width="26.88671875" style="989" customWidth="1"/>
    <col min="24" max="16384" width="9.109375" style="989"/>
  </cols>
  <sheetData>
    <row r="1" spans="1:16" ht="15" customHeight="1" x14ac:dyDescent="0.35">
      <c r="A1" s="1009" t="s">
        <v>1595</v>
      </c>
      <c r="G1" s="1011"/>
    </row>
    <row r="2" spans="1:16" ht="15" customHeight="1" x14ac:dyDescent="0.35">
      <c r="G2" s="1011"/>
    </row>
    <row r="3" spans="1:16" ht="15" customHeight="1" thickBot="1" x14ac:dyDescent="0.4"/>
    <row r="4" spans="1:16" s="1010" customFormat="1" ht="15" customHeight="1" thickBot="1" x14ac:dyDescent="0.3">
      <c r="A4" s="1014" t="s">
        <v>129</v>
      </c>
      <c r="B4" s="1015" t="s">
        <v>130</v>
      </c>
      <c r="C4" s="1015" t="s">
        <v>131</v>
      </c>
      <c r="D4" s="1015" t="s">
        <v>132</v>
      </c>
      <c r="E4" s="1015" t="s">
        <v>133</v>
      </c>
      <c r="F4" s="1016" t="s">
        <v>258</v>
      </c>
      <c r="G4" s="1017" t="s">
        <v>1142</v>
      </c>
      <c r="H4" s="1018" t="s">
        <v>27</v>
      </c>
      <c r="I4" s="1321"/>
      <c r="J4" s="1371"/>
      <c r="K4" s="1021"/>
      <c r="L4" s="1020"/>
      <c r="M4" s="1021"/>
    </row>
    <row r="5" spans="1:16" s="1010" customFormat="1" ht="15" customHeight="1" thickBot="1" x14ac:dyDescent="0.3">
      <c r="A5" s="1022"/>
      <c r="B5" s="1023"/>
      <c r="C5" s="1023"/>
      <c r="D5" s="1023"/>
      <c r="E5" s="1023"/>
      <c r="F5" s="1024"/>
      <c r="G5" s="1025"/>
      <c r="H5" s="1026"/>
      <c r="I5" s="1322"/>
      <c r="J5" s="1372"/>
      <c r="K5" s="1021"/>
      <c r="L5" s="1027" t="s">
        <v>457</v>
      </c>
    </row>
    <row r="6" spans="1:16" s="1034" customFormat="1" ht="15" customHeight="1" thickBot="1" x14ac:dyDescent="0.3">
      <c r="A6" s="1028" t="s">
        <v>260</v>
      </c>
      <c r="B6" s="1029"/>
      <c r="C6" s="1030"/>
      <c r="D6" s="1030"/>
      <c r="E6" s="1030"/>
      <c r="F6" s="1031"/>
      <c r="G6" s="1031"/>
      <c r="H6" s="1032"/>
      <c r="I6" s="1322"/>
      <c r="J6" s="1372"/>
      <c r="K6" s="1119"/>
      <c r="L6" s="1033" t="s">
        <v>339</v>
      </c>
    </row>
    <row r="7" spans="1:16" ht="15" customHeight="1" thickBot="1" x14ac:dyDescent="0.4">
      <c r="B7" s="1035"/>
      <c r="I7" s="1069"/>
      <c r="J7" s="995"/>
      <c r="K7" s="1021"/>
      <c r="L7" s="1036" t="s">
        <v>341</v>
      </c>
    </row>
    <row r="8" spans="1:16" ht="15" customHeight="1" thickBot="1" x14ac:dyDescent="0.4">
      <c r="A8" s="1291"/>
      <c r="B8" s="1037" t="s">
        <v>444</v>
      </c>
      <c r="C8" s="1038" t="s">
        <v>265</v>
      </c>
      <c r="D8" s="1039" t="s">
        <v>337</v>
      </c>
      <c r="E8" s="1040" t="s">
        <v>338</v>
      </c>
      <c r="F8" s="1041" t="s">
        <v>339</v>
      </c>
      <c r="G8" s="1042" t="s">
        <v>339</v>
      </c>
      <c r="H8" s="1043" t="s">
        <v>456</v>
      </c>
      <c r="I8" s="1323"/>
      <c r="J8" s="1373"/>
      <c r="K8" s="1376"/>
      <c r="P8" s="1005"/>
    </row>
    <row r="9" spans="1:16" s="1034" customFormat="1" ht="43.5" customHeight="1" x14ac:dyDescent="0.25">
      <c r="A9" s="1052"/>
      <c r="B9" s="1045" t="s">
        <v>445</v>
      </c>
      <c r="C9" s="1046" t="s">
        <v>262</v>
      </c>
      <c r="D9" s="1046" t="s">
        <v>371</v>
      </c>
      <c r="E9" s="1047" t="s">
        <v>962</v>
      </c>
      <c r="F9" s="1049">
        <v>0</v>
      </c>
      <c r="G9" s="1050">
        <v>0</v>
      </c>
      <c r="H9" s="1048" t="s">
        <v>2028</v>
      </c>
      <c r="I9" s="1324"/>
      <c r="J9" s="1374"/>
      <c r="K9" s="1119"/>
      <c r="N9" s="1033" t="s">
        <v>259</v>
      </c>
    </row>
    <row r="10" spans="1:16" s="1034" customFormat="1" ht="30" customHeight="1" x14ac:dyDescent="0.25">
      <c r="A10" s="1052"/>
      <c r="B10" s="1051" t="s">
        <v>865</v>
      </c>
      <c r="C10" s="1052" t="s">
        <v>262</v>
      </c>
      <c r="D10" s="1052" t="s">
        <v>371</v>
      </c>
      <c r="E10" s="1053" t="s">
        <v>866</v>
      </c>
      <c r="F10" s="1054">
        <v>1</v>
      </c>
      <c r="G10" s="1055">
        <v>1</v>
      </c>
      <c r="H10" s="1056" t="s">
        <v>867</v>
      </c>
      <c r="I10" s="1324"/>
      <c r="J10" s="1374"/>
      <c r="K10" s="1119"/>
      <c r="N10" s="1057" t="s">
        <v>261</v>
      </c>
    </row>
    <row r="11" spans="1:16" s="1034" customFormat="1" ht="15" customHeight="1" thickBot="1" x14ac:dyDescent="0.4">
      <c r="A11" s="1052"/>
      <c r="B11" s="1058" t="s">
        <v>446</v>
      </c>
      <c r="C11" s="1059" t="s">
        <v>265</v>
      </c>
      <c r="D11" s="1060" t="s">
        <v>267</v>
      </c>
      <c r="E11" s="1061" t="s">
        <v>268</v>
      </c>
      <c r="F11" s="1062" t="s">
        <v>259</v>
      </c>
      <c r="G11" s="1063" t="s">
        <v>259</v>
      </c>
      <c r="H11" s="1064" t="s">
        <v>269</v>
      </c>
      <c r="I11" s="1325"/>
      <c r="J11" s="1375"/>
      <c r="K11" s="1065"/>
      <c r="L11" s="1065"/>
      <c r="M11" s="1065"/>
      <c r="N11" s="1036" t="s">
        <v>264</v>
      </c>
      <c r="P11" s="1044" t="s">
        <v>1285</v>
      </c>
    </row>
    <row r="12" spans="1:16" s="1034" customFormat="1" ht="15" customHeight="1" x14ac:dyDescent="0.35">
      <c r="A12" s="1052"/>
      <c r="B12" s="1058" t="s">
        <v>447</v>
      </c>
      <c r="C12" s="1059" t="s">
        <v>248</v>
      </c>
      <c r="D12" s="1059" t="s">
        <v>1610</v>
      </c>
      <c r="E12" s="1061" t="s">
        <v>154</v>
      </c>
      <c r="F12" s="1066">
        <v>1</v>
      </c>
      <c r="G12" s="1067">
        <v>1</v>
      </c>
      <c r="H12" s="1068" t="s">
        <v>2027</v>
      </c>
      <c r="I12" s="1326"/>
      <c r="J12" s="1328"/>
      <c r="K12" s="995"/>
      <c r="P12" s="1033" t="s">
        <v>1283</v>
      </c>
    </row>
    <row r="13" spans="1:16" s="1034" customFormat="1" ht="15" customHeight="1" x14ac:dyDescent="0.35">
      <c r="A13" s="1052"/>
      <c r="B13" s="1070"/>
      <c r="C13" s="1070"/>
      <c r="D13" s="1070"/>
      <c r="E13" s="1071"/>
      <c r="F13" s="1072"/>
      <c r="G13" s="1073"/>
      <c r="H13" s="1074"/>
      <c r="I13" s="1326"/>
      <c r="J13" s="1328"/>
      <c r="K13" s="995"/>
      <c r="P13" s="1057" t="s">
        <v>1286</v>
      </c>
    </row>
    <row r="14" spans="1:16" s="1034" customFormat="1" ht="141" customHeight="1" thickBot="1" x14ac:dyDescent="0.4">
      <c r="A14" s="1052"/>
      <c r="B14" s="1070" t="s">
        <v>1280</v>
      </c>
      <c r="C14" s="1070" t="s">
        <v>265</v>
      </c>
      <c r="D14" s="1074" t="s">
        <v>1281</v>
      </c>
      <c r="E14" s="1071" t="s">
        <v>1282</v>
      </c>
      <c r="F14" s="1072" t="s">
        <v>1283</v>
      </c>
      <c r="G14" s="1073" t="s">
        <v>1283</v>
      </c>
      <c r="H14" s="1074" t="s">
        <v>1288</v>
      </c>
      <c r="I14" s="1327"/>
      <c r="J14" s="1362"/>
      <c r="K14" s="1000"/>
      <c r="L14" s="1065"/>
      <c r="M14" s="1065"/>
      <c r="N14" s="1065"/>
      <c r="O14" s="1075"/>
      <c r="P14" s="1036" t="s">
        <v>1284</v>
      </c>
    </row>
    <row r="15" spans="1:16" s="1034" customFormat="1" ht="15" customHeight="1" x14ac:dyDescent="0.35">
      <c r="A15" s="1052"/>
      <c r="B15" s="1070" t="s">
        <v>1289</v>
      </c>
      <c r="C15" s="1070" t="s">
        <v>262</v>
      </c>
      <c r="D15" s="1070" t="s">
        <v>371</v>
      </c>
      <c r="E15" s="1071" t="s">
        <v>1290</v>
      </c>
      <c r="F15" s="1072">
        <v>1</v>
      </c>
      <c r="G15" s="1073">
        <v>1</v>
      </c>
      <c r="H15" s="1074" t="s">
        <v>1291</v>
      </c>
      <c r="I15" s="1328"/>
      <c r="J15" s="1328"/>
      <c r="K15" s="989"/>
    </row>
    <row r="16" spans="1:16" s="1034" customFormat="1" ht="15" customHeight="1" x14ac:dyDescent="0.35">
      <c r="A16" s="1052"/>
      <c r="B16" s="1070" t="s">
        <v>1292</v>
      </c>
      <c r="C16" s="1070" t="s">
        <v>262</v>
      </c>
      <c r="D16" s="1070" t="s">
        <v>371</v>
      </c>
      <c r="E16" s="1071" t="s">
        <v>961</v>
      </c>
      <c r="F16" s="1072">
        <v>0</v>
      </c>
      <c r="G16" s="1073">
        <v>0</v>
      </c>
      <c r="H16" s="1074" t="s">
        <v>1293</v>
      </c>
      <c r="I16" s="1328"/>
      <c r="J16" s="1328"/>
      <c r="K16" s="989"/>
    </row>
    <row r="17" spans="1:173" s="1034" customFormat="1" ht="15" customHeight="1" x14ac:dyDescent="0.35">
      <c r="A17" s="1052"/>
      <c r="B17" s="1070" t="s">
        <v>1294</v>
      </c>
      <c r="C17" s="1070" t="s">
        <v>262</v>
      </c>
      <c r="D17" s="1070" t="s">
        <v>371</v>
      </c>
      <c r="E17" s="1071" t="s">
        <v>1295</v>
      </c>
      <c r="F17" s="1072">
        <v>1</v>
      </c>
      <c r="G17" s="1073">
        <v>1</v>
      </c>
      <c r="H17" s="1074" t="s">
        <v>1675</v>
      </c>
      <c r="I17" s="1328"/>
      <c r="J17" s="1328"/>
      <c r="K17" s="989"/>
    </row>
    <row r="18" spans="1:173" s="1034" customFormat="1" ht="15" customHeight="1" x14ac:dyDescent="0.35">
      <c r="A18" s="1052"/>
      <c r="B18" s="1070" t="s">
        <v>1296</v>
      </c>
      <c r="C18" s="1070" t="s">
        <v>262</v>
      </c>
      <c r="D18" s="1070" t="s">
        <v>371</v>
      </c>
      <c r="E18" s="1071" t="s">
        <v>1297</v>
      </c>
      <c r="F18" s="1072">
        <v>0</v>
      </c>
      <c r="G18" s="1073">
        <v>0</v>
      </c>
      <c r="H18" s="1074" t="s">
        <v>1298</v>
      </c>
      <c r="I18" s="1328"/>
      <c r="J18" s="1328"/>
      <c r="K18" s="989"/>
    </row>
    <row r="19" spans="1:173" s="1034" customFormat="1" ht="15" customHeight="1" x14ac:dyDescent="0.35">
      <c r="A19" s="1052"/>
      <c r="B19" s="1070" t="s">
        <v>1299</v>
      </c>
      <c r="C19" s="1070" t="s">
        <v>262</v>
      </c>
      <c r="D19" s="1070" t="s">
        <v>371</v>
      </c>
      <c r="E19" s="1071" t="s">
        <v>1300</v>
      </c>
      <c r="F19" s="1072">
        <v>1</v>
      </c>
      <c r="G19" s="1073">
        <v>1</v>
      </c>
      <c r="H19" s="1074" t="s">
        <v>1676</v>
      </c>
      <c r="I19" s="1328"/>
      <c r="J19" s="1328"/>
      <c r="K19" s="989"/>
    </row>
    <row r="20" spans="1:173" s="1034" customFormat="1" ht="15" customHeight="1" x14ac:dyDescent="0.35">
      <c r="A20" s="1052"/>
      <c r="B20" s="1070" t="s">
        <v>1301</v>
      </c>
      <c r="C20" s="1070" t="s">
        <v>262</v>
      </c>
      <c r="D20" s="1070" t="s">
        <v>371</v>
      </c>
      <c r="E20" s="1071" t="s">
        <v>1302</v>
      </c>
      <c r="F20" s="1072">
        <v>0</v>
      </c>
      <c r="G20" s="1073">
        <v>0</v>
      </c>
      <c r="H20" s="1074" t="s">
        <v>1303</v>
      </c>
      <c r="I20" s="1328"/>
      <c r="J20" s="1328"/>
      <c r="K20" s="989"/>
    </row>
    <row r="21" spans="1:173" s="1034" customFormat="1" ht="15" customHeight="1" x14ac:dyDescent="0.35">
      <c r="A21" s="1046"/>
      <c r="B21" s="1070" t="s">
        <v>1304</v>
      </c>
      <c r="C21" s="1070" t="s">
        <v>262</v>
      </c>
      <c r="D21" s="1070" t="s">
        <v>371</v>
      </c>
      <c r="E21" s="1071" t="s">
        <v>1305</v>
      </c>
      <c r="F21" s="1072">
        <v>0</v>
      </c>
      <c r="G21" s="1073">
        <v>0</v>
      </c>
      <c r="H21" s="1074" t="s">
        <v>1306</v>
      </c>
      <c r="I21" s="1328"/>
      <c r="J21" s="1328"/>
      <c r="K21" s="989"/>
    </row>
    <row r="22" spans="1:173" s="1034" customFormat="1" ht="15" customHeight="1" thickBot="1" x14ac:dyDescent="0.4">
      <c r="A22" s="1293"/>
      <c r="B22" s="1293"/>
      <c r="C22" s="1293"/>
      <c r="D22" s="1293"/>
      <c r="E22" s="1293"/>
      <c r="F22" s="1293"/>
      <c r="G22" s="1293"/>
      <c r="H22" s="1293"/>
      <c r="I22" s="1328"/>
      <c r="J22" s="1536" t="s">
        <v>2039</v>
      </c>
      <c r="K22" s="989"/>
    </row>
    <row r="23" spans="1:173" s="983" customFormat="1" ht="15" customHeight="1" thickBot="1" x14ac:dyDescent="0.4">
      <c r="A23" s="1300" t="s">
        <v>959</v>
      </c>
      <c r="B23" s="1298"/>
      <c r="C23" s="1298"/>
      <c r="D23" s="1298"/>
      <c r="E23" s="1298"/>
      <c r="F23" s="1298"/>
      <c r="G23" s="1298"/>
      <c r="H23" s="1299"/>
      <c r="I23" s="1328"/>
      <c r="J23" s="1537" t="s">
        <v>2036</v>
      </c>
      <c r="K23" s="1034"/>
      <c r="L23" s="1034"/>
      <c r="M23" s="1034"/>
      <c r="N23" s="1034"/>
      <c r="O23" s="1034"/>
      <c r="P23" s="1034"/>
      <c r="Q23" s="1034"/>
      <c r="R23" s="1034"/>
      <c r="S23" s="1034"/>
      <c r="T23" s="1034"/>
      <c r="U23" s="1034"/>
      <c r="V23" s="1034"/>
      <c r="W23" s="1034"/>
      <c r="X23" s="1034"/>
      <c r="Y23" s="1034"/>
      <c r="Z23" s="1034"/>
      <c r="AA23" s="1034"/>
      <c r="AB23" s="1034"/>
      <c r="AC23" s="1034"/>
      <c r="AD23" s="1034"/>
      <c r="AE23" s="1034"/>
      <c r="AF23" s="1034"/>
      <c r="AG23" s="1034"/>
      <c r="AH23" s="1034"/>
      <c r="AI23" s="1034"/>
      <c r="AJ23" s="1034"/>
      <c r="AK23" s="1034"/>
      <c r="AL23" s="1034"/>
      <c r="AM23" s="1034"/>
      <c r="AN23" s="1034"/>
      <c r="AO23" s="1034"/>
      <c r="AP23" s="1034"/>
      <c r="AQ23" s="1034"/>
      <c r="AR23" s="1034"/>
      <c r="AS23" s="1034"/>
      <c r="AT23" s="1034"/>
      <c r="AU23" s="1034"/>
      <c r="AV23" s="1034"/>
      <c r="AW23" s="1034"/>
      <c r="AX23" s="1034"/>
      <c r="AY23" s="1034"/>
      <c r="AZ23" s="1034"/>
      <c r="BA23" s="1034"/>
      <c r="BB23" s="1034"/>
      <c r="BC23" s="1034"/>
      <c r="BD23" s="1034"/>
      <c r="BE23" s="1034"/>
      <c r="BF23" s="1034"/>
      <c r="BG23" s="1034"/>
      <c r="BH23" s="1034"/>
      <c r="BI23" s="1034"/>
      <c r="BJ23" s="1034"/>
      <c r="BK23" s="1034"/>
      <c r="BL23" s="1034"/>
      <c r="BM23" s="1034"/>
      <c r="BN23" s="1034"/>
      <c r="BO23" s="1034"/>
      <c r="BP23" s="1034"/>
      <c r="BQ23" s="1034"/>
      <c r="BR23" s="1034"/>
      <c r="BS23" s="1034"/>
      <c r="BT23" s="1034"/>
      <c r="BU23" s="1034"/>
      <c r="BV23" s="1034"/>
      <c r="BW23" s="1034"/>
      <c r="BX23" s="1034"/>
      <c r="BY23" s="1034"/>
      <c r="BZ23" s="1034"/>
      <c r="CA23" s="1034"/>
      <c r="CB23" s="1034"/>
      <c r="CC23" s="1034"/>
      <c r="CD23" s="1034"/>
      <c r="CE23" s="1034"/>
      <c r="CF23" s="1034"/>
      <c r="CG23" s="1034"/>
      <c r="CH23" s="1034"/>
      <c r="CI23" s="1034"/>
      <c r="CJ23" s="1034"/>
      <c r="CK23" s="1034"/>
      <c r="CL23" s="1034"/>
      <c r="CM23" s="1034"/>
      <c r="CN23" s="1034"/>
      <c r="CO23" s="1034"/>
      <c r="CP23" s="1034"/>
      <c r="CQ23" s="1034"/>
      <c r="CR23" s="1034"/>
      <c r="CS23" s="1034"/>
      <c r="CT23" s="1034"/>
      <c r="CU23" s="1034"/>
      <c r="CV23" s="1034"/>
      <c r="CW23" s="1034"/>
      <c r="CX23" s="1034"/>
      <c r="CY23" s="1034"/>
      <c r="CZ23" s="1034"/>
      <c r="DA23" s="1034"/>
      <c r="DB23" s="1034"/>
      <c r="DC23" s="1034"/>
      <c r="DD23" s="1034"/>
      <c r="DE23" s="1034"/>
      <c r="DF23" s="1034"/>
      <c r="DG23" s="1034"/>
      <c r="DH23" s="1034"/>
      <c r="DI23" s="1034"/>
      <c r="DJ23" s="1034"/>
      <c r="DK23" s="1034"/>
      <c r="DL23" s="1034"/>
      <c r="DM23" s="1034"/>
      <c r="DN23" s="1034"/>
      <c r="DO23" s="1034"/>
      <c r="DP23" s="1034"/>
      <c r="DQ23" s="1034"/>
      <c r="DR23" s="1034"/>
      <c r="DS23" s="1034"/>
      <c r="DT23" s="1034"/>
      <c r="DU23" s="1034"/>
      <c r="DV23" s="1034"/>
      <c r="DW23" s="1034"/>
      <c r="DX23" s="1034"/>
      <c r="DY23" s="1034"/>
      <c r="DZ23" s="1034"/>
      <c r="EA23" s="1034"/>
      <c r="EB23" s="1034"/>
      <c r="EC23" s="1034"/>
      <c r="ED23" s="1034"/>
      <c r="EE23" s="1034"/>
      <c r="EF23" s="1034"/>
      <c r="EG23" s="1034"/>
      <c r="EH23" s="1034"/>
      <c r="EI23" s="1034"/>
      <c r="EJ23" s="1034"/>
      <c r="EK23" s="1034"/>
      <c r="EL23" s="1034"/>
      <c r="EM23" s="1034"/>
      <c r="EN23" s="1034"/>
      <c r="EO23" s="1034"/>
      <c r="EP23" s="1034"/>
      <c r="EQ23" s="1034"/>
      <c r="ER23" s="1034"/>
      <c r="ES23" s="1034"/>
      <c r="ET23" s="1034"/>
      <c r="EU23" s="1034"/>
      <c r="EV23" s="1034"/>
      <c r="EW23" s="1034"/>
      <c r="EX23" s="1034"/>
      <c r="EY23" s="1034"/>
      <c r="EZ23" s="1034"/>
      <c r="FA23" s="1034"/>
      <c r="FB23" s="1034"/>
      <c r="FC23" s="1034"/>
      <c r="FD23" s="1034"/>
      <c r="FE23" s="1034"/>
      <c r="FF23" s="1034"/>
      <c r="FG23" s="1034"/>
      <c r="FH23" s="1034"/>
      <c r="FI23" s="1034"/>
      <c r="FJ23" s="1034"/>
      <c r="FK23" s="1034"/>
      <c r="FL23" s="1034"/>
      <c r="FM23" s="1034"/>
      <c r="FN23" s="1034"/>
      <c r="FO23" s="1034"/>
      <c r="FP23" s="1034"/>
      <c r="FQ23" s="1034"/>
    </row>
    <row r="24" spans="1:173" s="983" customFormat="1" ht="15" customHeight="1" x14ac:dyDescent="0.35">
      <c r="A24" s="1531"/>
      <c r="B24" s="1294"/>
      <c r="C24" s="1295"/>
      <c r="D24" s="1296"/>
      <c r="E24" s="1297"/>
      <c r="F24" s="1532"/>
      <c r="G24" s="1532"/>
      <c r="H24" s="1533"/>
      <c r="I24" s="1328"/>
      <c r="J24" s="1538" t="s">
        <v>2037</v>
      </c>
      <c r="K24" s="1034"/>
      <c r="L24" s="1034"/>
      <c r="M24" s="1034"/>
      <c r="N24" s="1034"/>
      <c r="O24" s="1034"/>
      <c r="P24" s="1034"/>
      <c r="Q24" s="1034"/>
      <c r="R24" s="1034"/>
      <c r="S24" s="1034"/>
      <c r="T24" s="1034"/>
      <c r="U24" s="1034"/>
      <c r="V24" s="1034"/>
      <c r="W24" s="1034"/>
      <c r="X24" s="1034"/>
      <c r="Y24" s="1034"/>
      <c r="Z24" s="1034"/>
      <c r="AA24" s="1034"/>
      <c r="AB24" s="1034"/>
      <c r="AC24" s="1034"/>
      <c r="AD24" s="1034"/>
      <c r="AE24" s="1034"/>
      <c r="AF24" s="1034"/>
      <c r="AG24" s="1034"/>
      <c r="AH24" s="1034"/>
      <c r="AI24" s="1034"/>
      <c r="AJ24" s="1034"/>
      <c r="AK24" s="1034"/>
      <c r="AL24" s="1034"/>
      <c r="AM24" s="1034"/>
      <c r="AN24" s="1034"/>
      <c r="AO24" s="1034"/>
      <c r="AP24" s="1034"/>
      <c r="AQ24" s="1034"/>
      <c r="AR24" s="1034"/>
      <c r="AS24" s="1034"/>
      <c r="AT24" s="1034"/>
      <c r="AU24" s="1034"/>
      <c r="AV24" s="1034"/>
      <c r="AW24" s="1034"/>
      <c r="AX24" s="1034"/>
      <c r="AY24" s="1034"/>
      <c r="AZ24" s="1034"/>
      <c r="BA24" s="1034"/>
      <c r="BB24" s="1034"/>
      <c r="BC24" s="1034"/>
      <c r="BD24" s="1034"/>
      <c r="BE24" s="1034"/>
      <c r="BF24" s="1034"/>
      <c r="BG24" s="1034"/>
      <c r="BH24" s="1034"/>
      <c r="BI24" s="1034"/>
      <c r="BJ24" s="1034"/>
      <c r="BK24" s="1034"/>
      <c r="BL24" s="1034"/>
      <c r="BM24" s="1034"/>
      <c r="BN24" s="1034"/>
      <c r="BO24" s="1034"/>
      <c r="BP24" s="1034"/>
      <c r="BQ24" s="1034"/>
      <c r="BR24" s="1034"/>
      <c r="BS24" s="1034"/>
      <c r="BT24" s="1034"/>
      <c r="BU24" s="1034"/>
      <c r="BV24" s="1034"/>
      <c r="BW24" s="1034"/>
      <c r="BX24" s="1034"/>
      <c r="BY24" s="1034"/>
      <c r="BZ24" s="1034"/>
      <c r="CA24" s="1034"/>
      <c r="CB24" s="1034"/>
      <c r="CC24" s="1034"/>
      <c r="CD24" s="1034"/>
      <c r="CE24" s="1034"/>
      <c r="CF24" s="1034"/>
      <c r="CG24" s="1034"/>
      <c r="CH24" s="1034"/>
      <c r="CI24" s="1034"/>
      <c r="CJ24" s="1034"/>
      <c r="CK24" s="1034"/>
      <c r="CL24" s="1034"/>
      <c r="CM24" s="1034"/>
      <c r="CN24" s="1034"/>
      <c r="CO24" s="1034"/>
      <c r="CP24" s="1034"/>
      <c r="CQ24" s="1034"/>
      <c r="CR24" s="1034"/>
      <c r="CS24" s="1034"/>
      <c r="CT24" s="1034"/>
      <c r="CU24" s="1034"/>
      <c r="CV24" s="1034"/>
      <c r="CW24" s="1034"/>
      <c r="CX24" s="1034"/>
      <c r="CY24" s="1034"/>
      <c r="CZ24" s="1034"/>
      <c r="DA24" s="1034"/>
      <c r="DB24" s="1034"/>
      <c r="DC24" s="1034"/>
      <c r="DD24" s="1034"/>
      <c r="DE24" s="1034"/>
      <c r="DF24" s="1034"/>
      <c r="DG24" s="1034"/>
      <c r="DH24" s="1034"/>
      <c r="DI24" s="1034"/>
      <c r="DJ24" s="1034"/>
      <c r="DK24" s="1034"/>
      <c r="DL24" s="1034"/>
      <c r="DM24" s="1034"/>
      <c r="DN24" s="1034"/>
      <c r="DO24" s="1034"/>
      <c r="DP24" s="1034"/>
      <c r="DQ24" s="1034"/>
      <c r="DR24" s="1034"/>
      <c r="DS24" s="1034"/>
      <c r="DT24" s="1034"/>
      <c r="DU24" s="1034"/>
      <c r="DV24" s="1034"/>
      <c r="DW24" s="1034"/>
      <c r="DX24" s="1034"/>
      <c r="DY24" s="1034"/>
      <c r="DZ24" s="1034"/>
      <c r="EA24" s="1034"/>
      <c r="EB24" s="1034"/>
      <c r="EC24" s="1034"/>
      <c r="ED24" s="1034"/>
      <c r="EE24" s="1034"/>
      <c r="EF24" s="1034"/>
      <c r="EG24" s="1034"/>
      <c r="EH24" s="1034"/>
      <c r="EI24" s="1034"/>
      <c r="EJ24" s="1034"/>
      <c r="EK24" s="1034"/>
      <c r="EL24" s="1034"/>
      <c r="EM24" s="1034"/>
      <c r="EN24" s="1034"/>
      <c r="EO24" s="1034"/>
      <c r="EP24" s="1034"/>
      <c r="EQ24" s="1034"/>
      <c r="ER24" s="1034"/>
      <c r="ES24" s="1034"/>
      <c r="ET24" s="1034"/>
      <c r="EU24" s="1034"/>
      <c r="EV24" s="1034"/>
      <c r="EW24" s="1034"/>
      <c r="EX24" s="1034"/>
      <c r="EY24" s="1034"/>
      <c r="EZ24" s="1034"/>
      <c r="FA24" s="1034"/>
      <c r="FB24" s="1034"/>
      <c r="FC24" s="1034"/>
      <c r="FD24" s="1034"/>
      <c r="FE24" s="1034"/>
      <c r="FF24" s="1034"/>
      <c r="FG24" s="1034"/>
      <c r="FH24" s="1034"/>
      <c r="FI24" s="1034"/>
      <c r="FJ24" s="1034"/>
      <c r="FK24" s="1034"/>
      <c r="FL24" s="1034"/>
      <c r="FM24" s="1034"/>
      <c r="FN24" s="1034"/>
      <c r="FO24" s="1034"/>
      <c r="FP24" s="1034"/>
      <c r="FQ24" s="1034"/>
    </row>
    <row r="25" spans="1:173" s="983" customFormat="1" ht="15" customHeight="1" thickBot="1" x14ac:dyDescent="0.4">
      <c r="A25" s="1534"/>
      <c r="B25" s="1317" t="s">
        <v>2034</v>
      </c>
      <c r="C25" s="1315" t="s">
        <v>265</v>
      </c>
      <c r="D25" s="1315" t="s">
        <v>2035</v>
      </c>
      <c r="E25" s="1540" t="s">
        <v>2041</v>
      </c>
      <c r="F25" s="1541" t="s">
        <v>2036</v>
      </c>
      <c r="G25" s="1316"/>
      <c r="H25" s="1535" t="s">
        <v>2040</v>
      </c>
      <c r="I25" s="1542"/>
      <c r="J25" s="1539" t="s">
        <v>2038</v>
      </c>
      <c r="K25" s="1034"/>
      <c r="L25" s="1034"/>
      <c r="M25" s="1034"/>
      <c r="N25" s="1034"/>
      <c r="O25" s="1034"/>
      <c r="P25" s="1034"/>
      <c r="Q25" s="1034"/>
      <c r="R25" s="1034"/>
      <c r="S25" s="1034"/>
      <c r="T25" s="1034"/>
      <c r="U25" s="1034"/>
      <c r="V25" s="1034"/>
      <c r="W25" s="1034"/>
      <c r="X25" s="1034"/>
      <c r="Y25" s="1034"/>
      <c r="Z25" s="1034"/>
      <c r="AA25" s="1034"/>
      <c r="AB25" s="1034"/>
      <c r="AC25" s="1034"/>
      <c r="AD25" s="1034"/>
      <c r="AE25" s="1034"/>
      <c r="AF25" s="1034"/>
      <c r="AG25" s="1034"/>
      <c r="AH25" s="1034"/>
      <c r="AI25" s="1034"/>
      <c r="AJ25" s="1034"/>
      <c r="AK25" s="1034"/>
      <c r="AL25" s="1034"/>
      <c r="AM25" s="1034"/>
      <c r="AN25" s="1034"/>
      <c r="AO25" s="1034"/>
      <c r="AP25" s="1034"/>
      <c r="AQ25" s="1034"/>
      <c r="AR25" s="1034"/>
      <c r="AS25" s="1034"/>
      <c r="AT25" s="1034"/>
      <c r="AU25" s="1034"/>
      <c r="AV25" s="1034"/>
      <c r="AW25" s="1034"/>
      <c r="AX25" s="1034"/>
      <c r="AY25" s="1034"/>
      <c r="AZ25" s="1034"/>
      <c r="BA25" s="1034"/>
      <c r="BB25" s="1034"/>
      <c r="BC25" s="1034"/>
      <c r="BD25" s="1034"/>
      <c r="BE25" s="1034"/>
      <c r="BF25" s="1034"/>
      <c r="BG25" s="1034"/>
      <c r="BH25" s="1034"/>
      <c r="BI25" s="1034"/>
      <c r="BJ25" s="1034"/>
      <c r="BK25" s="1034"/>
      <c r="BL25" s="1034"/>
      <c r="BM25" s="1034"/>
      <c r="BN25" s="1034"/>
      <c r="BO25" s="1034"/>
      <c r="BP25" s="1034"/>
      <c r="BQ25" s="1034"/>
      <c r="BR25" s="1034"/>
      <c r="BS25" s="1034"/>
      <c r="BT25" s="1034"/>
      <c r="BU25" s="1034"/>
      <c r="BV25" s="1034"/>
      <c r="BW25" s="1034"/>
      <c r="BX25" s="1034"/>
      <c r="BY25" s="1034"/>
      <c r="BZ25" s="1034"/>
      <c r="CA25" s="1034"/>
      <c r="CB25" s="1034"/>
      <c r="CC25" s="1034"/>
      <c r="CD25" s="1034"/>
      <c r="CE25" s="1034"/>
      <c r="CF25" s="1034"/>
      <c r="CG25" s="1034"/>
      <c r="CH25" s="1034"/>
      <c r="CI25" s="1034"/>
      <c r="CJ25" s="1034"/>
      <c r="CK25" s="1034"/>
      <c r="CL25" s="1034"/>
      <c r="CM25" s="1034"/>
      <c r="CN25" s="1034"/>
      <c r="CO25" s="1034"/>
      <c r="CP25" s="1034"/>
      <c r="CQ25" s="1034"/>
      <c r="CR25" s="1034"/>
      <c r="CS25" s="1034"/>
      <c r="CT25" s="1034"/>
      <c r="CU25" s="1034"/>
      <c r="CV25" s="1034"/>
      <c r="CW25" s="1034"/>
      <c r="CX25" s="1034"/>
      <c r="CY25" s="1034"/>
      <c r="CZ25" s="1034"/>
      <c r="DA25" s="1034"/>
      <c r="DB25" s="1034"/>
      <c r="DC25" s="1034"/>
      <c r="DD25" s="1034"/>
      <c r="DE25" s="1034"/>
      <c r="DF25" s="1034"/>
      <c r="DG25" s="1034"/>
      <c r="DH25" s="1034"/>
      <c r="DI25" s="1034"/>
      <c r="DJ25" s="1034"/>
      <c r="DK25" s="1034"/>
      <c r="DL25" s="1034"/>
      <c r="DM25" s="1034"/>
      <c r="DN25" s="1034"/>
      <c r="DO25" s="1034"/>
      <c r="DP25" s="1034"/>
      <c r="DQ25" s="1034"/>
      <c r="DR25" s="1034"/>
      <c r="DS25" s="1034"/>
      <c r="DT25" s="1034"/>
      <c r="DU25" s="1034"/>
      <c r="DV25" s="1034"/>
      <c r="DW25" s="1034"/>
      <c r="DX25" s="1034"/>
      <c r="DY25" s="1034"/>
      <c r="DZ25" s="1034"/>
      <c r="EA25" s="1034"/>
      <c r="EB25" s="1034"/>
      <c r="EC25" s="1034"/>
      <c r="ED25" s="1034"/>
      <c r="EE25" s="1034"/>
      <c r="EF25" s="1034"/>
      <c r="EG25" s="1034"/>
      <c r="EH25" s="1034"/>
      <c r="EI25" s="1034"/>
      <c r="EJ25" s="1034"/>
      <c r="EK25" s="1034"/>
      <c r="EL25" s="1034"/>
      <c r="EM25" s="1034"/>
      <c r="EN25" s="1034"/>
      <c r="EO25" s="1034"/>
      <c r="EP25" s="1034"/>
      <c r="EQ25" s="1034"/>
      <c r="ER25" s="1034"/>
      <c r="ES25" s="1034"/>
      <c r="ET25" s="1034"/>
      <c r="EU25" s="1034"/>
      <c r="EV25" s="1034"/>
      <c r="EW25" s="1034"/>
      <c r="EX25" s="1034"/>
      <c r="EY25" s="1034"/>
      <c r="EZ25" s="1034"/>
      <c r="FA25" s="1034"/>
      <c r="FB25" s="1034"/>
      <c r="FC25" s="1034"/>
      <c r="FD25" s="1034"/>
      <c r="FE25" s="1034"/>
      <c r="FF25" s="1034"/>
      <c r="FG25" s="1034"/>
      <c r="FH25" s="1034"/>
      <c r="FI25" s="1034"/>
      <c r="FJ25" s="1034"/>
      <c r="FK25" s="1034"/>
      <c r="FL25" s="1034"/>
      <c r="FM25" s="1034"/>
      <c r="FN25" s="1034"/>
      <c r="FO25" s="1034"/>
      <c r="FP25" s="1034"/>
      <c r="FQ25" s="1034"/>
    </row>
    <row r="26" spans="1:173" s="983" customFormat="1" ht="15" customHeight="1" x14ac:dyDescent="0.35">
      <c r="A26" s="1292"/>
      <c r="B26" s="1077" t="s">
        <v>1307</v>
      </c>
      <c r="C26" s="1078" t="s">
        <v>248</v>
      </c>
      <c r="D26" s="1078" t="s">
        <v>14</v>
      </c>
      <c r="E26" s="1079" t="s">
        <v>1308</v>
      </c>
      <c r="F26" s="1080">
        <v>38.270000000000003</v>
      </c>
      <c r="G26" s="1081"/>
      <c r="H26" s="1008" t="s">
        <v>1311</v>
      </c>
      <c r="I26" s="1329"/>
      <c r="J26" s="1329"/>
      <c r="K26" s="981"/>
      <c r="L26" s="981"/>
      <c r="M26" s="982"/>
    </row>
    <row r="27" spans="1:173" s="983" customFormat="1" ht="15" customHeight="1" thickBot="1" x14ac:dyDescent="0.4">
      <c r="A27" s="1292"/>
      <c r="B27" s="1077"/>
      <c r="C27" s="1078"/>
      <c r="D27" s="1078"/>
      <c r="E27" s="1079"/>
      <c r="F27" s="1340"/>
      <c r="G27" s="1081"/>
      <c r="H27" s="1008"/>
      <c r="I27" s="1329"/>
      <c r="J27" s="1339" t="s">
        <v>1583</v>
      </c>
      <c r="K27" s="981"/>
      <c r="M27" s="982"/>
    </row>
    <row r="28" spans="1:173" s="983" customFormat="1" ht="15" customHeight="1" x14ac:dyDescent="0.35">
      <c r="A28" s="1292"/>
      <c r="B28" s="1260" t="s">
        <v>1611</v>
      </c>
      <c r="C28" s="1255"/>
      <c r="D28" s="1256"/>
      <c r="E28" s="1257"/>
      <c r="F28" s="1258"/>
      <c r="G28" s="1258"/>
      <c r="H28" s="1259"/>
      <c r="I28" s="1328"/>
      <c r="J28" s="1337" t="s">
        <v>1587</v>
      </c>
      <c r="K28" s="984"/>
      <c r="M28" s="982"/>
    </row>
    <row r="29" spans="1:173" s="983" customFormat="1" ht="15" customHeight="1" thickBot="1" x14ac:dyDescent="0.4">
      <c r="A29" s="1292"/>
      <c r="B29" s="1317" t="s">
        <v>1583</v>
      </c>
      <c r="C29" s="1315" t="s">
        <v>265</v>
      </c>
      <c r="D29" s="1315" t="s">
        <v>1585</v>
      </c>
      <c r="E29" s="1319" t="s">
        <v>1586</v>
      </c>
      <c r="F29" s="1341" t="s">
        <v>1587</v>
      </c>
      <c r="G29" s="1316"/>
      <c r="H29" s="1320"/>
      <c r="I29" s="1327"/>
      <c r="J29" s="1338" t="s">
        <v>1588</v>
      </c>
      <c r="K29" s="984"/>
      <c r="L29" s="1328"/>
      <c r="M29" s="982"/>
    </row>
    <row r="30" spans="1:173" s="983" customFormat="1" ht="15" customHeight="1" x14ac:dyDescent="0.35">
      <c r="A30" s="1292"/>
      <c r="B30" s="1078" t="s">
        <v>1589</v>
      </c>
      <c r="C30" s="1078" t="s">
        <v>248</v>
      </c>
      <c r="D30" s="1078" t="s">
        <v>1444</v>
      </c>
      <c r="E30" s="1318" t="s">
        <v>1445</v>
      </c>
      <c r="F30" s="1085">
        <v>40.630000000000003</v>
      </c>
      <c r="G30" s="1086">
        <v>40.630000000000003</v>
      </c>
      <c r="H30" s="1008" t="s">
        <v>1446</v>
      </c>
      <c r="I30" s="1329"/>
      <c r="J30" s="1329"/>
      <c r="K30" s="984"/>
      <c r="L30" s="995"/>
      <c r="M30" s="987"/>
    </row>
    <row r="31" spans="1:173" s="983" customFormat="1" ht="15" customHeight="1" x14ac:dyDescent="0.35">
      <c r="A31" s="1292"/>
      <c r="B31" s="1078" t="s">
        <v>1590</v>
      </c>
      <c r="C31" s="1078" t="s">
        <v>248</v>
      </c>
      <c r="D31" s="1078" t="s">
        <v>37</v>
      </c>
      <c r="E31" s="1079" t="s">
        <v>1447</v>
      </c>
      <c r="F31" s="1085">
        <v>68</v>
      </c>
      <c r="G31" s="1086">
        <v>68</v>
      </c>
      <c r="H31" s="1008" t="s">
        <v>1448</v>
      </c>
      <c r="I31" s="1329"/>
      <c r="J31" s="1329"/>
      <c r="K31" s="984"/>
      <c r="L31" s="995"/>
      <c r="M31" s="987"/>
      <c r="O31" s="989"/>
      <c r="P31" s="989"/>
      <c r="Q31" s="989"/>
      <c r="R31" s="989"/>
      <c r="S31" s="989"/>
      <c r="T31" s="989"/>
      <c r="U31" s="989"/>
    </row>
    <row r="32" spans="1:173" s="983" customFormat="1" ht="15" customHeight="1" x14ac:dyDescent="0.35">
      <c r="A32" s="1292"/>
      <c r="B32" s="1078" t="s">
        <v>1591</v>
      </c>
      <c r="C32" s="1078" t="s">
        <v>248</v>
      </c>
      <c r="D32" s="1078" t="s">
        <v>1444</v>
      </c>
      <c r="E32" s="1079" t="s">
        <v>1598</v>
      </c>
      <c r="F32" s="1085">
        <v>8.7799999999999994</v>
      </c>
      <c r="G32" s="1086">
        <v>8.7799999999999994</v>
      </c>
      <c r="H32" s="1008" t="s">
        <v>1602</v>
      </c>
      <c r="I32" s="1329"/>
      <c r="J32" s="1329"/>
      <c r="K32" s="984"/>
      <c r="L32" s="1328"/>
      <c r="M32" s="987"/>
      <c r="O32" s="989"/>
      <c r="P32" s="989"/>
      <c r="Q32" s="989"/>
      <c r="R32" s="989"/>
      <c r="S32" s="989"/>
      <c r="T32" s="989"/>
      <c r="U32" s="989"/>
    </row>
    <row r="33" spans="1:21" s="983" customFormat="1" ht="15" customHeight="1" thickBot="1" x14ac:dyDescent="0.4">
      <c r="A33" s="1292"/>
      <c r="B33" s="1078" t="s">
        <v>1592</v>
      </c>
      <c r="C33" s="1078" t="s">
        <v>248</v>
      </c>
      <c r="D33" s="1078" t="s">
        <v>37</v>
      </c>
      <c r="E33" s="1079" t="s">
        <v>1600</v>
      </c>
      <c r="F33" s="1085">
        <v>15</v>
      </c>
      <c r="G33" s="1086">
        <v>15</v>
      </c>
      <c r="H33" s="1008" t="s">
        <v>1601</v>
      </c>
      <c r="I33" s="1329"/>
      <c r="J33" s="1329"/>
      <c r="K33" s="984"/>
      <c r="L33" s="981" t="s">
        <v>1617</v>
      </c>
      <c r="M33" s="987"/>
      <c r="O33" s="989"/>
      <c r="P33" s="989"/>
      <c r="Q33" s="989"/>
      <c r="R33" s="989"/>
      <c r="S33" s="989"/>
      <c r="T33" s="989"/>
      <c r="U33" s="989"/>
    </row>
    <row r="34" spans="1:21" s="983" customFormat="1" ht="15" customHeight="1" x14ac:dyDescent="0.35">
      <c r="A34" s="1292"/>
      <c r="B34" s="1078" t="s">
        <v>1593</v>
      </c>
      <c r="C34" s="1078" t="s">
        <v>248</v>
      </c>
      <c r="D34" s="1078" t="s">
        <v>1444</v>
      </c>
      <c r="E34" s="1079" t="s">
        <v>1607</v>
      </c>
      <c r="F34" s="1085">
        <v>8.16</v>
      </c>
      <c r="G34" s="1086">
        <v>8.16</v>
      </c>
      <c r="H34" s="1008" t="s">
        <v>1606</v>
      </c>
      <c r="I34" s="1329"/>
      <c r="J34" s="1329"/>
      <c r="K34" s="984"/>
      <c r="L34" s="985" t="s">
        <v>985</v>
      </c>
      <c r="M34" s="987"/>
      <c r="O34" s="989"/>
      <c r="P34" s="989"/>
      <c r="Q34" s="989"/>
      <c r="R34" s="989"/>
      <c r="S34" s="989"/>
      <c r="T34" s="989"/>
      <c r="U34" s="989"/>
    </row>
    <row r="35" spans="1:21" s="983" customFormat="1" ht="15" customHeight="1" x14ac:dyDescent="0.35">
      <c r="A35" s="1292"/>
      <c r="B35" s="1078" t="s">
        <v>1594</v>
      </c>
      <c r="C35" s="1078" t="s">
        <v>248</v>
      </c>
      <c r="D35" s="1078" t="s">
        <v>37</v>
      </c>
      <c r="E35" s="1079" t="s">
        <v>1608</v>
      </c>
      <c r="F35" s="1085">
        <v>68</v>
      </c>
      <c r="G35" s="1086">
        <v>68</v>
      </c>
      <c r="H35" s="1008" t="s">
        <v>1609</v>
      </c>
      <c r="I35" s="1329"/>
      <c r="J35" s="1329"/>
      <c r="K35" s="984"/>
      <c r="L35" s="986" t="s">
        <v>983</v>
      </c>
      <c r="M35" s="987"/>
      <c r="O35" s="989"/>
      <c r="P35" s="989"/>
      <c r="Q35" s="989"/>
      <c r="R35" s="989"/>
      <c r="S35" s="989"/>
      <c r="T35" s="989"/>
      <c r="U35" s="989"/>
    </row>
    <row r="36" spans="1:21" s="983" customFormat="1" ht="15" customHeight="1" thickBot="1" x14ac:dyDescent="0.4">
      <c r="A36" s="1292"/>
      <c r="B36" s="1254" t="s">
        <v>1449</v>
      </c>
      <c r="C36" s="1255"/>
      <c r="D36" s="1256"/>
      <c r="E36" s="1257"/>
      <c r="F36" s="1258"/>
      <c r="G36" s="1258"/>
      <c r="H36" s="1259"/>
      <c r="I36" s="1329"/>
      <c r="J36" s="1329"/>
      <c r="K36" s="984"/>
      <c r="L36" s="986" t="s">
        <v>984</v>
      </c>
      <c r="M36" s="987"/>
      <c r="N36" s="988" t="s">
        <v>1007</v>
      </c>
      <c r="O36" s="989"/>
      <c r="P36" s="989"/>
      <c r="Q36" s="989"/>
      <c r="R36" s="989"/>
      <c r="S36" s="989"/>
      <c r="T36" s="989"/>
      <c r="U36" s="989"/>
    </row>
    <row r="37" spans="1:21" s="983" customFormat="1" ht="15" customHeight="1" thickBot="1" x14ac:dyDescent="0.4">
      <c r="A37" s="1292"/>
      <c r="B37" s="1076" t="s">
        <v>1450</v>
      </c>
      <c r="C37" s="1083" t="s">
        <v>248</v>
      </c>
      <c r="D37" s="1078" t="s">
        <v>13</v>
      </c>
      <c r="E37" s="1084" t="s">
        <v>960</v>
      </c>
      <c r="F37" s="1085">
        <v>135</v>
      </c>
      <c r="G37" s="1086">
        <v>135</v>
      </c>
      <c r="H37" s="1008" t="s">
        <v>1704</v>
      </c>
      <c r="I37" s="1329"/>
      <c r="J37" s="1329"/>
      <c r="K37" s="990"/>
      <c r="L37" s="991" t="s">
        <v>982</v>
      </c>
      <c r="M37" s="987"/>
      <c r="N37" s="992" t="s">
        <v>996</v>
      </c>
      <c r="O37" s="989"/>
      <c r="P37" s="993" t="s">
        <v>1008</v>
      </c>
      <c r="Q37" s="989"/>
      <c r="R37" s="989"/>
      <c r="S37" s="989"/>
      <c r="T37" s="989"/>
      <c r="U37" s="989"/>
    </row>
    <row r="38" spans="1:21" s="983" customFormat="1" ht="15" customHeight="1" thickBot="1" x14ac:dyDescent="0.4">
      <c r="A38" s="1292"/>
      <c r="B38" s="1076" t="s">
        <v>980</v>
      </c>
      <c r="C38" s="1076" t="s">
        <v>265</v>
      </c>
      <c r="D38" s="1078" t="s">
        <v>981</v>
      </c>
      <c r="E38" s="1084" t="s">
        <v>1451</v>
      </c>
      <c r="F38" s="1088" t="s">
        <v>985</v>
      </c>
      <c r="G38" s="1089" t="s">
        <v>985</v>
      </c>
      <c r="H38" s="1008" t="s">
        <v>1141</v>
      </c>
      <c r="I38" s="1330"/>
      <c r="J38" s="1330"/>
      <c r="K38" s="994"/>
      <c r="L38" s="995"/>
      <c r="M38" s="987"/>
      <c r="N38" s="996" t="s">
        <v>1009</v>
      </c>
      <c r="O38" s="989"/>
      <c r="P38" s="992" t="s">
        <v>1001</v>
      </c>
      <c r="Q38" s="989"/>
      <c r="R38" s="993" t="s">
        <v>1010</v>
      </c>
      <c r="S38" s="989"/>
      <c r="T38" s="989"/>
      <c r="U38" s="989"/>
    </row>
    <row r="39" spans="1:21" s="983" customFormat="1" ht="15" customHeight="1" thickBot="1" x14ac:dyDescent="0.4">
      <c r="A39" s="1292"/>
      <c r="B39" s="1076" t="s">
        <v>993</v>
      </c>
      <c r="C39" s="1076" t="s">
        <v>265</v>
      </c>
      <c r="D39" s="1078" t="s">
        <v>994</v>
      </c>
      <c r="E39" s="1087" t="s">
        <v>995</v>
      </c>
      <c r="F39" s="1088" t="s">
        <v>996</v>
      </c>
      <c r="G39" s="1089" t="s">
        <v>996</v>
      </c>
      <c r="H39" s="1205" t="s">
        <v>997</v>
      </c>
      <c r="I39" s="1331"/>
      <c r="J39" s="1331"/>
      <c r="K39" s="997"/>
      <c r="L39" s="998"/>
      <c r="M39" s="999"/>
      <c r="N39" s="1000"/>
      <c r="O39" s="1000"/>
      <c r="P39" s="1001" t="s">
        <v>1011</v>
      </c>
      <c r="Q39" s="995"/>
      <c r="R39" s="992" t="s">
        <v>996</v>
      </c>
      <c r="S39" s="989"/>
      <c r="T39" s="989"/>
      <c r="U39" s="988" t="s">
        <v>1012</v>
      </c>
    </row>
    <row r="40" spans="1:21" s="983" customFormat="1" ht="15" customHeight="1" thickBot="1" x14ac:dyDescent="0.4">
      <c r="A40" s="1292"/>
      <c r="B40" s="1076" t="s">
        <v>998</v>
      </c>
      <c r="C40" s="1076" t="s">
        <v>265</v>
      </c>
      <c r="D40" s="1078" t="s">
        <v>999</v>
      </c>
      <c r="E40" s="1087" t="s">
        <v>1000</v>
      </c>
      <c r="F40" s="1088" t="s">
        <v>1001</v>
      </c>
      <c r="G40" s="1089" t="s">
        <v>1001</v>
      </c>
      <c r="H40" s="1205" t="s">
        <v>1002</v>
      </c>
      <c r="I40" s="1331"/>
      <c r="J40" s="1331"/>
      <c r="K40" s="997"/>
      <c r="L40" s="998"/>
      <c r="M40" s="999"/>
      <c r="N40" s="1000"/>
      <c r="O40" s="1000"/>
      <c r="P40" s="1002"/>
      <c r="Q40" s="1000"/>
      <c r="R40" s="1001" t="s">
        <v>1009</v>
      </c>
      <c r="S40" s="995"/>
      <c r="T40" s="989"/>
      <c r="U40" s="1003" t="s">
        <v>996</v>
      </c>
    </row>
    <row r="41" spans="1:21" s="983" customFormat="1" ht="15" customHeight="1" thickBot="1" x14ac:dyDescent="0.4">
      <c r="A41" s="1292"/>
      <c r="B41" s="1076" t="s">
        <v>1003</v>
      </c>
      <c r="C41" s="1076" t="s">
        <v>265</v>
      </c>
      <c r="D41" s="1078" t="s">
        <v>994</v>
      </c>
      <c r="E41" s="1087" t="s">
        <v>1004</v>
      </c>
      <c r="F41" s="1088" t="s">
        <v>996</v>
      </c>
      <c r="G41" s="1089" t="s">
        <v>996</v>
      </c>
      <c r="H41" s="1205" t="s">
        <v>997</v>
      </c>
      <c r="I41" s="1331"/>
      <c r="J41" s="1331"/>
      <c r="K41" s="997"/>
      <c r="L41" s="998"/>
      <c r="M41" s="999"/>
      <c r="N41" s="1000"/>
      <c r="O41" s="1000"/>
      <c r="P41" s="1002"/>
      <c r="Q41" s="1000"/>
      <c r="R41" s="1000"/>
      <c r="S41" s="1000"/>
      <c r="T41" s="989"/>
      <c r="U41" s="996" t="s">
        <v>1009</v>
      </c>
    </row>
    <row r="42" spans="1:21" s="983" customFormat="1" ht="15" customHeight="1" thickBot="1" x14ac:dyDescent="0.4">
      <c r="A42" s="1292"/>
      <c r="B42" s="1076" t="s">
        <v>1005</v>
      </c>
      <c r="C42" s="1076" t="s">
        <v>265</v>
      </c>
      <c r="D42" s="1078" t="s">
        <v>994</v>
      </c>
      <c r="E42" s="1087" t="s">
        <v>1006</v>
      </c>
      <c r="F42" s="1088" t="s">
        <v>996</v>
      </c>
      <c r="G42" s="1089" t="s">
        <v>996</v>
      </c>
      <c r="H42" s="1205" t="s">
        <v>997</v>
      </c>
      <c r="I42" s="1344"/>
      <c r="J42" s="1353"/>
      <c r="K42" s="1353"/>
      <c r="L42" s="1353"/>
      <c r="M42" s="999"/>
      <c r="N42" s="1353"/>
      <c r="O42" s="1353"/>
      <c r="P42" s="1004" t="s">
        <v>1618</v>
      </c>
      <c r="Q42" s="984"/>
      <c r="R42" s="1005"/>
      <c r="S42" s="984"/>
      <c r="T42" s="984"/>
      <c r="U42" s="1006"/>
    </row>
    <row r="43" spans="1:21" s="983" customFormat="1" ht="15" customHeight="1" x14ac:dyDescent="0.35">
      <c r="A43" s="1292"/>
      <c r="B43" s="1076" t="s">
        <v>986</v>
      </c>
      <c r="C43" s="1076" t="s">
        <v>265</v>
      </c>
      <c r="D43" s="1078" t="s">
        <v>987</v>
      </c>
      <c r="E43" s="1090" t="s">
        <v>988</v>
      </c>
      <c r="F43" s="1091" t="s">
        <v>992</v>
      </c>
      <c r="G43" s="1092" t="s">
        <v>992</v>
      </c>
      <c r="H43" s="1205" t="s">
        <v>1140</v>
      </c>
      <c r="M43" s="987"/>
      <c r="O43" s="984"/>
      <c r="P43" s="985" t="s">
        <v>989</v>
      </c>
      <c r="Q43" s="984"/>
      <c r="S43" s="984"/>
      <c r="T43" s="984"/>
      <c r="U43" s="1007"/>
    </row>
    <row r="44" spans="1:21" s="983" customFormat="1" ht="15" customHeight="1" thickBot="1" x14ac:dyDescent="0.45">
      <c r="A44" s="1292"/>
      <c r="B44" s="1076" t="s">
        <v>1557</v>
      </c>
      <c r="C44" s="1076" t="s">
        <v>248</v>
      </c>
      <c r="D44" s="1078" t="s">
        <v>1453</v>
      </c>
      <c r="E44" s="1090" t="s">
        <v>1456</v>
      </c>
      <c r="F44" s="1085">
        <v>95</v>
      </c>
      <c r="G44" s="1086">
        <v>95</v>
      </c>
      <c r="H44" s="1008" t="s">
        <v>1457</v>
      </c>
      <c r="I44" s="1345"/>
      <c r="J44" s="1346"/>
      <c r="K44" s="1346"/>
      <c r="L44" s="1346"/>
      <c r="M44" s="1352"/>
      <c r="N44" s="988" t="s">
        <v>1619</v>
      </c>
      <c r="O44" s="984"/>
      <c r="P44" s="986" t="s">
        <v>990</v>
      </c>
      <c r="Q44" s="984"/>
      <c r="S44" s="984"/>
      <c r="T44" s="984"/>
      <c r="U44" s="1007"/>
    </row>
    <row r="45" spans="1:21" s="983" customFormat="1" ht="15" customHeight="1" x14ac:dyDescent="0.35">
      <c r="A45" s="1292"/>
      <c r="B45" s="1076" t="s">
        <v>1064</v>
      </c>
      <c r="C45" s="1076" t="s">
        <v>265</v>
      </c>
      <c r="D45" s="1078" t="s">
        <v>1074</v>
      </c>
      <c r="E45" s="1090" t="s">
        <v>1065</v>
      </c>
      <c r="F45" s="1091" t="s">
        <v>1093</v>
      </c>
      <c r="G45" s="1092" t="s">
        <v>1093</v>
      </c>
      <c r="H45" s="1205" t="s">
        <v>1077</v>
      </c>
      <c r="M45" s="987"/>
      <c r="N45" s="985" t="s">
        <v>1091</v>
      </c>
      <c r="O45" s="984"/>
      <c r="P45" s="986" t="s">
        <v>991</v>
      </c>
      <c r="Q45" s="984"/>
      <c r="S45" s="984"/>
      <c r="T45" s="984"/>
      <c r="U45" s="1007"/>
    </row>
    <row r="46" spans="1:21" s="983" customFormat="1" ht="15" customHeight="1" thickBot="1" x14ac:dyDescent="0.45">
      <c r="A46" s="1292"/>
      <c r="B46" s="1076" t="s">
        <v>1558</v>
      </c>
      <c r="C46" s="1076" t="s">
        <v>248</v>
      </c>
      <c r="D46" s="1078" t="s">
        <v>1454</v>
      </c>
      <c r="E46" s="1090" t="s">
        <v>1458</v>
      </c>
      <c r="F46" s="1085">
        <v>212.5</v>
      </c>
      <c r="G46" s="1086">
        <v>212.5</v>
      </c>
      <c r="H46" s="1008" t="s">
        <v>1459</v>
      </c>
      <c r="I46" s="1345"/>
      <c r="J46" s="1346"/>
      <c r="K46" s="1346"/>
      <c r="L46" s="1347" t="s">
        <v>1621</v>
      </c>
      <c r="M46" s="987"/>
      <c r="N46" s="986" t="s">
        <v>1092</v>
      </c>
      <c r="O46" s="984"/>
      <c r="P46" s="986" t="s">
        <v>992</v>
      </c>
      <c r="Q46" s="984"/>
      <c r="S46" s="984"/>
      <c r="T46" s="984"/>
      <c r="U46" s="1007"/>
    </row>
    <row r="47" spans="1:21" s="983" customFormat="1" ht="15" customHeight="1" thickBot="1" x14ac:dyDescent="0.4">
      <c r="A47" s="1292"/>
      <c r="B47" s="1076" t="s">
        <v>1559</v>
      </c>
      <c r="C47" s="1076" t="s">
        <v>265</v>
      </c>
      <c r="D47" s="1078" t="s">
        <v>1075</v>
      </c>
      <c r="E47" s="1090" t="s">
        <v>1076</v>
      </c>
      <c r="F47" s="1091" t="s">
        <v>1093</v>
      </c>
      <c r="G47" s="1092" t="s">
        <v>1093</v>
      </c>
      <c r="H47" s="1205" t="s">
        <v>1077</v>
      </c>
      <c r="I47" s="1344"/>
      <c r="J47" s="1282" t="s">
        <v>1581</v>
      </c>
      <c r="L47" s="1348" t="s">
        <v>1091</v>
      </c>
      <c r="M47" s="987"/>
      <c r="N47" s="986" t="s">
        <v>1093</v>
      </c>
      <c r="O47" s="984"/>
      <c r="P47" s="991" t="s">
        <v>468</v>
      </c>
      <c r="Q47" s="984"/>
      <c r="S47" s="984"/>
      <c r="T47" s="984"/>
      <c r="U47" s="984"/>
    </row>
    <row r="48" spans="1:21" s="983" customFormat="1" ht="15" customHeight="1" thickBot="1" x14ac:dyDescent="0.45">
      <c r="A48" s="1292"/>
      <c r="B48" s="1076" t="s">
        <v>1559</v>
      </c>
      <c r="C48" s="1076" t="s">
        <v>265</v>
      </c>
      <c r="D48" s="1078" t="s">
        <v>1455</v>
      </c>
      <c r="E48" s="1090" t="s">
        <v>1100</v>
      </c>
      <c r="F48" s="1091" t="s">
        <v>1515</v>
      </c>
      <c r="G48" s="1092" t="s">
        <v>1452</v>
      </c>
      <c r="H48" s="1205" t="s">
        <v>1514</v>
      </c>
      <c r="I48" s="1328"/>
      <c r="J48" s="985" t="s">
        <v>1452</v>
      </c>
      <c r="K48" s="990"/>
      <c r="L48" s="1349" t="s">
        <v>1092</v>
      </c>
      <c r="M48" s="987"/>
      <c r="N48" s="991" t="s">
        <v>996</v>
      </c>
      <c r="O48" s="984"/>
      <c r="P48" s="984"/>
      <c r="Q48" s="984"/>
      <c r="S48" s="984"/>
      <c r="T48" s="984"/>
      <c r="U48" s="984"/>
    </row>
    <row r="49" spans="1:21" s="983" customFormat="1" ht="15" customHeight="1" thickBot="1" x14ac:dyDescent="0.4">
      <c r="A49" s="1292"/>
      <c r="B49" s="1076" t="s">
        <v>1560</v>
      </c>
      <c r="C49" s="1076" t="s">
        <v>248</v>
      </c>
      <c r="D49" s="1078" t="s">
        <v>1620</v>
      </c>
      <c r="E49" s="1090" t="s">
        <v>1516</v>
      </c>
      <c r="F49" s="1085">
        <v>0</v>
      </c>
      <c r="G49" s="1086">
        <v>0</v>
      </c>
      <c r="H49" s="1205" t="s">
        <v>1293</v>
      </c>
      <c r="I49" s="1328"/>
      <c r="J49" s="991" t="s">
        <v>1090</v>
      </c>
      <c r="K49" s="990"/>
      <c r="L49" s="1350" t="s">
        <v>1093</v>
      </c>
      <c r="M49" s="987"/>
      <c r="O49" s="984"/>
      <c r="P49" s="984"/>
      <c r="Q49" s="984"/>
      <c r="R49" s="984"/>
      <c r="S49" s="984"/>
      <c r="T49" s="984"/>
      <c r="U49" s="984"/>
    </row>
    <row r="50" spans="1:21" s="983" customFormat="1" ht="28.5" customHeight="1" thickBot="1" x14ac:dyDescent="0.4">
      <c r="A50" s="1292"/>
      <c r="B50" s="1076" t="s">
        <v>1340</v>
      </c>
      <c r="C50" s="1076" t="s">
        <v>248</v>
      </c>
      <c r="D50" s="1078" t="s">
        <v>14</v>
      </c>
      <c r="E50" s="1090" t="s">
        <v>1517</v>
      </c>
      <c r="F50" s="1085">
        <v>0</v>
      </c>
      <c r="G50" s="1086">
        <v>0</v>
      </c>
      <c r="H50" s="1205" t="s">
        <v>1705</v>
      </c>
      <c r="I50" s="1328"/>
      <c r="K50" s="990"/>
      <c r="L50" s="1351" t="s">
        <v>996</v>
      </c>
      <c r="M50" s="987"/>
      <c r="O50" s="984"/>
      <c r="P50" s="984"/>
      <c r="Q50" s="984"/>
      <c r="R50" s="984"/>
      <c r="S50" s="984"/>
      <c r="T50" s="984"/>
      <c r="U50" s="984"/>
    </row>
    <row r="51" spans="1:21" s="983" customFormat="1" ht="28.5" customHeight="1" x14ac:dyDescent="0.35">
      <c r="A51" s="1292"/>
      <c r="B51" s="1076" t="s">
        <v>1341</v>
      </c>
      <c r="C51" s="1076" t="s">
        <v>248</v>
      </c>
      <c r="D51" s="1078" t="s">
        <v>14</v>
      </c>
      <c r="E51" s="1090" t="s">
        <v>1518</v>
      </c>
      <c r="F51" s="1085">
        <v>0</v>
      </c>
      <c r="G51" s="1086">
        <v>0</v>
      </c>
      <c r="H51" s="1205" t="s">
        <v>1706</v>
      </c>
      <c r="I51" s="1328"/>
      <c r="J51" s="1328"/>
      <c r="K51" s="990"/>
      <c r="M51" s="987"/>
      <c r="O51" s="984"/>
      <c r="P51" s="984"/>
      <c r="Q51" s="984"/>
      <c r="R51" s="984"/>
      <c r="S51" s="984"/>
      <c r="T51" s="984"/>
      <c r="U51" s="984"/>
    </row>
    <row r="52" spans="1:21" s="983" customFormat="1" ht="28.5" customHeight="1" x14ac:dyDescent="0.35">
      <c r="A52" s="1292"/>
      <c r="B52" s="1076" t="s">
        <v>1342</v>
      </c>
      <c r="C52" s="1076" t="s">
        <v>248</v>
      </c>
      <c r="D52" s="1078" t="s">
        <v>14</v>
      </c>
      <c r="E52" s="1090" t="s">
        <v>1519</v>
      </c>
      <c r="F52" s="1085">
        <v>0</v>
      </c>
      <c r="G52" s="1086">
        <v>0</v>
      </c>
      <c r="H52" s="1205" t="s">
        <v>1707</v>
      </c>
      <c r="I52" s="1328"/>
      <c r="J52" s="1328"/>
      <c r="K52" s="990"/>
      <c r="L52" s="990"/>
      <c r="M52" s="987"/>
      <c r="O52" s="984"/>
      <c r="P52" s="984"/>
      <c r="Q52" s="984"/>
      <c r="R52" s="984"/>
      <c r="S52" s="984"/>
      <c r="T52" s="984"/>
      <c r="U52" s="984"/>
    </row>
    <row r="53" spans="1:21" s="983" customFormat="1" ht="15" customHeight="1" x14ac:dyDescent="0.35">
      <c r="A53" s="1292"/>
      <c r="B53" s="1076"/>
      <c r="C53" s="1076"/>
      <c r="D53" s="1078"/>
      <c r="E53" s="1090"/>
      <c r="F53" s="1085"/>
      <c r="G53" s="1086"/>
      <c r="H53" s="1205"/>
      <c r="I53" s="1328"/>
      <c r="J53" s="1328"/>
      <c r="K53" s="990"/>
      <c r="L53" s="990"/>
      <c r="M53" s="987"/>
      <c r="O53" s="984"/>
      <c r="P53" s="984"/>
      <c r="Q53" s="984"/>
      <c r="R53" s="984"/>
      <c r="S53" s="984"/>
      <c r="T53" s="984"/>
      <c r="U53" s="984"/>
    </row>
    <row r="54" spans="1:21" s="983" customFormat="1" ht="15" customHeight="1" x14ac:dyDescent="0.35">
      <c r="A54" s="1292"/>
      <c r="B54" s="1076"/>
      <c r="C54" s="1284"/>
      <c r="D54" s="1078"/>
      <c r="E54" s="1090"/>
      <c r="F54" s="1085"/>
      <c r="G54" s="1086"/>
      <c r="H54" s="1285"/>
      <c r="I54" s="1326"/>
      <c r="J54" s="1328"/>
      <c r="K54" s="990"/>
      <c r="L54" s="990"/>
      <c r="M54" s="987"/>
      <c r="O54" s="984"/>
      <c r="P54" s="984"/>
      <c r="Q54" s="984"/>
      <c r="R54" s="984"/>
      <c r="S54" s="984"/>
      <c r="T54" s="984"/>
      <c r="U54" s="984"/>
    </row>
    <row r="55" spans="1:21" s="983" customFormat="1" ht="15" customHeight="1" thickBot="1" x14ac:dyDescent="0.4">
      <c r="A55" s="1292"/>
      <c r="B55" s="1254" t="s">
        <v>1476</v>
      </c>
      <c r="C55" s="1274"/>
      <c r="D55" s="1275"/>
      <c r="E55" s="1276"/>
      <c r="F55" s="1277"/>
      <c r="G55" s="1278"/>
      <c r="H55" s="1278"/>
      <c r="I55" s="1354"/>
      <c r="J55" s="1356"/>
      <c r="K55" s="1355"/>
      <c r="L55" s="990"/>
      <c r="M55" s="987"/>
      <c r="O55" s="984"/>
      <c r="P55" s="1281" t="s">
        <v>1483</v>
      </c>
      <c r="Q55" s="984"/>
      <c r="R55" s="984"/>
      <c r="S55" s="984"/>
      <c r="T55" s="984"/>
      <c r="U55" s="984"/>
    </row>
    <row r="56" spans="1:21" s="983" customFormat="1" ht="15" customHeight="1" x14ac:dyDescent="0.35">
      <c r="A56" s="1292"/>
      <c r="B56" s="1076" t="s">
        <v>1477</v>
      </c>
      <c r="C56" s="1076" t="s">
        <v>248</v>
      </c>
      <c r="D56" s="1078" t="s">
        <v>1351</v>
      </c>
      <c r="E56" s="1090" t="s">
        <v>1478</v>
      </c>
      <c r="F56" s="1093">
        <v>1.1200000000000001</v>
      </c>
      <c r="G56" s="1094"/>
      <c r="H56" s="1290" t="s">
        <v>1487</v>
      </c>
      <c r="I56" s="1332"/>
      <c r="J56" s="1330"/>
      <c r="K56" s="994"/>
      <c r="L56" s="994"/>
      <c r="M56" s="1279"/>
      <c r="N56" s="1280"/>
      <c r="O56" s="1280"/>
      <c r="P56" s="985" t="s">
        <v>1484</v>
      </c>
      <c r="Q56" s="984"/>
      <c r="R56" s="984"/>
      <c r="S56" s="984"/>
      <c r="T56" s="984"/>
      <c r="U56" s="984"/>
    </row>
    <row r="57" spans="1:21" s="983" customFormat="1" ht="15" customHeight="1" x14ac:dyDescent="0.35">
      <c r="A57" s="1292"/>
      <c r="B57" s="1076" t="s">
        <v>1479</v>
      </c>
      <c r="C57" s="1076" t="s">
        <v>265</v>
      </c>
      <c r="D57" s="1078" t="s">
        <v>1480</v>
      </c>
      <c r="E57" s="1090" t="s">
        <v>1481</v>
      </c>
      <c r="F57" s="1093" t="s">
        <v>1093</v>
      </c>
      <c r="G57" s="1094"/>
      <c r="H57" s="1205" t="s">
        <v>1482</v>
      </c>
      <c r="I57" s="1326"/>
      <c r="J57" s="1328"/>
      <c r="K57" s="990"/>
      <c r="M57" s="987"/>
      <c r="N57" s="984"/>
      <c r="O57" s="984"/>
      <c r="P57" s="986" t="s">
        <v>1485</v>
      </c>
      <c r="Q57" s="984"/>
      <c r="R57" s="984"/>
      <c r="S57" s="984"/>
      <c r="T57" s="984"/>
      <c r="U57" s="984"/>
    </row>
    <row r="58" spans="1:21" s="983" customFormat="1" ht="15" customHeight="1" thickBot="1" x14ac:dyDescent="0.4">
      <c r="A58" s="1292"/>
      <c r="B58" s="1076"/>
      <c r="C58" s="1076"/>
      <c r="D58" s="1078"/>
      <c r="E58" s="1090"/>
      <c r="F58" s="1093"/>
      <c r="G58" s="1094"/>
      <c r="H58" s="1205"/>
      <c r="I58" s="1328"/>
      <c r="J58" s="1328"/>
      <c r="K58" s="990"/>
      <c r="L58" s="1282" t="s">
        <v>1511</v>
      </c>
      <c r="M58" s="987"/>
      <c r="O58" s="984"/>
      <c r="P58" s="991" t="s">
        <v>1093</v>
      </c>
      <c r="Q58" s="984"/>
      <c r="R58" s="984"/>
      <c r="S58" s="984"/>
      <c r="T58" s="984"/>
      <c r="U58" s="984"/>
    </row>
    <row r="59" spans="1:21" s="983" customFormat="1" ht="15" customHeight="1" x14ac:dyDescent="0.35">
      <c r="A59" s="1292"/>
      <c r="B59" s="1082"/>
      <c r="C59" s="1083"/>
      <c r="D59" s="1078"/>
      <c r="E59" s="1084"/>
      <c r="F59" s="1093"/>
      <c r="G59" s="1094"/>
      <c r="H59" s="1205"/>
      <c r="I59" s="1329"/>
      <c r="J59" s="1329"/>
      <c r="K59" s="990"/>
      <c r="L59" s="985" t="s">
        <v>1512</v>
      </c>
      <c r="M59" s="987"/>
      <c r="O59" s="984"/>
      <c r="P59" s="984"/>
      <c r="Q59" s="984"/>
      <c r="R59" s="984"/>
      <c r="S59" s="984"/>
      <c r="T59" s="984"/>
      <c r="U59" s="984"/>
    </row>
    <row r="60" spans="1:21" s="983" customFormat="1" ht="15" customHeight="1" thickBot="1" x14ac:dyDescent="0.4">
      <c r="A60" s="1292"/>
      <c r="B60" s="1254" t="s">
        <v>1513</v>
      </c>
      <c r="C60" s="1274"/>
      <c r="D60" s="1275"/>
      <c r="E60" s="1276"/>
      <c r="F60" s="1277"/>
      <c r="G60" s="1278"/>
      <c r="H60" s="1278"/>
      <c r="I60" s="1357"/>
      <c r="J60" s="1333"/>
      <c r="K60" s="1358"/>
      <c r="L60" s="991" t="s">
        <v>1507</v>
      </c>
      <c r="M60" s="987"/>
      <c r="N60" s="984"/>
      <c r="O60" s="984"/>
      <c r="P60" s="984"/>
      <c r="Q60" s="984"/>
      <c r="R60" s="984"/>
      <c r="S60" s="984"/>
      <c r="T60" s="984"/>
      <c r="U60" s="984"/>
    </row>
    <row r="61" spans="1:21" s="983" customFormat="1" ht="15" customHeight="1" x14ac:dyDescent="0.35">
      <c r="A61" s="1292"/>
      <c r="B61" s="1082" t="s">
        <v>1321</v>
      </c>
      <c r="C61" s="1083" t="s">
        <v>265</v>
      </c>
      <c r="D61" s="1078" t="s">
        <v>1505</v>
      </c>
      <c r="E61" s="1084" t="s">
        <v>1506</v>
      </c>
      <c r="F61" s="1085" t="s">
        <v>1507</v>
      </c>
      <c r="G61" s="1086"/>
      <c r="H61" s="1205" t="s">
        <v>1508</v>
      </c>
      <c r="I61" s="1329"/>
      <c r="J61" s="1329"/>
      <c r="K61" s="990"/>
      <c r="L61" s="990"/>
      <c r="M61" s="987"/>
      <c r="N61" s="984"/>
      <c r="O61" s="984"/>
      <c r="P61" s="984"/>
      <c r="Q61" s="984"/>
      <c r="R61" s="984"/>
      <c r="S61" s="984"/>
      <c r="T61" s="984"/>
      <c r="U61" s="984"/>
    </row>
    <row r="62" spans="1:21" s="983" customFormat="1" ht="15" customHeight="1" x14ac:dyDescent="0.35">
      <c r="A62" s="1292"/>
      <c r="B62" s="1082" t="s">
        <v>1325</v>
      </c>
      <c r="C62" s="1083" t="s">
        <v>248</v>
      </c>
      <c r="D62" s="1078" t="s">
        <v>1326</v>
      </c>
      <c r="E62" s="1084" t="s">
        <v>1509</v>
      </c>
      <c r="F62" s="1085">
        <v>175.29</v>
      </c>
      <c r="G62" s="1086"/>
      <c r="H62" s="1205" t="s">
        <v>1510</v>
      </c>
      <c r="I62" s="1329"/>
      <c r="J62" s="1329"/>
      <c r="K62" s="990"/>
      <c r="L62" s="990"/>
      <c r="M62" s="987"/>
      <c r="N62" s="984"/>
      <c r="O62" s="984"/>
      <c r="P62" s="984"/>
      <c r="Q62" s="984"/>
      <c r="R62" s="984"/>
      <c r="S62" s="984"/>
      <c r="T62" s="984"/>
      <c r="U62" s="984"/>
    </row>
    <row r="63" spans="1:21" s="983" customFormat="1" ht="15" customHeight="1" x14ac:dyDescent="0.35">
      <c r="A63" s="1292"/>
      <c r="B63" s="1082" t="s">
        <v>1561</v>
      </c>
      <c r="C63" s="1083" t="s">
        <v>248</v>
      </c>
      <c r="D63" s="1078" t="s">
        <v>978</v>
      </c>
      <c r="E63" s="1084" t="s">
        <v>979</v>
      </c>
      <c r="F63" s="1093">
        <v>35.9</v>
      </c>
      <c r="G63" s="1094">
        <v>35.9</v>
      </c>
      <c r="H63" s="1205" t="s">
        <v>1521</v>
      </c>
      <c r="I63" s="1329"/>
      <c r="J63" s="1329"/>
      <c r="K63" s="990"/>
      <c r="L63" s="990"/>
      <c r="M63" s="987"/>
      <c r="N63" s="984"/>
      <c r="O63" s="984"/>
      <c r="P63" s="984"/>
      <c r="Q63" s="984"/>
      <c r="R63" s="984"/>
      <c r="S63" s="984"/>
      <c r="T63" s="984"/>
      <c r="U63" s="984"/>
    </row>
    <row r="64" spans="1:21" s="983" customFormat="1" ht="15" customHeight="1" x14ac:dyDescent="0.35">
      <c r="A64" s="1292"/>
      <c r="B64" s="1082" t="s">
        <v>1327</v>
      </c>
      <c r="C64" s="1083" t="s">
        <v>248</v>
      </c>
      <c r="D64" s="1078" t="s">
        <v>1328</v>
      </c>
      <c r="E64" s="1084" t="s">
        <v>1488</v>
      </c>
      <c r="F64" s="1093">
        <v>6.29</v>
      </c>
      <c r="G64" s="1094"/>
      <c r="H64" s="1205" t="s">
        <v>1489</v>
      </c>
      <c r="I64" s="1329"/>
      <c r="J64" s="1329"/>
      <c r="K64" s="990"/>
      <c r="L64" s="990"/>
      <c r="M64" s="987"/>
      <c r="N64" s="984"/>
      <c r="O64" s="984"/>
      <c r="P64" s="984"/>
      <c r="Q64" s="984"/>
      <c r="R64" s="984"/>
      <c r="S64" s="984"/>
      <c r="T64" s="984"/>
      <c r="U64" s="984"/>
    </row>
    <row r="65" spans="1:21" s="983" customFormat="1" ht="15" customHeight="1" x14ac:dyDescent="0.35">
      <c r="A65" s="1292"/>
      <c r="B65" s="1082" t="s">
        <v>1490</v>
      </c>
      <c r="C65" s="1083" t="s">
        <v>262</v>
      </c>
      <c r="D65" s="1078" t="s">
        <v>371</v>
      </c>
      <c r="E65" s="1084" t="s">
        <v>1491</v>
      </c>
      <c r="F65" s="1093">
        <v>1</v>
      </c>
      <c r="G65" s="1094"/>
      <c r="H65" s="1205" t="s">
        <v>1492</v>
      </c>
      <c r="I65" s="1329"/>
      <c r="J65" s="1329"/>
      <c r="K65" s="990"/>
      <c r="L65" s="990"/>
      <c r="M65" s="987"/>
      <c r="N65" s="984"/>
      <c r="O65" s="984"/>
      <c r="P65" s="984"/>
      <c r="Q65" s="984"/>
      <c r="R65" s="984"/>
      <c r="S65" s="984"/>
      <c r="T65" s="984"/>
      <c r="U65" s="984"/>
    </row>
    <row r="66" spans="1:21" s="983" customFormat="1" ht="15" customHeight="1" x14ac:dyDescent="0.35">
      <c r="A66" s="1292"/>
      <c r="B66" s="1082" t="s">
        <v>1493</v>
      </c>
      <c r="C66" s="1083" t="s">
        <v>262</v>
      </c>
      <c r="D66" s="1078" t="s">
        <v>371</v>
      </c>
      <c r="E66" s="1084" t="s">
        <v>1013</v>
      </c>
      <c r="F66" s="1093">
        <v>1</v>
      </c>
      <c r="G66" s="1094"/>
      <c r="H66" s="1205" t="s">
        <v>1492</v>
      </c>
      <c r="I66" s="1329"/>
      <c r="J66" s="1329"/>
      <c r="K66" s="990"/>
      <c r="L66" s="990"/>
      <c r="M66" s="987"/>
      <c r="N66" s="984"/>
      <c r="O66" s="984"/>
      <c r="P66" s="984"/>
      <c r="Q66" s="984"/>
      <c r="R66" s="984"/>
      <c r="S66" s="984"/>
      <c r="T66" s="984"/>
      <c r="U66" s="984"/>
    </row>
    <row r="67" spans="1:21" s="983" customFormat="1" ht="15" customHeight="1" x14ac:dyDescent="0.35">
      <c r="A67" s="1292"/>
      <c r="B67" s="1082" t="s">
        <v>1494</v>
      </c>
      <c r="C67" s="1083" t="s">
        <v>262</v>
      </c>
      <c r="D67" s="1078" t="s">
        <v>371</v>
      </c>
      <c r="E67" s="1084" t="s">
        <v>1495</v>
      </c>
      <c r="F67" s="1093">
        <v>1</v>
      </c>
      <c r="G67" s="1094"/>
      <c r="H67" s="1205" t="s">
        <v>1492</v>
      </c>
      <c r="I67" s="1329"/>
      <c r="J67" s="1329"/>
      <c r="K67" s="990"/>
      <c r="L67" s="990"/>
      <c r="M67" s="987"/>
      <c r="N67" s="984"/>
      <c r="O67" s="984"/>
      <c r="P67" s="984"/>
      <c r="Q67" s="984"/>
      <c r="R67" s="984"/>
      <c r="S67" s="984"/>
      <c r="T67" s="984"/>
      <c r="U67" s="984"/>
    </row>
    <row r="68" spans="1:21" s="983" customFormat="1" ht="15" customHeight="1" x14ac:dyDescent="0.35">
      <c r="A68" s="1292"/>
      <c r="B68" s="1082" t="s">
        <v>1496</v>
      </c>
      <c r="C68" s="1083" t="s">
        <v>262</v>
      </c>
      <c r="D68" s="1078" t="s">
        <v>371</v>
      </c>
      <c r="E68" s="1084" t="s">
        <v>1497</v>
      </c>
      <c r="F68" s="1093">
        <v>1</v>
      </c>
      <c r="G68" s="1094"/>
      <c r="H68" s="1205" t="s">
        <v>1492</v>
      </c>
      <c r="I68" s="1329"/>
      <c r="J68" s="1329"/>
      <c r="K68" s="990"/>
      <c r="L68" s="990"/>
      <c r="M68" s="987"/>
      <c r="N68" s="984"/>
      <c r="O68" s="984"/>
      <c r="P68" s="984"/>
      <c r="Q68" s="984"/>
      <c r="R68" s="984"/>
      <c r="S68" s="984"/>
      <c r="T68" s="984"/>
      <c r="U68" s="984"/>
    </row>
    <row r="69" spans="1:21" s="983" customFormat="1" ht="15" customHeight="1" x14ac:dyDescent="0.35">
      <c r="A69" s="1292"/>
      <c r="B69" s="1082" t="s">
        <v>1498</v>
      </c>
      <c r="C69" s="1083" t="s">
        <v>262</v>
      </c>
      <c r="D69" s="1078" t="s">
        <v>974</v>
      </c>
      <c r="E69" s="1084" t="s">
        <v>1499</v>
      </c>
      <c r="F69" s="1093">
        <v>1</v>
      </c>
      <c r="G69" s="1094"/>
      <c r="H69" s="1205" t="s">
        <v>1492</v>
      </c>
      <c r="I69" s="1329"/>
      <c r="J69" s="1329"/>
      <c r="K69" s="990"/>
      <c r="L69" s="990"/>
      <c r="M69" s="987"/>
      <c r="N69" s="984"/>
      <c r="O69" s="984"/>
      <c r="P69" s="984"/>
      <c r="Q69" s="984"/>
      <c r="R69" s="984"/>
      <c r="S69" s="984"/>
      <c r="T69" s="984"/>
      <c r="U69" s="984"/>
    </row>
    <row r="70" spans="1:21" s="983" customFormat="1" ht="15" customHeight="1" x14ac:dyDescent="0.35">
      <c r="A70" s="1292"/>
      <c r="B70" s="1082" t="s">
        <v>1500</v>
      </c>
      <c r="C70" s="1083" t="s">
        <v>262</v>
      </c>
      <c r="D70" s="1078" t="s">
        <v>371</v>
      </c>
      <c r="E70" s="1084" t="s">
        <v>1501</v>
      </c>
      <c r="F70" s="1093">
        <v>1</v>
      </c>
      <c r="G70" s="1094"/>
      <c r="H70" s="1205" t="s">
        <v>1492</v>
      </c>
      <c r="I70" s="1329"/>
      <c r="J70" s="1329"/>
      <c r="K70" s="990"/>
      <c r="L70" s="990"/>
      <c r="M70" s="987"/>
      <c r="N70" s="984"/>
      <c r="O70" s="984"/>
      <c r="P70" s="984"/>
      <c r="Q70" s="984"/>
      <c r="R70" s="984"/>
      <c r="S70" s="984"/>
      <c r="T70" s="984"/>
      <c r="U70" s="984"/>
    </row>
    <row r="71" spans="1:21" s="983" customFormat="1" ht="15" customHeight="1" x14ac:dyDescent="0.35">
      <c r="A71" s="1292"/>
      <c r="B71" s="1082" t="s">
        <v>1502</v>
      </c>
      <c r="C71" s="1083" t="s">
        <v>262</v>
      </c>
      <c r="D71" s="1078" t="s">
        <v>371</v>
      </c>
      <c r="E71" s="1084" t="s">
        <v>1503</v>
      </c>
      <c r="F71" s="1093">
        <v>1</v>
      </c>
      <c r="G71" s="1094"/>
      <c r="H71" s="1205" t="s">
        <v>1492</v>
      </c>
      <c r="I71" s="1329"/>
      <c r="J71" s="1329"/>
      <c r="K71" s="990"/>
      <c r="L71" s="990"/>
      <c r="M71" s="987"/>
      <c r="N71" s="984"/>
      <c r="O71" s="984"/>
      <c r="P71" s="984"/>
      <c r="Q71" s="984"/>
      <c r="R71" s="984"/>
      <c r="S71" s="984"/>
      <c r="T71" s="984"/>
      <c r="U71" s="984"/>
    </row>
    <row r="72" spans="1:21" s="983" customFormat="1" ht="15" customHeight="1" x14ac:dyDescent="0.35">
      <c r="A72" s="1292"/>
      <c r="B72" s="1082" t="s">
        <v>1624</v>
      </c>
      <c r="C72" s="1083" t="s">
        <v>262</v>
      </c>
      <c r="D72" s="1078" t="s">
        <v>371</v>
      </c>
      <c r="E72" s="1084" t="s">
        <v>1504</v>
      </c>
      <c r="F72" s="1093">
        <v>1</v>
      </c>
      <c r="G72" s="1094"/>
      <c r="H72" s="1205" t="s">
        <v>1492</v>
      </c>
      <c r="I72" s="1329"/>
      <c r="J72" s="1329"/>
      <c r="K72" s="990"/>
      <c r="L72" s="990"/>
      <c r="M72" s="987"/>
      <c r="N72" s="984"/>
      <c r="O72" s="984"/>
      <c r="P72" s="984"/>
      <c r="Q72" s="984"/>
      <c r="R72" s="984"/>
      <c r="S72" s="984"/>
      <c r="T72" s="984"/>
      <c r="U72" s="984"/>
    </row>
    <row r="73" spans="1:21" ht="15" customHeight="1" thickBot="1" x14ac:dyDescent="0.4">
      <c r="A73" s="1129"/>
      <c r="B73" s="1129"/>
      <c r="C73" s="1129"/>
      <c r="D73" s="1129"/>
      <c r="E73" s="1286"/>
      <c r="F73" s="1287"/>
      <c r="G73" s="1287"/>
      <c r="H73" s="1377"/>
      <c r="I73" s="995"/>
      <c r="J73" s="995"/>
      <c r="K73" s="995"/>
      <c r="L73" s="995"/>
      <c r="M73" s="1119"/>
      <c r="N73" s="995"/>
    </row>
    <row r="74" spans="1:21" ht="15" customHeight="1" thickBot="1" x14ac:dyDescent="0.4">
      <c r="A74" s="1102" t="s">
        <v>321</v>
      </c>
      <c r="B74" s="1103"/>
      <c r="C74" s="1103"/>
      <c r="D74" s="1103"/>
      <c r="E74" s="1104"/>
      <c r="F74" s="1104"/>
      <c r="G74" s="1104"/>
      <c r="H74" s="1370"/>
      <c r="I74" s="1329"/>
      <c r="J74" s="1329"/>
      <c r="K74" s="995"/>
      <c r="L74" s="1097" t="s">
        <v>1636</v>
      </c>
      <c r="M74" s="1034"/>
      <c r="N74" s="995"/>
      <c r="O74" s="995"/>
    </row>
    <row r="75" spans="1:21" ht="15" customHeight="1" thickBot="1" x14ac:dyDescent="0.4">
      <c r="A75" s="1035"/>
      <c r="B75" s="1035"/>
      <c r="C75" s="1035"/>
      <c r="D75" s="1035"/>
      <c r="E75" s="1105"/>
      <c r="F75" s="1106"/>
      <c r="G75" s="1106"/>
      <c r="H75" s="1378"/>
      <c r="J75" s="1095" t="s">
        <v>1622</v>
      </c>
      <c r="K75" s="995"/>
      <c r="L75" s="1098" t="s">
        <v>138</v>
      </c>
      <c r="M75" s="1034"/>
      <c r="N75" s="1034"/>
    </row>
    <row r="76" spans="1:21" ht="15" customHeight="1" x14ac:dyDescent="0.35">
      <c r="A76" s="1107" t="s">
        <v>657</v>
      </c>
      <c r="B76" s="1108"/>
      <c r="C76" s="1108"/>
      <c r="D76" s="1108"/>
      <c r="E76" s="1109"/>
      <c r="F76" s="1110"/>
      <c r="G76" s="1111"/>
      <c r="H76" s="1379"/>
      <c r="J76" s="1366">
        <v>44</v>
      </c>
      <c r="K76" s="995"/>
      <c r="L76" s="1100" t="s">
        <v>654</v>
      </c>
      <c r="M76" s="1034"/>
      <c r="N76" s="1034"/>
    </row>
    <row r="77" spans="1:21" ht="15" customHeight="1" thickBot="1" x14ac:dyDescent="0.4">
      <c r="A77" s="1112" t="s">
        <v>1623</v>
      </c>
      <c r="B77" s="1113" t="s">
        <v>571</v>
      </c>
      <c r="C77" s="1113" t="s">
        <v>135</v>
      </c>
      <c r="D77" s="1113" t="s">
        <v>1069</v>
      </c>
      <c r="E77" s="1084" t="s">
        <v>322</v>
      </c>
      <c r="F77" s="1114">
        <v>44</v>
      </c>
      <c r="G77" s="1115">
        <v>44</v>
      </c>
      <c r="H77" s="1116" t="s">
        <v>1626</v>
      </c>
      <c r="I77" s="1367"/>
      <c r="J77" s="1099">
        <v>40</v>
      </c>
      <c r="K77" s="995"/>
      <c r="L77" s="1100" t="s">
        <v>655</v>
      </c>
    </row>
    <row r="78" spans="1:21" ht="15" customHeight="1" thickBot="1" x14ac:dyDescent="0.4">
      <c r="A78" s="1112" t="s">
        <v>1623</v>
      </c>
      <c r="B78" s="1113" t="s">
        <v>448</v>
      </c>
      <c r="C78" s="1113" t="s">
        <v>135</v>
      </c>
      <c r="D78" s="1113" t="s">
        <v>136</v>
      </c>
      <c r="E78" s="1071" t="s">
        <v>137</v>
      </c>
      <c r="F78" s="1117" t="s">
        <v>138</v>
      </c>
      <c r="G78" s="1118" t="s">
        <v>138</v>
      </c>
      <c r="H78" s="1116" t="s">
        <v>1627</v>
      </c>
      <c r="I78" s="1368"/>
      <c r="J78" s="1369"/>
      <c r="K78" s="1000"/>
      <c r="L78" s="1101" t="s">
        <v>656</v>
      </c>
    </row>
    <row r="79" spans="1:21" ht="15" customHeight="1" x14ac:dyDescent="0.35">
      <c r="A79" s="1112" t="s">
        <v>1623</v>
      </c>
      <c r="B79" s="1113" t="s">
        <v>449</v>
      </c>
      <c r="C79" s="1113" t="s">
        <v>248</v>
      </c>
      <c r="D79" s="1113" t="s">
        <v>139</v>
      </c>
      <c r="E79" s="1071" t="s">
        <v>140</v>
      </c>
      <c r="F79" s="1117">
        <v>40</v>
      </c>
      <c r="G79" s="1118">
        <v>40</v>
      </c>
      <c r="H79" s="1116" t="s">
        <v>1628</v>
      </c>
      <c r="I79" s="1326"/>
      <c r="J79" s="1328"/>
      <c r="K79" s="995"/>
    </row>
    <row r="80" spans="1:21" ht="15" customHeight="1" x14ac:dyDescent="0.35">
      <c r="A80" s="1112" t="s">
        <v>1623</v>
      </c>
      <c r="B80" s="1113" t="s">
        <v>141</v>
      </c>
      <c r="C80" s="1113" t="s">
        <v>248</v>
      </c>
      <c r="D80" s="1113" t="s">
        <v>37</v>
      </c>
      <c r="E80" s="1071" t="s">
        <v>142</v>
      </c>
      <c r="F80" s="1117">
        <v>0</v>
      </c>
      <c r="G80" s="1118">
        <v>0</v>
      </c>
      <c r="H80" s="1116" t="s">
        <v>1629</v>
      </c>
      <c r="I80" s="1326"/>
      <c r="J80" s="1328"/>
      <c r="K80" s="995"/>
    </row>
    <row r="81" spans="1:14" ht="15" customHeight="1" x14ac:dyDescent="0.35">
      <c r="A81" s="1112" t="s">
        <v>1625</v>
      </c>
      <c r="B81" s="1113" t="s">
        <v>571</v>
      </c>
      <c r="C81" s="1113" t="s">
        <v>135</v>
      </c>
      <c r="D81" s="1113" t="s">
        <v>1069</v>
      </c>
      <c r="E81" s="1071" t="s">
        <v>323</v>
      </c>
      <c r="F81" s="1117">
        <v>44</v>
      </c>
      <c r="G81" s="1118">
        <v>44</v>
      </c>
      <c r="H81" s="1116" t="s">
        <v>1630</v>
      </c>
      <c r="I81" s="1326"/>
      <c r="K81" s="995"/>
    </row>
    <row r="82" spans="1:14" ht="15" customHeight="1" thickBot="1" x14ac:dyDescent="0.4">
      <c r="A82" s="1112" t="s">
        <v>1625</v>
      </c>
      <c r="B82" s="1113" t="s">
        <v>448</v>
      </c>
      <c r="C82" s="1113" t="s">
        <v>135</v>
      </c>
      <c r="D82" s="1113" t="s">
        <v>136</v>
      </c>
      <c r="E82" s="1071" t="s">
        <v>143</v>
      </c>
      <c r="F82" s="1117" t="s">
        <v>138</v>
      </c>
      <c r="G82" s="1118" t="s">
        <v>138</v>
      </c>
      <c r="H82" s="1116" t="s">
        <v>1631</v>
      </c>
      <c r="I82" s="1326"/>
      <c r="J82" s="1004" t="s">
        <v>1635</v>
      </c>
      <c r="K82" s="995"/>
      <c r="M82" s="1119"/>
      <c r="N82" s="1034"/>
    </row>
    <row r="83" spans="1:14" ht="15" customHeight="1" x14ac:dyDescent="0.35">
      <c r="A83" s="1112" t="s">
        <v>1625</v>
      </c>
      <c r="B83" s="1113" t="s">
        <v>449</v>
      </c>
      <c r="C83" s="1113" t="s">
        <v>248</v>
      </c>
      <c r="D83" s="1113" t="s">
        <v>139</v>
      </c>
      <c r="E83" s="1071" t="s">
        <v>144</v>
      </c>
      <c r="F83" s="1117">
        <v>0</v>
      </c>
      <c r="G83" s="1118">
        <v>0</v>
      </c>
      <c r="H83" s="1116" t="s">
        <v>1632</v>
      </c>
      <c r="I83" s="1326"/>
      <c r="J83" s="1096">
        <v>44</v>
      </c>
      <c r="K83" s="995"/>
    </row>
    <row r="84" spans="1:14" ht="15" customHeight="1" x14ac:dyDescent="0.35">
      <c r="A84" s="1112" t="s">
        <v>1625</v>
      </c>
      <c r="B84" s="1113" t="s">
        <v>141</v>
      </c>
      <c r="C84" s="1113" t="s">
        <v>248</v>
      </c>
      <c r="D84" s="1113" t="s">
        <v>37</v>
      </c>
      <c r="E84" s="1071" t="s">
        <v>145</v>
      </c>
      <c r="F84" s="1117">
        <v>0</v>
      </c>
      <c r="G84" s="1118">
        <v>0</v>
      </c>
      <c r="H84" s="1116" t="s">
        <v>1633</v>
      </c>
      <c r="I84" s="1326"/>
      <c r="J84" s="1360">
        <v>40</v>
      </c>
      <c r="K84" s="995"/>
    </row>
    <row r="85" spans="1:14" ht="15" customHeight="1" x14ac:dyDescent="0.35">
      <c r="A85" s="1120" t="s">
        <v>1634</v>
      </c>
      <c r="B85" s="1113"/>
      <c r="C85" s="1113"/>
      <c r="D85" s="1113"/>
      <c r="E85" s="1071"/>
      <c r="F85" s="1117"/>
      <c r="G85" s="1118"/>
      <c r="H85" s="1116"/>
      <c r="I85" s="1326"/>
      <c r="J85" s="1360">
        <v>32</v>
      </c>
      <c r="K85" s="995"/>
    </row>
    <row r="86" spans="1:14" ht="15" customHeight="1" thickBot="1" x14ac:dyDescent="0.4">
      <c r="A86" s="1112" t="s">
        <v>665</v>
      </c>
      <c r="B86" s="1113" t="s">
        <v>571</v>
      </c>
      <c r="C86" s="1113" t="s">
        <v>135</v>
      </c>
      <c r="D86" s="1113" t="s">
        <v>664</v>
      </c>
      <c r="E86" s="1084" t="s">
        <v>324</v>
      </c>
      <c r="F86" s="1117">
        <v>44</v>
      </c>
      <c r="G86" s="1118">
        <v>44</v>
      </c>
      <c r="H86" s="1116" t="s">
        <v>668</v>
      </c>
      <c r="I86" s="1327"/>
      <c r="J86" s="1361">
        <v>26</v>
      </c>
      <c r="K86" s="995"/>
    </row>
    <row r="87" spans="1:14" ht="15" customHeight="1" x14ac:dyDescent="0.35">
      <c r="A87" s="1112" t="s">
        <v>665</v>
      </c>
      <c r="B87" s="1113" t="s">
        <v>448</v>
      </c>
      <c r="C87" s="1113" t="s">
        <v>135</v>
      </c>
      <c r="D87" s="1113" t="s">
        <v>136</v>
      </c>
      <c r="E87" s="1071" t="s">
        <v>146</v>
      </c>
      <c r="F87" s="1117" t="s">
        <v>138</v>
      </c>
      <c r="G87" s="1118" t="s">
        <v>138</v>
      </c>
      <c r="H87" s="1116" t="s">
        <v>667</v>
      </c>
      <c r="I87" s="1326"/>
      <c r="J87" s="1328"/>
      <c r="K87" s="995"/>
      <c r="L87" s="1034"/>
      <c r="M87" s="1034"/>
      <c r="N87" s="1034"/>
    </row>
    <row r="88" spans="1:14" ht="15" customHeight="1" x14ac:dyDescent="0.35">
      <c r="A88" s="1112" t="s">
        <v>665</v>
      </c>
      <c r="B88" s="1113" t="s">
        <v>449</v>
      </c>
      <c r="C88" s="1113" t="s">
        <v>248</v>
      </c>
      <c r="D88" s="1113" t="s">
        <v>139</v>
      </c>
      <c r="E88" s="1071" t="s">
        <v>147</v>
      </c>
      <c r="F88" s="1117">
        <v>1200</v>
      </c>
      <c r="G88" s="1118">
        <v>1200</v>
      </c>
      <c r="H88" s="1116" t="s">
        <v>1133</v>
      </c>
      <c r="I88" s="1326"/>
      <c r="J88" s="1328"/>
      <c r="K88" s="1119"/>
      <c r="L88" s="1034"/>
      <c r="M88" s="1034"/>
      <c r="N88" s="1034"/>
    </row>
    <row r="89" spans="1:14" ht="15" customHeight="1" x14ac:dyDescent="0.35">
      <c r="A89" s="1112" t="s">
        <v>665</v>
      </c>
      <c r="B89" s="1113" t="s">
        <v>141</v>
      </c>
      <c r="C89" s="1113" t="s">
        <v>248</v>
      </c>
      <c r="D89" s="1113" t="s">
        <v>37</v>
      </c>
      <c r="E89" s="1071" t="s">
        <v>148</v>
      </c>
      <c r="F89" s="1117">
        <v>0</v>
      </c>
      <c r="G89" s="1118">
        <v>0</v>
      </c>
      <c r="H89" s="1116" t="s">
        <v>669</v>
      </c>
      <c r="I89" s="1326"/>
      <c r="J89" s="1328"/>
      <c r="K89" s="1119"/>
      <c r="L89" s="1034"/>
      <c r="M89" s="1034"/>
      <c r="N89" s="1034"/>
    </row>
    <row r="90" spans="1:14" ht="15" customHeight="1" x14ac:dyDescent="0.35">
      <c r="A90" s="1112" t="s">
        <v>666</v>
      </c>
      <c r="B90" s="1113" t="s">
        <v>571</v>
      </c>
      <c r="C90" s="1113" t="s">
        <v>135</v>
      </c>
      <c r="D90" s="1113" t="s">
        <v>664</v>
      </c>
      <c r="E90" s="1084" t="s">
        <v>325</v>
      </c>
      <c r="F90" s="1117">
        <v>44</v>
      </c>
      <c r="G90" s="1118">
        <v>44</v>
      </c>
      <c r="H90" s="1116" t="s">
        <v>671</v>
      </c>
      <c r="I90" s="1326"/>
      <c r="J90" s="1328"/>
      <c r="K90" s="1119"/>
      <c r="L90" s="1034"/>
      <c r="M90" s="1034"/>
      <c r="N90" s="1034"/>
    </row>
    <row r="91" spans="1:14" ht="15" customHeight="1" x14ac:dyDescent="0.35">
      <c r="A91" s="1112" t="s">
        <v>666</v>
      </c>
      <c r="B91" s="1113" t="s">
        <v>448</v>
      </c>
      <c r="C91" s="1113" t="s">
        <v>135</v>
      </c>
      <c r="D91" s="1113" t="s">
        <v>136</v>
      </c>
      <c r="E91" s="1071" t="s">
        <v>149</v>
      </c>
      <c r="F91" s="1117" t="s">
        <v>656</v>
      </c>
      <c r="G91" s="1118" t="s">
        <v>656</v>
      </c>
      <c r="H91" s="1116" t="s">
        <v>670</v>
      </c>
      <c r="I91" s="1326"/>
      <c r="J91" s="1328"/>
      <c r="K91" s="1119"/>
      <c r="L91" s="1034"/>
      <c r="M91" s="1034"/>
      <c r="N91" s="1034"/>
    </row>
    <row r="92" spans="1:14" ht="15" customHeight="1" x14ac:dyDescent="0.35">
      <c r="A92" s="1112" t="s">
        <v>666</v>
      </c>
      <c r="B92" s="1113" t="s">
        <v>449</v>
      </c>
      <c r="C92" s="1113" t="s">
        <v>248</v>
      </c>
      <c r="D92" s="1113" t="s">
        <v>139</v>
      </c>
      <c r="E92" s="1071" t="s">
        <v>150</v>
      </c>
      <c r="F92" s="1117">
        <v>0</v>
      </c>
      <c r="G92" s="1118">
        <v>0</v>
      </c>
      <c r="H92" s="1116" t="s">
        <v>1079</v>
      </c>
      <c r="I92" s="1326"/>
      <c r="J92" s="1328"/>
      <c r="K92" s="1119"/>
      <c r="L92" s="1034"/>
      <c r="M92" s="1034"/>
      <c r="N92" s="1034"/>
    </row>
    <row r="93" spans="1:14" ht="15" customHeight="1" x14ac:dyDescent="0.35">
      <c r="A93" s="1112" t="s">
        <v>666</v>
      </c>
      <c r="B93" s="1113" t="s">
        <v>141</v>
      </c>
      <c r="C93" s="1113" t="s">
        <v>248</v>
      </c>
      <c r="D93" s="1113" t="s">
        <v>37</v>
      </c>
      <c r="E93" s="1071" t="s">
        <v>151</v>
      </c>
      <c r="F93" s="1117">
        <v>0</v>
      </c>
      <c r="G93" s="1118">
        <v>0</v>
      </c>
      <c r="H93" s="1116" t="s">
        <v>672</v>
      </c>
      <c r="I93" s="1326"/>
      <c r="J93" s="1328"/>
      <c r="K93" s="1119"/>
      <c r="L93" s="1034"/>
      <c r="M93" s="1034"/>
      <c r="N93" s="1034"/>
    </row>
    <row r="94" spans="1:14" ht="15" customHeight="1" x14ac:dyDescent="0.35">
      <c r="A94" s="1112" t="s">
        <v>673</v>
      </c>
      <c r="B94" s="1113" t="s">
        <v>571</v>
      </c>
      <c r="C94" s="1113" t="s">
        <v>135</v>
      </c>
      <c r="D94" s="1113" t="s">
        <v>664</v>
      </c>
      <c r="E94" s="1084" t="s">
        <v>674</v>
      </c>
      <c r="F94" s="1121">
        <v>44</v>
      </c>
      <c r="G94" s="1122">
        <v>44</v>
      </c>
      <c r="H94" s="1116" t="s">
        <v>678</v>
      </c>
      <c r="I94" s="1326"/>
      <c r="J94" s="1328"/>
      <c r="K94" s="1119"/>
      <c r="L94" s="1034"/>
      <c r="M94" s="1034"/>
      <c r="N94" s="1034"/>
    </row>
    <row r="95" spans="1:14" ht="15" customHeight="1" x14ac:dyDescent="0.35">
      <c r="A95" s="1112" t="s">
        <v>673</v>
      </c>
      <c r="B95" s="1113" t="s">
        <v>448</v>
      </c>
      <c r="C95" s="1113" t="s">
        <v>135</v>
      </c>
      <c r="D95" s="1113" t="s">
        <v>136</v>
      </c>
      <c r="E95" s="1071" t="s">
        <v>675</v>
      </c>
      <c r="F95" s="1121" t="s">
        <v>138</v>
      </c>
      <c r="G95" s="1122" t="s">
        <v>138</v>
      </c>
      <c r="H95" s="1116" t="s">
        <v>679</v>
      </c>
      <c r="I95" s="1326"/>
      <c r="J95" s="1328"/>
      <c r="K95" s="1119"/>
      <c r="L95" s="1034"/>
      <c r="M95" s="1034"/>
      <c r="N95" s="1034"/>
    </row>
    <row r="96" spans="1:14" ht="15" customHeight="1" x14ac:dyDescent="0.35">
      <c r="A96" s="1112" t="s">
        <v>673</v>
      </c>
      <c r="B96" s="1113" t="s">
        <v>449</v>
      </c>
      <c r="C96" s="1113" t="s">
        <v>248</v>
      </c>
      <c r="D96" s="1113" t="s">
        <v>139</v>
      </c>
      <c r="E96" s="1071" t="s">
        <v>676</v>
      </c>
      <c r="F96" s="1121">
        <v>0</v>
      </c>
      <c r="G96" s="1122">
        <v>0</v>
      </c>
      <c r="H96" s="1116" t="s">
        <v>1139</v>
      </c>
      <c r="I96" s="1326"/>
      <c r="J96" s="1328"/>
      <c r="K96" s="1119"/>
      <c r="L96" s="1034"/>
      <c r="M96" s="1034"/>
      <c r="N96" s="1034"/>
    </row>
    <row r="97" spans="1:14" ht="15" customHeight="1" x14ac:dyDescent="0.35">
      <c r="A97" s="1112" t="s">
        <v>673</v>
      </c>
      <c r="B97" s="1113" t="s">
        <v>141</v>
      </c>
      <c r="C97" s="1113" t="s">
        <v>248</v>
      </c>
      <c r="D97" s="1113" t="s">
        <v>37</v>
      </c>
      <c r="E97" s="1071" t="s">
        <v>677</v>
      </c>
      <c r="F97" s="1121">
        <v>0</v>
      </c>
      <c r="G97" s="1122">
        <v>0</v>
      </c>
      <c r="H97" s="1116" t="s">
        <v>700</v>
      </c>
      <c r="I97" s="1326"/>
      <c r="J97" s="1328"/>
      <c r="K97" s="1119"/>
      <c r="L97" s="1034"/>
      <c r="M97" s="1034"/>
      <c r="N97" s="1034"/>
    </row>
    <row r="98" spans="1:14" ht="15" customHeight="1" x14ac:dyDescent="0.35">
      <c r="A98" s="1112" t="s">
        <v>683</v>
      </c>
      <c r="B98" s="1113" t="s">
        <v>571</v>
      </c>
      <c r="C98" s="1113" t="s">
        <v>135</v>
      </c>
      <c r="D98" s="1113" t="s">
        <v>664</v>
      </c>
      <c r="E98" s="1084" t="s">
        <v>686</v>
      </c>
      <c r="F98" s="1121">
        <v>44</v>
      </c>
      <c r="G98" s="1122">
        <v>44</v>
      </c>
      <c r="H98" s="1116" t="s">
        <v>1134</v>
      </c>
      <c r="I98" s="1326"/>
      <c r="J98" s="1328"/>
      <c r="K98" s="1119"/>
      <c r="L98" s="1034"/>
      <c r="M98" s="1034"/>
      <c r="N98" s="1034"/>
    </row>
    <row r="99" spans="1:14" ht="15" customHeight="1" x14ac:dyDescent="0.35">
      <c r="A99" s="1112" t="s">
        <v>683</v>
      </c>
      <c r="B99" s="1113" t="s">
        <v>448</v>
      </c>
      <c r="C99" s="1113" t="s">
        <v>135</v>
      </c>
      <c r="D99" s="1113" t="s">
        <v>136</v>
      </c>
      <c r="E99" s="1071" t="s">
        <v>687</v>
      </c>
      <c r="F99" s="1121" t="s">
        <v>138</v>
      </c>
      <c r="G99" s="1122" t="s">
        <v>138</v>
      </c>
      <c r="H99" s="1116" t="s">
        <v>698</v>
      </c>
      <c r="I99" s="1326"/>
      <c r="J99" s="1328"/>
      <c r="K99" s="1119"/>
      <c r="L99" s="1034"/>
      <c r="M99" s="1034"/>
      <c r="N99" s="1034"/>
    </row>
    <row r="100" spans="1:14" ht="15" customHeight="1" x14ac:dyDescent="0.35">
      <c r="A100" s="1112" t="s">
        <v>683</v>
      </c>
      <c r="B100" s="1113" t="s">
        <v>449</v>
      </c>
      <c r="C100" s="1113" t="s">
        <v>248</v>
      </c>
      <c r="D100" s="1113" t="s">
        <v>139</v>
      </c>
      <c r="E100" s="1071" t="s">
        <v>688</v>
      </c>
      <c r="F100" s="1121">
        <v>1200</v>
      </c>
      <c r="G100" s="1122">
        <v>1200</v>
      </c>
      <c r="H100" s="1116" t="s">
        <v>1135</v>
      </c>
      <c r="I100" s="1326"/>
      <c r="J100" s="1328"/>
      <c r="K100" s="1119"/>
      <c r="L100" s="1034"/>
      <c r="M100" s="1034"/>
      <c r="N100" s="1034"/>
    </row>
    <row r="101" spans="1:14" ht="15" customHeight="1" x14ac:dyDescent="0.35">
      <c r="A101" s="1112" t="s">
        <v>683</v>
      </c>
      <c r="B101" s="1113" t="s">
        <v>141</v>
      </c>
      <c r="C101" s="1113" t="s">
        <v>248</v>
      </c>
      <c r="D101" s="1113" t="s">
        <v>37</v>
      </c>
      <c r="E101" s="1071" t="s">
        <v>689</v>
      </c>
      <c r="F101" s="1121">
        <v>0</v>
      </c>
      <c r="G101" s="1122">
        <v>0</v>
      </c>
      <c r="H101" s="1116" t="s">
        <v>699</v>
      </c>
      <c r="I101" s="1326"/>
      <c r="J101" s="1328"/>
      <c r="K101" s="1119"/>
      <c r="L101" s="1034"/>
      <c r="M101" s="1034"/>
      <c r="N101" s="1034"/>
    </row>
    <row r="102" spans="1:14" ht="15" customHeight="1" x14ac:dyDescent="0.35">
      <c r="A102" s="1112" t="s">
        <v>684</v>
      </c>
      <c r="B102" s="1113" t="s">
        <v>571</v>
      </c>
      <c r="C102" s="1113" t="s">
        <v>135</v>
      </c>
      <c r="D102" s="1113" t="s">
        <v>664</v>
      </c>
      <c r="E102" s="1084" t="s">
        <v>690</v>
      </c>
      <c r="F102" s="1121">
        <v>44</v>
      </c>
      <c r="G102" s="1122">
        <v>44</v>
      </c>
      <c r="H102" s="1116" t="s">
        <v>701</v>
      </c>
      <c r="I102" s="1326"/>
      <c r="J102" s="1328"/>
      <c r="K102" s="1119"/>
      <c r="L102" s="1034"/>
      <c r="M102" s="1034"/>
      <c r="N102" s="1034"/>
    </row>
    <row r="103" spans="1:14" ht="15" customHeight="1" x14ac:dyDescent="0.35">
      <c r="A103" s="1112" t="s">
        <v>684</v>
      </c>
      <c r="B103" s="1113" t="s">
        <v>448</v>
      </c>
      <c r="C103" s="1113" t="s">
        <v>135</v>
      </c>
      <c r="D103" s="1113" t="s">
        <v>136</v>
      </c>
      <c r="E103" s="1071" t="s">
        <v>691</v>
      </c>
      <c r="F103" s="1121" t="s">
        <v>656</v>
      </c>
      <c r="G103" s="1122" t="s">
        <v>656</v>
      </c>
      <c r="H103" s="1116" t="s">
        <v>702</v>
      </c>
      <c r="I103" s="1326"/>
      <c r="J103" s="1328"/>
      <c r="K103" s="1119"/>
      <c r="L103" s="1034"/>
      <c r="M103" s="1034"/>
      <c r="N103" s="1034"/>
    </row>
    <row r="104" spans="1:14" ht="15" customHeight="1" x14ac:dyDescent="0.35">
      <c r="A104" s="1112" t="s">
        <v>684</v>
      </c>
      <c r="B104" s="1113" t="s">
        <v>449</v>
      </c>
      <c r="C104" s="1113" t="s">
        <v>248</v>
      </c>
      <c r="D104" s="1113" t="s">
        <v>139</v>
      </c>
      <c r="E104" s="1071" t="s">
        <v>692</v>
      </c>
      <c r="F104" s="1121">
        <v>0</v>
      </c>
      <c r="G104" s="1122">
        <v>0</v>
      </c>
      <c r="H104" s="1116" t="s">
        <v>1079</v>
      </c>
      <c r="I104" s="1326"/>
      <c r="J104" s="1328"/>
      <c r="K104" s="1119"/>
      <c r="L104" s="1034"/>
      <c r="M104" s="1034"/>
      <c r="N104" s="1034"/>
    </row>
    <row r="105" spans="1:14" ht="15" customHeight="1" x14ac:dyDescent="0.35">
      <c r="A105" s="1112" t="s">
        <v>684</v>
      </c>
      <c r="B105" s="1113" t="s">
        <v>141</v>
      </c>
      <c r="C105" s="1113" t="s">
        <v>248</v>
      </c>
      <c r="D105" s="1113" t="s">
        <v>37</v>
      </c>
      <c r="E105" s="1071" t="s">
        <v>693</v>
      </c>
      <c r="F105" s="1121">
        <v>0</v>
      </c>
      <c r="G105" s="1122">
        <v>0</v>
      </c>
      <c r="H105" s="1116" t="s">
        <v>703</v>
      </c>
      <c r="I105" s="1326"/>
      <c r="J105" s="1328"/>
      <c r="K105" s="1119"/>
      <c r="L105" s="1034"/>
      <c r="M105" s="1034"/>
      <c r="N105" s="1034"/>
    </row>
    <row r="106" spans="1:14" ht="15" customHeight="1" x14ac:dyDescent="0.35">
      <c r="A106" s="1112" t="s">
        <v>685</v>
      </c>
      <c r="B106" s="1113" t="s">
        <v>571</v>
      </c>
      <c r="C106" s="1113" t="s">
        <v>135</v>
      </c>
      <c r="D106" s="1113" t="s">
        <v>664</v>
      </c>
      <c r="E106" s="1084" t="s">
        <v>694</v>
      </c>
      <c r="F106" s="1121">
        <v>44</v>
      </c>
      <c r="G106" s="1122">
        <v>44</v>
      </c>
      <c r="H106" s="1116" t="s">
        <v>704</v>
      </c>
      <c r="I106" s="1326"/>
      <c r="J106" s="1328"/>
      <c r="K106" s="1119"/>
      <c r="L106" s="1034"/>
      <c r="M106" s="1034"/>
      <c r="N106" s="1034"/>
    </row>
    <row r="107" spans="1:14" ht="15" customHeight="1" x14ac:dyDescent="0.35">
      <c r="A107" s="1112" t="s">
        <v>685</v>
      </c>
      <c r="B107" s="1113" t="s">
        <v>448</v>
      </c>
      <c r="C107" s="1113" t="s">
        <v>135</v>
      </c>
      <c r="D107" s="1113" t="s">
        <v>136</v>
      </c>
      <c r="E107" s="1071" t="s">
        <v>695</v>
      </c>
      <c r="F107" s="1121" t="s">
        <v>138</v>
      </c>
      <c r="G107" s="1122" t="s">
        <v>138</v>
      </c>
      <c r="H107" s="1116" t="s">
        <v>705</v>
      </c>
      <c r="I107" s="1326"/>
      <c r="J107" s="1328"/>
      <c r="K107" s="1119"/>
      <c r="L107" s="1034"/>
      <c r="M107" s="1034"/>
      <c r="N107" s="1034"/>
    </row>
    <row r="108" spans="1:14" ht="15" customHeight="1" x14ac:dyDescent="0.35">
      <c r="A108" s="1112" t="s">
        <v>685</v>
      </c>
      <c r="B108" s="1113" t="s">
        <v>449</v>
      </c>
      <c r="C108" s="1113" t="s">
        <v>248</v>
      </c>
      <c r="D108" s="1113" t="s">
        <v>139</v>
      </c>
      <c r="E108" s="1071" t="s">
        <v>696</v>
      </c>
      <c r="F108" s="1121">
        <v>0</v>
      </c>
      <c r="G108" s="1122">
        <v>0</v>
      </c>
      <c r="H108" s="1116" t="s">
        <v>1138</v>
      </c>
      <c r="I108" s="1326"/>
      <c r="J108" s="1328"/>
      <c r="K108" s="1119"/>
      <c r="L108" s="1034"/>
      <c r="M108" s="1034"/>
      <c r="N108" s="1034"/>
    </row>
    <row r="109" spans="1:14" ht="15" customHeight="1" x14ac:dyDescent="0.35">
      <c r="A109" s="1112" t="s">
        <v>685</v>
      </c>
      <c r="B109" s="1113" t="s">
        <v>141</v>
      </c>
      <c r="C109" s="1113" t="s">
        <v>248</v>
      </c>
      <c r="D109" s="1113" t="s">
        <v>37</v>
      </c>
      <c r="E109" s="1071" t="s">
        <v>697</v>
      </c>
      <c r="F109" s="1121">
        <v>0</v>
      </c>
      <c r="G109" s="1122">
        <v>0</v>
      </c>
      <c r="H109" s="1116" t="s">
        <v>706</v>
      </c>
      <c r="I109" s="1326"/>
      <c r="J109" s="1328"/>
      <c r="K109" s="1119"/>
      <c r="L109" s="1034"/>
      <c r="M109" s="1034"/>
      <c r="N109" s="1034"/>
    </row>
    <row r="110" spans="1:14" ht="15" customHeight="1" x14ac:dyDescent="0.35">
      <c r="A110" s="1112" t="s">
        <v>712</v>
      </c>
      <c r="B110" s="1113" t="s">
        <v>571</v>
      </c>
      <c r="C110" s="1113" t="s">
        <v>135</v>
      </c>
      <c r="D110" s="1113" t="s">
        <v>664</v>
      </c>
      <c r="E110" s="1084" t="s">
        <v>715</v>
      </c>
      <c r="F110" s="1121">
        <v>44</v>
      </c>
      <c r="G110" s="1122">
        <v>44</v>
      </c>
      <c r="H110" s="1116" t="s">
        <v>727</v>
      </c>
      <c r="I110" s="1326"/>
      <c r="J110" s="1328"/>
      <c r="K110" s="1119"/>
      <c r="L110" s="1034"/>
      <c r="M110" s="1034"/>
      <c r="N110" s="1034"/>
    </row>
    <row r="111" spans="1:14" ht="15" customHeight="1" x14ac:dyDescent="0.35">
      <c r="A111" s="1112" t="s">
        <v>712</v>
      </c>
      <c r="B111" s="1113" t="s">
        <v>448</v>
      </c>
      <c r="C111" s="1113" t="s">
        <v>135</v>
      </c>
      <c r="D111" s="1113" t="s">
        <v>136</v>
      </c>
      <c r="E111" s="1071" t="s">
        <v>716</v>
      </c>
      <c r="F111" s="1121" t="s">
        <v>138</v>
      </c>
      <c r="G111" s="1122" t="s">
        <v>138</v>
      </c>
      <c r="H111" s="1116" t="s">
        <v>728</v>
      </c>
      <c r="I111" s="1326"/>
      <c r="J111" s="1328"/>
      <c r="K111" s="1119"/>
      <c r="L111" s="1034"/>
      <c r="M111" s="1034"/>
      <c r="N111" s="1034"/>
    </row>
    <row r="112" spans="1:14" ht="15" customHeight="1" x14ac:dyDescent="0.35">
      <c r="A112" s="1112" t="s">
        <v>712</v>
      </c>
      <c r="B112" s="1113" t="s">
        <v>449</v>
      </c>
      <c r="C112" s="1113" t="s">
        <v>248</v>
      </c>
      <c r="D112" s="1113" t="s">
        <v>139</v>
      </c>
      <c r="E112" s="1071" t="s">
        <v>717</v>
      </c>
      <c r="F112" s="1121">
        <v>1200</v>
      </c>
      <c r="G112" s="1122">
        <v>1200</v>
      </c>
      <c r="H112" s="1116" t="s">
        <v>1136</v>
      </c>
      <c r="I112" s="1326"/>
      <c r="J112" s="1328"/>
      <c r="K112" s="1119"/>
      <c r="L112" s="1034"/>
      <c r="M112" s="1034"/>
      <c r="N112" s="1034"/>
    </row>
    <row r="113" spans="1:16" ht="15" customHeight="1" x14ac:dyDescent="0.35">
      <c r="A113" s="1112" t="s">
        <v>712</v>
      </c>
      <c r="B113" s="1113" t="s">
        <v>141</v>
      </c>
      <c r="C113" s="1113" t="s">
        <v>248</v>
      </c>
      <c r="D113" s="1113" t="s">
        <v>37</v>
      </c>
      <c r="E113" s="1071" t="s">
        <v>718</v>
      </c>
      <c r="F113" s="1121">
        <v>0</v>
      </c>
      <c r="G113" s="1122">
        <v>0</v>
      </c>
      <c r="H113" s="1116" t="s">
        <v>729</v>
      </c>
      <c r="I113" s="1326"/>
      <c r="J113" s="1328"/>
      <c r="K113" s="1119"/>
      <c r="L113" s="1034"/>
      <c r="M113" s="1034"/>
      <c r="N113" s="1034"/>
    </row>
    <row r="114" spans="1:16" ht="15" customHeight="1" x14ac:dyDescent="0.35">
      <c r="A114" s="1112" t="s">
        <v>713</v>
      </c>
      <c r="B114" s="1113" t="s">
        <v>571</v>
      </c>
      <c r="C114" s="1113" t="s">
        <v>135</v>
      </c>
      <c r="D114" s="1113" t="s">
        <v>664</v>
      </c>
      <c r="E114" s="1084" t="s">
        <v>720</v>
      </c>
      <c r="F114" s="1121">
        <v>44</v>
      </c>
      <c r="G114" s="1122">
        <v>44</v>
      </c>
      <c r="H114" s="1116" t="s">
        <v>730</v>
      </c>
      <c r="I114" s="1326"/>
      <c r="J114" s="1328"/>
      <c r="K114" s="1119"/>
      <c r="L114" s="1034"/>
      <c r="M114" s="1034"/>
      <c r="N114" s="1034"/>
    </row>
    <row r="115" spans="1:16" ht="15" customHeight="1" x14ac:dyDescent="0.35">
      <c r="A115" s="1112" t="s">
        <v>713</v>
      </c>
      <c r="B115" s="1113" t="s">
        <v>448</v>
      </c>
      <c r="C115" s="1113" t="s">
        <v>135</v>
      </c>
      <c r="D115" s="1113" t="s">
        <v>136</v>
      </c>
      <c r="E115" s="1071" t="s">
        <v>719</v>
      </c>
      <c r="F115" s="1121" t="s">
        <v>656</v>
      </c>
      <c r="G115" s="1122" t="s">
        <v>656</v>
      </c>
      <c r="H115" s="1116" t="s">
        <v>731</v>
      </c>
      <c r="I115" s="1326"/>
      <c r="J115" s="1328"/>
      <c r="K115" s="1119"/>
      <c r="L115" s="1034"/>
      <c r="M115" s="1034"/>
      <c r="N115" s="1034"/>
    </row>
    <row r="116" spans="1:16" ht="15" customHeight="1" x14ac:dyDescent="0.35">
      <c r="A116" s="1112" t="s">
        <v>713</v>
      </c>
      <c r="B116" s="1113" t="s">
        <v>449</v>
      </c>
      <c r="C116" s="1113" t="s">
        <v>248</v>
      </c>
      <c r="D116" s="1113" t="s">
        <v>139</v>
      </c>
      <c r="E116" s="1071" t="s">
        <v>721</v>
      </c>
      <c r="F116" s="1121">
        <v>0</v>
      </c>
      <c r="G116" s="1122">
        <v>0</v>
      </c>
      <c r="H116" s="1116" t="s">
        <v>1079</v>
      </c>
      <c r="I116" s="1326"/>
      <c r="J116" s="1328"/>
      <c r="K116" s="1119"/>
      <c r="L116" s="1034"/>
      <c r="M116" s="1034"/>
      <c r="N116" s="1034"/>
    </row>
    <row r="117" spans="1:16" ht="15" customHeight="1" x14ac:dyDescent="0.35">
      <c r="A117" s="1112" t="s">
        <v>713</v>
      </c>
      <c r="B117" s="1113" t="s">
        <v>141</v>
      </c>
      <c r="C117" s="1113" t="s">
        <v>248</v>
      </c>
      <c r="D117" s="1113" t="s">
        <v>37</v>
      </c>
      <c r="E117" s="1071" t="s">
        <v>722</v>
      </c>
      <c r="F117" s="1121">
        <v>0</v>
      </c>
      <c r="G117" s="1122">
        <v>0</v>
      </c>
      <c r="H117" s="1116" t="s">
        <v>732</v>
      </c>
      <c r="I117" s="1326"/>
      <c r="J117" s="1328"/>
      <c r="K117" s="1119"/>
      <c r="L117" s="1034"/>
      <c r="M117" s="1034"/>
      <c r="N117" s="1034"/>
    </row>
    <row r="118" spans="1:16" ht="15" customHeight="1" x14ac:dyDescent="0.35">
      <c r="A118" s="1112" t="s">
        <v>714</v>
      </c>
      <c r="B118" s="1113" t="s">
        <v>571</v>
      </c>
      <c r="C118" s="1113" t="s">
        <v>135</v>
      </c>
      <c r="D118" s="1113" t="s">
        <v>664</v>
      </c>
      <c r="E118" s="1084" t="s">
        <v>723</v>
      </c>
      <c r="F118" s="1121">
        <v>44</v>
      </c>
      <c r="G118" s="1122">
        <v>44</v>
      </c>
      <c r="H118" s="1116" t="s">
        <v>733</v>
      </c>
      <c r="I118" s="1326"/>
      <c r="J118" s="1328"/>
      <c r="K118" s="1119"/>
      <c r="L118" s="1034"/>
      <c r="M118" s="1034"/>
      <c r="N118" s="1034"/>
    </row>
    <row r="119" spans="1:16" ht="15" customHeight="1" x14ac:dyDescent="0.35">
      <c r="A119" s="1112" t="s">
        <v>714</v>
      </c>
      <c r="B119" s="1113" t="s">
        <v>448</v>
      </c>
      <c r="C119" s="1113" t="s">
        <v>135</v>
      </c>
      <c r="D119" s="1113" t="s">
        <v>136</v>
      </c>
      <c r="E119" s="1071" t="s">
        <v>724</v>
      </c>
      <c r="F119" s="1121" t="s">
        <v>138</v>
      </c>
      <c r="G119" s="1122" t="s">
        <v>138</v>
      </c>
      <c r="H119" s="1116" t="s">
        <v>734</v>
      </c>
      <c r="I119" s="1326"/>
      <c r="J119" s="1328"/>
      <c r="K119" s="1119"/>
      <c r="L119" s="1034"/>
      <c r="M119" s="1034"/>
      <c r="N119" s="1034"/>
      <c r="O119" s="995"/>
    </row>
    <row r="120" spans="1:16" ht="15" customHeight="1" x14ac:dyDescent="0.35">
      <c r="A120" s="1112" t="s">
        <v>714</v>
      </c>
      <c r="B120" s="1113" t="s">
        <v>449</v>
      </c>
      <c r="C120" s="1113" t="s">
        <v>248</v>
      </c>
      <c r="D120" s="1113" t="s">
        <v>139</v>
      </c>
      <c r="E120" s="1071" t="s">
        <v>725</v>
      </c>
      <c r="F120" s="1121">
        <v>0</v>
      </c>
      <c r="G120" s="1122">
        <v>0</v>
      </c>
      <c r="H120" s="1116" t="s">
        <v>1137</v>
      </c>
      <c r="I120" s="1326"/>
      <c r="J120" s="1328"/>
      <c r="K120" s="1119"/>
      <c r="L120" s="1034"/>
      <c r="M120" s="1034"/>
      <c r="N120" s="1034"/>
      <c r="O120" s="995"/>
      <c r="P120" s="1123"/>
    </row>
    <row r="121" spans="1:16" s="1034" customFormat="1" ht="15" customHeight="1" thickBot="1" x14ac:dyDescent="0.4">
      <c r="A121" s="1124" t="s">
        <v>714</v>
      </c>
      <c r="B121" s="1125" t="s">
        <v>141</v>
      </c>
      <c r="C121" s="1125" t="s">
        <v>248</v>
      </c>
      <c r="D121" s="1125" t="s">
        <v>37</v>
      </c>
      <c r="E121" s="1126" t="s">
        <v>726</v>
      </c>
      <c r="F121" s="1127">
        <v>0</v>
      </c>
      <c r="G121" s="1128">
        <v>0</v>
      </c>
      <c r="H121" s="1116" t="s">
        <v>735</v>
      </c>
      <c r="I121" s="1326"/>
      <c r="J121" s="1328"/>
      <c r="K121" s="1119"/>
      <c r="O121" s="995"/>
      <c r="P121" s="1123"/>
    </row>
    <row r="122" spans="1:16" s="1034" customFormat="1" ht="15" customHeight="1" thickBot="1" x14ac:dyDescent="0.4">
      <c r="A122" s="1129"/>
      <c r="B122" s="1129"/>
      <c r="C122" s="1129"/>
      <c r="D122" s="1129"/>
      <c r="E122" s="1130"/>
      <c r="F122" s="1131"/>
      <c r="G122" s="1131"/>
      <c r="H122" s="1132"/>
      <c r="I122" s="1335"/>
      <c r="J122" s="1363"/>
      <c r="K122" s="1119"/>
      <c r="L122" s="989"/>
      <c r="M122" s="989"/>
      <c r="N122" s="989"/>
      <c r="P122" s="995"/>
    </row>
    <row r="123" spans="1:16" s="1034" customFormat="1" ht="15" customHeight="1" thickBot="1" x14ac:dyDescent="0.4">
      <c r="A123" s="1133" t="s">
        <v>50</v>
      </c>
      <c r="B123" s="1134"/>
      <c r="C123" s="1135"/>
      <c r="D123" s="1135"/>
      <c r="E123" s="1136"/>
      <c r="F123" s="1137"/>
      <c r="G123" s="1137"/>
      <c r="H123" s="1138"/>
      <c r="I123" s="1336"/>
      <c r="J123" s="1364"/>
      <c r="K123" s="995"/>
      <c r="L123" s="989"/>
      <c r="M123" s="989"/>
      <c r="N123" s="989"/>
    </row>
    <row r="124" spans="1:16" s="1034" customFormat="1" ht="15" customHeight="1" thickBot="1" x14ac:dyDescent="0.4">
      <c r="A124" s="1139"/>
      <c r="B124" s="1140"/>
      <c r="F124" s="1011"/>
      <c r="G124" s="1011"/>
      <c r="H124" s="1141"/>
      <c r="I124" s="1019"/>
      <c r="J124" s="1021"/>
      <c r="K124" s="995"/>
      <c r="L124" s="989"/>
      <c r="M124" s="989"/>
      <c r="N124" s="989"/>
    </row>
    <row r="125" spans="1:16" ht="30" customHeight="1" x14ac:dyDescent="0.35">
      <c r="A125" s="1501" t="s">
        <v>153</v>
      </c>
      <c r="B125" s="1502" t="s">
        <v>450</v>
      </c>
      <c r="C125" s="1142" t="s">
        <v>134</v>
      </c>
      <c r="D125" s="1143" t="s">
        <v>263</v>
      </c>
      <c r="E125" s="1109" t="s">
        <v>1531</v>
      </c>
      <c r="F125" s="1489">
        <v>1</v>
      </c>
      <c r="G125" s="1490">
        <v>1</v>
      </c>
      <c r="H125" s="1144" t="s">
        <v>1774</v>
      </c>
      <c r="I125" s="1019"/>
      <c r="J125" s="1021"/>
      <c r="K125" s="995"/>
      <c r="O125" s="1034"/>
      <c r="P125" s="1034"/>
    </row>
    <row r="126" spans="1:16" ht="15" customHeight="1" x14ac:dyDescent="0.35">
      <c r="A126" s="1145" t="s">
        <v>270</v>
      </c>
      <c r="B126" s="1146" t="s">
        <v>627</v>
      </c>
      <c r="C126" s="1147" t="s">
        <v>248</v>
      </c>
      <c r="D126" s="1147"/>
      <c r="E126" s="1061" t="s">
        <v>1532</v>
      </c>
      <c r="F126" s="1121">
        <v>2</v>
      </c>
      <c r="G126" s="1122">
        <v>2</v>
      </c>
      <c r="H126" s="1148"/>
      <c r="I126" s="1326"/>
      <c r="J126" s="1328"/>
      <c r="K126" s="995"/>
      <c r="P126" s="1034"/>
    </row>
    <row r="127" spans="1:16" ht="15" customHeight="1" x14ac:dyDescent="0.35">
      <c r="A127" s="1149" t="s">
        <v>153</v>
      </c>
      <c r="B127" s="1150" t="s">
        <v>1542</v>
      </c>
      <c r="C127" s="1151" t="s">
        <v>248</v>
      </c>
      <c r="D127" s="1147" t="s">
        <v>622</v>
      </c>
      <c r="E127" s="1152" t="s">
        <v>1534</v>
      </c>
      <c r="F127" s="1121">
        <v>500000</v>
      </c>
      <c r="G127" s="1122">
        <v>500000</v>
      </c>
      <c r="H127" s="1148" t="s">
        <v>1533</v>
      </c>
      <c r="I127" s="1326"/>
      <c r="J127" s="1328"/>
      <c r="K127" s="995"/>
    </row>
    <row r="128" spans="1:16" ht="15" customHeight="1" x14ac:dyDescent="0.35">
      <c r="A128" s="1149" t="s">
        <v>153</v>
      </c>
      <c r="B128" s="1150" t="s">
        <v>566</v>
      </c>
      <c r="C128" s="1151" t="s">
        <v>248</v>
      </c>
      <c r="D128" s="1147" t="s">
        <v>422</v>
      </c>
      <c r="E128" s="1152" t="s">
        <v>1535</v>
      </c>
      <c r="F128" s="1117">
        <v>20</v>
      </c>
      <c r="G128" s="1118">
        <v>20</v>
      </c>
      <c r="H128" s="1148" t="s">
        <v>569</v>
      </c>
      <c r="I128" s="1326"/>
      <c r="J128" s="1328"/>
      <c r="K128" s="995"/>
    </row>
    <row r="129" spans="1:11" ht="15" customHeight="1" x14ac:dyDescent="0.35">
      <c r="A129" s="1149" t="s">
        <v>153</v>
      </c>
      <c r="B129" s="1150" t="s">
        <v>568</v>
      </c>
      <c r="C129" s="1151" t="s">
        <v>248</v>
      </c>
      <c r="D129" s="1147" t="s">
        <v>567</v>
      </c>
      <c r="E129" s="1152" t="s">
        <v>1537</v>
      </c>
      <c r="F129" s="1117">
        <v>4320</v>
      </c>
      <c r="G129" s="1118">
        <v>4320</v>
      </c>
      <c r="H129" s="1148" t="s">
        <v>1536</v>
      </c>
      <c r="I129" s="1326"/>
      <c r="J129" s="1328"/>
      <c r="K129" s="995"/>
    </row>
    <row r="130" spans="1:11" ht="15" customHeight="1" x14ac:dyDescent="0.35">
      <c r="A130" s="1149" t="s">
        <v>87</v>
      </c>
      <c r="B130" s="1150" t="s">
        <v>626</v>
      </c>
      <c r="C130" s="1151" t="s">
        <v>155</v>
      </c>
      <c r="D130" s="1147"/>
      <c r="E130" s="1152" t="s">
        <v>1538</v>
      </c>
      <c r="F130" s="1117">
        <v>80</v>
      </c>
      <c r="G130" s="1118">
        <v>80</v>
      </c>
      <c r="H130" s="1148" t="s">
        <v>271</v>
      </c>
      <c r="I130" s="1326"/>
      <c r="J130" s="1328"/>
      <c r="K130" s="995"/>
    </row>
    <row r="131" spans="1:11" ht="15" customHeight="1" x14ac:dyDescent="0.35">
      <c r="A131" s="1153" t="s">
        <v>156</v>
      </c>
      <c r="B131" s="1147" t="s">
        <v>625</v>
      </c>
      <c r="C131" s="1154" t="s">
        <v>155</v>
      </c>
      <c r="D131" s="1147" t="s">
        <v>37</v>
      </c>
      <c r="E131" s="1155" t="s">
        <v>1539</v>
      </c>
      <c r="F131" s="1121">
        <v>85</v>
      </c>
      <c r="G131" s="1122">
        <v>85</v>
      </c>
      <c r="H131" s="1148" t="s">
        <v>837</v>
      </c>
      <c r="I131" s="1326"/>
      <c r="J131" s="1328"/>
      <c r="K131" s="995"/>
    </row>
    <row r="132" spans="1:11" ht="15" customHeight="1" thickBot="1" x14ac:dyDescent="0.4">
      <c r="A132" s="1156" t="s">
        <v>156</v>
      </c>
      <c r="B132" s="1503" t="s">
        <v>451</v>
      </c>
      <c r="C132" s="1157" t="s">
        <v>248</v>
      </c>
      <c r="D132" s="1158"/>
      <c r="E132" s="1126" t="s">
        <v>1540</v>
      </c>
      <c r="F132" s="1127">
        <v>1</v>
      </c>
      <c r="G132" s="1128">
        <v>1</v>
      </c>
      <c r="H132" s="1494" t="s">
        <v>2012</v>
      </c>
      <c r="I132" s="1069"/>
      <c r="J132" s="995"/>
      <c r="K132" s="995"/>
    </row>
    <row r="133" spans="1:11" ht="15" customHeight="1" thickBot="1" x14ac:dyDescent="0.4">
      <c r="A133" s="1129"/>
      <c r="D133" s="1129"/>
      <c r="G133" s="1011"/>
      <c r="H133" s="1159"/>
      <c r="I133" s="1069"/>
      <c r="J133" s="995"/>
      <c r="K133" s="995"/>
    </row>
    <row r="134" spans="1:11" ht="15" customHeight="1" thickBot="1" x14ac:dyDescent="0.4">
      <c r="A134" s="1160" t="s">
        <v>272</v>
      </c>
      <c r="B134" s="1161"/>
      <c r="C134" s="1162"/>
      <c r="D134" s="1162"/>
      <c r="E134" s="1163"/>
      <c r="F134" s="1164"/>
      <c r="G134" s="1164"/>
      <c r="H134" s="1165"/>
      <c r="I134" s="1069"/>
      <c r="J134" s="995"/>
      <c r="K134" s="995"/>
    </row>
    <row r="135" spans="1:11" ht="15" customHeight="1" x14ac:dyDescent="0.35">
      <c r="B135" s="1166"/>
      <c r="G135" s="1011"/>
      <c r="I135" s="1069"/>
      <c r="J135" s="995"/>
      <c r="K135" s="995"/>
    </row>
    <row r="136" spans="1:11" ht="28.5" customHeight="1" x14ac:dyDescent="0.35">
      <c r="A136" s="1430" t="s">
        <v>153</v>
      </c>
      <c r="B136" s="1481" t="s">
        <v>1782</v>
      </c>
      <c r="C136" s="1169" t="s">
        <v>248</v>
      </c>
      <c r="D136" s="1169" t="s">
        <v>1718</v>
      </c>
      <c r="E136" s="1288" t="s">
        <v>1523</v>
      </c>
      <c r="F136" s="1471">
        <v>7.9</v>
      </c>
      <c r="G136" s="1472">
        <v>7.9</v>
      </c>
      <c r="H136" s="1171" t="s">
        <v>1814</v>
      </c>
      <c r="I136" s="1334"/>
      <c r="J136" s="1329"/>
      <c r="K136" s="995"/>
    </row>
    <row r="137" spans="1:11" ht="15" customHeight="1" x14ac:dyDescent="0.35">
      <c r="A137" s="1167" t="s">
        <v>153</v>
      </c>
      <c r="B137" s="1481" t="s">
        <v>1783</v>
      </c>
      <c r="C137" s="1169" t="s">
        <v>248</v>
      </c>
      <c r="D137" s="1169" t="s">
        <v>37</v>
      </c>
      <c r="E137" s="1061" t="s">
        <v>1528</v>
      </c>
      <c r="F137" s="1121">
        <v>0</v>
      </c>
      <c r="G137" s="1122">
        <v>0</v>
      </c>
      <c r="H137" s="1171" t="s">
        <v>1784</v>
      </c>
      <c r="I137" s="1334"/>
      <c r="J137" s="1329"/>
      <c r="K137" s="995"/>
    </row>
    <row r="138" spans="1:11" ht="15" customHeight="1" x14ac:dyDescent="0.35">
      <c r="A138" s="1543" t="s">
        <v>153</v>
      </c>
      <c r="B138" s="1544" t="s">
        <v>2042</v>
      </c>
      <c r="C138" s="1545" t="s">
        <v>262</v>
      </c>
      <c r="D138" s="1545" t="s">
        <v>371</v>
      </c>
      <c r="E138" s="1546" t="s">
        <v>2043</v>
      </c>
      <c r="F138" s="1066">
        <v>0</v>
      </c>
      <c r="G138" s="1547">
        <v>0</v>
      </c>
      <c r="H138" s="1549" t="s">
        <v>2050</v>
      </c>
      <c r="I138" s="1329"/>
      <c r="J138" s="1329"/>
      <c r="K138" s="995"/>
    </row>
    <row r="139" spans="1:11" ht="32.25" customHeight="1" x14ac:dyDescent="0.35">
      <c r="A139" s="1543" t="s">
        <v>153</v>
      </c>
      <c r="B139" s="1544" t="s">
        <v>2044</v>
      </c>
      <c r="C139" s="1545" t="s">
        <v>248</v>
      </c>
      <c r="D139" s="1545" t="s">
        <v>2066</v>
      </c>
      <c r="E139" s="1546" t="s">
        <v>2045</v>
      </c>
      <c r="F139" s="1066">
        <v>1819</v>
      </c>
      <c r="G139" s="1547">
        <v>1819</v>
      </c>
      <c r="H139" s="1549" t="s">
        <v>2057</v>
      </c>
      <c r="I139" s="1329"/>
      <c r="J139" s="1329"/>
      <c r="K139" s="995"/>
    </row>
    <row r="140" spans="1:11" ht="45" customHeight="1" x14ac:dyDescent="0.35">
      <c r="A140" s="1543" t="s">
        <v>153</v>
      </c>
      <c r="B140" s="1544" t="s">
        <v>2046</v>
      </c>
      <c r="C140" s="1545" t="s">
        <v>248</v>
      </c>
      <c r="D140" s="1545" t="s">
        <v>1790</v>
      </c>
      <c r="E140" s="1546" t="s">
        <v>2047</v>
      </c>
      <c r="F140" s="1066">
        <v>1947</v>
      </c>
      <c r="G140" s="1547">
        <v>1947</v>
      </c>
      <c r="H140" s="1550" t="s">
        <v>2058</v>
      </c>
      <c r="I140" s="1329"/>
      <c r="J140" s="1329"/>
      <c r="K140" s="995"/>
    </row>
    <row r="141" spans="1:11" ht="15" customHeight="1" x14ac:dyDescent="0.35">
      <c r="A141" s="1543" t="s">
        <v>153</v>
      </c>
      <c r="B141" s="1544" t="s">
        <v>2048</v>
      </c>
      <c r="C141" s="1545" t="s">
        <v>248</v>
      </c>
      <c r="D141" s="1545" t="s">
        <v>2067</v>
      </c>
      <c r="E141" s="1546" t="s">
        <v>2049</v>
      </c>
      <c r="F141" s="1121">
        <v>0.9</v>
      </c>
      <c r="G141" s="1548">
        <v>0.9</v>
      </c>
      <c r="H141" s="1551" t="s">
        <v>2059</v>
      </c>
      <c r="I141" s="1329"/>
      <c r="J141" s="1329"/>
      <c r="K141" s="995"/>
    </row>
    <row r="142" spans="1:11" s="1010" customFormat="1" ht="31.5" customHeight="1" x14ac:dyDescent="0.25">
      <c r="A142" s="1430" t="s">
        <v>153</v>
      </c>
      <c r="B142" s="1481" t="s">
        <v>1785</v>
      </c>
      <c r="C142" s="1169" t="s">
        <v>248</v>
      </c>
      <c r="D142" s="1169" t="s">
        <v>1788</v>
      </c>
      <c r="E142" s="1061" t="s">
        <v>1524</v>
      </c>
      <c r="F142" s="1474">
        <v>55.2</v>
      </c>
      <c r="G142" s="1472">
        <v>55.2</v>
      </c>
      <c r="H142" s="1171" t="s">
        <v>1882</v>
      </c>
      <c r="I142" s="1326"/>
      <c r="J142" s="1328"/>
      <c r="K142" s="1021"/>
    </row>
    <row r="143" spans="1:11" s="1010" customFormat="1" ht="31.5" customHeight="1" x14ac:dyDescent="0.25">
      <c r="A143" s="1480" t="s">
        <v>153</v>
      </c>
      <c r="B143" s="1480" t="s">
        <v>1795</v>
      </c>
      <c r="C143" s="1480" t="s">
        <v>248</v>
      </c>
      <c r="D143" s="1480" t="s">
        <v>1790</v>
      </c>
      <c r="E143" s="1431" t="s">
        <v>1713</v>
      </c>
      <c r="F143" s="1473">
        <v>159.1</v>
      </c>
      <c r="G143" s="1467">
        <v>159.1</v>
      </c>
      <c r="H143" s="1432" t="s">
        <v>1883</v>
      </c>
    </row>
    <row r="144" spans="1:11" s="1010" customFormat="1" ht="33" customHeight="1" x14ac:dyDescent="0.25">
      <c r="A144" s="1481" t="s">
        <v>153</v>
      </c>
      <c r="B144" s="1481" t="s">
        <v>1893</v>
      </c>
      <c r="C144" s="1482" t="s">
        <v>248</v>
      </c>
      <c r="D144" s="1482" t="s">
        <v>1812</v>
      </c>
      <c r="E144" s="1476" t="s">
        <v>1811</v>
      </c>
      <c r="F144" s="1474">
        <v>23.8</v>
      </c>
      <c r="G144" s="1472">
        <v>23.8</v>
      </c>
      <c r="H144" s="1483" t="s">
        <v>1884</v>
      </c>
    </row>
    <row r="145" spans="1:11" s="1010" customFormat="1" ht="33" customHeight="1" x14ac:dyDescent="0.25">
      <c r="A145" s="1481" t="s">
        <v>153</v>
      </c>
      <c r="B145" s="1481" t="s">
        <v>1894</v>
      </c>
      <c r="C145" s="1482" t="s">
        <v>248</v>
      </c>
      <c r="D145" s="1482" t="s">
        <v>1812</v>
      </c>
      <c r="E145" s="1476" t="s">
        <v>1880</v>
      </c>
      <c r="F145" s="1474">
        <v>0</v>
      </c>
      <c r="G145" s="1472">
        <v>0</v>
      </c>
      <c r="H145" s="1483" t="s">
        <v>1881</v>
      </c>
    </row>
    <row r="146" spans="1:11" s="1010" customFormat="1" ht="33" customHeight="1" x14ac:dyDescent="0.25">
      <c r="A146" s="1481" t="s">
        <v>153</v>
      </c>
      <c r="B146" s="1481" t="s">
        <v>1892</v>
      </c>
      <c r="C146" s="1482" t="s">
        <v>248</v>
      </c>
      <c r="D146" s="1482" t="s">
        <v>1812</v>
      </c>
      <c r="E146" s="1476" t="s">
        <v>1902</v>
      </c>
      <c r="F146" s="1474">
        <v>0</v>
      </c>
      <c r="G146" s="1472">
        <v>0</v>
      </c>
      <c r="H146" s="1483" t="s">
        <v>1903</v>
      </c>
    </row>
    <row r="147" spans="1:11" s="1010" customFormat="1" ht="30.75" customHeight="1" x14ac:dyDescent="0.25">
      <c r="A147" s="1481" t="s">
        <v>153</v>
      </c>
      <c r="B147" s="1481" t="s">
        <v>1895</v>
      </c>
      <c r="C147" s="1482" t="s">
        <v>248</v>
      </c>
      <c r="D147" s="1482" t="s">
        <v>1812</v>
      </c>
      <c r="E147" s="1476" t="s">
        <v>1813</v>
      </c>
      <c r="F147" s="1474">
        <v>14</v>
      </c>
      <c r="G147" s="1472">
        <v>14</v>
      </c>
      <c r="H147" s="1483" t="s">
        <v>1885</v>
      </c>
    </row>
    <row r="148" spans="1:11" s="1010" customFormat="1" ht="33" customHeight="1" x14ac:dyDescent="0.25">
      <c r="A148" s="1481" t="s">
        <v>153</v>
      </c>
      <c r="B148" s="1481" t="s">
        <v>1896</v>
      </c>
      <c r="C148" s="1482" t="s">
        <v>248</v>
      </c>
      <c r="D148" s="1482" t="s">
        <v>1812</v>
      </c>
      <c r="E148" s="1476" t="s">
        <v>1815</v>
      </c>
      <c r="F148" s="1474">
        <v>15.9</v>
      </c>
      <c r="G148" s="1472">
        <v>15.9</v>
      </c>
      <c r="H148" s="1483" t="s">
        <v>1886</v>
      </c>
    </row>
    <row r="149" spans="1:11" s="1010" customFormat="1" ht="33" customHeight="1" x14ac:dyDescent="0.25">
      <c r="A149" s="1481" t="s">
        <v>153</v>
      </c>
      <c r="B149" s="1481" t="s">
        <v>1897</v>
      </c>
      <c r="C149" s="1482" t="s">
        <v>248</v>
      </c>
      <c r="D149" s="1482" t="s">
        <v>1812</v>
      </c>
      <c r="E149" s="1476" t="s">
        <v>1816</v>
      </c>
      <c r="F149" s="1474">
        <v>1.7</v>
      </c>
      <c r="G149" s="1472">
        <v>1.7</v>
      </c>
      <c r="H149" s="1483" t="s">
        <v>1887</v>
      </c>
    </row>
    <row r="150" spans="1:11" s="1010" customFormat="1" ht="33" customHeight="1" x14ac:dyDescent="0.25">
      <c r="A150" s="1481" t="s">
        <v>153</v>
      </c>
      <c r="B150" s="1481" t="s">
        <v>1898</v>
      </c>
      <c r="C150" s="1482" t="s">
        <v>248</v>
      </c>
      <c r="D150" s="1482" t="s">
        <v>1812</v>
      </c>
      <c r="E150" s="1476" t="s">
        <v>1817</v>
      </c>
      <c r="F150" s="1474">
        <v>0.5</v>
      </c>
      <c r="G150" s="1472">
        <v>0.5</v>
      </c>
      <c r="H150" s="1483" t="s">
        <v>1888</v>
      </c>
    </row>
    <row r="151" spans="1:11" s="1010" customFormat="1" ht="33" customHeight="1" x14ac:dyDescent="0.25">
      <c r="A151" s="1481" t="s">
        <v>153</v>
      </c>
      <c r="B151" s="1481" t="s">
        <v>1899</v>
      </c>
      <c r="C151" s="1482" t="s">
        <v>248</v>
      </c>
      <c r="D151" s="1482" t="s">
        <v>1812</v>
      </c>
      <c r="E151" s="1476" t="s">
        <v>1818</v>
      </c>
      <c r="F151" s="1474">
        <v>29</v>
      </c>
      <c r="G151" s="1472">
        <v>29</v>
      </c>
      <c r="H151" s="1483" t="s">
        <v>1889</v>
      </c>
    </row>
    <row r="152" spans="1:11" s="1010" customFormat="1" ht="32.25" customHeight="1" x14ac:dyDescent="0.25">
      <c r="A152" s="1481" t="s">
        <v>153</v>
      </c>
      <c r="B152" s="1481" t="s">
        <v>1900</v>
      </c>
      <c r="C152" s="1482" t="s">
        <v>248</v>
      </c>
      <c r="D152" s="1482" t="s">
        <v>1812</v>
      </c>
      <c r="E152" s="1476" t="s">
        <v>1819</v>
      </c>
      <c r="F152" s="1474">
        <v>0.8</v>
      </c>
      <c r="G152" s="1472">
        <v>0.8</v>
      </c>
      <c r="H152" s="1483" t="s">
        <v>1890</v>
      </c>
    </row>
    <row r="153" spans="1:11" s="1010" customFormat="1" ht="31.5" customHeight="1" x14ac:dyDescent="0.25">
      <c r="A153" s="1481" t="s">
        <v>153</v>
      </c>
      <c r="B153" s="1481" t="s">
        <v>1901</v>
      </c>
      <c r="C153" s="1482" t="s">
        <v>248</v>
      </c>
      <c r="D153" s="1482" t="s">
        <v>1812</v>
      </c>
      <c r="E153" s="1476" t="s">
        <v>1820</v>
      </c>
      <c r="F153" s="1474">
        <v>0.2</v>
      </c>
      <c r="G153" s="1472">
        <v>0.2</v>
      </c>
      <c r="H153" s="1483" t="s">
        <v>1891</v>
      </c>
    </row>
    <row r="154" spans="1:11" ht="15" customHeight="1" x14ac:dyDescent="0.35">
      <c r="A154" s="1167" t="s">
        <v>153</v>
      </c>
      <c r="B154" s="1481" t="s">
        <v>1796</v>
      </c>
      <c r="C154" s="1169" t="s">
        <v>248</v>
      </c>
      <c r="D154" s="1169" t="s">
        <v>37</v>
      </c>
      <c r="E154" s="1061" t="s">
        <v>1525</v>
      </c>
      <c r="F154" s="1121">
        <v>0</v>
      </c>
      <c r="G154" s="1122">
        <v>0</v>
      </c>
      <c r="H154" s="1438" t="s">
        <v>1791</v>
      </c>
      <c r="I154" s="1329"/>
      <c r="J154" s="1329"/>
      <c r="K154" s="995"/>
    </row>
    <row r="155" spans="1:11" ht="57.6" x14ac:dyDescent="0.35">
      <c r="A155" s="1167" t="s">
        <v>153</v>
      </c>
      <c r="B155" s="1481" t="s">
        <v>1797</v>
      </c>
      <c r="C155" s="1169" t="s">
        <v>248</v>
      </c>
      <c r="D155" s="1169" t="s">
        <v>1728</v>
      </c>
      <c r="E155" s="1061" t="s">
        <v>585</v>
      </c>
      <c r="F155" s="1436">
        <v>0.29099999999999998</v>
      </c>
      <c r="G155" s="1437">
        <v>0.29099999999999998</v>
      </c>
      <c r="H155" s="1432" t="s">
        <v>2003</v>
      </c>
      <c r="I155" s="1329"/>
      <c r="J155" s="1329"/>
    </row>
    <row r="156" spans="1:11" ht="57.6" x14ac:dyDescent="0.35">
      <c r="A156" s="1543" t="s">
        <v>153</v>
      </c>
      <c r="B156" s="1544" t="s">
        <v>2060</v>
      </c>
      <c r="C156" s="1545" t="s">
        <v>248</v>
      </c>
      <c r="D156" s="1545" t="s">
        <v>37</v>
      </c>
      <c r="E156" s="1546" t="s">
        <v>2061</v>
      </c>
      <c r="F156" s="1471">
        <v>2.1</v>
      </c>
      <c r="G156" s="1552">
        <v>2.1</v>
      </c>
      <c r="H156" s="1483" t="s">
        <v>2068</v>
      </c>
      <c r="I156" s="1329"/>
      <c r="J156" s="1329"/>
    </row>
    <row r="157" spans="1:11" ht="57.6" x14ac:dyDescent="0.35">
      <c r="A157" s="1543" t="s">
        <v>153</v>
      </c>
      <c r="B157" s="1544" t="s">
        <v>2062</v>
      </c>
      <c r="C157" s="1545" t="s">
        <v>248</v>
      </c>
      <c r="D157" s="1545" t="s">
        <v>37</v>
      </c>
      <c r="E157" s="1546" t="s">
        <v>2064</v>
      </c>
      <c r="F157" s="1471">
        <v>2.8</v>
      </c>
      <c r="G157" s="1552">
        <v>2.8</v>
      </c>
      <c r="H157" s="1483" t="s">
        <v>2069</v>
      </c>
      <c r="I157" s="1329"/>
      <c r="J157" s="1329"/>
    </row>
    <row r="158" spans="1:11" ht="57.6" x14ac:dyDescent="0.35">
      <c r="A158" s="1543" t="s">
        <v>153</v>
      </c>
      <c r="B158" s="1544" t="s">
        <v>2063</v>
      </c>
      <c r="C158" s="1545" t="s">
        <v>248</v>
      </c>
      <c r="D158" s="1545" t="s">
        <v>37</v>
      </c>
      <c r="E158" s="1546" t="s">
        <v>2065</v>
      </c>
      <c r="F158" s="1471">
        <v>8.5</v>
      </c>
      <c r="G158" s="1552">
        <v>8.5</v>
      </c>
      <c r="H158" s="1432" t="s">
        <v>2070</v>
      </c>
      <c r="I158" s="1329"/>
      <c r="J158" s="1329"/>
    </row>
    <row r="159" spans="1:11" ht="14.4" x14ac:dyDescent="0.35">
      <c r="A159" s="1167" t="s">
        <v>153</v>
      </c>
      <c r="B159" s="1481" t="s">
        <v>1798</v>
      </c>
      <c r="C159" s="1169" t="s">
        <v>248</v>
      </c>
      <c r="D159" s="1169" t="s">
        <v>37</v>
      </c>
      <c r="E159" s="1061" t="s">
        <v>1799</v>
      </c>
      <c r="F159" s="1471">
        <v>11.7</v>
      </c>
      <c r="G159" s="1472">
        <v>11.7</v>
      </c>
      <c r="H159" s="1432" t="s">
        <v>1800</v>
      </c>
      <c r="I159" s="1329"/>
      <c r="J159" s="1329"/>
    </row>
    <row r="160" spans="1:11" ht="15" customHeight="1" x14ac:dyDescent="0.35">
      <c r="A160" s="1167" t="s">
        <v>153</v>
      </c>
      <c r="B160" s="1481" t="s">
        <v>1805</v>
      </c>
      <c r="C160" s="1169" t="s">
        <v>248</v>
      </c>
      <c r="D160" s="1169" t="s">
        <v>1737</v>
      </c>
      <c r="E160" s="1061" t="s">
        <v>580</v>
      </c>
      <c r="F160" s="1436">
        <v>0</v>
      </c>
      <c r="G160" s="1437">
        <v>0</v>
      </c>
      <c r="H160" s="1432" t="s">
        <v>1804</v>
      </c>
      <c r="I160" s="995"/>
      <c r="J160" s="995"/>
      <c r="K160" s="995"/>
    </row>
    <row r="161" spans="1:16" ht="30" customHeight="1" x14ac:dyDescent="0.35">
      <c r="A161" s="1167" t="s">
        <v>153</v>
      </c>
      <c r="B161" s="1481" t="s">
        <v>1806</v>
      </c>
      <c r="C161" s="1169" t="s">
        <v>248</v>
      </c>
      <c r="D161" s="1169" t="s">
        <v>1729</v>
      </c>
      <c r="E161" s="1061" t="s">
        <v>581</v>
      </c>
      <c r="F161" s="1436">
        <v>0.15</v>
      </c>
      <c r="G161" s="1437">
        <v>0.15</v>
      </c>
      <c r="H161" s="1432" t="s">
        <v>2004</v>
      </c>
      <c r="I161" s="1329"/>
      <c r="J161" s="1329"/>
    </row>
    <row r="162" spans="1:16" ht="61.5" customHeight="1" x14ac:dyDescent="0.35">
      <c r="A162" s="1543" t="s">
        <v>153</v>
      </c>
      <c r="B162" s="1544" t="s">
        <v>2071</v>
      </c>
      <c r="C162" s="1545" t="s">
        <v>248</v>
      </c>
      <c r="D162" s="1545" t="s">
        <v>37</v>
      </c>
      <c r="E162" s="1546" t="s">
        <v>2072</v>
      </c>
      <c r="F162" s="1471">
        <v>-1.1000000000000001</v>
      </c>
      <c r="G162" s="1472">
        <v>-1.1000000000000001</v>
      </c>
      <c r="H162" s="1483" t="s">
        <v>2077</v>
      </c>
      <c r="I162" s="1329"/>
      <c r="J162" s="1329"/>
    </row>
    <row r="163" spans="1:16" ht="59.25" customHeight="1" x14ac:dyDescent="0.35">
      <c r="A163" s="1543" t="s">
        <v>153</v>
      </c>
      <c r="B163" s="1544" t="s">
        <v>2073</v>
      </c>
      <c r="C163" s="1545" t="s">
        <v>248</v>
      </c>
      <c r="D163" s="1545" t="s">
        <v>37</v>
      </c>
      <c r="E163" s="1546" t="s">
        <v>2075</v>
      </c>
      <c r="F163" s="1471">
        <v>8.1999999999999993</v>
      </c>
      <c r="G163" s="1472">
        <v>8.1999999999999993</v>
      </c>
      <c r="H163" s="1483" t="s">
        <v>2078</v>
      </c>
      <c r="I163" s="1329"/>
      <c r="J163" s="1329"/>
    </row>
    <row r="164" spans="1:16" ht="65.25" customHeight="1" x14ac:dyDescent="0.35">
      <c r="A164" s="1543" t="s">
        <v>153</v>
      </c>
      <c r="B164" s="1544" t="s">
        <v>2074</v>
      </c>
      <c r="C164" s="1545" t="s">
        <v>248</v>
      </c>
      <c r="D164" s="1545" t="s">
        <v>37</v>
      </c>
      <c r="E164" s="1546" t="s">
        <v>2076</v>
      </c>
      <c r="F164" s="1471">
        <v>7.7</v>
      </c>
      <c r="G164" s="1472">
        <v>7.7</v>
      </c>
      <c r="H164" s="1432" t="s">
        <v>2079</v>
      </c>
      <c r="I164" s="1329"/>
      <c r="J164" s="1329"/>
    </row>
    <row r="165" spans="1:16" ht="16.5" customHeight="1" x14ac:dyDescent="0.35">
      <c r="A165" s="1167" t="s">
        <v>153</v>
      </c>
      <c r="B165" s="1481" t="s">
        <v>1925</v>
      </c>
      <c r="C165" s="1169" t="s">
        <v>248</v>
      </c>
      <c r="D165" s="1169" t="s">
        <v>1926</v>
      </c>
      <c r="E165" s="1061" t="s">
        <v>1927</v>
      </c>
      <c r="F165" s="1471">
        <v>87.9</v>
      </c>
      <c r="G165" s="1472">
        <v>87.9</v>
      </c>
      <c r="H165" s="1432" t="s">
        <v>1934</v>
      </c>
      <c r="I165" s="1329"/>
      <c r="J165" s="1329"/>
    </row>
    <row r="166" spans="1:16" ht="15" customHeight="1" x14ac:dyDescent="0.35">
      <c r="A166" s="1167" t="s">
        <v>153</v>
      </c>
      <c r="B166" s="1481" t="s">
        <v>582</v>
      </c>
      <c r="C166" s="1169" t="s">
        <v>262</v>
      </c>
      <c r="D166" s="1169" t="s">
        <v>371</v>
      </c>
      <c r="E166" s="1061" t="s">
        <v>583</v>
      </c>
      <c r="F166" s="1121">
        <v>1</v>
      </c>
      <c r="G166" s="1122">
        <v>1</v>
      </c>
      <c r="H166" s="1172" t="s">
        <v>584</v>
      </c>
      <c r="I166" s="1329"/>
      <c r="J166" s="1329"/>
    </row>
    <row r="167" spans="1:16" ht="14.4" x14ac:dyDescent="0.35">
      <c r="A167" s="1440" t="s">
        <v>153</v>
      </c>
      <c r="B167" s="1480" t="s">
        <v>1931</v>
      </c>
      <c r="C167" s="1440" t="s">
        <v>248</v>
      </c>
      <c r="D167" s="1440" t="s">
        <v>37</v>
      </c>
      <c r="E167" s="1071" t="s">
        <v>1526</v>
      </c>
      <c r="F167" s="1117">
        <v>87.9</v>
      </c>
      <c r="G167" s="1118">
        <v>87.9</v>
      </c>
      <c r="H167" s="1432" t="s">
        <v>1935</v>
      </c>
      <c r="I167" s="1329"/>
      <c r="J167" s="1329"/>
    </row>
    <row r="168" spans="1:16" ht="15" customHeight="1" x14ac:dyDescent="0.35">
      <c r="A168" s="1167" t="s">
        <v>153</v>
      </c>
      <c r="B168" s="1168" t="s">
        <v>552</v>
      </c>
      <c r="C168" s="1168" t="s">
        <v>248</v>
      </c>
      <c r="D168" s="1168" t="s">
        <v>553</v>
      </c>
      <c r="E168" s="1152" t="s">
        <v>290</v>
      </c>
      <c r="F168" s="1117">
        <v>0</v>
      </c>
      <c r="G168" s="1118">
        <v>0</v>
      </c>
      <c r="H168" s="1171" t="s">
        <v>1769</v>
      </c>
      <c r="I168" s="1334"/>
      <c r="J168" s="1329"/>
      <c r="K168" s="995"/>
    </row>
    <row r="169" spans="1:16" ht="17.25" customHeight="1" x14ac:dyDescent="0.35">
      <c r="A169" s="1167" t="s">
        <v>153</v>
      </c>
      <c r="B169" s="1168" t="s">
        <v>551</v>
      </c>
      <c r="C169" s="1168" t="s">
        <v>248</v>
      </c>
      <c r="D169" s="1168" t="s">
        <v>739</v>
      </c>
      <c r="E169" s="1152" t="s">
        <v>291</v>
      </c>
      <c r="F169" s="1117">
        <v>12</v>
      </c>
      <c r="G169" s="1118">
        <v>12</v>
      </c>
      <c r="H169" s="1171" t="s">
        <v>1770</v>
      </c>
      <c r="I169" s="1334"/>
      <c r="J169" s="1329"/>
      <c r="K169" s="995"/>
    </row>
    <row r="170" spans="1:16" ht="15" customHeight="1" x14ac:dyDescent="0.35">
      <c r="A170" s="1167" t="s">
        <v>153</v>
      </c>
      <c r="B170" s="1168" t="s">
        <v>440</v>
      </c>
      <c r="C170" s="1168" t="s">
        <v>248</v>
      </c>
      <c r="D170" s="1168" t="s">
        <v>1753</v>
      </c>
      <c r="E170" s="1152" t="s">
        <v>390</v>
      </c>
      <c r="F170" s="1466">
        <v>50.8</v>
      </c>
      <c r="G170" s="1467">
        <v>50.8</v>
      </c>
      <c r="H170" s="1170" t="s">
        <v>1754</v>
      </c>
      <c r="I170" s="1334"/>
      <c r="J170" s="1329"/>
      <c r="K170" s="995"/>
    </row>
    <row r="171" spans="1:16" ht="17.25" customHeight="1" x14ac:dyDescent="0.35">
      <c r="A171" s="1167" t="s">
        <v>153</v>
      </c>
      <c r="B171" s="1168" t="s">
        <v>1750</v>
      </c>
      <c r="C171" s="1168" t="s">
        <v>248</v>
      </c>
      <c r="D171" s="1168" t="s">
        <v>1751</v>
      </c>
      <c r="E171" s="1152" t="s">
        <v>1752</v>
      </c>
      <c r="F171" s="1464">
        <v>0.48299999999999998</v>
      </c>
      <c r="G171" s="1465">
        <v>0.48299999999999998</v>
      </c>
      <c r="H171" s="1170" t="s">
        <v>1749</v>
      </c>
      <c r="I171" s="1334"/>
      <c r="J171" s="1329"/>
      <c r="K171" s="995"/>
      <c r="M171" s="983"/>
      <c r="N171" s="983"/>
    </row>
    <row r="172" spans="1:16" ht="15.75" customHeight="1" x14ac:dyDescent="0.35">
      <c r="A172" s="1167" t="s">
        <v>153</v>
      </c>
      <c r="B172" s="1168" t="s">
        <v>870</v>
      </c>
      <c r="C172" s="1169" t="s">
        <v>262</v>
      </c>
      <c r="D172" s="1169" t="s">
        <v>371</v>
      </c>
      <c r="E172" s="1152" t="s">
        <v>399</v>
      </c>
      <c r="F172" s="1072">
        <v>0</v>
      </c>
      <c r="G172" s="1073">
        <v>0</v>
      </c>
      <c r="H172" s="1170" t="s">
        <v>2033</v>
      </c>
      <c r="I172" s="1334"/>
      <c r="J172" s="1329"/>
      <c r="K172" s="995"/>
      <c r="P172" s="983"/>
    </row>
    <row r="173" spans="1:16" ht="34.5" customHeight="1" x14ac:dyDescent="0.35">
      <c r="A173" s="1167" t="s">
        <v>153</v>
      </c>
      <c r="B173" s="1168" t="s">
        <v>452</v>
      </c>
      <c r="C173" s="1168" t="s">
        <v>248</v>
      </c>
      <c r="D173" s="1168" t="s">
        <v>1763</v>
      </c>
      <c r="E173" s="1155" t="s">
        <v>292</v>
      </c>
      <c r="F173" s="1464">
        <v>0.876</v>
      </c>
      <c r="G173" s="1465">
        <v>0.876</v>
      </c>
      <c r="H173" s="1171" t="s">
        <v>1764</v>
      </c>
      <c r="I173" s="1326"/>
      <c r="J173" s="1328"/>
      <c r="K173" s="995"/>
    </row>
    <row r="174" spans="1:16" ht="15" customHeight="1" x14ac:dyDescent="0.35">
      <c r="A174" s="1167" t="s">
        <v>152</v>
      </c>
      <c r="B174" s="1168" t="s">
        <v>1743</v>
      </c>
      <c r="C174" s="1168" t="s">
        <v>248</v>
      </c>
      <c r="D174" s="1168" t="s">
        <v>37</v>
      </c>
      <c r="E174" s="1152" t="s">
        <v>311</v>
      </c>
      <c r="F174" s="1117">
        <v>0</v>
      </c>
      <c r="G174" s="1118">
        <v>0</v>
      </c>
      <c r="H174" s="1170" t="s">
        <v>573</v>
      </c>
      <c r="I174" s="1069"/>
      <c r="J174" s="995"/>
      <c r="K174" s="995"/>
    </row>
    <row r="175" spans="1:16" ht="15" customHeight="1" x14ac:dyDescent="0.35">
      <c r="A175" s="1167" t="s">
        <v>153</v>
      </c>
      <c r="B175" s="1481" t="s">
        <v>1932</v>
      </c>
      <c r="C175" s="1168" t="s">
        <v>248</v>
      </c>
      <c r="D175" s="1168" t="s">
        <v>37</v>
      </c>
      <c r="E175" s="1152" t="s">
        <v>391</v>
      </c>
      <c r="F175" s="1117">
        <v>10</v>
      </c>
      <c r="G175" s="1118">
        <v>10</v>
      </c>
      <c r="H175" s="1170" t="s">
        <v>598</v>
      </c>
      <c r="I175" s="1334"/>
      <c r="J175" s="1329"/>
      <c r="K175" s="995"/>
    </row>
    <row r="176" spans="1:16" ht="15" customHeight="1" x14ac:dyDescent="0.35">
      <c r="A176" s="1167" t="s">
        <v>153</v>
      </c>
      <c r="B176" s="1481" t="s">
        <v>1933</v>
      </c>
      <c r="C176" s="1168" t="s">
        <v>248</v>
      </c>
      <c r="D176" s="1168" t="s">
        <v>37</v>
      </c>
      <c r="E176" s="1152" t="s">
        <v>392</v>
      </c>
      <c r="F176" s="1117">
        <v>85</v>
      </c>
      <c r="G176" s="1118">
        <v>85</v>
      </c>
      <c r="H176" s="1170" t="s">
        <v>599</v>
      </c>
      <c r="I176" s="1334"/>
      <c r="J176" s="1329"/>
      <c r="K176" s="995"/>
    </row>
    <row r="177" spans="1:12" ht="29.25" customHeight="1" x14ac:dyDescent="0.35">
      <c r="A177" s="1167" t="s">
        <v>153</v>
      </c>
      <c r="B177" s="1481" t="s">
        <v>1955</v>
      </c>
      <c r="C177" s="1169" t="s">
        <v>248</v>
      </c>
      <c r="D177" s="1169" t="s">
        <v>1739</v>
      </c>
      <c r="E177" s="1152" t="s">
        <v>308</v>
      </c>
      <c r="F177" s="1072">
        <v>2724</v>
      </c>
      <c r="G177" s="1073">
        <v>2724</v>
      </c>
      <c r="H177" s="1170" t="s">
        <v>2005</v>
      </c>
      <c r="I177" s="1334"/>
      <c r="J177" s="1329"/>
      <c r="K177" s="995"/>
    </row>
    <row r="178" spans="1:12" ht="30" customHeight="1" x14ac:dyDescent="0.35">
      <c r="A178" s="1167" t="s">
        <v>153</v>
      </c>
      <c r="B178" s="1481" t="s">
        <v>1956</v>
      </c>
      <c r="C178" s="1168" t="s">
        <v>248</v>
      </c>
      <c r="D178" s="1168" t="s">
        <v>739</v>
      </c>
      <c r="E178" s="1152" t="s">
        <v>309</v>
      </c>
      <c r="F178" s="1466">
        <v>93.4</v>
      </c>
      <c r="G178" s="1467">
        <v>93.4</v>
      </c>
      <c r="H178" s="1170" t="s">
        <v>2002</v>
      </c>
      <c r="I178" s="1334"/>
      <c r="J178" s="1329"/>
      <c r="K178" s="995"/>
    </row>
    <row r="179" spans="1:12" ht="14.25" customHeight="1" x14ac:dyDescent="0.35">
      <c r="A179" s="1167" t="s">
        <v>153</v>
      </c>
      <c r="B179" s="1481" t="s">
        <v>1958</v>
      </c>
      <c r="C179" s="1168" t="s">
        <v>248</v>
      </c>
      <c r="D179" s="1168" t="s">
        <v>37</v>
      </c>
      <c r="E179" s="1152" t="s">
        <v>312</v>
      </c>
      <c r="F179" s="1117">
        <v>0.6</v>
      </c>
      <c r="G179" s="1118">
        <v>0.6</v>
      </c>
      <c r="H179" s="1170" t="s">
        <v>1957</v>
      </c>
      <c r="I179" s="1334"/>
      <c r="J179" s="1329"/>
      <c r="K179" s="995"/>
    </row>
    <row r="180" spans="1:12" ht="14.25" customHeight="1" x14ac:dyDescent="0.35">
      <c r="A180" s="1167" t="s">
        <v>153</v>
      </c>
      <c r="B180" s="1481" t="s">
        <v>2000</v>
      </c>
      <c r="C180" s="1168" t="s">
        <v>248</v>
      </c>
      <c r="D180" s="1168" t="s">
        <v>739</v>
      </c>
      <c r="E180" s="1152" t="s">
        <v>2001</v>
      </c>
      <c r="F180" s="1072">
        <v>150.4</v>
      </c>
      <c r="G180" s="1073">
        <v>150.4</v>
      </c>
      <c r="H180" s="1170" t="s">
        <v>2023</v>
      </c>
      <c r="I180" s="1334"/>
      <c r="J180" s="1329"/>
      <c r="K180" s="995"/>
    </row>
    <row r="181" spans="1:12" ht="15.75" customHeight="1" x14ac:dyDescent="0.35">
      <c r="A181" s="1167" t="s">
        <v>153</v>
      </c>
      <c r="B181" s="1481" t="s">
        <v>1939</v>
      </c>
      <c r="C181" s="1168" t="s">
        <v>248</v>
      </c>
      <c r="D181" s="1481" t="s">
        <v>1970</v>
      </c>
      <c r="E181" s="1152" t="s">
        <v>293</v>
      </c>
      <c r="F181" s="1117">
        <v>0</v>
      </c>
      <c r="G181" s="1118">
        <v>0</v>
      </c>
      <c r="H181" s="1171" t="s">
        <v>2006</v>
      </c>
      <c r="I181" s="1334"/>
      <c r="J181" s="1329"/>
      <c r="K181" s="995"/>
    </row>
    <row r="182" spans="1:12" ht="30.75" customHeight="1" x14ac:dyDescent="0.35">
      <c r="A182" s="1167" t="s">
        <v>153</v>
      </c>
      <c r="B182" s="1481" t="s">
        <v>1940</v>
      </c>
      <c r="C182" s="1168" t="s">
        <v>248</v>
      </c>
      <c r="D182" s="1481" t="s">
        <v>1971</v>
      </c>
      <c r="E182" s="1152" t="s">
        <v>294</v>
      </c>
      <c r="F182" s="1491">
        <v>3.5100000000000001E-3</v>
      </c>
      <c r="G182" s="1492">
        <v>3.5100000000000001E-3</v>
      </c>
      <c r="H182" s="1170" t="s">
        <v>1972</v>
      </c>
      <c r="I182" s="1334"/>
      <c r="J182" s="1329"/>
      <c r="K182" s="995"/>
    </row>
    <row r="183" spans="1:12" ht="15" customHeight="1" x14ac:dyDescent="0.35">
      <c r="A183" s="1167" t="s">
        <v>153</v>
      </c>
      <c r="B183" s="1481" t="s">
        <v>1945</v>
      </c>
      <c r="C183" s="1168" t="s">
        <v>248</v>
      </c>
      <c r="D183" s="1168" t="s">
        <v>37</v>
      </c>
      <c r="E183" s="1152" t="s">
        <v>393</v>
      </c>
      <c r="F183" s="1117">
        <v>55.6</v>
      </c>
      <c r="G183" s="1118">
        <v>55.6</v>
      </c>
      <c r="H183" s="1170" t="s">
        <v>1946</v>
      </c>
      <c r="I183" s="1334"/>
      <c r="J183" s="1329"/>
      <c r="K183" s="995"/>
      <c r="L183" s="983"/>
    </row>
    <row r="184" spans="1:12" ht="15" customHeight="1" thickBot="1" x14ac:dyDescent="0.4">
      <c r="A184" s="1173" t="s">
        <v>153</v>
      </c>
      <c r="B184" s="1174" t="s">
        <v>549</v>
      </c>
      <c r="C184" s="1174" t="s">
        <v>248</v>
      </c>
      <c r="D184" s="1441" t="s">
        <v>304</v>
      </c>
      <c r="E184" s="1442" t="s">
        <v>305</v>
      </c>
      <c r="F184" s="1127">
        <v>2.73</v>
      </c>
      <c r="G184" s="1128">
        <v>2.73</v>
      </c>
      <c r="H184" s="1443" t="s">
        <v>550</v>
      </c>
      <c r="I184" s="1069"/>
      <c r="J184" s="995"/>
      <c r="K184" s="995"/>
    </row>
    <row r="185" spans="1:12" thickBot="1" x14ac:dyDescent="0.4">
      <c r="A185" s="1129"/>
      <c r="B185" s="1129"/>
      <c r="C185" s="1129"/>
      <c r="D185" s="1129"/>
      <c r="G185" s="1011"/>
      <c r="H185" s="1159"/>
      <c r="I185" s="1069"/>
      <c r="J185" s="995"/>
      <c r="K185" s="995"/>
    </row>
    <row r="186" spans="1:12" thickBot="1" x14ac:dyDescent="0.4">
      <c r="A186" s="1175" t="s">
        <v>1983</v>
      </c>
      <c r="B186" s="1176"/>
      <c r="C186" s="1177"/>
      <c r="D186" s="1177"/>
      <c r="E186" s="1178"/>
      <c r="F186" s="1179"/>
      <c r="G186" s="1179"/>
      <c r="H186" s="1180"/>
      <c r="I186" s="1069"/>
      <c r="J186" s="995"/>
      <c r="K186" s="995"/>
    </row>
    <row r="187" spans="1:12" thickBot="1" x14ac:dyDescent="0.4">
      <c r="G187" s="1011"/>
      <c r="I187" s="1069"/>
      <c r="J187" s="995"/>
      <c r="K187" s="995"/>
    </row>
    <row r="188" spans="1:12" ht="14.4" x14ac:dyDescent="0.35">
      <c r="A188" s="1181" t="s">
        <v>275</v>
      </c>
      <c r="B188" s="1182" t="s">
        <v>1947</v>
      </c>
      <c r="C188" s="1182" t="s">
        <v>248</v>
      </c>
      <c r="D188" s="1183" t="s">
        <v>1950</v>
      </c>
      <c r="E188" s="1040" t="s">
        <v>386</v>
      </c>
      <c r="F188" s="1110">
        <v>18.899999999999999</v>
      </c>
      <c r="G188" s="1111">
        <v>18.899999999999999</v>
      </c>
      <c r="H188" s="1184" t="s">
        <v>2014</v>
      </c>
      <c r="I188" s="1326"/>
      <c r="J188" s="1328"/>
      <c r="K188" s="995"/>
    </row>
    <row r="189" spans="1:12" ht="15.6" x14ac:dyDescent="0.35">
      <c r="A189" s="1185" t="s">
        <v>275</v>
      </c>
      <c r="B189" s="1186" t="s">
        <v>1948</v>
      </c>
      <c r="C189" s="1186" t="s">
        <v>248</v>
      </c>
      <c r="D189" s="1187" t="s">
        <v>1951</v>
      </c>
      <c r="E189" s="1152" t="s">
        <v>281</v>
      </c>
      <c r="F189" s="1117">
        <v>69000</v>
      </c>
      <c r="G189" s="1118">
        <v>69000</v>
      </c>
      <c r="H189" s="1188" t="s">
        <v>1974</v>
      </c>
      <c r="I189" s="1326"/>
      <c r="J189" s="1328"/>
      <c r="K189" s="995"/>
    </row>
    <row r="190" spans="1:12" ht="14.4" x14ac:dyDescent="0.35">
      <c r="A190" s="1185" t="s">
        <v>275</v>
      </c>
      <c r="B190" s="1186" t="s">
        <v>1949</v>
      </c>
      <c r="C190" s="1186" t="s">
        <v>248</v>
      </c>
      <c r="D190" s="1187" t="s">
        <v>1952</v>
      </c>
      <c r="E190" s="1152" t="s">
        <v>300</v>
      </c>
      <c r="F190" s="1117">
        <v>63000</v>
      </c>
      <c r="G190" s="1118">
        <v>63000</v>
      </c>
      <c r="H190" s="1188" t="s">
        <v>1975</v>
      </c>
      <c r="I190" s="1326"/>
      <c r="J190" s="1328"/>
      <c r="K190" s="995"/>
    </row>
    <row r="191" spans="1:12" ht="28.8" x14ac:dyDescent="0.35">
      <c r="A191" s="1185" t="s">
        <v>275</v>
      </c>
      <c r="B191" s="1186" t="s">
        <v>604</v>
      </c>
      <c r="C191" s="1186" t="s">
        <v>248</v>
      </c>
      <c r="D191" s="1187" t="s">
        <v>1973</v>
      </c>
      <c r="E191" s="1152" t="s">
        <v>279</v>
      </c>
      <c r="F191" s="1466">
        <v>17.899999999999999</v>
      </c>
      <c r="G191" s="1467">
        <v>17.899999999999999</v>
      </c>
      <c r="H191" s="1188" t="s">
        <v>1982</v>
      </c>
      <c r="I191" s="1326"/>
      <c r="J191" s="1328"/>
      <c r="K191" s="995"/>
    </row>
    <row r="192" spans="1:12" ht="28.8" x14ac:dyDescent="0.35">
      <c r="A192" s="1185" t="s">
        <v>275</v>
      </c>
      <c r="B192" s="1186" t="s">
        <v>1978</v>
      </c>
      <c r="C192" s="1186" t="s">
        <v>248</v>
      </c>
      <c r="D192" s="1187" t="s">
        <v>1979</v>
      </c>
      <c r="E192" s="1152" t="s">
        <v>1980</v>
      </c>
      <c r="F192" s="1117">
        <v>5.0999999999999996</v>
      </c>
      <c r="G192" s="1118">
        <v>5.0999999999999996</v>
      </c>
      <c r="H192" s="1188" t="s">
        <v>1981</v>
      </c>
      <c r="I192" s="1326"/>
      <c r="J192" s="1328"/>
      <c r="K192" s="995"/>
    </row>
    <row r="193" spans="1:16" ht="14.4" x14ac:dyDescent="0.35">
      <c r="A193" s="1185" t="s">
        <v>275</v>
      </c>
      <c r="B193" s="1186" t="s">
        <v>1954</v>
      </c>
      <c r="C193" s="1186" t="s">
        <v>248</v>
      </c>
      <c r="D193" s="1187" t="s">
        <v>37</v>
      </c>
      <c r="E193" s="1152" t="s">
        <v>280</v>
      </c>
      <c r="F193" s="1117">
        <v>0</v>
      </c>
      <c r="G193" s="1118">
        <v>0</v>
      </c>
      <c r="H193" s="1188" t="s">
        <v>1976</v>
      </c>
      <c r="I193" s="1326"/>
      <c r="J193" s="1328"/>
      <c r="K193" s="995"/>
    </row>
    <row r="194" spans="1:16" ht="30.6" x14ac:dyDescent="0.35">
      <c r="A194" s="1189" t="s">
        <v>275</v>
      </c>
      <c r="B194" s="1186" t="s">
        <v>1953</v>
      </c>
      <c r="C194" s="1186" t="s">
        <v>248</v>
      </c>
      <c r="D194" s="1186" t="s">
        <v>1146</v>
      </c>
      <c r="E194" s="1071" t="s">
        <v>277</v>
      </c>
      <c r="F194" s="1117">
        <v>400</v>
      </c>
      <c r="G194" s="1118">
        <v>400</v>
      </c>
      <c r="H194" s="1188" t="s">
        <v>1977</v>
      </c>
      <c r="I194" s="1326"/>
      <c r="J194" s="1328"/>
      <c r="K194" s="995"/>
    </row>
    <row r="195" spans="1:16" ht="14.4" x14ac:dyDescent="0.35">
      <c r="A195" s="1185" t="s">
        <v>275</v>
      </c>
      <c r="B195" s="1186" t="s">
        <v>453</v>
      </c>
      <c r="C195" s="1186" t="s">
        <v>248</v>
      </c>
      <c r="D195" s="1187" t="s">
        <v>37</v>
      </c>
      <c r="E195" s="1071" t="s">
        <v>278</v>
      </c>
      <c r="F195" s="1117">
        <v>78.2</v>
      </c>
      <c r="G195" s="1118">
        <v>78.2</v>
      </c>
      <c r="H195" s="1188" t="s">
        <v>609</v>
      </c>
      <c r="I195" s="1326"/>
      <c r="J195" s="1328"/>
      <c r="K195" s="995"/>
    </row>
    <row r="196" spans="1:16" ht="16.8" thickBot="1" x14ac:dyDescent="0.4">
      <c r="A196" s="1190" t="s">
        <v>275</v>
      </c>
      <c r="B196" s="1191" t="s">
        <v>608</v>
      </c>
      <c r="C196" s="1191" t="s">
        <v>248</v>
      </c>
      <c r="D196" s="1192" t="s">
        <v>1147</v>
      </c>
      <c r="E196" s="1126" t="s">
        <v>303</v>
      </c>
      <c r="F196" s="1127">
        <v>33.950000000000003</v>
      </c>
      <c r="G196" s="1128">
        <v>33.950000000000003</v>
      </c>
      <c r="H196" s="1193" t="s">
        <v>1148</v>
      </c>
      <c r="I196" s="1326"/>
      <c r="J196" s="1328"/>
      <c r="K196" s="995"/>
    </row>
    <row r="197" spans="1:16" thickBot="1" x14ac:dyDescent="0.4">
      <c r="G197" s="1011"/>
      <c r="I197" s="1069"/>
      <c r="J197" s="995"/>
      <c r="K197" s="995"/>
    </row>
    <row r="198" spans="1:16" thickBot="1" x14ac:dyDescent="0.4">
      <c r="A198" s="1194" t="s">
        <v>266</v>
      </c>
      <c r="B198" s="1195"/>
      <c r="C198" s="1196"/>
      <c r="D198" s="1196"/>
      <c r="E198" s="1197"/>
      <c r="F198" s="1198"/>
      <c r="G198" s="1198"/>
      <c r="H198" s="1199"/>
      <c r="I198" s="1069"/>
      <c r="J198" s="995"/>
      <c r="K198" s="995"/>
    </row>
    <row r="199" spans="1:16" thickBot="1" x14ac:dyDescent="0.4">
      <c r="G199" s="1011"/>
      <c r="I199" s="1069"/>
      <c r="J199" s="995"/>
      <c r="K199" s="995"/>
    </row>
    <row r="200" spans="1:16" ht="43.2" x14ac:dyDescent="0.35">
      <c r="A200" s="1380" t="s">
        <v>273</v>
      </c>
      <c r="B200" s="1381" t="s">
        <v>1641</v>
      </c>
      <c r="C200" s="1381" t="s">
        <v>248</v>
      </c>
      <c r="D200" s="1381" t="s">
        <v>233</v>
      </c>
      <c r="E200" s="1391" t="s">
        <v>1637</v>
      </c>
      <c r="F200" s="1390">
        <v>225.06</v>
      </c>
      <c r="G200" s="1382">
        <v>225.06</v>
      </c>
      <c r="H200" s="1383" t="s">
        <v>1645</v>
      </c>
      <c r="I200" s="995"/>
      <c r="J200" s="995"/>
      <c r="K200" s="995"/>
    </row>
    <row r="201" spans="1:16" ht="28.8" x14ac:dyDescent="0.35">
      <c r="A201" s="1385" t="s">
        <v>273</v>
      </c>
      <c r="B201" s="1386" t="s">
        <v>1660</v>
      </c>
      <c r="C201" s="1386" t="s">
        <v>248</v>
      </c>
      <c r="D201" s="1386" t="s">
        <v>233</v>
      </c>
      <c r="E201" s="1392" t="s">
        <v>1638</v>
      </c>
      <c r="F201" s="1202">
        <v>56.7</v>
      </c>
      <c r="G201" s="1387">
        <v>56.7</v>
      </c>
      <c r="H201" s="1388" t="s">
        <v>1639</v>
      </c>
      <c r="I201" s="995"/>
      <c r="J201" s="995"/>
      <c r="K201" s="995"/>
    </row>
    <row r="202" spans="1:16" ht="28.8" x14ac:dyDescent="0.35">
      <c r="A202" s="1359" t="s">
        <v>273</v>
      </c>
      <c r="B202" s="1201" t="s">
        <v>1087</v>
      </c>
      <c r="C202" s="1201" t="s">
        <v>248</v>
      </c>
      <c r="D202" s="1201" t="s">
        <v>233</v>
      </c>
      <c r="E202" s="1071" t="s">
        <v>1086</v>
      </c>
      <c r="F202" s="1389">
        <v>19</v>
      </c>
      <c r="G202" s="1118">
        <v>19</v>
      </c>
      <c r="H202" s="1384" t="s">
        <v>1085</v>
      </c>
      <c r="I202" s="1328"/>
      <c r="J202" s="1328"/>
      <c r="K202" s="995"/>
    </row>
    <row r="203" spans="1:16" ht="28.8" x14ac:dyDescent="0.35">
      <c r="A203" s="1200" t="s">
        <v>273</v>
      </c>
      <c r="B203" s="1201" t="s">
        <v>905</v>
      </c>
      <c r="C203" s="1201" t="s">
        <v>248</v>
      </c>
      <c r="D203" s="1201" t="s">
        <v>233</v>
      </c>
      <c r="E203" s="1071" t="s">
        <v>906</v>
      </c>
      <c r="F203" s="1117">
        <v>50</v>
      </c>
      <c r="G203" s="1118">
        <v>50</v>
      </c>
      <c r="H203" s="1384" t="s">
        <v>910</v>
      </c>
      <c r="I203" s="1328"/>
      <c r="J203" s="1328"/>
      <c r="K203" s="995"/>
    </row>
    <row r="204" spans="1:16" s="1010" customFormat="1" ht="28.8" x14ac:dyDescent="0.35">
      <c r="A204" s="1200" t="s">
        <v>273</v>
      </c>
      <c r="B204" s="1201" t="s">
        <v>911</v>
      </c>
      <c r="C204" s="1201" t="s">
        <v>248</v>
      </c>
      <c r="D204" s="1201" t="s">
        <v>233</v>
      </c>
      <c r="E204" s="1071" t="s">
        <v>907</v>
      </c>
      <c r="F204" s="1117">
        <v>19</v>
      </c>
      <c r="G204" s="1118">
        <v>19</v>
      </c>
      <c r="H204" s="1384" t="s">
        <v>913</v>
      </c>
      <c r="I204" s="1328"/>
      <c r="J204" s="1328"/>
      <c r="K204" s="1021"/>
      <c r="O204" s="989"/>
      <c r="P204" s="989"/>
    </row>
    <row r="205" spans="1:16" s="1010" customFormat="1" ht="14.4" x14ac:dyDescent="0.35">
      <c r="A205" s="1553" t="s">
        <v>273</v>
      </c>
      <c r="B205" s="1554" t="s">
        <v>2080</v>
      </c>
      <c r="C205" s="1554" t="s">
        <v>248</v>
      </c>
      <c r="D205" s="1554" t="s">
        <v>233</v>
      </c>
      <c r="E205" s="1555" t="s">
        <v>2081</v>
      </c>
      <c r="F205" s="1072">
        <v>8000</v>
      </c>
      <c r="G205" s="1556">
        <v>8000</v>
      </c>
      <c r="H205" s="1557" t="s">
        <v>2082</v>
      </c>
      <c r="I205" s="1328"/>
      <c r="J205" s="1328"/>
      <c r="K205" s="1021"/>
      <c r="O205" s="989"/>
      <c r="P205" s="989"/>
    </row>
    <row r="206" spans="1:16" ht="43.2" x14ac:dyDescent="0.35">
      <c r="A206" s="1200" t="s">
        <v>273</v>
      </c>
      <c r="B206" s="1201" t="s">
        <v>356</v>
      </c>
      <c r="C206" s="1201" t="s">
        <v>248</v>
      </c>
      <c r="D206" s="1201" t="s">
        <v>233</v>
      </c>
      <c r="E206" s="1071" t="s">
        <v>357</v>
      </c>
      <c r="F206" s="1466">
        <v>43.31</v>
      </c>
      <c r="G206" s="1467">
        <v>43.31</v>
      </c>
      <c r="H206" s="1384" t="s">
        <v>361</v>
      </c>
      <c r="I206" s="1328"/>
      <c r="J206" s="1328"/>
      <c r="K206" s="995"/>
      <c r="P206" s="1010"/>
    </row>
    <row r="207" spans="1:16" ht="14.4" x14ac:dyDescent="0.35">
      <c r="A207" s="1359" t="s">
        <v>273</v>
      </c>
      <c r="B207" s="1470" t="s">
        <v>454</v>
      </c>
      <c r="C207" s="1201" t="s">
        <v>248</v>
      </c>
      <c r="D207" s="1201" t="s">
        <v>233</v>
      </c>
      <c r="E207" s="1071" t="s">
        <v>313</v>
      </c>
      <c r="F207" s="1072">
        <v>494</v>
      </c>
      <c r="G207" s="1073">
        <v>494</v>
      </c>
      <c r="H207" s="1384" t="s">
        <v>310</v>
      </c>
      <c r="I207" s="1328"/>
      <c r="J207" s="1328"/>
      <c r="K207" s="995"/>
    </row>
    <row r="208" spans="1:16" ht="14.4" x14ac:dyDescent="0.35">
      <c r="A208" s="1200" t="s">
        <v>455</v>
      </c>
      <c r="B208" s="1201" t="s">
        <v>1642</v>
      </c>
      <c r="C208" s="1201" t="s">
        <v>248</v>
      </c>
      <c r="D208" s="1201" t="s">
        <v>185</v>
      </c>
      <c r="E208" s="1071" t="s">
        <v>1643</v>
      </c>
      <c r="F208" s="1072">
        <v>13670</v>
      </c>
      <c r="G208" s="1073">
        <v>13670</v>
      </c>
      <c r="H208" s="1384" t="s">
        <v>1649</v>
      </c>
      <c r="I208" s="1328"/>
      <c r="J208" s="1328"/>
      <c r="K208" s="995"/>
    </row>
    <row r="209" spans="1:16" ht="14.4" x14ac:dyDescent="0.35">
      <c r="A209" s="1200" t="s">
        <v>455</v>
      </c>
      <c r="B209" s="1201" t="s">
        <v>1661</v>
      </c>
      <c r="C209" s="1201" t="s">
        <v>248</v>
      </c>
      <c r="D209" s="1201" t="s">
        <v>185</v>
      </c>
      <c r="E209" s="1071" t="s">
        <v>1644</v>
      </c>
      <c r="F209" s="1072">
        <v>3730</v>
      </c>
      <c r="G209" s="1073">
        <v>3730</v>
      </c>
      <c r="H209" s="1384" t="s">
        <v>1650</v>
      </c>
      <c r="I209" s="1328"/>
      <c r="J209" s="1328"/>
      <c r="K209" s="995"/>
    </row>
    <row r="210" spans="1:16" ht="16.2" x14ac:dyDescent="0.35">
      <c r="A210" s="1200" t="s">
        <v>455</v>
      </c>
      <c r="B210" s="1201" t="s">
        <v>603</v>
      </c>
      <c r="C210" s="1201" t="s">
        <v>248</v>
      </c>
      <c r="D210" s="1201" t="s">
        <v>1147</v>
      </c>
      <c r="E210" s="1152" t="s">
        <v>298</v>
      </c>
      <c r="F210" s="1466">
        <v>23</v>
      </c>
      <c r="G210" s="1467">
        <v>23</v>
      </c>
      <c r="H210" s="1384" t="s">
        <v>1149</v>
      </c>
      <c r="I210" s="1328"/>
      <c r="J210" s="1328"/>
      <c r="K210" s="995"/>
    </row>
    <row r="211" spans="1:16" ht="14.4" x14ac:dyDescent="0.35">
      <c r="A211" s="1200" t="s">
        <v>455</v>
      </c>
      <c r="B211" s="1470" t="s">
        <v>828</v>
      </c>
      <c r="C211" s="1201" t="s">
        <v>248</v>
      </c>
      <c r="D211" s="1201" t="s">
        <v>185</v>
      </c>
      <c r="E211" s="1071" t="s">
        <v>314</v>
      </c>
      <c r="F211" s="1072">
        <v>26700</v>
      </c>
      <c r="G211" s="1073">
        <v>26700</v>
      </c>
      <c r="H211" s="1384" t="s">
        <v>316</v>
      </c>
      <c r="I211" s="1328"/>
      <c r="J211" s="1328"/>
      <c r="K211" s="995"/>
    </row>
    <row r="212" spans="1:16" ht="28.8" x14ac:dyDescent="0.35">
      <c r="A212" s="1200" t="s">
        <v>455</v>
      </c>
      <c r="B212" s="1201" t="s">
        <v>1083</v>
      </c>
      <c r="C212" s="1201" t="s">
        <v>248</v>
      </c>
      <c r="D212" s="1201" t="s">
        <v>185</v>
      </c>
      <c r="E212" s="1152" t="s">
        <v>1084</v>
      </c>
      <c r="F212" s="1072">
        <v>1488</v>
      </c>
      <c r="G212" s="1073">
        <v>1488</v>
      </c>
      <c r="H212" s="1384" t="s">
        <v>1089</v>
      </c>
      <c r="I212" s="1365"/>
      <c r="J212" s="1365"/>
      <c r="K212" s="995"/>
    </row>
    <row r="213" spans="1:16" ht="14.4" x14ac:dyDescent="0.35">
      <c r="A213" s="1200" t="s">
        <v>455</v>
      </c>
      <c r="B213" s="1201" t="s">
        <v>829</v>
      </c>
      <c r="C213" s="1201" t="s">
        <v>248</v>
      </c>
      <c r="D213" s="1201" t="s">
        <v>185</v>
      </c>
      <c r="E213" s="1152" t="s">
        <v>618</v>
      </c>
      <c r="F213" s="1072">
        <v>12360</v>
      </c>
      <c r="G213" s="1073">
        <v>12360</v>
      </c>
      <c r="H213" s="1384" t="s">
        <v>831</v>
      </c>
      <c r="I213" s="1328"/>
      <c r="J213" s="1328"/>
      <c r="K213" s="995"/>
    </row>
    <row r="214" spans="1:16" ht="28.8" x14ac:dyDescent="0.35">
      <c r="A214" s="1200" t="s">
        <v>455</v>
      </c>
      <c r="B214" s="1201" t="s">
        <v>912</v>
      </c>
      <c r="C214" s="1201" t="s">
        <v>248</v>
      </c>
      <c r="D214" s="1201" t="s">
        <v>185</v>
      </c>
      <c r="E214" s="1152" t="s">
        <v>830</v>
      </c>
      <c r="F214" s="1072">
        <v>1519</v>
      </c>
      <c r="G214" s="1073">
        <v>1519</v>
      </c>
      <c r="H214" s="1384" t="s">
        <v>1088</v>
      </c>
      <c r="I214" s="1328"/>
      <c r="J214" s="1328"/>
      <c r="K214" s="995"/>
    </row>
    <row r="215" spans="1:16" ht="14.4" x14ac:dyDescent="0.35">
      <c r="A215" s="1200" t="s">
        <v>455</v>
      </c>
      <c r="B215" s="1201" t="s">
        <v>1543</v>
      </c>
      <c r="C215" s="1201" t="s">
        <v>248</v>
      </c>
      <c r="D215" s="1201" t="s">
        <v>185</v>
      </c>
      <c r="E215" s="1152" t="s">
        <v>394</v>
      </c>
      <c r="F215" s="1072">
        <v>6700</v>
      </c>
      <c r="G215" s="1073">
        <v>6700</v>
      </c>
      <c r="H215" s="1384" t="s">
        <v>835</v>
      </c>
      <c r="I215" s="1328"/>
      <c r="J215" s="1328"/>
      <c r="K215" s="995"/>
    </row>
    <row r="216" spans="1:16" ht="43.2" x14ac:dyDescent="0.35">
      <c r="A216" s="1553" t="s">
        <v>455</v>
      </c>
      <c r="B216" s="1554" t="s">
        <v>2083</v>
      </c>
      <c r="C216" s="1554" t="s">
        <v>248</v>
      </c>
      <c r="D216" s="1554" t="s">
        <v>185</v>
      </c>
      <c r="E216" s="1558" t="s">
        <v>2084</v>
      </c>
      <c r="F216" s="1072">
        <v>40000</v>
      </c>
      <c r="G216" s="1556">
        <v>40000</v>
      </c>
      <c r="H216" s="1557" t="s">
        <v>2085</v>
      </c>
      <c r="I216" s="1328"/>
      <c r="J216" s="1328"/>
      <c r="K216" s="995"/>
    </row>
    <row r="217" spans="1:16" ht="60" x14ac:dyDescent="0.35">
      <c r="A217" s="1200" t="s">
        <v>274</v>
      </c>
      <c r="B217" s="1201" t="s">
        <v>1668</v>
      </c>
      <c r="C217" s="1201" t="s">
        <v>248</v>
      </c>
      <c r="D217" s="1201" t="s">
        <v>1150</v>
      </c>
      <c r="E217" s="1152" t="s">
        <v>1669</v>
      </c>
      <c r="F217" s="1072">
        <v>331</v>
      </c>
      <c r="G217" s="1073">
        <v>331</v>
      </c>
      <c r="H217" s="1384" t="s">
        <v>1670</v>
      </c>
      <c r="I217" s="1328"/>
      <c r="J217" s="1328"/>
      <c r="K217" s="995"/>
    </row>
    <row r="218" spans="1:16" ht="30" x14ac:dyDescent="0.35">
      <c r="A218" s="1200" t="s">
        <v>274</v>
      </c>
      <c r="B218" s="1201" t="s">
        <v>917</v>
      </c>
      <c r="C218" s="1201" t="s">
        <v>248</v>
      </c>
      <c r="D218" s="1201" t="s">
        <v>1150</v>
      </c>
      <c r="E218" s="1152" t="s">
        <v>918</v>
      </c>
      <c r="F218" s="1117">
        <v>1.0900000000000001</v>
      </c>
      <c r="G218" s="1118">
        <v>1.0900000000000001</v>
      </c>
      <c r="H218" s="1384" t="s">
        <v>1151</v>
      </c>
      <c r="I218" s="1328"/>
      <c r="J218" s="1328"/>
      <c r="K218" s="995"/>
    </row>
    <row r="219" spans="1:16" ht="28.8" x14ac:dyDescent="0.35">
      <c r="A219" s="1200" t="s">
        <v>274</v>
      </c>
      <c r="B219" s="1201" t="s">
        <v>925</v>
      </c>
      <c r="C219" s="1201" t="s">
        <v>248</v>
      </c>
      <c r="D219" s="1201" t="s">
        <v>1150</v>
      </c>
      <c r="E219" s="1152" t="s">
        <v>926</v>
      </c>
      <c r="F219" s="1466">
        <v>63.1</v>
      </c>
      <c r="G219" s="1467">
        <v>63.1</v>
      </c>
      <c r="H219" s="1384" t="s">
        <v>963</v>
      </c>
      <c r="I219" s="1328"/>
      <c r="J219" s="1328"/>
      <c r="K219" s="995"/>
    </row>
    <row r="220" spans="1:16" ht="45.6" x14ac:dyDescent="0.35">
      <c r="A220" s="1553" t="s">
        <v>274</v>
      </c>
      <c r="B220" s="1554" t="s">
        <v>2086</v>
      </c>
      <c r="C220" s="1554" t="s">
        <v>248</v>
      </c>
      <c r="D220" s="1554" t="s">
        <v>1150</v>
      </c>
      <c r="E220" s="1558" t="s">
        <v>2087</v>
      </c>
      <c r="F220" s="1072">
        <v>4780</v>
      </c>
      <c r="G220" s="1556">
        <v>4780</v>
      </c>
      <c r="H220" s="1557" t="s">
        <v>2088</v>
      </c>
      <c r="I220" s="1328"/>
      <c r="J220" s="1328"/>
      <c r="K220" s="995"/>
    </row>
    <row r="221" spans="1:16" ht="30" x14ac:dyDescent="0.35">
      <c r="A221" s="1200" t="s">
        <v>274</v>
      </c>
      <c r="B221" s="1201" t="s">
        <v>594</v>
      </c>
      <c r="C221" s="1201" t="s">
        <v>248</v>
      </c>
      <c r="D221" s="1201" t="s">
        <v>1150</v>
      </c>
      <c r="E221" s="1152" t="s">
        <v>404</v>
      </c>
      <c r="F221" s="1072">
        <v>3932</v>
      </c>
      <c r="G221" s="1073">
        <v>3932</v>
      </c>
      <c r="H221" s="1384" t="s">
        <v>1152</v>
      </c>
      <c r="I221" s="1328"/>
      <c r="J221" s="1328"/>
      <c r="K221" s="995"/>
    </row>
    <row r="222" spans="1:16" s="1034" customFormat="1" ht="15" customHeight="1" x14ac:dyDescent="0.35">
      <c r="A222" s="989"/>
      <c r="B222" s="989"/>
      <c r="C222" s="989"/>
      <c r="D222" s="989"/>
      <c r="E222" s="989"/>
      <c r="F222" s="1203"/>
      <c r="G222" s="1204"/>
      <c r="H222" s="1012"/>
      <c r="I222" s="995"/>
      <c r="J222" s="995"/>
      <c r="O222" s="989"/>
      <c r="P222" s="989"/>
    </row>
    <row r="223" spans="1:16" s="1034" customFormat="1" ht="15" customHeight="1" x14ac:dyDescent="0.35">
      <c r="A223" s="989"/>
      <c r="B223" s="989"/>
      <c r="C223" s="989"/>
      <c r="D223" s="989"/>
      <c r="E223" s="989"/>
      <c r="F223" s="1203"/>
      <c r="G223" s="1203"/>
      <c r="H223" s="1012"/>
      <c r="I223" s="995"/>
      <c r="J223" s="995"/>
      <c r="P223" s="989"/>
    </row>
    <row r="224" spans="1:16" s="1034" customFormat="1" ht="15" customHeight="1" x14ac:dyDescent="0.35">
      <c r="A224" s="989"/>
      <c r="B224" s="989"/>
      <c r="C224" s="989"/>
      <c r="D224" s="989"/>
      <c r="E224" s="989"/>
      <c r="F224" s="1203"/>
      <c r="G224" s="1203"/>
      <c r="H224" s="1012"/>
      <c r="I224" s="995"/>
      <c r="J224" s="995"/>
      <c r="L224" s="989"/>
    </row>
    <row r="225" spans="1:16" s="1034" customFormat="1" ht="15" customHeight="1" x14ac:dyDescent="0.35">
      <c r="A225" s="989"/>
      <c r="B225" s="989"/>
      <c r="C225" s="989"/>
      <c r="D225" s="989"/>
      <c r="E225" s="1010"/>
      <c r="F225" s="1011"/>
      <c r="G225" s="1011"/>
      <c r="H225" s="1012"/>
      <c r="I225" s="995"/>
      <c r="J225" s="995"/>
      <c r="L225" s="989"/>
      <c r="M225" s="989"/>
      <c r="N225" s="989"/>
    </row>
    <row r="226" spans="1:16" s="1034" customFormat="1" ht="15" customHeight="1" x14ac:dyDescent="0.35">
      <c r="A226" s="989"/>
      <c r="B226" s="989"/>
      <c r="C226" s="989"/>
      <c r="D226" s="989"/>
      <c r="E226" s="1010"/>
      <c r="F226" s="1011"/>
      <c r="G226" s="1011"/>
      <c r="H226" s="1012"/>
      <c r="I226" s="995"/>
      <c r="J226" s="995"/>
      <c r="K226" s="989"/>
      <c r="L226" s="989"/>
      <c r="M226" s="989"/>
      <c r="N226" s="989"/>
    </row>
    <row r="227" spans="1:16" s="1034" customFormat="1" ht="15" customHeight="1" x14ac:dyDescent="0.35">
      <c r="A227" s="989"/>
      <c r="B227" s="989"/>
      <c r="C227" s="989"/>
      <c r="D227" s="989"/>
      <c r="E227" s="1010"/>
      <c r="F227" s="1011"/>
      <c r="G227" s="1011"/>
      <c r="H227" s="1012"/>
      <c r="I227" s="995"/>
      <c r="J227" s="995"/>
      <c r="K227" s="989"/>
      <c r="L227" s="989"/>
      <c r="M227" s="989"/>
      <c r="N227" s="989"/>
    </row>
    <row r="228" spans="1:16" ht="15" customHeight="1" x14ac:dyDescent="0.35">
      <c r="G228" s="1011"/>
      <c r="I228" s="995"/>
      <c r="J228" s="995"/>
      <c r="O228" s="1034"/>
      <c r="P228" s="1034"/>
    </row>
    <row r="229" spans="1:16" ht="15" customHeight="1" x14ac:dyDescent="0.35">
      <c r="G229" s="1011"/>
      <c r="I229" s="995"/>
      <c r="J229" s="995"/>
      <c r="P229" s="1034"/>
    </row>
    <row r="230" spans="1:16" ht="15" customHeight="1" x14ac:dyDescent="0.35">
      <c r="G230" s="1011"/>
      <c r="I230" s="995"/>
    </row>
    <row r="231" spans="1:16" ht="15" customHeight="1" x14ac:dyDescent="0.35">
      <c r="G231" s="1011"/>
      <c r="I231" s="995"/>
    </row>
    <row r="232" spans="1:16" ht="15" customHeight="1" x14ac:dyDescent="0.35">
      <c r="G232" s="1011"/>
      <c r="I232" s="995"/>
    </row>
    <row r="233" spans="1:16" ht="15" customHeight="1" x14ac:dyDescent="0.35">
      <c r="G233" s="1011"/>
      <c r="I233" s="995"/>
    </row>
    <row r="234" spans="1:16" ht="15" customHeight="1" x14ac:dyDescent="0.35">
      <c r="G234" s="1011"/>
      <c r="I234" s="995"/>
    </row>
    <row r="235" spans="1:16" ht="15" customHeight="1" x14ac:dyDescent="0.35">
      <c r="G235" s="1011"/>
      <c r="I235" s="995"/>
    </row>
    <row r="236" spans="1:16" ht="15" customHeight="1" x14ac:dyDescent="0.35">
      <c r="G236" s="1011"/>
      <c r="I236" s="995"/>
    </row>
    <row r="237" spans="1:16" ht="15" customHeight="1" x14ac:dyDescent="0.35">
      <c r="G237" s="1011"/>
      <c r="I237" s="995"/>
    </row>
    <row r="238" spans="1:16" ht="15" customHeight="1" x14ac:dyDescent="0.35">
      <c r="G238" s="1011"/>
      <c r="I238" s="995"/>
    </row>
    <row r="239" spans="1:16" ht="15" customHeight="1" x14ac:dyDescent="0.35">
      <c r="G239" s="1011"/>
      <c r="I239" s="995"/>
    </row>
    <row r="240" spans="1:16" ht="15" customHeight="1" x14ac:dyDescent="0.35">
      <c r="G240" s="1011"/>
      <c r="I240" s="995"/>
    </row>
    <row r="241" spans="7:9" ht="15" customHeight="1" x14ac:dyDescent="0.35">
      <c r="G241" s="1011"/>
      <c r="I241" s="995"/>
    </row>
    <row r="242" spans="7:9" ht="15" customHeight="1" x14ac:dyDescent="0.35">
      <c r="G242" s="1011"/>
      <c r="I242" s="995"/>
    </row>
    <row r="243" spans="7:9" ht="15" customHeight="1" x14ac:dyDescent="0.35">
      <c r="G243" s="1011"/>
      <c r="I243" s="995"/>
    </row>
    <row r="244" spans="7:9" ht="15" customHeight="1" x14ac:dyDescent="0.35">
      <c r="G244" s="1011"/>
      <c r="I244" s="995"/>
    </row>
    <row r="245" spans="7:9" ht="15" customHeight="1" x14ac:dyDescent="0.35">
      <c r="G245" s="1011"/>
      <c r="I245" s="995"/>
    </row>
    <row r="246" spans="7:9" ht="15" customHeight="1" x14ac:dyDescent="0.35">
      <c r="G246" s="1011"/>
      <c r="I246" s="995"/>
    </row>
    <row r="247" spans="7:9" ht="15" customHeight="1" x14ac:dyDescent="0.35">
      <c r="G247" s="1011"/>
      <c r="I247" s="995"/>
    </row>
    <row r="248" spans="7:9" ht="15" customHeight="1" x14ac:dyDescent="0.35">
      <c r="G248" s="1011"/>
      <c r="I248" s="995"/>
    </row>
    <row r="249" spans="7:9" ht="15" customHeight="1" x14ac:dyDescent="0.35">
      <c r="G249" s="1011"/>
      <c r="I249" s="995"/>
    </row>
    <row r="250" spans="7:9" ht="15" customHeight="1" x14ac:dyDescent="0.35">
      <c r="G250" s="1011"/>
      <c r="I250" s="995"/>
    </row>
    <row r="251" spans="7:9" ht="15" customHeight="1" x14ac:dyDescent="0.35">
      <c r="G251" s="1011"/>
      <c r="I251" s="995"/>
    </row>
    <row r="252" spans="7:9" ht="15" customHeight="1" x14ac:dyDescent="0.35">
      <c r="G252" s="1011"/>
      <c r="I252" s="995"/>
    </row>
    <row r="253" spans="7:9" ht="15" customHeight="1" x14ac:dyDescent="0.35">
      <c r="G253" s="1011"/>
      <c r="I253" s="995"/>
    </row>
    <row r="254" spans="7:9" ht="15" customHeight="1" x14ac:dyDescent="0.35">
      <c r="G254" s="1011"/>
      <c r="I254" s="995"/>
    </row>
    <row r="255" spans="7:9" ht="15" customHeight="1" x14ac:dyDescent="0.35">
      <c r="G255" s="1011"/>
      <c r="I255" s="995"/>
    </row>
    <row r="256" spans="7:9" ht="15" customHeight="1" x14ac:dyDescent="0.35">
      <c r="G256" s="1011"/>
      <c r="I256" s="995"/>
    </row>
    <row r="257" spans="7:9" ht="15" customHeight="1" x14ac:dyDescent="0.35">
      <c r="G257" s="1011"/>
      <c r="I257" s="995"/>
    </row>
    <row r="258" spans="7:9" ht="15" customHeight="1" x14ac:dyDescent="0.35">
      <c r="G258" s="1011"/>
      <c r="I258" s="995"/>
    </row>
    <row r="259" spans="7:9" ht="15" customHeight="1" x14ac:dyDescent="0.35">
      <c r="G259" s="1011"/>
      <c r="I259" s="995"/>
    </row>
    <row r="260" spans="7:9" ht="15" customHeight="1" x14ac:dyDescent="0.35">
      <c r="G260" s="1011"/>
      <c r="I260" s="995"/>
    </row>
    <row r="261" spans="7:9" ht="15" customHeight="1" x14ac:dyDescent="0.35">
      <c r="G261" s="1011"/>
      <c r="I261" s="995"/>
    </row>
    <row r="262" spans="7:9" ht="15" customHeight="1" x14ac:dyDescent="0.35">
      <c r="G262" s="1011"/>
      <c r="I262" s="995"/>
    </row>
    <row r="263" spans="7:9" ht="15" customHeight="1" x14ac:dyDescent="0.35">
      <c r="G263" s="1011"/>
      <c r="I263" s="995"/>
    </row>
    <row r="264" spans="7:9" ht="15" customHeight="1" x14ac:dyDescent="0.35">
      <c r="G264" s="1011"/>
      <c r="I264" s="995"/>
    </row>
    <row r="265" spans="7:9" ht="15" customHeight="1" x14ac:dyDescent="0.35">
      <c r="G265" s="1011"/>
      <c r="I265" s="995"/>
    </row>
    <row r="266" spans="7:9" ht="15" customHeight="1" x14ac:dyDescent="0.35">
      <c r="G266" s="1011"/>
      <c r="I266" s="995"/>
    </row>
    <row r="267" spans="7:9" ht="15" customHeight="1" x14ac:dyDescent="0.35">
      <c r="G267" s="1011"/>
      <c r="I267" s="995"/>
    </row>
    <row r="268" spans="7:9" ht="15" customHeight="1" x14ac:dyDescent="0.35">
      <c r="G268" s="1011"/>
      <c r="I268" s="995"/>
    </row>
    <row r="269" spans="7:9" ht="15" customHeight="1" x14ac:dyDescent="0.35">
      <c r="G269" s="1011"/>
      <c r="I269" s="995"/>
    </row>
    <row r="270" spans="7:9" ht="15" customHeight="1" x14ac:dyDescent="0.35">
      <c r="G270" s="1011"/>
      <c r="I270" s="995"/>
    </row>
    <row r="271" spans="7:9" ht="15" customHeight="1" x14ac:dyDescent="0.35">
      <c r="G271" s="1011"/>
      <c r="I271" s="995"/>
    </row>
    <row r="272" spans="7:9" ht="15" customHeight="1" x14ac:dyDescent="0.35">
      <c r="G272" s="1011"/>
      <c r="I272" s="995"/>
    </row>
    <row r="273" spans="7:9" ht="15" customHeight="1" x14ac:dyDescent="0.35">
      <c r="G273" s="1011"/>
      <c r="I273" s="995"/>
    </row>
    <row r="274" spans="7:9" ht="15" customHeight="1" x14ac:dyDescent="0.35">
      <c r="G274" s="1011"/>
      <c r="I274" s="995"/>
    </row>
    <row r="275" spans="7:9" ht="15" customHeight="1" x14ac:dyDescent="0.35">
      <c r="G275" s="1011"/>
      <c r="I275" s="995"/>
    </row>
    <row r="276" spans="7:9" ht="15" customHeight="1" x14ac:dyDescent="0.35">
      <c r="G276" s="1011"/>
      <c r="I276" s="995"/>
    </row>
    <row r="277" spans="7:9" ht="15" customHeight="1" x14ac:dyDescent="0.35">
      <c r="G277" s="1011"/>
      <c r="I277" s="995"/>
    </row>
    <row r="278" spans="7:9" ht="15" customHeight="1" x14ac:dyDescent="0.35">
      <c r="G278" s="1011"/>
      <c r="I278" s="995"/>
    </row>
    <row r="279" spans="7:9" ht="15" customHeight="1" x14ac:dyDescent="0.35">
      <c r="G279" s="1011"/>
      <c r="I279" s="995"/>
    </row>
    <row r="280" spans="7:9" ht="15" customHeight="1" x14ac:dyDescent="0.35">
      <c r="G280" s="1011"/>
      <c r="I280" s="995"/>
    </row>
    <row r="281" spans="7:9" ht="15" customHeight="1" x14ac:dyDescent="0.35">
      <c r="G281" s="1011"/>
      <c r="I281" s="995"/>
    </row>
    <row r="282" spans="7:9" ht="15" customHeight="1" x14ac:dyDescent="0.35">
      <c r="G282" s="1011"/>
      <c r="I282" s="995"/>
    </row>
    <row r="283" spans="7:9" ht="15" customHeight="1" x14ac:dyDescent="0.35">
      <c r="G283" s="1011"/>
      <c r="I283" s="995"/>
    </row>
    <row r="284" spans="7:9" ht="15" customHeight="1" x14ac:dyDescent="0.35">
      <c r="G284" s="1011"/>
      <c r="I284" s="995"/>
    </row>
    <row r="285" spans="7:9" ht="15" customHeight="1" x14ac:dyDescent="0.35">
      <c r="G285" s="1011"/>
      <c r="I285" s="995"/>
    </row>
    <row r="286" spans="7:9" ht="15" customHeight="1" x14ac:dyDescent="0.35">
      <c r="G286" s="1011"/>
      <c r="I286" s="995"/>
    </row>
    <row r="287" spans="7:9" ht="15" customHeight="1" x14ac:dyDescent="0.35">
      <c r="G287" s="1011"/>
      <c r="I287" s="995"/>
    </row>
    <row r="288" spans="7:9" ht="15" customHeight="1" x14ac:dyDescent="0.35">
      <c r="G288" s="1011"/>
      <c r="I288" s="995"/>
    </row>
    <row r="289" spans="7:9" ht="15" customHeight="1" x14ac:dyDescent="0.35">
      <c r="G289" s="1011"/>
      <c r="I289" s="995"/>
    </row>
    <row r="290" spans="7:9" ht="15" customHeight="1" x14ac:dyDescent="0.35">
      <c r="G290" s="1011"/>
      <c r="I290" s="995"/>
    </row>
    <row r="291" spans="7:9" ht="15" customHeight="1" x14ac:dyDescent="0.35">
      <c r="G291" s="1011"/>
      <c r="I291" s="995"/>
    </row>
    <row r="292" spans="7:9" ht="15" customHeight="1" x14ac:dyDescent="0.35">
      <c r="G292" s="1011"/>
      <c r="I292" s="995"/>
    </row>
    <row r="293" spans="7:9" ht="15" customHeight="1" x14ac:dyDescent="0.35">
      <c r="G293" s="1011"/>
      <c r="I293" s="995"/>
    </row>
    <row r="294" spans="7:9" ht="15" customHeight="1" x14ac:dyDescent="0.35">
      <c r="G294" s="1011"/>
      <c r="I294" s="995"/>
    </row>
    <row r="295" spans="7:9" ht="15" customHeight="1" x14ac:dyDescent="0.35">
      <c r="G295" s="1011"/>
      <c r="I295" s="995"/>
    </row>
    <row r="296" spans="7:9" ht="15" customHeight="1" x14ac:dyDescent="0.35">
      <c r="G296" s="1011"/>
      <c r="I296" s="995"/>
    </row>
    <row r="297" spans="7:9" ht="15" customHeight="1" x14ac:dyDescent="0.35">
      <c r="I297" s="995"/>
    </row>
    <row r="298" spans="7:9" ht="15" customHeight="1" x14ac:dyDescent="0.35">
      <c r="I298" s="995"/>
    </row>
    <row r="299" spans="7:9" ht="15" customHeight="1" x14ac:dyDescent="0.35">
      <c r="I299" s="995"/>
    </row>
    <row r="300" spans="7:9" ht="15" customHeight="1" x14ac:dyDescent="0.35">
      <c r="I300" s="995"/>
    </row>
    <row r="301" spans="7:9" ht="15" customHeight="1" x14ac:dyDescent="0.35">
      <c r="I301" s="995"/>
    </row>
    <row r="302" spans="7:9" ht="15" customHeight="1" x14ac:dyDescent="0.35">
      <c r="I302" s="995"/>
    </row>
    <row r="303" spans="7:9" ht="15" customHeight="1" x14ac:dyDescent="0.35">
      <c r="I303" s="995"/>
    </row>
    <row r="304" spans="7:9" ht="15" customHeight="1" x14ac:dyDescent="0.35">
      <c r="I304" s="995"/>
    </row>
    <row r="305" spans="9:9" ht="15" customHeight="1" x14ac:dyDescent="0.35">
      <c r="I305" s="995"/>
    </row>
    <row r="306" spans="9:9" ht="15" customHeight="1" x14ac:dyDescent="0.35">
      <c r="I306" s="995"/>
    </row>
    <row r="307" spans="9:9" ht="15" customHeight="1" x14ac:dyDescent="0.35">
      <c r="I307" s="995"/>
    </row>
    <row r="308" spans="9:9" ht="15" customHeight="1" x14ac:dyDescent="0.35">
      <c r="I308" s="995"/>
    </row>
    <row r="309" spans="9:9" ht="15" customHeight="1" x14ac:dyDescent="0.35">
      <c r="I309" s="995"/>
    </row>
    <row r="310" spans="9:9" ht="15" customHeight="1" x14ac:dyDescent="0.35">
      <c r="I310" s="995"/>
    </row>
    <row r="311" spans="9:9" ht="15" customHeight="1" x14ac:dyDescent="0.35">
      <c r="I311" s="995"/>
    </row>
    <row r="312" spans="9:9" ht="15" customHeight="1" x14ac:dyDescent="0.35">
      <c r="I312" s="995"/>
    </row>
    <row r="313" spans="9:9" ht="15" customHeight="1" x14ac:dyDescent="0.35">
      <c r="I313" s="995"/>
    </row>
    <row r="314" spans="9:9" ht="15" customHeight="1" x14ac:dyDescent="0.35">
      <c r="I314" s="995"/>
    </row>
    <row r="315" spans="9:9" ht="15" customHeight="1" x14ac:dyDescent="0.35">
      <c r="I315" s="995"/>
    </row>
    <row r="316" spans="9:9" ht="15" customHeight="1" x14ac:dyDescent="0.35">
      <c r="I316" s="995"/>
    </row>
    <row r="317" spans="9:9" ht="15" customHeight="1" x14ac:dyDescent="0.35">
      <c r="I317" s="995"/>
    </row>
  </sheetData>
  <dataValidations count="21">
    <dataValidation type="list" allowBlank="1" showInputMessage="1" showErrorMessage="1" sqref="JD14 WVP14 WLT14 WBX14 VSB14 VIF14 UYJ14 UON14 UER14 TUV14 TKZ14 TBD14 SRH14 SHL14 RXP14 RNT14 RDX14 QUB14 QKF14 QAJ14 PQN14 PGR14 OWV14 OMZ14 ODD14 NTH14 NJL14 MZP14 MPT14 MFX14 LWB14 LMF14 LCJ14 KSN14 KIR14 JYV14 JOZ14 JFD14 IVH14 ILL14 IBP14 HRT14 HHX14 GYB14 GOF14 GEJ14 FUN14 FKR14 FAV14 EQZ14 EHD14 DXH14 DNL14 DDP14 CTT14 CJX14 CAB14 BQF14 BGJ14 AWN14 AMR14 ACV14 SZ14 G14">
      <formula1>$O$5:$O$7</formula1>
    </dataValidation>
    <dataValidation type="list" allowBlank="1" showInputMessage="1" showErrorMessage="1" sqref="F81 F77">
      <formula1>$J$83:$J$84</formula1>
    </dataValidation>
    <dataValidation type="list" allowBlank="1" showInputMessage="1" showErrorMessage="1" sqref="F78 F119 F115 F111 F107 F103 F99 F95 F82 F87 F91">
      <formula1>$L$75:$L$78</formula1>
    </dataValidation>
    <dataValidation type="list" allowBlank="1" showInputMessage="1" showErrorMessage="1" sqref="F86 F118 F114 F110 F106 F102 F98 F94 F90">
      <formula1>$J$83:$J$86</formula1>
    </dataValidation>
    <dataValidation type="list" allowBlank="1" showInputMessage="1" showErrorMessage="1" sqref="F61">
      <formula1>$L$59:$L$60</formula1>
    </dataValidation>
    <dataValidation type="list" allowBlank="1" showInputMessage="1" showErrorMessage="1" sqref="F42">
      <formula1>$U$40:$U$41</formula1>
    </dataValidation>
    <dataValidation type="list" allowBlank="1" showInputMessage="1" showErrorMessage="1" sqref="F41">
      <formula1>$R$39:$R$40</formula1>
    </dataValidation>
    <dataValidation type="list" allowBlank="1" showInputMessage="1" showErrorMessage="1" sqref="F40">
      <formula1>$P$38:$P$39</formula1>
    </dataValidation>
    <dataValidation type="list" allowBlank="1" showInputMessage="1" showErrorMessage="1" sqref="F39">
      <formula1>$N$37:$N$38</formula1>
    </dataValidation>
    <dataValidation type="list" allowBlank="1" showInputMessage="1" showErrorMessage="1" sqref="F43">
      <formula1>$P$43:$P$47</formula1>
    </dataValidation>
    <dataValidation type="list" allowBlank="1" showInputMessage="1" showErrorMessage="1" sqref="F48">
      <formula1>$J$48:$J$49</formula1>
    </dataValidation>
    <dataValidation type="list" allowBlank="1" showInputMessage="1" showErrorMessage="1" sqref="F57">
      <formula1>$P$56:$P$58</formula1>
    </dataValidation>
    <dataValidation type="list" allowBlank="1" showInputMessage="1" showErrorMessage="1" sqref="F53">
      <formula1>$W$26:$W$28</formula1>
    </dataValidation>
    <dataValidation type="list" allowBlank="1" showInputMessage="1" showErrorMessage="1" sqref="F8:G8">
      <formula1>$L$6:$L$7</formula1>
    </dataValidation>
    <dataValidation type="list" allowBlank="1" showInputMessage="1" showErrorMessage="1" sqref="F11:G11">
      <formula1>$N$9:$N$11</formula1>
    </dataValidation>
    <dataValidation type="list" allowBlank="1" showInputMessage="1" showErrorMessage="1" sqref="F29">
      <formula1>$J$28:$J$29</formula1>
    </dataValidation>
    <dataValidation type="list" allowBlank="1" showInputMessage="1" showErrorMessage="1" sqref="F38">
      <formula1>$L$34:$L$37</formula1>
    </dataValidation>
    <dataValidation type="list" allowBlank="1" showInputMessage="1" showErrorMessage="1" sqref="F47:G47">
      <formula1>$L$47:$L$50</formula1>
    </dataValidation>
    <dataValidation type="list" allowBlank="1" showInputMessage="1" showErrorMessage="1" sqref="F45:G45">
      <formula1>$N$45:$N$48</formula1>
    </dataValidation>
    <dataValidation type="list" allowBlank="1" showInputMessage="1" showErrorMessage="1" sqref="F14">
      <formula1>$P$12:$P$14</formula1>
    </dataValidation>
    <dataValidation type="list" allowBlank="1" showInputMessage="1" showErrorMessage="1" sqref="F25">
      <formula1>$J$23:$J$25</formula1>
    </dataValidation>
  </dataValidation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Y917"/>
  <sheetViews>
    <sheetView zoomScaleNormal="100" workbookViewId="0"/>
  </sheetViews>
  <sheetFormatPr defaultRowHeight="13.2" x14ac:dyDescent="0.25"/>
  <cols>
    <col min="1" max="2" width="29.5546875" customWidth="1"/>
    <col min="3" max="3" width="53.33203125" customWidth="1"/>
    <col min="4" max="4" width="8.44140625" customWidth="1"/>
    <col min="5" max="5" width="9.6640625" customWidth="1"/>
    <col min="6" max="6" width="7.6640625" customWidth="1"/>
    <col min="7" max="7" width="8.109375" customWidth="1"/>
    <col min="8" max="8" width="35.109375" customWidth="1"/>
    <col min="9" max="9" width="79.109375" customWidth="1"/>
    <col min="10" max="10" width="16.33203125" customWidth="1"/>
    <col min="11" max="11" width="16.109375" customWidth="1"/>
    <col min="12" max="12" width="27" customWidth="1"/>
    <col min="13" max="13" width="44.88671875" customWidth="1"/>
    <col min="14" max="14" width="8.88671875" customWidth="1"/>
    <col min="15" max="15" width="42.109375" customWidth="1"/>
    <col min="16" max="16" width="11.33203125" customWidth="1"/>
    <col min="17" max="17" width="23.6640625" customWidth="1"/>
    <col min="18" max="18" width="18.109375" customWidth="1"/>
    <col min="19" max="19" width="24.88671875" customWidth="1"/>
    <col min="20" max="20" width="30" customWidth="1"/>
    <col min="21" max="21" width="10.88671875" customWidth="1"/>
    <col min="22" max="22" width="35.109375" customWidth="1"/>
    <col min="23" max="23" width="11.44140625" customWidth="1"/>
    <col min="24" max="24" width="64.44140625" customWidth="1"/>
    <col min="25" max="25" width="16" customWidth="1"/>
    <col min="26" max="26" width="62.33203125" customWidth="1"/>
    <col min="27" max="27" width="23.5546875" customWidth="1"/>
    <col min="28" max="28" width="61.109375" customWidth="1"/>
    <col min="29" max="29" width="16.88671875" customWidth="1"/>
    <col min="30" max="30" width="39.44140625" customWidth="1"/>
    <col min="31" max="31" width="29.44140625" customWidth="1"/>
    <col min="32" max="32" width="16.44140625" customWidth="1"/>
    <col min="33" max="33" width="30.109375" customWidth="1"/>
    <col min="34" max="34" width="13.6640625" customWidth="1"/>
    <col min="35" max="35" width="31.44140625" customWidth="1"/>
    <col min="36" max="36" width="29.5546875" customWidth="1"/>
    <col min="37" max="37" width="29.33203125" customWidth="1"/>
    <col min="38" max="38" width="31.33203125" customWidth="1"/>
    <col min="39" max="39" width="27.33203125" customWidth="1"/>
    <col min="40" max="40" width="15.33203125" customWidth="1"/>
    <col min="41" max="41" width="23.5546875" customWidth="1"/>
    <col min="42" max="42" width="18.6640625" customWidth="1"/>
    <col min="43" max="43" width="23.5546875" customWidth="1"/>
    <col min="44" max="44" width="31.88671875" customWidth="1"/>
    <col min="45" max="45" width="11.6640625" customWidth="1"/>
    <col min="46" max="46" width="18" customWidth="1"/>
    <col min="47" max="47" width="18.88671875" customWidth="1"/>
    <col min="48" max="48" width="20.44140625" customWidth="1"/>
    <col min="49" max="49" width="35.88671875" customWidth="1"/>
    <col min="50" max="50" width="33.109375" customWidth="1"/>
    <col min="51" max="51" width="11.5546875" style="44" customWidth="1"/>
    <col min="52" max="52" width="13.109375" style="44" customWidth="1"/>
    <col min="53" max="53" width="18.6640625" style="44" customWidth="1"/>
    <col min="54" max="55" width="9.109375" style="44"/>
    <col min="56" max="56" width="14.44140625" style="44" customWidth="1"/>
    <col min="57" max="57" width="13.6640625" style="44" customWidth="1"/>
    <col min="58" max="62" width="9.109375" style="44"/>
  </cols>
  <sheetData>
    <row r="1" spans="1:62" x14ac:dyDescent="0.25">
      <c r="A1" s="99" t="s">
        <v>240</v>
      </c>
      <c r="B1" s="896" t="s">
        <v>1667</v>
      </c>
      <c r="C1" s="44"/>
      <c r="D1" s="44"/>
      <c r="E1" s="44"/>
      <c r="F1" s="44"/>
      <c r="G1" s="44"/>
      <c r="H1" s="44"/>
      <c r="I1" s="99"/>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c r="AZ1"/>
      <c r="BA1"/>
      <c r="BB1"/>
      <c r="BC1"/>
      <c r="BD1"/>
      <c r="BE1"/>
      <c r="BF1"/>
      <c r="BG1"/>
      <c r="BH1"/>
      <c r="BI1"/>
      <c r="BJ1"/>
    </row>
    <row r="2" spans="1:62" x14ac:dyDescent="0.25">
      <c r="A2" s="99" t="s">
        <v>243</v>
      </c>
      <c r="B2" s="277" t="s">
        <v>443</v>
      </c>
      <c r="C2" s="44"/>
      <c r="D2" s="44"/>
      <c r="E2" s="44"/>
      <c r="F2" s="44"/>
      <c r="G2" s="44"/>
      <c r="H2" s="44"/>
      <c r="I2" s="99"/>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c r="AZ2"/>
      <c r="BA2"/>
      <c r="BB2"/>
      <c r="BC2"/>
      <c r="BD2"/>
      <c r="BE2"/>
      <c r="BF2"/>
      <c r="BG2"/>
      <c r="BH2"/>
      <c r="BI2"/>
      <c r="BJ2"/>
    </row>
    <row r="3" spans="1:62" x14ac:dyDescent="0.25">
      <c r="A3" s="99" t="s">
        <v>241</v>
      </c>
      <c r="B3" s="896" t="s">
        <v>1115</v>
      </c>
      <c r="C3" s="44"/>
      <c r="D3" s="44"/>
      <c r="E3" s="44"/>
      <c r="F3" s="44"/>
      <c r="G3" s="44"/>
      <c r="H3" s="44"/>
      <c r="I3" s="99"/>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44"/>
      <c r="AT3" s="44"/>
      <c r="AU3" s="44"/>
      <c r="AV3" s="44"/>
      <c r="AW3" s="44"/>
      <c r="AX3" s="44"/>
      <c r="AY3"/>
      <c r="AZ3"/>
      <c r="BA3"/>
      <c r="BB3"/>
      <c r="BC3"/>
      <c r="BD3"/>
      <c r="BE3"/>
      <c r="BF3"/>
      <c r="BG3"/>
      <c r="BH3"/>
      <c r="BI3"/>
      <c r="BJ3"/>
    </row>
    <row r="4" spans="1:62" x14ac:dyDescent="0.25">
      <c r="A4" s="99" t="s">
        <v>242</v>
      </c>
      <c r="B4" s="927">
        <v>2010</v>
      </c>
      <c r="C4" s="45"/>
      <c r="D4" s="45"/>
      <c r="E4" s="45"/>
      <c r="F4" s="45"/>
      <c r="G4" s="45"/>
      <c r="H4" s="45"/>
      <c r="I4" s="99"/>
      <c r="J4" s="44"/>
      <c r="K4" s="45"/>
      <c r="L4" s="45"/>
      <c r="M4" s="45"/>
      <c r="N4" s="45"/>
      <c r="O4" s="57"/>
      <c r="P4" s="93"/>
      <c r="Q4" s="46"/>
      <c r="R4" s="46"/>
      <c r="S4" s="46"/>
      <c r="T4" s="46"/>
      <c r="U4" s="47"/>
      <c r="V4" s="44"/>
      <c r="W4" s="44"/>
      <c r="X4" s="44"/>
      <c r="Y4" s="44"/>
      <c r="Z4" s="44"/>
      <c r="AA4" s="44"/>
      <c r="AB4" s="44"/>
      <c r="AC4" s="44"/>
      <c r="AD4" s="44"/>
      <c r="AE4" s="44"/>
      <c r="AF4" s="44"/>
      <c r="AG4" s="44"/>
      <c r="AH4" s="44"/>
      <c r="AI4" s="44"/>
      <c r="AJ4" s="44"/>
      <c r="AK4" s="44"/>
      <c r="AL4" s="44"/>
      <c r="AM4" s="44"/>
      <c r="AN4" s="44"/>
      <c r="AO4" s="44"/>
      <c r="AP4" s="44"/>
      <c r="AQ4" s="44"/>
      <c r="AR4" s="44"/>
      <c r="AS4" s="44"/>
      <c r="AT4" s="44"/>
      <c r="AU4" s="44"/>
      <c r="AV4" s="44"/>
      <c r="AW4" s="44"/>
      <c r="AX4" s="44"/>
      <c r="AY4"/>
      <c r="AZ4"/>
      <c r="BA4"/>
      <c r="BB4"/>
      <c r="BC4"/>
      <c r="BD4"/>
      <c r="BE4"/>
      <c r="BF4"/>
      <c r="BG4"/>
      <c r="BH4"/>
      <c r="BI4"/>
      <c r="BJ4"/>
    </row>
    <row r="5" spans="1:62" x14ac:dyDescent="0.25">
      <c r="A5" s="99"/>
      <c r="B5" s="927"/>
      <c r="C5" s="45"/>
      <c r="D5" s="45"/>
      <c r="E5" s="45"/>
      <c r="F5" s="45"/>
      <c r="G5" s="45"/>
      <c r="H5" s="45"/>
      <c r="I5" s="99"/>
      <c r="J5" s="44"/>
      <c r="K5" s="45"/>
      <c r="L5" s="45"/>
      <c r="M5" s="45"/>
      <c r="N5" s="45"/>
      <c r="O5" s="57"/>
      <c r="P5" s="48"/>
      <c r="Q5" s="49"/>
      <c r="R5" s="1529" t="s">
        <v>2089</v>
      </c>
      <c r="S5" s="1559" t="str">
        <f>maize_type</f>
        <v>Generic</v>
      </c>
      <c r="T5" s="49"/>
      <c r="U5" s="51"/>
      <c r="V5" s="44"/>
      <c r="W5" s="44"/>
      <c r="X5" s="44"/>
      <c r="Y5" s="44"/>
      <c r="Z5" s="44"/>
      <c r="AA5" s="44"/>
      <c r="AB5" s="44"/>
      <c r="AC5" s="44"/>
      <c r="AD5" s="44"/>
      <c r="AE5" s="44"/>
      <c r="AF5" s="44"/>
      <c r="AG5" s="44"/>
      <c r="AH5" s="44"/>
      <c r="AI5" s="44"/>
      <c r="AJ5" s="44"/>
      <c r="AK5" s="44"/>
      <c r="AL5" s="44"/>
      <c r="AM5" s="44"/>
      <c r="AN5" s="44"/>
      <c r="AO5" s="44"/>
      <c r="AP5" s="44"/>
      <c r="AQ5" s="44"/>
      <c r="AR5" s="44"/>
      <c r="AS5" s="44"/>
      <c r="AT5" s="44"/>
      <c r="AU5" s="44"/>
      <c r="AV5" s="44"/>
      <c r="AW5" s="44"/>
      <c r="AX5" s="44"/>
      <c r="AY5"/>
      <c r="AZ5"/>
      <c r="BA5"/>
      <c r="BB5"/>
      <c r="BC5"/>
      <c r="BD5"/>
      <c r="BE5"/>
      <c r="BF5"/>
      <c r="BG5"/>
      <c r="BH5"/>
      <c r="BI5"/>
      <c r="BJ5"/>
    </row>
    <row r="6" spans="1:62" x14ac:dyDescent="0.25">
      <c r="A6" s="99"/>
      <c r="B6" s="927"/>
      <c r="C6" s="45"/>
      <c r="D6" s="45"/>
      <c r="E6" s="45"/>
      <c r="F6" s="45"/>
      <c r="G6" s="45"/>
      <c r="H6" s="45"/>
      <c r="I6" s="99"/>
      <c r="J6" s="44"/>
      <c r="K6" s="45"/>
      <c r="L6" s="45"/>
      <c r="M6" s="45"/>
      <c r="N6" s="45"/>
      <c r="O6" s="57"/>
      <c r="P6" s="48"/>
      <c r="Q6" s="49"/>
      <c r="R6" s="49"/>
      <c r="S6" s="46"/>
      <c r="T6" s="49"/>
      <c r="U6" s="51"/>
      <c r="V6" s="44"/>
      <c r="W6" s="44"/>
      <c r="X6" s="44"/>
      <c r="Y6" s="44"/>
      <c r="Z6" s="44"/>
      <c r="AA6" s="44"/>
      <c r="AB6" s="44"/>
      <c r="AC6" s="44"/>
      <c r="AD6" s="44"/>
      <c r="AE6" s="44"/>
      <c r="AF6" s="44"/>
      <c r="AG6" s="44"/>
      <c r="AH6" s="44"/>
      <c r="AI6" s="44"/>
      <c r="AJ6" s="44"/>
      <c r="AK6" s="44"/>
      <c r="AL6" s="44"/>
      <c r="AM6" s="44"/>
      <c r="AN6" s="44"/>
      <c r="AO6" s="44"/>
      <c r="AP6" s="44"/>
      <c r="AQ6" s="44"/>
      <c r="AR6" s="44"/>
      <c r="AS6" s="44"/>
      <c r="AT6" s="44"/>
      <c r="AU6" s="44"/>
      <c r="AV6" s="44"/>
      <c r="AW6" s="44"/>
      <c r="AX6" s="44"/>
      <c r="AY6"/>
      <c r="AZ6"/>
      <c r="BA6"/>
      <c r="BB6"/>
      <c r="BC6"/>
      <c r="BD6"/>
      <c r="BE6"/>
      <c r="BF6"/>
      <c r="BG6"/>
      <c r="BH6"/>
      <c r="BI6"/>
      <c r="BJ6"/>
    </row>
    <row r="7" spans="1:62" x14ac:dyDescent="0.25">
      <c r="A7" s="44"/>
      <c r="B7" s="44"/>
      <c r="C7" s="44"/>
      <c r="D7" s="44"/>
      <c r="E7" s="44"/>
      <c r="F7" s="44"/>
      <c r="G7" s="44"/>
      <c r="H7" s="44"/>
      <c r="I7" s="44"/>
      <c r="J7" s="44"/>
      <c r="K7" s="44"/>
      <c r="L7" s="44"/>
      <c r="M7" s="44"/>
      <c r="N7" s="44"/>
      <c r="O7" s="57"/>
      <c r="P7" s="48"/>
      <c r="Q7" s="49"/>
      <c r="R7" s="940" t="s">
        <v>1312</v>
      </c>
      <c r="S7" s="435">
        <f>S15*S9</f>
        <v>0.94191484125030767</v>
      </c>
      <c r="T7" s="925" t="s">
        <v>1313</v>
      </c>
      <c r="U7" s="51"/>
      <c r="V7" s="44"/>
      <c r="W7" s="44"/>
      <c r="X7" s="44"/>
      <c r="Y7" s="44"/>
      <c r="Z7" s="44"/>
      <c r="AA7" s="44"/>
      <c r="AB7" s="44"/>
      <c r="AC7" s="44"/>
      <c r="AD7" s="44"/>
      <c r="AE7" s="44"/>
      <c r="AF7" s="44"/>
      <c r="AG7" s="44"/>
      <c r="AH7" s="44"/>
      <c r="AI7" s="44"/>
      <c r="AJ7" s="44"/>
      <c r="AK7" s="44"/>
      <c r="AL7" s="44"/>
      <c r="AM7" s="44"/>
      <c r="AN7" s="44"/>
      <c r="AO7" s="44"/>
      <c r="AP7" s="44"/>
      <c r="AQ7" s="44"/>
      <c r="AR7" s="44"/>
      <c r="AS7" s="44"/>
      <c r="AT7" s="44"/>
      <c r="AU7" s="44"/>
      <c r="AV7" s="44"/>
      <c r="AW7" s="44"/>
      <c r="AX7" s="44"/>
      <c r="AY7"/>
      <c r="AZ7"/>
      <c r="BA7"/>
      <c r="BB7"/>
      <c r="BC7"/>
      <c r="BD7"/>
      <c r="BE7"/>
      <c r="BF7"/>
      <c r="BG7"/>
      <c r="BH7"/>
      <c r="BI7"/>
      <c r="BJ7"/>
    </row>
    <row r="8" spans="1:62" x14ac:dyDescent="0.25">
      <c r="A8" s="44"/>
      <c r="B8" s="44"/>
      <c r="C8" s="44"/>
      <c r="D8" s="44"/>
      <c r="E8" s="44"/>
      <c r="F8" s="44"/>
      <c r="G8" s="44"/>
      <c r="H8" s="44"/>
      <c r="I8" s="44"/>
      <c r="J8" s="44"/>
      <c r="K8" s="44"/>
      <c r="L8" s="44"/>
      <c r="M8" s="44"/>
      <c r="N8" s="44"/>
      <c r="O8" s="57"/>
      <c r="P8" s="48"/>
      <c r="Q8" s="49"/>
      <c r="R8" s="49"/>
      <c r="S8" s="49"/>
      <c r="T8" s="49"/>
      <c r="U8" s="51"/>
      <c r="V8" s="44"/>
      <c r="W8" s="44"/>
      <c r="X8" s="44"/>
      <c r="Y8" s="44"/>
      <c r="Z8" s="44"/>
      <c r="AA8" s="44"/>
      <c r="AB8" s="44"/>
      <c r="AC8" s="44"/>
      <c r="AD8" s="44"/>
      <c r="AE8" s="44"/>
      <c r="AF8" s="44"/>
      <c r="AG8" s="44"/>
      <c r="AH8" s="44"/>
      <c r="AI8" s="44"/>
      <c r="AJ8" s="44"/>
      <c r="AK8" s="44"/>
      <c r="AL8" s="44"/>
      <c r="AM8" s="44"/>
      <c r="AN8" s="44"/>
      <c r="AO8" s="44"/>
      <c r="AP8" s="44"/>
      <c r="AQ8" s="44"/>
      <c r="AR8" s="44"/>
      <c r="AS8" s="44"/>
      <c r="AT8" s="44"/>
      <c r="AU8" s="44"/>
      <c r="AV8" s="44"/>
      <c r="AW8" s="44"/>
      <c r="AX8" s="44"/>
      <c r="AY8"/>
      <c r="AZ8"/>
      <c r="BA8"/>
      <c r="BB8"/>
      <c r="BC8"/>
      <c r="BD8"/>
      <c r="BE8"/>
      <c r="BF8"/>
      <c r="BG8"/>
      <c r="BH8"/>
      <c r="BI8"/>
      <c r="BJ8"/>
    </row>
    <row r="9" spans="1:62" x14ac:dyDescent="0.25">
      <c r="A9" s="44"/>
      <c r="B9" s="44"/>
      <c r="C9" s="44"/>
      <c r="D9" s="44"/>
      <c r="E9" s="44"/>
      <c r="F9" s="44"/>
      <c r="G9" s="44"/>
      <c r="H9" s="44"/>
      <c r="I9" s="44"/>
      <c r="J9" s="44"/>
      <c r="K9" s="44"/>
      <c r="L9" s="44"/>
      <c r="M9" s="44"/>
      <c r="N9" s="44"/>
      <c r="O9" s="57"/>
      <c r="P9" s="48"/>
      <c r="Q9" s="49"/>
      <c r="R9" s="979" t="s">
        <v>1314</v>
      </c>
      <c r="S9" s="1206">
        <f>seeds</f>
        <v>38.270000000000003</v>
      </c>
      <c r="T9" s="48" t="s">
        <v>1315</v>
      </c>
      <c r="U9" s="51"/>
      <c r="V9" s="44"/>
      <c r="W9" s="44"/>
      <c r="X9" s="44"/>
      <c r="Y9" s="44"/>
      <c r="Z9" s="44"/>
      <c r="AA9" s="44"/>
      <c r="AB9" s="44"/>
      <c r="AC9" s="44"/>
      <c r="AD9" s="44"/>
      <c r="AE9" s="44"/>
      <c r="AF9" s="44"/>
      <c r="AG9" s="44"/>
      <c r="AH9" s="44"/>
      <c r="AI9" s="44"/>
      <c r="AJ9" s="44"/>
      <c r="AK9" s="44"/>
      <c r="AL9" s="44"/>
      <c r="AM9" s="44"/>
      <c r="AN9" s="44"/>
      <c r="AO9" s="44"/>
      <c r="AP9" s="44"/>
      <c r="AQ9" s="44"/>
      <c r="AR9" s="44"/>
      <c r="AS9" s="44"/>
      <c r="AT9" s="44"/>
      <c r="AU9" s="44"/>
      <c r="AV9" s="44"/>
      <c r="AW9" s="44"/>
      <c r="AX9" s="44"/>
      <c r="AY9"/>
      <c r="AZ9"/>
      <c r="BA9"/>
      <c r="BB9"/>
      <c r="BC9"/>
      <c r="BD9"/>
      <c r="BE9"/>
      <c r="BF9"/>
      <c r="BG9"/>
      <c r="BH9"/>
      <c r="BI9"/>
      <c r="BJ9"/>
    </row>
    <row r="10" spans="1:62" x14ac:dyDescent="0.25">
      <c r="A10" s="44"/>
      <c r="B10" s="44"/>
      <c r="C10" s="44"/>
      <c r="D10" s="44"/>
      <c r="E10" s="44"/>
      <c r="F10" s="44"/>
      <c r="G10" s="44"/>
      <c r="H10" s="44"/>
      <c r="I10" s="44"/>
      <c r="J10" s="44"/>
      <c r="K10" s="44"/>
      <c r="L10" s="44"/>
      <c r="M10" s="44"/>
      <c r="N10" s="44"/>
      <c r="O10" s="57"/>
      <c r="P10" s="54"/>
      <c r="Q10" s="55"/>
      <c r="R10" s="55"/>
      <c r="S10" s="55"/>
      <c r="T10" s="55"/>
      <c r="U10" s="56"/>
      <c r="V10" s="44"/>
      <c r="W10" s="44"/>
      <c r="X10" s="44"/>
      <c r="Y10" s="44"/>
      <c r="Z10" s="44"/>
      <c r="AA10" s="44"/>
      <c r="AB10" s="44"/>
      <c r="AC10" s="44"/>
      <c r="AD10" s="44"/>
      <c r="AE10" s="44"/>
      <c r="AF10" s="44"/>
      <c r="AG10" s="44"/>
      <c r="AH10" s="44"/>
      <c r="AI10" s="44"/>
      <c r="AJ10" s="44"/>
      <c r="AK10" s="44"/>
      <c r="AL10" s="44"/>
      <c r="AM10" s="44"/>
      <c r="AN10" s="44"/>
      <c r="AO10" s="44"/>
      <c r="AP10" s="44"/>
      <c r="AQ10" s="44"/>
      <c r="AR10" s="44"/>
      <c r="AS10" s="44"/>
      <c r="AT10" s="44"/>
      <c r="AU10" s="44"/>
      <c r="AV10" s="44"/>
      <c r="AW10" s="44"/>
      <c r="AX10" s="44"/>
      <c r="AY10"/>
      <c r="AZ10"/>
      <c r="BA10"/>
      <c r="BB10"/>
      <c r="BC10"/>
      <c r="BD10"/>
      <c r="BE10"/>
      <c r="BF10"/>
      <c r="BG10"/>
      <c r="BH10"/>
      <c r="BI10"/>
      <c r="BJ10"/>
    </row>
    <row r="11" spans="1:62" ht="13.8" thickBot="1" x14ac:dyDescent="0.3">
      <c r="A11" s="44"/>
      <c r="B11" s="44"/>
      <c r="C11" s="44"/>
      <c r="D11" s="44"/>
      <c r="E11" s="44"/>
      <c r="F11" s="44"/>
      <c r="G11" s="44"/>
      <c r="H11" s="44"/>
      <c r="I11" s="44"/>
      <c r="J11" s="44"/>
      <c r="K11" s="44"/>
      <c r="L11" s="44"/>
      <c r="M11" s="44"/>
      <c r="N11" s="44"/>
      <c r="O11" s="57"/>
      <c r="P11" s="44"/>
      <c r="Q11" s="44"/>
      <c r="R11" s="57"/>
      <c r="S11" s="44"/>
      <c r="T11" s="44"/>
      <c r="U11" s="44"/>
      <c r="V11" s="44"/>
      <c r="W11" s="44"/>
      <c r="X11" s="44"/>
      <c r="Y11" s="44"/>
      <c r="Z11" s="44"/>
      <c r="AA11" s="44"/>
      <c r="AB11" s="44"/>
      <c r="AC11" s="44"/>
      <c r="AD11" s="44"/>
      <c r="AE11" s="44"/>
      <c r="AF11" s="44"/>
      <c r="AG11" s="44"/>
      <c r="AH11" s="44"/>
      <c r="AI11" s="44"/>
      <c r="AJ11" s="44"/>
      <c r="AK11" s="44"/>
      <c r="AL11" s="44"/>
      <c r="AM11" s="44"/>
      <c r="AN11" s="44"/>
      <c r="AO11" s="44"/>
      <c r="AP11" s="44"/>
      <c r="AQ11" s="44"/>
      <c r="AR11" s="44"/>
      <c r="AS11" s="44"/>
      <c r="AT11" s="44"/>
      <c r="AU11" s="44"/>
      <c r="AV11" s="44"/>
      <c r="AW11" s="44"/>
      <c r="AX11" s="44"/>
      <c r="AY11"/>
      <c r="AZ11"/>
      <c r="BA11"/>
      <c r="BB11"/>
      <c r="BC11"/>
      <c r="BD11"/>
      <c r="BE11"/>
      <c r="BF11"/>
      <c r="BG11"/>
      <c r="BH11"/>
      <c r="BI11"/>
      <c r="BJ11"/>
    </row>
    <row r="12" spans="1:62" x14ac:dyDescent="0.25">
      <c r="A12" s="44"/>
      <c r="B12" s="44"/>
      <c r="C12" s="44"/>
      <c r="D12" s="44"/>
      <c r="E12" s="44"/>
      <c r="F12" s="44"/>
      <c r="G12" s="44"/>
      <c r="H12" s="44"/>
      <c r="I12" s="44"/>
      <c r="J12" s="44"/>
      <c r="K12" s="44"/>
      <c r="L12" s="44"/>
      <c r="M12" s="44"/>
      <c r="N12" s="44"/>
      <c r="O12" s="57"/>
      <c r="P12" s="1207"/>
      <c r="Q12" s="241"/>
      <c r="R12" s="241"/>
      <c r="S12" s="241"/>
      <c r="T12" s="241"/>
      <c r="U12" s="1208"/>
      <c r="V12" s="44"/>
      <c r="W12" s="44"/>
      <c r="X12" s="44"/>
      <c r="Y12" s="44"/>
      <c r="Z12" s="44"/>
      <c r="AA12" s="44"/>
      <c r="AB12" s="44"/>
      <c r="AC12" s="44"/>
      <c r="AD12" s="44"/>
      <c r="AE12" s="44"/>
      <c r="AF12" s="44"/>
      <c r="AG12" s="44"/>
      <c r="AH12" s="44"/>
      <c r="AI12" s="44"/>
      <c r="AJ12" s="44"/>
      <c r="AK12" s="44"/>
      <c r="AL12" s="44"/>
      <c r="AM12" s="44"/>
      <c r="AN12" s="44"/>
      <c r="AO12" s="44"/>
      <c r="AP12" s="44"/>
      <c r="AQ12" s="44"/>
      <c r="AR12" s="44"/>
      <c r="AS12" s="44"/>
      <c r="AT12" s="44"/>
      <c r="AU12" s="44"/>
      <c r="AV12" s="44"/>
      <c r="AW12" s="44"/>
      <c r="AX12" s="44"/>
      <c r="AY12"/>
      <c r="AZ12"/>
      <c r="BA12"/>
      <c r="BB12"/>
      <c r="BC12"/>
      <c r="BD12"/>
      <c r="BE12"/>
      <c r="BF12"/>
      <c r="BG12"/>
      <c r="BH12"/>
      <c r="BI12"/>
      <c r="BJ12"/>
    </row>
    <row r="13" spans="1:62" x14ac:dyDescent="0.25">
      <c r="A13" s="44"/>
      <c r="B13" s="44"/>
      <c r="C13" s="44"/>
      <c r="D13" s="44"/>
      <c r="E13" s="44"/>
      <c r="F13" s="44"/>
      <c r="G13" s="44"/>
      <c r="H13" s="44"/>
      <c r="I13" s="44"/>
      <c r="J13" s="44"/>
      <c r="K13" s="44"/>
      <c r="L13" s="44"/>
      <c r="M13" s="44"/>
      <c r="N13" s="44"/>
      <c r="O13" s="45"/>
      <c r="P13" s="1209"/>
      <c r="Q13" s="1587" t="s">
        <v>1180</v>
      </c>
      <c r="R13" s="1587"/>
      <c r="S13" s="1587"/>
      <c r="T13" s="1587"/>
      <c r="U13" s="939"/>
      <c r="V13" s="44"/>
      <c r="W13" s="44"/>
      <c r="X13" s="70"/>
      <c r="Y13" s="44"/>
      <c r="Z13" s="44"/>
      <c r="AA13" s="44"/>
      <c r="AB13" s="44"/>
      <c r="AC13" s="44"/>
      <c r="AD13" s="44"/>
      <c r="AE13" s="44"/>
      <c r="AF13" s="44"/>
      <c r="AG13" s="44"/>
      <c r="AH13" s="44"/>
      <c r="AI13" s="44"/>
      <c r="AJ13" s="44"/>
      <c r="AK13" s="44"/>
      <c r="AL13" s="44"/>
      <c r="AM13" s="44"/>
      <c r="AN13" s="44"/>
      <c r="AO13" s="44"/>
      <c r="AP13" s="44"/>
      <c r="AQ13" s="44"/>
      <c r="AR13" s="44"/>
      <c r="AS13" s="44"/>
      <c r="AT13" s="44"/>
      <c r="AU13" s="44"/>
      <c r="AV13" s="44"/>
      <c r="AW13" s="44"/>
      <c r="AX13" s="44"/>
      <c r="AY13"/>
      <c r="AZ13"/>
      <c r="BA13"/>
      <c r="BB13"/>
      <c r="BC13"/>
      <c r="BD13"/>
      <c r="BE13"/>
      <c r="BF13"/>
      <c r="BG13"/>
      <c r="BH13"/>
      <c r="BI13"/>
      <c r="BJ13"/>
    </row>
    <row r="14" spans="1:62" x14ac:dyDescent="0.25">
      <c r="A14" s="44"/>
      <c r="B14" s="44"/>
      <c r="C14" s="44"/>
      <c r="D14" s="44"/>
      <c r="E14" s="44"/>
      <c r="F14" s="44"/>
      <c r="G14" s="44"/>
      <c r="H14" s="44"/>
      <c r="I14" s="44"/>
      <c r="J14" s="44"/>
      <c r="K14" s="44"/>
      <c r="L14" s="44"/>
      <c r="M14" s="44"/>
      <c r="N14" s="44"/>
      <c r="O14" s="44"/>
      <c r="P14" s="1209"/>
      <c r="Q14" s="941"/>
      <c r="R14" s="938"/>
      <c r="S14" s="938"/>
      <c r="T14" s="938"/>
      <c r="U14" s="939"/>
      <c r="V14" s="44"/>
      <c r="W14" s="44"/>
      <c r="X14" s="70"/>
      <c r="Y14" s="44"/>
      <c r="Z14" s="44"/>
      <c r="AA14" s="44"/>
      <c r="AB14" s="44"/>
      <c r="AC14" s="44"/>
      <c r="AD14" s="44"/>
      <c r="AE14" s="44"/>
      <c r="AF14" s="44"/>
      <c r="AG14" s="44"/>
      <c r="AH14" s="44"/>
      <c r="AI14" s="44"/>
      <c r="AJ14" s="44"/>
      <c r="AK14" s="44"/>
      <c r="AL14" s="44"/>
      <c r="AM14" s="44"/>
      <c r="AN14" s="44"/>
      <c r="AO14" s="44"/>
      <c r="AP14" s="44"/>
      <c r="AQ14" s="44"/>
      <c r="AR14" s="44"/>
      <c r="AS14" s="44"/>
      <c r="AT14" s="44"/>
      <c r="AU14" s="44"/>
      <c r="AV14" s="44"/>
      <c r="AW14" s="44"/>
      <c r="AX14" s="44"/>
      <c r="AY14"/>
      <c r="AZ14"/>
      <c r="BA14"/>
      <c r="BB14"/>
      <c r="BC14"/>
      <c r="BD14"/>
      <c r="BE14"/>
      <c r="BF14"/>
      <c r="BG14"/>
      <c r="BH14"/>
      <c r="BI14"/>
      <c r="BJ14"/>
    </row>
    <row r="15" spans="1:62" x14ac:dyDescent="0.25">
      <c r="A15" s="44"/>
      <c r="B15" s="44"/>
      <c r="C15" s="44"/>
      <c r="D15" s="44"/>
      <c r="E15" s="44"/>
      <c r="F15" s="44"/>
      <c r="G15" s="44"/>
      <c r="H15" s="44"/>
      <c r="I15" s="44"/>
      <c r="J15" s="44"/>
      <c r="K15" s="44"/>
      <c r="L15" s="44"/>
      <c r="M15" s="44"/>
      <c r="N15" s="44"/>
      <c r="O15" s="44"/>
      <c r="P15" s="1209"/>
      <c r="Q15" s="1606" t="s">
        <v>1316</v>
      </c>
      <c r="R15" s="1607"/>
      <c r="S15" s="1444">
        <f>S24/S19</f>
        <v>2.4612355402412009E-2</v>
      </c>
      <c r="T15" s="250" t="s">
        <v>1565</v>
      </c>
      <c r="U15" s="939" t="s">
        <v>159</v>
      </c>
      <c r="V15" s="44"/>
      <c r="W15" s="44"/>
      <c r="X15" s="70"/>
      <c r="Y15" s="44"/>
      <c r="Z15" s="44"/>
      <c r="AA15" s="44"/>
      <c r="AB15" s="44"/>
      <c r="AC15" s="44"/>
      <c r="AD15" s="44"/>
      <c r="AE15" s="44"/>
      <c r="AF15" s="44"/>
      <c r="AG15" s="44"/>
      <c r="AH15" s="44"/>
      <c r="AI15" s="44"/>
      <c r="AJ15" s="44"/>
      <c r="AK15" s="44"/>
      <c r="AL15" s="44"/>
      <c r="AM15" s="44"/>
      <c r="AN15" s="44"/>
      <c r="AO15" s="44"/>
      <c r="AP15" s="44"/>
      <c r="AQ15" s="44"/>
      <c r="AR15" s="44"/>
      <c r="AS15" s="44"/>
      <c r="AT15" s="44"/>
      <c r="AU15" s="44"/>
      <c r="AV15" s="44"/>
      <c r="AW15" s="44"/>
      <c r="AX15" s="44"/>
      <c r="AY15"/>
      <c r="AZ15"/>
      <c r="BA15"/>
      <c r="BB15"/>
      <c r="BC15"/>
      <c r="BD15"/>
      <c r="BE15"/>
      <c r="BF15"/>
      <c r="BG15"/>
      <c r="BH15"/>
      <c r="BI15"/>
      <c r="BJ15"/>
    </row>
    <row r="16" spans="1:62" x14ac:dyDescent="0.25">
      <c r="A16" s="44"/>
      <c r="B16" s="44"/>
      <c r="C16" s="44"/>
      <c r="D16" s="44"/>
      <c r="E16" s="44"/>
      <c r="F16" s="44"/>
      <c r="G16" s="44"/>
      <c r="H16" s="44"/>
      <c r="I16" s="44"/>
      <c r="J16" s="44"/>
      <c r="K16" s="44"/>
      <c r="L16" s="44"/>
      <c r="M16" s="44"/>
      <c r="N16" s="44"/>
      <c r="O16" s="44"/>
      <c r="P16" s="1209"/>
      <c r="Q16" s="1313"/>
      <c r="R16" s="1313"/>
      <c r="S16" s="1314"/>
      <c r="T16" s="250"/>
      <c r="U16" s="1312"/>
      <c r="V16" s="44"/>
      <c r="W16" s="44"/>
      <c r="X16" s="70"/>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c r="AZ16"/>
      <c r="BA16"/>
      <c r="BB16"/>
      <c r="BC16"/>
      <c r="BD16"/>
      <c r="BE16"/>
      <c r="BF16"/>
      <c r="BG16"/>
      <c r="BH16"/>
      <c r="BI16"/>
      <c r="BJ16"/>
    </row>
    <row r="17" spans="1:62" x14ac:dyDescent="0.25">
      <c r="A17" s="44"/>
      <c r="B17" s="44"/>
      <c r="C17" s="44"/>
      <c r="D17" s="44"/>
      <c r="E17" s="44"/>
      <c r="F17" s="44"/>
      <c r="G17" s="44"/>
      <c r="H17" s="44"/>
      <c r="I17" s="44"/>
      <c r="J17" s="44"/>
      <c r="K17" s="44"/>
      <c r="L17" s="44"/>
      <c r="M17" s="44"/>
      <c r="N17" s="44"/>
      <c r="O17" s="44"/>
      <c r="P17" s="1209"/>
      <c r="Q17" s="1313"/>
      <c r="R17" s="1313" t="s">
        <v>1584</v>
      </c>
      <c r="S17" s="1342" t="str">
        <f>fm_type</f>
        <v>Whole Maize</v>
      </c>
      <c r="T17" s="250"/>
      <c r="U17" s="1312"/>
      <c r="V17" s="44"/>
      <c r="W17" s="44"/>
      <c r="X17" s="70"/>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c r="AZ17"/>
      <c r="BA17"/>
      <c r="BB17"/>
      <c r="BC17"/>
      <c r="BD17"/>
      <c r="BE17"/>
      <c r="BF17"/>
      <c r="BG17"/>
      <c r="BH17"/>
      <c r="BI17"/>
      <c r="BJ17"/>
    </row>
    <row r="18" spans="1:62" x14ac:dyDescent="0.25">
      <c r="A18" s="44"/>
      <c r="B18" s="44"/>
      <c r="C18" s="44"/>
      <c r="D18" s="44"/>
      <c r="E18" s="44"/>
      <c r="F18" s="44"/>
      <c r="G18" s="44"/>
      <c r="H18" s="44"/>
      <c r="I18" s="44"/>
      <c r="J18" s="44"/>
      <c r="K18" s="44"/>
      <c r="L18" s="44"/>
      <c r="M18" s="44"/>
      <c r="N18" s="44"/>
      <c r="O18" s="44"/>
      <c r="P18" s="1209"/>
      <c r="Q18" s="1210"/>
      <c r="R18" s="1210"/>
      <c r="S18" s="1210"/>
      <c r="T18" s="250"/>
      <c r="U18" s="939"/>
      <c r="V18" s="44"/>
      <c r="W18" s="44"/>
      <c r="X18" s="70"/>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c r="AZ18"/>
      <c r="BA18"/>
      <c r="BB18"/>
      <c r="BC18"/>
      <c r="BD18"/>
      <c r="BE18"/>
      <c r="BF18"/>
      <c r="BG18"/>
      <c r="BH18"/>
      <c r="BI18"/>
      <c r="BJ18"/>
    </row>
    <row r="19" spans="1:62" x14ac:dyDescent="0.25">
      <c r="A19" s="44"/>
      <c r="B19" s="44"/>
      <c r="C19" s="44"/>
      <c r="D19" s="44"/>
      <c r="E19" s="44"/>
      <c r="F19" s="44"/>
      <c r="G19" s="44"/>
      <c r="H19" s="44"/>
      <c r="I19" s="44"/>
      <c r="J19" s="44"/>
      <c r="K19" s="44"/>
      <c r="L19" s="44"/>
      <c r="M19" s="44"/>
      <c r="N19" s="44"/>
      <c r="O19" s="44"/>
      <c r="P19" s="1209"/>
      <c r="Q19" s="1210"/>
      <c r="R19" s="1210" t="s">
        <v>1562</v>
      </c>
      <c r="S19" s="1343">
        <f>IF(fm_type="Whole Maize",fm_yield, cs_yield)</f>
        <v>40.630000000000003</v>
      </c>
      <c r="T19" s="80" t="s">
        <v>1317</v>
      </c>
      <c r="U19" s="939"/>
      <c r="V19" s="44"/>
      <c r="W19" s="44"/>
      <c r="X19" s="70"/>
      <c r="Y19" s="44"/>
      <c r="Z19" s="44"/>
      <c r="AA19" s="44"/>
      <c r="AB19" s="44"/>
      <c r="AC19" s="44"/>
      <c r="AD19" s="44"/>
      <c r="AE19" s="44"/>
      <c r="AF19" s="44"/>
      <c r="AG19" s="44"/>
      <c r="AH19" s="44"/>
      <c r="AI19" s="44"/>
      <c r="AJ19" s="44"/>
      <c r="AK19" s="44"/>
      <c r="AL19" s="44"/>
      <c r="AM19" s="44"/>
      <c r="AN19" s="44"/>
      <c r="AO19" s="44"/>
      <c r="AP19" s="44"/>
      <c r="AQ19" s="44"/>
      <c r="AR19" s="44"/>
      <c r="AS19" s="44"/>
      <c r="AT19" s="44"/>
      <c r="AU19" s="44"/>
      <c r="AV19" s="44"/>
      <c r="AW19" s="44"/>
      <c r="AX19" s="44"/>
      <c r="AY19"/>
      <c r="AZ19"/>
      <c r="BA19"/>
      <c r="BB19"/>
      <c r="BC19"/>
      <c r="BD19"/>
      <c r="BE19"/>
      <c r="BF19"/>
      <c r="BG19"/>
      <c r="BH19"/>
      <c r="BI19"/>
      <c r="BJ19"/>
    </row>
    <row r="20" spans="1:62" ht="13.8" thickBot="1" x14ac:dyDescent="0.3">
      <c r="A20" s="44"/>
      <c r="B20" s="44"/>
      <c r="C20" s="44"/>
      <c r="D20" s="44"/>
      <c r="E20" s="44"/>
      <c r="F20" s="44"/>
      <c r="G20" s="44"/>
      <c r="H20" s="44"/>
      <c r="I20" s="44"/>
      <c r="J20" s="44"/>
      <c r="K20" s="44"/>
      <c r="L20" s="44"/>
      <c r="M20" s="44"/>
      <c r="N20" s="44"/>
      <c r="O20" s="44"/>
      <c r="P20" s="1211"/>
      <c r="Q20" s="242"/>
      <c r="R20" s="242"/>
      <c r="S20" s="242"/>
      <c r="T20" s="242"/>
      <c r="U20" s="1212"/>
      <c r="V20" s="44"/>
      <c r="W20" s="44"/>
      <c r="X20" s="70"/>
      <c r="Y20" s="44"/>
      <c r="Z20" s="44"/>
      <c r="AA20" s="44"/>
      <c r="AB20" s="44"/>
      <c r="AC20" s="44"/>
      <c r="AD20" s="44"/>
      <c r="AE20" s="44"/>
      <c r="AF20" s="44"/>
      <c r="AG20" s="44"/>
      <c r="AH20" s="44"/>
      <c r="AI20" s="44"/>
      <c r="AJ20" s="44"/>
      <c r="AK20" s="44"/>
      <c r="AL20" s="44"/>
      <c r="AM20" s="44"/>
      <c r="AN20" s="44"/>
      <c r="AO20" s="44"/>
      <c r="AP20" s="44"/>
      <c r="AQ20" s="44"/>
      <c r="AR20" s="44"/>
      <c r="AS20" s="44"/>
      <c r="AT20" s="44"/>
      <c r="AU20" s="44"/>
      <c r="AV20" s="44"/>
      <c r="AW20" s="44"/>
      <c r="AX20" s="44"/>
      <c r="AY20"/>
      <c r="AZ20"/>
      <c r="BA20"/>
      <c r="BB20"/>
      <c r="BC20"/>
      <c r="BD20"/>
      <c r="BE20"/>
      <c r="BF20"/>
      <c r="BG20"/>
      <c r="BH20"/>
      <c r="BI20"/>
      <c r="BJ20"/>
    </row>
    <row r="21" spans="1:62" x14ac:dyDescent="0.25">
      <c r="A21" s="44"/>
      <c r="B21" s="44"/>
      <c r="C21" s="44"/>
      <c r="D21" s="44"/>
      <c r="E21" s="44"/>
      <c r="F21" s="44"/>
      <c r="G21" s="44"/>
      <c r="H21" s="44"/>
      <c r="I21" s="44"/>
      <c r="J21" s="44"/>
      <c r="K21" s="44"/>
      <c r="L21" s="44"/>
      <c r="M21" s="44"/>
      <c r="N21" s="44"/>
      <c r="O21" s="44"/>
      <c r="P21" s="70"/>
      <c r="Q21" s="70"/>
      <c r="R21" s="91"/>
      <c r="S21" s="92"/>
      <c r="T21" s="87"/>
      <c r="U21" s="87"/>
      <c r="V21" s="87"/>
      <c r="W21" s="87"/>
      <c r="X21" s="87"/>
      <c r="Y21" s="70"/>
      <c r="Z21" s="70"/>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c r="AZ21"/>
      <c r="BA21"/>
      <c r="BB21"/>
      <c r="BC21"/>
      <c r="BD21"/>
      <c r="BE21"/>
      <c r="BF21"/>
      <c r="BG21"/>
      <c r="BH21"/>
      <c r="BI21"/>
      <c r="BJ21"/>
    </row>
    <row r="22" spans="1:62" x14ac:dyDescent="0.25">
      <c r="A22" s="44"/>
      <c r="B22" s="44"/>
      <c r="C22" s="44"/>
      <c r="D22" s="44"/>
      <c r="E22" s="44"/>
      <c r="F22" s="44"/>
      <c r="G22" s="44"/>
      <c r="H22" s="44"/>
      <c r="I22" s="44"/>
      <c r="J22" s="44"/>
      <c r="K22" s="44"/>
      <c r="L22" s="44"/>
      <c r="M22" s="44"/>
      <c r="N22" s="44"/>
      <c r="O22" s="44"/>
      <c r="P22" s="70"/>
      <c r="Q22" s="70"/>
      <c r="R22" s="88"/>
      <c r="S22" s="70"/>
      <c r="T22" s="70"/>
      <c r="U22" s="70"/>
      <c r="V22" s="44"/>
      <c r="W22" s="44"/>
      <c r="X22" s="75"/>
      <c r="Y22" s="70"/>
      <c r="Z22" s="70"/>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c r="AZ22"/>
      <c r="BA22"/>
      <c r="BB22"/>
      <c r="BC22"/>
      <c r="BD22"/>
      <c r="BE22"/>
      <c r="BF22"/>
      <c r="BG22"/>
      <c r="BH22"/>
      <c r="BI22"/>
      <c r="BJ22"/>
    </row>
    <row r="23" spans="1:62" x14ac:dyDescent="0.25">
      <c r="A23" s="44"/>
      <c r="B23" s="44"/>
      <c r="C23" s="44"/>
      <c r="D23" s="44"/>
      <c r="E23" s="44"/>
      <c r="F23" s="44"/>
      <c r="G23" s="44"/>
      <c r="H23" s="44"/>
      <c r="I23" s="44"/>
      <c r="J23" s="44"/>
      <c r="K23" s="44"/>
      <c r="L23" s="44"/>
      <c r="M23" s="44"/>
      <c r="N23" s="44"/>
      <c r="O23" s="57"/>
      <c r="P23" s="46"/>
      <c r="Q23" s="46"/>
      <c r="R23" s="46"/>
      <c r="S23" s="46"/>
      <c r="T23" s="46"/>
      <c r="U23" s="47"/>
      <c r="V23" s="44"/>
      <c r="W23" s="424"/>
      <c r="X23" s="425"/>
      <c r="Y23" s="425"/>
      <c r="Z23" s="426"/>
      <c r="AA23" s="44"/>
      <c r="AB23" s="44"/>
      <c r="AC23" s="44"/>
      <c r="AD23" s="44"/>
      <c r="AE23" s="44"/>
      <c r="AF23" s="44"/>
      <c r="AG23" s="44"/>
      <c r="AH23" s="44"/>
      <c r="AI23" s="44"/>
      <c r="AJ23" s="44"/>
      <c r="AK23" s="44"/>
      <c r="AL23" s="44"/>
      <c r="AM23" s="44"/>
      <c r="AN23" s="44"/>
      <c r="AO23" s="44"/>
      <c r="AP23" s="44"/>
      <c r="AQ23" s="44"/>
      <c r="AR23" s="44"/>
      <c r="AS23" s="44"/>
      <c r="AT23" s="44"/>
      <c r="AU23" s="44"/>
      <c r="AV23" s="44"/>
      <c r="AW23" s="44"/>
      <c r="AX23" s="44"/>
      <c r="AY23"/>
      <c r="AZ23"/>
      <c r="BA23"/>
      <c r="BB23"/>
      <c r="BC23"/>
      <c r="BD23"/>
      <c r="BE23"/>
      <c r="BF23"/>
      <c r="BG23"/>
      <c r="BH23"/>
      <c r="BI23"/>
      <c r="BJ23"/>
    </row>
    <row r="24" spans="1:62" x14ac:dyDescent="0.25">
      <c r="A24" s="44"/>
      <c r="B24" s="44"/>
      <c r="C24" s="44"/>
      <c r="D24" s="44"/>
      <c r="E24" s="44"/>
      <c r="F24" s="44"/>
      <c r="G24" s="44"/>
      <c r="H24" s="44"/>
      <c r="I24" s="44"/>
      <c r="J24" s="44"/>
      <c r="K24" s="44"/>
      <c r="L24" s="44"/>
      <c r="M24" s="44"/>
      <c r="N24" s="44"/>
      <c r="O24" s="57"/>
      <c r="P24" s="49"/>
      <c r="Q24" s="1609" t="s">
        <v>1563</v>
      </c>
      <c r="R24" s="1595"/>
      <c r="S24" s="435">
        <f>IF((S39+S41+S43+S45)&gt;0,S51*100/(100-S47),S51)</f>
        <v>1</v>
      </c>
      <c r="T24" s="925" t="s">
        <v>1714</v>
      </c>
      <c r="U24" s="51"/>
      <c r="V24" s="44"/>
      <c r="W24" s="427"/>
      <c r="X24" s="887" t="s">
        <v>1612</v>
      </c>
      <c r="Y24" s="522">
        <f>IF(fm_type="Stover",gm_yield,0)</f>
        <v>0</v>
      </c>
      <c r="Z24" s="429" t="s">
        <v>1317</v>
      </c>
      <c r="AA24" s="44"/>
      <c r="AB24" s="44"/>
      <c r="AC24" s="44"/>
      <c r="AD24" s="44"/>
      <c r="AE24" s="44"/>
      <c r="AF24" s="44"/>
      <c r="AG24" s="44"/>
      <c r="AH24" s="44"/>
      <c r="AI24" s="44"/>
      <c r="AJ24" s="44"/>
      <c r="AK24" s="44"/>
      <c r="AL24" s="44"/>
      <c r="AM24" s="44"/>
      <c r="AN24" s="44"/>
      <c r="AO24" s="44"/>
      <c r="AP24" s="44"/>
      <c r="AQ24" s="44"/>
      <c r="AR24" s="44"/>
      <c r="AS24" s="44"/>
      <c r="AT24" s="44"/>
      <c r="AU24" s="44"/>
      <c r="AV24" s="44"/>
      <c r="AW24" s="44"/>
      <c r="AX24" s="44"/>
      <c r="AY24"/>
      <c r="AZ24"/>
      <c r="BA24"/>
      <c r="BB24"/>
      <c r="BC24"/>
      <c r="BD24"/>
      <c r="BE24"/>
      <c r="BF24"/>
      <c r="BG24"/>
      <c r="BH24"/>
      <c r="BI24"/>
      <c r="BJ24"/>
    </row>
    <row r="25" spans="1:62" x14ac:dyDescent="0.25">
      <c r="A25" s="44"/>
      <c r="B25" s="44"/>
      <c r="C25" s="44"/>
      <c r="D25" s="44"/>
      <c r="E25" s="44"/>
      <c r="F25" s="44"/>
      <c r="G25" s="44"/>
      <c r="H25" s="44"/>
      <c r="I25" s="44"/>
      <c r="J25" s="44"/>
      <c r="K25" s="44"/>
      <c r="L25" s="44"/>
      <c r="M25" s="44"/>
      <c r="N25" s="44"/>
      <c r="O25" s="57"/>
      <c r="P25" s="49"/>
      <c r="Q25" s="49"/>
      <c r="R25" s="49"/>
      <c r="S25" s="49"/>
      <c r="T25" s="49"/>
      <c r="U25" s="51"/>
      <c r="V25" s="44"/>
      <c r="W25" s="427"/>
      <c r="X25" s="428"/>
      <c r="Y25" s="428"/>
      <c r="Z25" s="429"/>
      <c r="AA25" s="44"/>
      <c r="AB25" s="44"/>
      <c r="AC25" s="44"/>
      <c r="AD25" s="44"/>
      <c r="AE25" s="44"/>
      <c r="AF25" s="44"/>
      <c r="AG25" s="44"/>
      <c r="AH25" s="44"/>
      <c r="AI25" s="44"/>
      <c r="AJ25" s="44"/>
      <c r="AK25" s="44"/>
      <c r="AL25" s="44"/>
      <c r="AM25" s="44"/>
      <c r="AN25" s="44"/>
      <c r="AO25" s="44"/>
      <c r="AP25" s="44"/>
      <c r="AQ25" s="44"/>
      <c r="AR25" s="44"/>
      <c r="AS25" s="44"/>
      <c r="AT25" s="44"/>
      <c r="AU25" s="44"/>
      <c r="AV25" s="44"/>
      <c r="AW25" s="44"/>
      <c r="AX25" s="44"/>
      <c r="AY25"/>
      <c r="AZ25"/>
      <c r="BA25"/>
      <c r="BB25"/>
      <c r="BC25"/>
      <c r="BD25"/>
      <c r="BE25"/>
      <c r="BF25"/>
      <c r="BG25"/>
      <c r="BH25"/>
      <c r="BI25"/>
      <c r="BJ25"/>
    </row>
    <row r="26" spans="1:62" x14ac:dyDescent="0.25">
      <c r="A26" s="44"/>
      <c r="B26" s="44"/>
      <c r="C26" s="44"/>
      <c r="D26" s="44"/>
      <c r="E26" s="44"/>
      <c r="F26" s="44"/>
      <c r="G26" s="44"/>
      <c r="H26" s="44"/>
      <c r="I26" s="44"/>
      <c r="J26" s="44"/>
      <c r="K26" s="44"/>
      <c r="L26" s="44"/>
      <c r="M26" s="44"/>
      <c r="N26" s="44"/>
      <c r="O26" s="57"/>
      <c r="P26" s="49"/>
      <c r="Q26" s="1594" t="s">
        <v>1564</v>
      </c>
      <c r="R26" s="1595"/>
      <c r="S26" s="522">
        <f>IF(fm_type="Whole Maize",fm_mois,cs_mois)</f>
        <v>68</v>
      </c>
      <c r="T26" s="49" t="s">
        <v>285</v>
      </c>
      <c r="U26" s="51"/>
      <c r="V26" s="44"/>
      <c r="W26" s="427"/>
      <c r="X26" s="601" t="s">
        <v>1613</v>
      </c>
      <c r="Y26" s="435">
        <f>Y24*S15</f>
        <v>0</v>
      </c>
      <c r="Z26" s="429" t="s">
        <v>1566</v>
      </c>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c r="AZ26"/>
      <c r="BA26"/>
      <c r="BB26"/>
      <c r="BC26"/>
      <c r="BD26"/>
      <c r="BE26"/>
      <c r="BF26"/>
      <c r="BG26"/>
      <c r="BH26"/>
      <c r="BI26"/>
      <c r="BJ26"/>
    </row>
    <row r="27" spans="1:62" x14ac:dyDescent="0.25">
      <c r="A27" s="44"/>
      <c r="B27" s="44"/>
      <c r="C27" s="44"/>
      <c r="D27" s="44"/>
      <c r="E27" s="44"/>
      <c r="F27" s="44"/>
      <c r="G27" s="44"/>
      <c r="H27" s="44"/>
      <c r="I27" s="44"/>
      <c r="J27" s="44"/>
      <c r="K27" s="44"/>
      <c r="L27" s="44"/>
      <c r="M27" s="44"/>
      <c r="N27" s="44"/>
      <c r="O27" s="57"/>
      <c r="P27" s="49"/>
      <c r="Q27" s="1311"/>
      <c r="R27" s="601"/>
      <c r="S27" s="431"/>
      <c r="T27" s="49"/>
      <c r="U27" s="51"/>
      <c r="V27" s="44"/>
      <c r="W27" s="427"/>
      <c r="X27" s="428"/>
      <c r="Y27" s="428"/>
      <c r="Z27" s="429"/>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c r="AZ27"/>
      <c r="BA27"/>
      <c r="BB27"/>
      <c r="BC27"/>
      <c r="BD27"/>
      <c r="BE27"/>
      <c r="BF27"/>
      <c r="BG27"/>
      <c r="BH27"/>
      <c r="BI27"/>
      <c r="BJ27"/>
    </row>
    <row r="28" spans="1:62" x14ac:dyDescent="0.25">
      <c r="A28" s="44"/>
      <c r="B28" s="44"/>
      <c r="C28" s="44"/>
      <c r="D28" s="44"/>
      <c r="E28" s="44"/>
      <c r="F28" s="44"/>
      <c r="G28" s="44"/>
      <c r="H28" s="44"/>
      <c r="I28" s="44"/>
      <c r="J28" s="44"/>
      <c r="K28" s="44"/>
      <c r="L28" s="44"/>
      <c r="M28" s="44"/>
      <c r="N28" s="44"/>
      <c r="O28" s="57"/>
      <c r="P28" s="49"/>
      <c r="Q28" s="1311"/>
      <c r="R28" s="1311" t="s">
        <v>1567</v>
      </c>
      <c r="S28" s="433">
        <f>CV_cs</f>
        <v>3730</v>
      </c>
      <c r="T28" s="925" t="s">
        <v>1715</v>
      </c>
      <c r="U28" s="51"/>
      <c r="V28" s="44"/>
      <c r="W28" s="427"/>
      <c r="X28" s="601" t="s">
        <v>1614</v>
      </c>
      <c r="Y28" s="522">
        <f>IF(fm_type="Stover",gm_mois,0)</f>
        <v>0</v>
      </c>
      <c r="Z28" s="429" t="s">
        <v>285</v>
      </c>
      <c r="AA28" s="44"/>
      <c r="AB28" s="44"/>
      <c r="AC28" s="44"/>
      <c r="AD28" s="44"/>
      <c r="AE28" s="44"/>
      <c r="AF28" s="44"/>
      <c r="AG28" s="44"/>
      <c r="AH28" s="44"/>
      <c r="AI28" s="44"/>
      <c r="AJ28" s="44"/>
      <c r="AK28" s="44"/>
      <c r="AL28" s="44"/>
      <c r="AM28" s="44"/>
      <c r="AN28" s="44"/>
      <c r="AO28" s="44"/>
      <c r="AP28" s="44"/>
      <c r="AQ28" s="44"/>
      <c r="AR28" s="44"/>
      <c r="AS28" s="44"/>
      <c r="AT28" s="44"/>
      <c r="AU28" s="44"/>
      <c r="AV28" s="44"/>
      <c r="AW28" s="44"/>
      <c r="AX28" s="44"/>
      <c r="AY28"/>
      <c r="AZ28"/>
      <c r="BA28"/>
      <c r="BB28"/>
      <c r="BC28"/>
      <c r="BD28"/>
      <c r="BE28"/>
      <c r="BF28"/>
      <c r="BG28"/>
      <c r="BH28"/>
      <c r="BI28"/>
      <c r="BJ28"/>
    </row>
    <row r="29" spans="1:62" x14ac:dyDescent="0.25">
      <c r="A29" s="44"/>
      <c r="B29" s="44"/>
      <c r="C29" s="44"/>
      <c r="D29" s="44"/>
      <c r="E29" s="44"/>
      <c r="F29" s="44"/>
      <c r="G29" s="44"/>
      <c r="H29" s="44"/>
      <c r="I29" s="44"/>
      <c r="J29" s="44"/>
      <c r="K29" s="44"/>
      <c r="L29" s="44"/>
      <c r="M29" s="44"/>
      <c r="N29" s="44"/>
      <c r="O29" s="57"/>
      <c r="P29" s="49"/>
      <c r="Q29" s="1311"/>
      <c r="R29" s="1311"/>
      <c r="S29" s="431"/>
      <c r="T29" s="49"/>
      <c r="U29" s="51"/>
      <c r="V29" s="44"/>
      <c r="W29" s="427"/>
      <c r="X29" s="428"/>
      <c r="Y29" s="428"/>
      <c r="Z29" s="429"/>
      <c r="AA29" s="44"/>
      <c r="AB29" s="44"/>
      <c r="AC29" s="44"/>
      <c r="AD29" s="44"/>
      <c r="AE29" s="44"/>
      <c r="AF29" s="44"/>
      <c r="AG29" s="44"/>
      <c r="AH29" s="44"/>
      <c r="AI29" s="44"/>
      <c r="AJ29" s="44"/>
      <c r="AK29" s="44"/>
      <c r="AL29" s="44"/>
      <c r="AM29" s="44"/>
      <c r="AN29" s="44"/>
      <c r="AO29" s="44"/>
      <c r="AP29" s="44"/>
      <c r="AQ29" s="44"/>
      <c r="AR29" s="44"/>
      <c r="AS29" s="44"/>
      <c r="AT29" s="44"/>
      <c r="AU29" s="44"/>
      <c r="AV29" s="44"/>
      <c r="AW29" s="44"/>
      <c r="AX29" s="44"/>
      <c r="AY29"/>
      <c r="AZ29"/>
      <c r="BA29"/>
      <c r="BB29"/>
      <c r="BC29"/>
      <c r="BD29"/>
      <c r="BE29"/>
      <c r="BF29"/>
      <c r="BG29"/>
      <c r="BH29"/>
      <c r="BI29"/>
      <c r="BJ29"/>
    </row>
    <row r="30" spans="1:62" x14ac:dyDescent="0.25">
      <c r="A30" s="44"/>
      <c r="B30" s="44"/>
      <c r="C30" s="44"/>
      <c r="D30" s="44"/>
      <c r="E30" s="44"/>
      <c r="F30" s="44"/>
      <c r="G30" s="44"/>
      <c r="H30" s="44"/>
      <c r="I30" s="44"/>
      <c r="J30" s="44"/>
      <c r="K30" s="44"/>
      <c r="L30" s="44"/>
      <c r="M30" s="44"/>
      <c r="N30" s="44"/>
      <c r="O30" s="57"/>
      <c r="P30" s="49"/>
      <c r="Q30" s="1311"/>
      <c r="R30" s="1311" t="s">
        <v>1569</v>
      </c>
      <c r="S30" s="538">
        <f>price_cs</f>
        <v>56.7</v>
      </c>
      <c r="T30" s="925" t="s">
        <v>1716</v>
      </c>
      <c r="U30" s="51"/>
      <c r="V30" s="44"/>
      <c r="W30" s="427"/>
      <c r="X30" s="601" t="s">
        <v>1615</v>
      </c>
      <c r="Y30" s="522">
        <f>IF(fm_type="Stover",CV_gm,0)</f>
        <v>0</v>
      </c>
      <c r="Z30" s="429" t="s">
        <v>1568</v>
      </c>
      <c r="AA30" s="44"/>
      <c r="AB30" s="44"/>
      <c r="AC30" s="44"/>
      <c r="AD30" s="44"/>
      <c r="AE30" s="44"/>
      <c r="AF30" s="44"/>
      <c r="AG30" s="44"/>
      <c r="AH30" s="44"/>
      <c r="AI30" s="44"/>
      <c r="AJ30" s="44"/>
      <c r="AK30" s="44"/>
      <c r="AL30" s="44"/>
      <c r="AM30" s="44"/>
      <c r="AN30" s="44"/>
      <c r="AO30" s="44"/>
      <c r="AP30" s="44"/>
      <c r="AQ30" s="44"/>
      <c r="AR30" s="44"/>
      <c r="AS30" s="44"/>
      <c r="AT30" s="44"/>
      <c r="AU30" s="44"/>
      <c r="AV30" s="44"/>
      <c r="AW30" s="44"/>
      <c r="AX30" s="44"/>
      <c r="AY30"/>
      <c r="AZ30"/>
      <c r="BA30"/>
      <c r="BB30"/>
      <c r="BC30"/>
      <c r="BD30"/>
      <c r="BE30"/>
      <c r="BF30"/>
      <c r="BG30"/>
      <c r="BH30"/>
      <c r="BI30"/>
      <c r="BJ30"/>
    </row>
    <row r="31" spans="1:62" x14ac:dyDescent="0.25">
      <c r="A31" s="44"/>
      <c r="B31" s="44"/>
      <c r="C31" s="44"/>
      <c r="D31" s="44"/>
      <c r="E31" s="44"/>
      <c r="F31" s="44"/>
      <c r="G31" s="44"/>
      <c r="H31" s="44"/>
      <c r="I31" s="44"/>
      <c r="J31" s="44"/>
      <c r="K31" s="44"/>
      <c r="L31" s="44"/>
      <c r="M31" s="44"/>
      <c r="N31" s="44"/>
      <c r="O31" s="57"/>
      <c r="P31" s="55"/>
      <c r="Q31" s="55"/>
      <c r="R31" s="55"/>
      <c r="S31" s="55"/>
      <c r="T31" s="55"/>
      <c r="U31" s="56"/>
      <c r="V31" s="44"/>
      <c r="W31" s="427"/>
      <c r="X31" s="428"/>
      <c r="Y31" s="428"/>
      <c r="Z31" s="429"/>
      <c r="AA31" s="44"/>
      <c r="AB31" s="44"/>
      <c r="AC31" s="44"/>
      <c r="AD31" s="44"/>
      <c r="AE31" s="44"/>
      <c r="AF31" s="44"/>
      <c r="AG31" s="44"/>
      <c r="AH31" s="44"/>
      <c r="AI31" s="44"/>
      <c r="AJ31" s="44"/>
      <c r="AK31" s="44"/>
      <c r="AL31" s="44"/>
      <c r="AM31" s="44"/>
      <c r="AN31" s="44"/>
      <c r="AO31" s="44"/>
      <c r="AP31" s="44"/>
      <c r="AQ31" s="44"/>
      <c r="AR31" s="44"/>
      <c r="AS31" s="44"/>
      <c r="AT31" s="44"/>
      <c r="AU31" s="44"/>
      <c r="AV31" s="44"/>
      <c r="AW31" s="44"/>
      <c r="AX31" s="44"/>
      <c r="AY31"/>
      <c r="AZ31"/>
      <c r="BA31"/>
      <c r="BB31"/>
      <c r="BC31"/>
      <c r="BD31"/>
      <c r="BE31"/>
      <c r="BF31"/>
      <c r="BG31"/>
      <c r="BH31"/>
      <c r="BI31"/>
      <c r="BJ31"/>
    </row>
    <row r="32" spans="1:62" ht="13.8" thickBot="1" x14ac:dyDescent="0.3">
      <c r="A32" s="44"/>
      <c r="B32" s="44"/>
      <c r="C32" s="44"/>
      <c r="D32" s="44"/>
      <c r="E32" s="44"/>
      <c r="F32" s="44"/>
      <c r="G32" s="44"/>
      <c r="H32" s="44"/>
      <c r="I32" s="44"/>
      <c r="J32" s="44"/>
      <c r="K32" s="44"/>
      <c r="L32" s="44"/>
      <c r="M32" s="44"/>
      <c r="N32" s="44"/>
      <c r="O32" s="44"/>
      <c r="P32" s="44"/>
      <c r="Q32" s="44"/>
      <c r="R32" s="57"/>
      <c r="S32" s="44"/>
      <c r="T32" s="44"/>
      <c r="U32" s="44"/>
      <c r="V32" s="44"/>
      <c r="W32" s="427"/>
      <c r="X32" s="601" t="s">
        <v>1616</v>
      </c>
      <c r="Y32" s="522">
        <f>IF(fm_type="Stover",price_gm,0)</f>
        <v>0</v>
      </c>
      <c r="Z32" s="429" t="s">
        <v>1570</v>
      </c>
      <c r="AA32" s="70"/>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c r="AZ32"/>
      <c r="BA32"/>
      <c r="BB32"/>
      <c r="BC32"/>
      <c r="BD32"/>
      <c r="BE32"/>
      <c r="BF32"/>
      <c r="BG32"/>
      <c r="BH32"/>
      <c r="BI32"/>
      <c r="BJ32"/>
    </row>
    <row r="33" spans="1:62" x14ac:dyDescent="0.25">
      <c r="A33" s="44"/>
      <c r="B33" s="44"/>
      <c r="C33" s="44"/>
      <c r="D33" s="44"/>
      <c r="E33" s="44"/>
      <c r="F33" s="44"/>
      <c r="G33" s="44"/>
      <c r="H33" s="44"/>
      <c r="I33" s="44"/>
      <c r="J33" s="44"/>
      <c r="K33" s="44"/>
      <c r="L33" s="44"/>
      <c r="M33" s="44"/>
      <c r="N33" s="44"/>
      <c r="O33" s="44"/>
      <c r="P33" s="279"/>
      <c r="Q33" s="58"/>
      <c r="R33" s="58"/>
      <c r="S33" s="58"/>
      <c r="T33" s="58"/>
      <c r="U33" s="59"/>
      <c r="V33" s="44"/>
      <c r="W33" s="430"/>
      <c r="X33" s="431"/>
      <c r="Y33" s="431"/>
      <c r="Z33" s="432"/>
      <c r="AA33" s="70"/>
      <c r="AB33" s="44"/>
      <c r="AC33" s="44"/>
      <c r="AD33" s="44"/>
      <c r="AE33" s="44"/>
      <c r="AF33" s="44"/>
      <c r="AG33" s="44"/>
      <c r="AH33" s="44"/>
      <c r="AI33" s="44"/>
      <c r="AJ33" s="44"/>
      <c r="AK33" s="44"/>
      <c r="AL33" s="44"/>
      <c r="AM33" s="44"/>
      <c r="AN33" s="44"/>
      <c r="AO33" s="44"/>
      <c r="AP33" s="44"/>
      <c r="AQ33" s="44"/>
      <c r="AR33" s="44"/>
      <c r="AS33" s="44"/>
      <c r="AT33" s="44"/>
      <c r="AU33" s="44"/>
      <c r="AV33" s="44"/>
      <c r="AW33" s="44"/>
      <c r="AX33" s="44"/>
      <c r="AY33"/>
      <c r="AZ33"/>
      <c r="BA33"/>
      <c r="BB33"/>
      <c r="BC33"/>
      <c r="BD33"/>
      <c r="BE33"/>
      <c r="BF33"/>
      <c r="BG33"/>
      <c r="BH33"/>
      <c r="BI33"/>
      <c r="BJ33"/>
    </row>
    <row r="34" spans="1:62" x14ac:dyDescent="0.25">
      <c r="A34" s="44"/>
      <c r="B34" s="44"/>
      <c r="C34" s="44"/>
      <c r="D34" s="44"/>
      <c r="E34" s="44"/>
      <c r="F34" s="44"/>
      <c r="G34" s="44"/>
      <c r="H34" s="44"/>
      <c r="I34" s="44"/>
      <c r="J34" s="44"/>
      <c r="K34" s="44"/>
      <c r="L34" s="44"/>
      <c r="M34" s="44"/>
      <c r="N34" s="44"/>
      <c r="O34" s="44"/>
      <c r="P34" s="1583" t="s">
        <v>161</v>
      </c>
      <c r="Q34" s="1584"/>
      <c r="R34" s="1584"/>
      <c r="S34" s="1584"/>
      <c r="T34" s="1584"/>
      <c r="U34" s="1585"/>
      <c r="V34" s="44"/>
      <c r="W34" s="70"/>
      <c r="X34" s="70"/>
      <c r="Y34" s="70"/>
      <c r="Z34" s="70"/>
      <c r="AA34" s="70"/>
      <c r="AB34" s="44"/>
      <c r="AC34" s="44"/>
      <c r="AD34" s="44"/>
      <c r="AE34" s="44"/>
      <c r="AF34" s="44"/>
      <c r="AG34" s="44"/>
      <c r="AH34" s="44"/>
      <c r="AI34" s="44"/>
      <c r="AJ34" s="44"/>
      <c r="AK34" s="44"/>
      <c r="AL34" s="44"/>
      <c r="AM34" s="44"/>
      <c r="AN34" s="44"/>
      <c r="AO34" s="44"/>
      <c r="AP34" s="44"/>
      <c r="AQ34" s="44"/>
      <c r="AR34" s="44"/>
      <c r="AS34" s="44"/>
      <c r="AT34" s="44"/>
      <c r="AU34" s="44"/>
      <c r="AV34" s="44"/>
      <c r="AW34" s="44"/>
      <c r="AX34" s="44"/>
      <c r="AY34"/>
      <c r="AZ34"/>
      <c r="BA34"/>
      <c r="BB34"/>
      <c r="BC34"/>
      <c r="BD34"/>
      <c r="BE34"/>
      <c r="BF34"/>
      <c r="BG34"/>
      <c r="BH34"/>
      <c r="BI34"/>
      <c r="BJ34"/>
    </row>
    <row r="35" spans="1:62" x14ac:dyDescent="0.25">
      <c r="A35" s="44"/>
      <c r="B35" s="44"/>
      <c r="C35" s="44"/>
      <c r="D35" s="44"/>
      <c r="E35" s="44"/>
      <c r="F35" s="44"/>
      <c r="G35" s="44"/>
      <c r="H35" s="44"/>
      <c r="I35" s="44"/>
      <c r="J35" s="44"/>
      <c r="K35" s="44"/>
      <c r="L35" s="44"/>
      <c r="M35" s="44"/>
      <c r="N35" s="44"/>
      <c r="O35" s="44"/>
      <c r="P35" s="1580" t="s">
        <v>162</v>
      </c>
      <c r="Q35" s="1581"/>
      <c r="R35" s="1581"/>
      <c r="S35" s="1581"/>
      <c r="T35" s="1581"/>
      <c r="U35" s="1582"/>
      <c r="V35" s="44"/>
      <c r="W35" s="70"/>
      <c r="X35" s="70"/>
      <c r="Y35" s="70"/>
      <c r="Z35" s="70"/>
      <c r="AA35" s="70"/>
      <c r="AB35" s="44"/>
      <c r="AC35" s="44"/>
      <c r="AD35" s="44"/>
      <c r="AE35" s="44"/>
      <c r="AF35" s="44"/>
      <c r="AG35" s="44"/>
      <c r="AH35" s="44"/>
      <c r="AI35" s="44"/>
      <c r="AJ35" s="44"/>
      <c r="AK35" s="44"/>
      <c r="AL35" s="44"/>
      <c r="AM35" s="44"/>
      <c r="AN35" s="44"/>
      <c r="AO35" s="44"/>
      <c r="AP35" s="44"/>
      <c r="AQ35" s="44"/>
      <c r="AR35" s="44"/>
      <c r="AS35" s="44"/>
      <c r="AT35" s="44"/>
      <c r="AU35" s="44"/>
      <c r="AV35" s="44"/>
      <c r="AW35" s="44"/>
      <c r="AX35" s="44"/>
      <c r="AY35"/>
      <c r="AZ35"/>
      <c r="BA35"/>
      <c r="BB35"/>
      <c r="BC35"/>
      <c r="BD35"/>
      <c r="BE35"/>
      <c r="BF35"/>
      <c r="BG35"/>
      <c r="BH35"/>
      <c r="BI35"/>
      <c r="BJ35"/>
    </row>
    <row r="36" spans="1:62" x14ac:dyDescent="0.25">
      <c r="A36" s="44"/>
      <c r="B36" s="44"/>
      <c r="C36" s="44"/>
      <c r="D36" s="44"/>
      <c r="E36" s="44"/>
      <c r="F36" s="44"/>
      <c r="G36" s="44"/>
      <c r="H36" s="44"/>
      <c r="I36" s="44"/>
      <c r="J36" s="44"/>
      <c r="K36" s="44"/>
      <c r="L36" s="44"/>
      <c r="M36" s="44"/>
      <c r="N36" s="44"/>
      <c r="O36" s="44"/>
      <c r="P36" s="60"/>
      <c r="Q36" s="61"/>
      <c r="R36" s="63"/>
      <c r="S36" s="63"/>
      <c r="T36" s="63"/>
      <c r="U36" s="62"/>
      <c r="V36" s="44"/>
      <c r="W36" s="70"/>
      <c r="X36" s="70"/>
      <c r="Y36" s="70"/>
      <c r="Z36" s="70"/>
      <c r="AA36" s="70"/>
      <c r="AB36" s="44"/>
      <c r="AC36" s="44"/>
      <c r="AD36" s="44"/>
      <c r="AE36" s="44"/>
      <c r="AF36" s="44"/>
      <c r="AG36" s="44"/>
      <c r="AH36" s="44"/>
      <c r="AI36" s="44"/>
      <c r="AJ36" s="44"/>
      <c r="AK36" s="44"/>
      <c r="AL36" s="44"/>
      <c r="AM36" s="44"/>
      <c r="AN36" s="44"/>
      <c r="AO36" s="44"/>
      <c r="AP36" s="44"/>
      <c r="AQ36" s="44"/>
      <c r="AR36" s="44"/>
      <c r="AS36" s="44"/>
      <c r="AT36" s="44"/>
      <c r="AU36" s="44"/>
      <c r="AV36" s="44"/>
      <c r="AW36" s="44"/>
      <c r="AX36" s="44"/>
      <c r="AY36"/>
      <c r="AZ36"/>
      <c r="BA36"/>
      <c r="BB36"/>
      <c r="BC36"/>
      <c r="BD36"/>
      <c r="BE36"/>
      <c r="BF36"/>
      <c r="BG36"/>
      <c r="BH36"/>
      <c r="BI36"/>
      <c r="BJ36"/>
    </row>
    <row r="37" spans="1:62" x14ac:dyDescent="0.25">
      <c r="A37" s="44"/>
      <c r="B37" s="44"/>
      <c r="C37" s="44"/>
      <c r="D37" s="44"/>
      <c r="E37" s="44"/>
      <c r="F37" s="44"/>
      <c r="G37" s="44"/>
      <c r="H37" s="44"/>
      <c r="I37" s="44"/>
      <c r="J37" s="44"/>
      <c r="K37" s="44"/>
      <c r="L37" s="44"/>
      <c r="M37" s="44"/>
      <c r="N37" s="44"/>
      <c r="O37" s="44"/>
      <c r="P37" s="60"/>
      <c r="Q37" s="1596" t="s">
        <v>572</v>
      </c>
      <c r="R37" s="1597"/>
      <c r="S37" s="65">
        <f>tr_f_pl_1_truck</f>
        <v>44</v>
      </c>
      <c r="T37" s="226" t="s">
        <v>570</v>
      </c>
      <c r="U37" s="62"/>
      <c r="V37" s="44"/>
      <c r="W37" s="70"/>
      <c r="X37" s="70"/>
      <c r="Y37" s="70"/>
      <c r="Z37" s="70"/>
      <c r="AA37" s="70"/>
      <c r="AB37" s="44"/>
      <c r="AC37" s="44"/>
      <c r="AD37" s="44"/>
      <c r="AE37" s="44"/>
      <c r="AF37" s="44"/>
      <c r="AG37" s="44"/>
      <c r="AH37" s="44"/>
      <c r="AI37" s="44"/>
      <c r="AJ37" s="44"/>
      <c r="AK37" s="44"/>
      <c r="AL37" s="44"/>
      <c r="AM37" s="44"/>
      <c r="AN37" s="44"/>
      <c r="AO37" s="44"/>
      <c r="AP37" s="44"/>
      <c r="AQ37" s="44"/>
      <c r="AR37" s="44"/>
      <c r="AS37" s="44"/>
      <c r="AT37" s="44"/>
      <c r="AU37" s="44"/>
      <c r="AV37" s="44"/>
      <c r="AW37" s="44"/>
      <c r="AX37" s="44"/>
      <c r="AY37"/>
      <c r="AZ37"/>
      <c r="BA37"/>
      <c r="BB37"/>
      <c r="BC37"/>
      <c r="BD37"/>
      <c r="BE37"/>
      <c r="BF37"/>
      <c r="BG37"/>
      <c r="BH37"/>
      <c r="BI37"/>
      <c r="BJ37"/>
    </row>
    <row r="38" spans="1:62" x14ac:dyDescent="0.25">
      <c r="A38" s="44"/>
      <c r="B38" s="44"/>
      <c r="C38" s="44"/>
      <c r="D38" s="44"/>
      <c r="E38" s="44"/>
      <c r="F38" s="44"/>
      <c r="G38" s="44"/>
      <c r="H38" s="44"/>
      <c r="I38" s="44"/>
      <c r="J38" s="44"/>
      <c r="K38" s="44"/>
      <c r="L38" s="44"/>
      <c r="M38" s="44"/>
      <c r="N38" s="44"/>
      <c r="O38" s="44"/>
      <c r="P38" s="60"/>
      <c r="Q38" s="64"/>
      <c r="R38" s="64"/>
      <c r="S38" s="82"/>
      <c r="T38" s="80"/>
      <c r="U38" s="62"/>
      <c r="V38" s="44"/>
      <c r="W38" s="70"/>
      <c r="X38" s="70"/>
      <c r="Y38" s="70"/>
      <c r="Z38" s="70"/>
      <c r="AA38" s="70"/>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c r="AZ38"/>
      <c r="BA38"/>
      <c r="BB38"/>
      <c r="BC38"/>
      <c r="BD38"/>
      <c r="BE38"/>
      <c r="BF38"/>
      <c r="BG38"/>
      <c r="BH38"/>
      <c r="BI38"/>
      <c r="BJ38"/>
    </row>
    <row r="39" spans="1:62" x14ac:dyDescent="0.25">
      <c r="A39" s="44"/>
      <c r="B39" s="44"/>
      <c r="C39" s="44"/>
      <c r="D39" s="44"/>
      <c r="E39" s="44"/>
      <c r="F39" s="44"/>
      <c r="G39" s="44"/>
      <c r="H39" s="44"/>
      <c r="I39" s="44"/>
      <c r="J39" s="44"/>
      <c r="K39" s="44"/>
      <c r="L39" s="44"/>
      <c r="M39" s="44"/>
      <c r="N39" s="44"/>
      <c r="O39" s="44"/>
      <c r="P39" s="1598" t="s">
        <v>164</v>
      </c>
      <c r="Q39" s="1590"/>
      <c r="R39" s="1591"/>
      <c r="S39" s="65">
        <f>IF(tr_f_pl_1_mode="road",tr_f_pl_1_km,0)</f>
        <v>40</v>
      </c>
      <c r="T39" s="226" t="s">
        <v>427</v>
      </c>
      <c r="U39" s="83"/>
      <c r="V39" s="44"/>
      <c r="W39" s="70"/>
      <c r="X39" s="70"/>
      <c r="Y39" s="70"/>
      <c r="Z39" s="70"/>
      <c r="AA39" s="70"/>
      <c r="AB39" s="44"/>
      <c r="AC39" s="44"/>
      <c r="AD39" s="44"/>
      <c r="AE39" s="44"/>
      <c r="AF39" s="44"/>
      <c r="AG39" s="44"/>
      <c r="AH39" s="44"/>
      <c r="AI39" s="44"/>
      <c r="AJ39" s="44"/>
      <c r="AK39" s="44"/>
      <c r="AL39" s="44"/>
      <c r="AM39" s="44"/>
      <c r="AN39" s="44"/>
      <c r="AO39" s="44"/>
      <c r="AP39" s="44"/>
      <c r="AQ39" s="44"/>
      <c r="AR39" s="44"/>
      <c r="AS39" s="44"/>
      <c r="AT39" s="44"/>
      <c r="AU39" s="44"/>
      <c r="AV39" s="44"/>
      <c r="AW39" s="44"/>
      <c r="AX39" s="44"/>
      <c r="AY39"/>
      <c r="AZ39"/>
      <c r="BA39"/>
      <c r="BB39"/>
      <c r="BC39"/>
      <c r="BD39"/>
      <c r="BE39"/>
      <c r="BF39"/>
      <c r="BG39"/>
      <c r="BH39"/>
      <c r="BI39"/>
      <c r="BJ39"/>
    </row>
    <row r="40" spans="1:62" x14ac:dyDescent="0.25">
      <c r="A40" s="44"/>
      <c r="B40" s="44"/>
      <c r="C40" s="44"/>
      <c r="D40" s="44"/>
      <c r="E40" s="44"/>
      <c r="F40" s="44"/>
      <c r="G40" s="44"/>
      <c r="H40" s="44"/>
      <c r="I40" s="44"/>
      <c r="J40" s="44"/>
      <c r="K40" s="44"/>
      <c r="L40" s="44"/>
      <c r="M40" s="44"/>
      <c r="N40" s="44"/>
      <c r="O40" s="44"/>
      <c r="P40" s="60"/>
      <c r="Q40" s="64"/>
      <c r="R40" s="64"/>
      <c r="S40" s="82"/>
      <c r="T40" s="80"/>
      <c r="U40" s="62"/>
      <c r="V40" s="44"/>
      <c r="W40" s="70"/>
      <c r="X40" s="70"/>
      <c r="Y40" s="70"/>
      <c r="Z40" s="70"/>
      <c r="AA40" s="70"/>
      <c r="AB40" s="44"/>
      <c r="AC40" s="44"/>
      <c r="AD40" s="44"/>
      <c r="AE40" s="44"/>
      <c r="AF40" s="44"/>
      <c r="AG40" s="44"/>
      <c r="AH40" s="44"/>
      <c r="AI40" s="44"/>
      <c r="AJ40" s="44"/>
      <c r="AK40" s="44"/>
      <c r="AL40" s="44"/>
      <c r="AM40" s="44"/>
      <c r="AN40" s="44"/>
      <c r="AO40" s="44"/>
      <c r="AP40" s="44"/>
      <c r="AQ40" s="44"/>
      <c r="AR40" s="44"/>
      <c r="AS40" s="44"/>
      <c r="AT40" s="44"/>
      <c r="AU40" s="44"/>
      <c r="AV40" s="44"/>
      <c r="AW40" s="44"/>
      <c r="AX40" s="44"/>
      <c r="AY40"/>
      <c r="AZ40"/>
      <c r="BA40"/>
      <c r="BB40"/>
      <c r="BC40"/>
      <c r="BD40"/>
      <c r="BE40"/>
      <c r="BF40"/>
      <c r="BG40"/>
      <c r="BH40"/>
      <c r="BI40"/>
      <c r="BJ40"/>
    </row>
    <row r="41" spans="1:62" x14ac:dyDescent="0.25">
      <c r="A41" s="44"/>
      <c r="B41" s="44"/>
      <c r="C41" s="44"/>
      <c r="D41" s="44"/>
      <c r="E41" s="44"/>
      <c r="F41" s="44"/>
      <c r="G41" s="44"/>
      <c r="H41" s="44"/>
      <c r="I41" s="44"/>
      <c r="J41" s="44"/>
      <c r="K41" s="44"/>
      <c r="L41" s="44"/>
      <c r="M41" s="44"/>
      <c r="N41" s="44"/>
      <c r="O41" s="44"/>
      <c r="P41" s="1598" t="s">
        <v>165</v>
      </c>
      <c r="Q41" s="1590"/>
      <c r="R41" s="1591"/>
      <c r="S41" s="65">
        <f>IF(tr_f_pl_1_mode="rail",tr_f_pl_1_km,0)</f>
        <v>0</v>
      </c>
      <c r="T41" s="226" t="s">
        <v>427</v>
      </c>
      <c r="U41" s="83"/>
      <c r="V41" s="44"/>
      <c r="W41" s="70"/>
      <c r="X41" s="70"/>
      <c r="Y41" s="70"/>
      <c r="Z41" s="70"/>
      <c r="AA41" s="70"/>
      <c r="AB41" s="44"/>
      <c r="AC41" s="44"/>
      <c r="AD41" s="44"/>
      <c r="AE41" s="44"/>
      <c r="AF41" s="44"/>
      <c r="AG41" s="44"/>
      <c r="AH41" s="44"/>
      <c r="AI41" s="44"/>
      <c r="AJ41" s="44"/>
      <c r="AK41" s="44"/>
      <c r="AL41" s="44"/>
      <c r="AM41" s="44"/>
      <c r="AN41" s="44"/>
      <c r="AO41" s="44"/>
      <c r="AP41" s="44"/>
      <c r="AQ41" s="44"/>
      <c r="AR41" s="44"/>
      <c r="AS41" s="44"/>
      <c r="AT41" s="44"/>
      <c r="AU41" s="44"/>
      <c r="AV41" s="44"/>
      <c r="AW41" s="44"/>
      <c r="AX41" s="44"/>
      <c r="AY41"/>
      <c r="AZ41"/>
      <c r="BA41"/>
      <c r="BB41"/>
      <c r="BC41"/>
      <c r="BD41"/>
      <c r="BE41"/>
      <c r="BF41"/>
      <c r="BG41"/>
      <c r="BH41"/>
      <c r="BI41"/>
      <c r="BJ41"/>
    </row>
    <row r="42" spans="1:62" x14ac:dyDescent="0.25">
      <c r="A42" s="44"/>
      <c r="B42" s="44"/>
      <c r="C42" s="44"/>
      <c r="D42" s="44"/>
      <c r="E42" s="44"/>
      <c r="F42" s="44"/>
      <c r="G42" s="44"/>
      <c r="H42" s="44"/>
      <c r="I42" s="44"/>
      <c r="J42" s="44"/>
      <c r="K42" s="44"/>
      <c r="L42" s="44"/>
      <c r="M42" s="44"/>
      <c r="N42" s="44"/>
      <c r="O42" s="44"/>
      <c r="P42" s="60"/>
      <c r="Q42" s="64"/>
      <c r="R42" s="64"/>
      <c r="S42" s="82"/>
      <c r="T42" s="80"/>
      <c r="U42" s="62"/>
      <c r="V42" s="44"/>
      <c r="W42" s="70"/>
      <c r="X42" s="70"/>
      <c r="Y42" s="70"/>
      <c r="Z42" s="70"/>
      <c r="AA42" s="70"/>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c r="AZ42"/>
      <c r="BA42"/>
      <c r="BB42"/>
      <c r="BC42"/>
      <c r="BD42"/>
      <c r="BE42"/>
      <c r="BF42"/>
      <c r="BG42"/>
      <c r="BH42"/>
      <c r="BI42"/>
      <c r="BJ42"/>
    </row>
    <row r="43" spans="1:62" x14ac:dyDescent="0.25">
      <c r="A43" s="44"/>
      <c r="B43" s="44"/>
      <c r="C43" s="44"/>
      <c r="D43" s="44"/>
      <c r="E43" s="44"/>
      <c r="F43" s="44"/>
      <c r="G43" s="44"/>
      <c r="H43" s="44"/>
      <c r="I43" s="44"/>
      <c r="J43" s="44"/>
      <c r="K43" s="44"/>
      <c r="L43" s="44"/>
      <c r="M43" s="44"/>
      <c r="N43" s="44"/>
      <c r="O43" s="44"/>
      <c r="P43" s="1598" t="s">
        <v>166</v>
      </c>
      <c r="Q43" s="1590"/>
      <c r="R43" s="1591"/>
      <c r="S43" s="65">
        <f>IF(tr_f_pl_1_mode="barge",tr_f_pl_1_km,0)</f>
        <v>0</v>
      </c>
      <c r="T43" s="226" t="s">
        <v>427</v>
      </c>
      <c r="U43" s="62"/>
      <c r="V43" s="44"/>
      <c r="W43" s="44"/>
      <c r="X43" s="44"/>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c r="AZ43"/>
      <c r="BA43"/>
      <c r="BB43"/>
      <c r="BC43"/>
      <c r="BD43"/>
      <c r="BE43"/>
      <c r="BF43"/>
      <c r="BG43"/>
      <c r="BH43"/>
      <c r="BI43"/>
      <c r="BJ43"/>
    </row>
    <row r="44" spans="1:62" x14ac:dyDescent="0.25">
      <c r="A44" s="44"/>
      <c r="B44" s="44"/>
      <c r="C44" s="44"/>
      <c r="D44" s="44"/>
      <c r="E44" s="44"/>
      <c r="F44" s="44"/>
      <c r="G44" s="44"/>
      <c r="H44" s="44"/>
      <c r="I44" s="44"/>
      <c r="J44" s="44"/>
      <c r="K44" s="44"/>
      <c r="L44" s="44"/>
      <c r="M44" s="44"/>
      <c r="N44" s="44"/>
      <c r="O44" s="44"/>
      <c r="P44" s="60"/>
      <c r="Q44" s="64"/>
      <c r="R44" s="64"/>
      <c r="S44" s="82"/>
      <c r="T44" s="80"/>
      <c r="U44" s="62"/>
      <c r="V44" s="44"/>
      <c r="W44" s="44"/>
      <c r="X44" s="44"/>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c r="AZ44"/>
      <c r="BA44"/>
      <c r="BB44"/>
      <c r="BC44"/>
      <c r="BD44"/>
      <c r="BE44"/>
      <c r="BF44"/>
      <c r="BG44"/>
      <c r="BH44"/>
      <c r="BI44"/>
      <c r="BJ44"/>
    </row>
    <row r="45" spans="1:62" x14ac:dyDescent="0.25">
      <c r="A45" s="44"/>
      <c r="B45" s="44"/>
      <c r="C45" s="44"/>
      <c r="D45" s="44"/>
      <c r="E45" s="44"/>
      <c r="F45" s="44"/>
      <c r="G45" s="44"/>
      <c r="H45" s="44"/>
      <c r="I45" s="44"/>
      <c r="J45" s="44"/>
      <c r="K45" s="44"/>
      <c r="L45" s="44"/>
      <c r="M45" s="44"/>
      <c r="N45" s="44"/>
      <c r="O45" s="44"/>
      <c r="P45" s="1598" t="s">
        <v>167</v>
      </c>
      <c r="Q45" s="1590"/>
      <c r="R45" s="1591"/>
      <c r="S45" s="65">
        <f>IF(tr_f_pl_1_mode="ship",tr_f_pl_1_km,0)</f>
        <v>0</v>
      </c>
      <c r="T45" s="226" t="s">
        <v>427</v>
      </c>
      <c r="U45" s="62"/>
      <c r="V45" s="44"/>
      <c r="W45" s="44"/>
      <c r="X45" s="44"/>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c r="AZ45"/>
      <c r="BA45"/>
      <c r="BB45"/>
      <c r="BC45"/>
      <c r="BD45"/>
      <c r="BE45"/>
      <c r="BF45"/>
      <c r="BG45"/>
      <c r="BH45"/>
      <c r="BI45"/>
      <c r="BJ45"/>
    </row>
    <row r="46" spans="1:62" x14ac:dyDescent="0.25">
      <c r="A46" s="44"/>
      <c r="B46" s="44"/>
      <c r="C46" s="44"/>
      <c r="D46" s="44"/>
      <c r="E46" s="44"/>
      <c r="F46" s="44"/>
      <c r="G46" s="44"/>
      <c r="H46" s="44"/>
      <c r="I46" s="44"/>
      <c r="J46" s="44"/>
      <c r="K46" s="44"/>
      <c r="L46" s="44"/>
      <c r="M46" s="44"/>
      <c r="N46" s="44"/>
      <c r="O46" s="44"/>
      <c r="P46" s="60"/>
      <c r="Q46" s="80"/>
      <c r="S46" s="33"/>
      <c r="U46" s="62"/>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c r="AZ46"/>
      <c r="BA46"/>
      <c r="BB46"/>
      <c r="BC46"/>
      <c r="BD46"/>
      <c r="BE46"/>
      <c r="BF46"/>
      <c r="BG46"/>
      <c r="BH46"/>
      <c r="BI46"/>
      <c r="BJ46"/>
    </row>
    <row r="47" spans="1:62" x14ac:dyDescent="0.25">
      <c r="A47" s="44"/>
      <c r="B47" s="44"/>
      <c r="C47" s="44"/>
      <c r="D47" s="44"/>
      <c r="E47" s="44"/>
      <c r="F47" s="44"/>
      <c r="G47" s="44"/>
      <c r="H47" s="44"/>
      <c r="I47" s="44"/>
      <c r="J47" s="44"/>
      <c r="K47" s="44"/>
      <c r="L47" s="44"/>
      <c r="M47" s="44"/>
      <c r="N47" s="44"/>
      <c r="O47" s="44"/>
      <c r="P47" s="60"/>
      <c r="Q47" s="80"/>
      <c r="R47" s="64" t="s">
        <v>163</v>
      </c>
      <c r="S47" s="81">
        <f>tr_f_pl_1_loss</f>
        <v>0</v>
      </c>
      <c r="T47" s="80" t="s">
        <v>285</v>
      </c>
      <c r="U47" s="62"/>
      <c r="V47" s="44"/>
      <c r="W47" s="44"/>
      <c r="X47" s="44"/>
      <c r="Y47" s="44"/>
      <c r="Z47" s="44"/>
      <c r="AA47" s="44"/>
      <c r="AB47" s="44"/>
      <c r="AC47" s="44"/>
      <c r="AD47" s="44"/>
      <c r="AE47" s="44"/>
      <c r="AF47" s="44"/>
      <c r="AG47" s="44"/>
      <c r="AH47" s="44"/>
      <c r="AI47" s="44"/>
      <c r="AJ47" s="44"/>
      <c r="AK47" s="44"/>
      <c r="AL47" s="44"/>
      <c r="AM47" s="44"/>
      <c r="AN47" s="44"/>
      <c r="AO47" s="44"/>
      <c r="AP47" s="44"/>
      <c r="AQ47" s="44"/>
      <c r="AR47" s="44"/>
      <c r="AS47" s="44"/>
      <c r="AT47" s="44"/>
      <c r="AU47" s="44"/>
      <c r="AV47" s="44"/>
      <c r="AW47" s="44"/>
      <c r="AX47" s="44"/>
      <c r="AY47"/>
      <c r="AZ47"/>
      <c r="BA47"/>
      <c r="BB47"/>
      <c r="BC47"/>
      <c r="BD47"/>
      <c r="BE47"/>
      <c r="BF47"/>
      <c r="BG47"/>
      <c r="BH47"/>
      <c r="BI47"/>
      <c r="BJ47"/>
    </row>
    <row r="48" spans="1:62" ht="13.8" thickBot="1" x14ac:dyDescent="0.3">
      <c r="A48" s="44"/>
      <c r="B48" s="44"/>
      <c r="C48" s="44"/>
      <c r="D48" s="44"/>
      <c r="E48" s="44"/>
      <c r="F48" s="44"/>
      <c r="G48" s="44"/>
      <c r="H48" s="44"/>
      <c r="I48" s="44"/>
      <c r="J48" s="44"/>
      <c r="K48" s="44"/>
      <c r="L48" s="44"/>
      <c r="M48" s="44"/>
      <c r="N48" s="44"/>
      <c r="O48" s="44"/>
      <c r="P48" s="67"/>
      <c r="Q48" s="84"/>
      <c r="R48" s="84"/>
      <c r="S48" s="85"/>
      <c r="T48" s="68"/>
      <c r="U48" s="69"/>
      <c r="V48" s="44"/>
      <c r="W48" s="44"/>
      <c r="X48" s="44"/>
      <c r="Y48" s="44"/>
      <c r="Z48" s="44"/>
      <c r="AA48" s="44"/>
      <c r="AB48" s="44"/>
      <c r="AC48" s="44"/>
      <c r="AD48" s="44"/>
      <c r="AE48" s="44"/>
      <c r="AF48" s="44"/>
      <c r="AG48" s="44"/>
      <c r="AH48" s="44"/>
      <c r="AI48" s="44"/>
      <c r="AJ48" s="44"/>
      <c r="AK48" s="44"/>
      <c r="AL48" s="44"/>
      <c r="AM48" s="44"/>
      <c r="AN48" s="44"/>
      <c r="AO48" s="44"/>
      <c r="AP48" s="44"/>
      <c r="AQ48" s="44"/>
      <c r="AR48" s="44"/>
      <c r="AS48" s="44"/>
      <c r="AT48" s="44"/>
      <c r="AU48" s="44"/>
      <c r="AV48" s="44"/>
      <c r="AW48" s="44"/>
      <c r="AX48" s="44"/>
      <c r="AY48"/>
      <c r="AZ48"/>
      <c r="BA48"/>
      <c r="BB48"/>
      <c r="BC48"/>
      <c r="BD48"/>
      <c r="BE48"/>
      <c r="BF48"/>
      <c r="BG48"/>
      <c r="BH48"/>
      <c r="BI48"/>
      <c r="BJ48"/>
    </row>
    <row r="49" spans="1:62" x14ac:dyDescent="0.25">
      <c r="A49" s="44"/>
      <c r="B49" s="44"/>
      <c r="C49" s="44"/>
      <c r="D49" s="44"/>
      <c r="E49" s="44"/>
      <c r="F49" s="44"/>
      <c r="G49" s="44"/>
      <c r="H49" s="44"/>
      <c r="I49" s="44"/>
      <c r="J49" s="44"/>
      <c r="K49" s="44"/>
      <c r="L49" s="44"/>
      <c r="M49" s="44"/>
      <c r="N49" s="44"/>
      <c r="O49" s="44"/>
      <c r="P49" s="70"/>
      <c r="Q49" s="215"/>
      <c r="R49" s="216"/>
      <c r="S49" s="134"/>
      <c r="T49" s="70"/>
      <c r="U49" s="70"/>
      <c r="V49" s="44"/>
      <c r="W49" s="44"/>
      <c r="X49" s="44"/>
      <c r="Y49" s="44"/>
      <c r="Z49" s="44"/>
      <c r="AA49" s="44"/>
      <c r="AB49" s="44"/>
      <c r="AC49" s="44"/>
      <c r="AD49" s="44"/>
      <c r="AE49" s="44"/>
      <c r="AF49" s="44"/>
      <c r="AG49" s="44"/>
      <c r="AH49" s="44"/>
      <c r="AI49" s="44"/>
      <c r="AJ49" s="44"/>
      <c r="AK49" s="44"/>
      <c r="AL49" s="44"/>
      <c r="AM49" s="44"/>
      <c r="AN49" s="44"/>
      <c r="AO49" s="44"/>
      <c r="AP49" s="44"/>
      <c r="AQ49" s="44"/>
      <c r="AR49" s="44"/>
      <c r="AS49" s="44"/>
      <c r="AT49" s="44"/>
      <c r="AU49" s="44"/>
      <c r="AV49" s="44"/>
      <c r="AW49" s="44"/>
      <c r="AX49" s="44"/>
      <c r="AY49"/>
      <c r="AZ49"/>
      <c r="BA49"/>
      <c r="BB49"/>
      <c r="BC49"/>
      <c r="BD49"/>
      <c r="BE49"/>
      <c r="BF49"/>
      <c r="BG49"/>
      <c r="BH49"/>
      <c r="BI49"/>
      <c r="BJ49"/>
    </row>
    <row r="50" spans="1:62" x14ac:dyDescent="0.25">
      <c r="A50" s="44"/>
      <c r="B50" s="44"/>
      <c r="C50" s="44"/>
      <c r="D50" s="44"/>
      <c r="E50" s="44"/>
      <c r="F50" s="44"/>
      <c r="G50" s="44"/>
      <c r="H50" s="44"/>
      <c r="I50" s="44"/>
      <c r="J50" s="44"/>
      <c r="K50" s="44"/>
      <c r="L50" s="44"/>
      <c r="M50" s="44"/>
      <c r="N50" s="44"/>
      <c r="O50" s="44"/>
      <c r="P50" s="287"/>
      <c r="Q50" s="46"/>
      <c r="R50" s="49"/>
      <c r="S50" s="46"/>
      <c r="T50" s="46"/>
      <c r="U50" s="47"/>
      <c r="V50" s="44"/>
      <c r="W50" s="44"/>
      <c r="X50" s="44"/>
      <c r="Y50" s="44"/>
      <c r="Z50" s="44"/>
      <c r="AA50" s="44"/>
      <c r="AB50" s="44"/>
      <c r="AC50" s="44"/>
      <c r="AD50" s="44"/>
      <c r="AE50" s="44"/>
      <c r="AF50" s="44"/>
      <c r="AG50" s="44"/>
      <c r="AH50" s="44"/>
      <c r="AI50" s="44"/>
      <c r="AJ50" s="44"/>
      <c r="AK50" s="44"/>
      <c r="AL50" s="44"/>
      <c r="AM50" s="44"/>
      <c r="AN50" s="44"/>
      <c r="AO50" s="44"/>
      <c r="AP50" s="44"/>
      <c r="AQ50" s="44"/>
      <c r="AR50" s="44"/>
      <c r="AS50" s="44"/>
      <c r="AT50" s="44"/>
      <c r="AU50" s="44"/>
      <c r="AV50" s="44"/>
      <c r="AW50" s="44"/>
      <c r="AX50" s="44"/>
      <c r="AY50"/>
      <c r="AZ50"/>
      <c r="BA50"/>
      <c r="BB50"/>
      <c r="BC50"/>
      <c r="BD50"/>
      <c r="BE50"/>
      <c r="BF50"/>
      <c r="BG50"/>
      <c r="BH50"/>
      <c r="BI50"/>
      <c r="BJ50"/>
    </row>
    <row r="51" spans="1:62" x14ac:dyDescent="0.25">
      <c r="A51" s="44"/>
      <c r="B51" s="44"/>
      <c r="C51" s="44"/>
      <c r="D51" s="44"/>
      <c r="E51" s="44"/>
      <c r="F51" s="44"/>
      <c r="G51" s="44"/>
      <c r="H51" s="44"/>
      <c r="I51" s="44"/>
      <c r="J51" s="44"/>
      <c r="K51" s="44"/>
      <c r="L51" s="44"/>
      <c r="M51" s="44"/>
      <c r="N51" s="44"/>
      <c r="O51" s="44"/>
      <c r="P51" s="1592" t="s">
        <v>1571</v>
      </c>
      <c r="Q51" s="1594"/>
      <c r="R51" s="1595"/>
      <c r="S51" s="78">
        <f>IF((S60+S62+S64+S66)&gt;0,S72*(100/(100-S68)),S72)</f>
        <v>1</v>
      </c>
      <c r="T51" s="925" t="s">
        <v>1714</v>
      </c>
      <c r="U51" s="51" t="s">
        <v>159</v>
      </c>
      <c r="V51" s="44"/>
      <c r="W51" s="44"/>
      <c r="X51" s="44"/>
      <c r="Y51" s="44"/>
      <c r="Z51" s="44"/>
      <c r="AA51" s="44"/>
      <c r="AB51" s="44"/>
      <c r="AC51" s="44"/>
      <c r="AD51" s="44"/>
      <c r="AE51" s="44"/>
      <c r="AF51" s="44"/>
      <c r="AG51" s="44"/>
      <c r="AH51" s="44"/>
      <c r="AI51" s="44"/>
      <c r="AJ51" s="44"/>
      <c r="AK51" s="44"/>
      <c r="AL51" s="44"/>
      <c r="AM51" s="44"/>
      <c r="AN51" s="44"/>
      <c r="AO51" s="44"/>
      <c r="AP51" s="44"/>
      <c r="AQ51" s="44"/>
      <c r="AR51" s="44"/>
      <c r="AS51" s="44"/>
      <c r="AT51" s="44"/>
      <c r="AU51" s="44"/>
      <c r="AV51" s="44"/>
      <c r="AW51" s="44"/>
      <c r="AX51" s="44"/>
      <c r="AY51"/>
      <c r="AZ51"/>
      <c r="BA51"/>
      <c r="BB51"/>
      <c r="BC51"/>
      <c r="BD51"/>
      <c r="BE51"/>
      <c r="BF51"/>
      <c r="BG51"/>
      <c r="BH51"/>
      <c r="BI51"/>
      <c r="BJ51"/>
    </row>
    <row r="52" spans="1:62" x14ac:dyDescent="0.25">
      <c r="A52" s="44"/>
      <c r="B52" s="44"/>
      <c r="C52" s="44"/>
      <c r="D52" s="44"/>
      <c r="E52" s="44"/>
      <c r="F52" s="44"/>
      <c r="G52" s="44"/>
      <c r="H52" s="44"/>
      <c r="I52" s="44"/>
      <c r="J52" s="44"/>
      <c r="K52" s="44"/>
      <c r="L52" s="44"/>
      <c r="M52" s="44"/>
      <c r="N52" s="44"/>
      <c r="O52" s="44"/>
      <c r="P52" s="54"/>
      <c r="Q52" s="55"/>
      <c r="R52" s="55"/>
      <c r="S52" s="55"/>
      <c r="T52" s="55"/>
      <c r="U52" s="56"/>
      <c r="V52" s="44"/>
      <c r="W52" s="44"/>
      <c r="X52" s="44"/>
      <c r="Y52" s="44"/>
      <c r="Z52" s="44"/>
      <c r="AA52" s="44"/>
      <c r="AB52" s="44"/>
      <c r="AC52" s="44"/>
      <c r="AD52" s="44"/>
      <c r="AE52" s="44"/>
      <c r="AF52" s="44"/>
      <c r="AG52" s="44"/>
      <c r="AH52" s="44"/>
      <c r="AI52" s="44"/>
      <c r="AJ52" s="44"/>
      <c r="AK52" s="44"/>
      <c r="AL52" s="44"/>
      <c r="AM52" s="44"/>
      <c r="AN52" s="44"/>
      <c r="AO52" s="44"/>
      <c r="AP52" s="44"/>
      <c r="AQ52" s="44"/>
      <c r="AR52" s="44"/>
      <c r="AS52" s="44"/>
      <c r="AT52" s="44"/>
      <c r="AU52" s="44"/>
      <c r="AV52" s="44"/>
      <c r="AW52" s="44"/>
      <c r="AX52" s="44"/>
      <c r="AY52"/>
      <c r="AZ52"/>
      <c r="BA52"/>
      <c r="BB52"/>
      <c r="BC52"/>
      <c r="BD52"/>
      <c r="BE52"/>
      <c r="BF52"/>
      <c r="BG52"/>
      <c r="BH52"/>
      <c r="BI52"/>
      <c r="BJ52"/>
    </row>
    <row r="53" spans="1:62" ht="13.8" thickBot="1" x14ac:dyDescent="0.3">
      <c r="A53" s="44"/>
      <c r="B53" s="44"/>
      <c r="C53" s="44"/>
      <c r="D53" s="44"/>
      <c r="E53" s="44"/>
      <c r="F53" s="44"/>
      <c r="G53" s="44"/>
      <c r="H53" s="44"/>
      <c r="I53" s="44"/>
      <c r="J53" s="44"/>
      <c r="K53" s="44"/>
      <c r="L53" s="44"/>
      <c r="M53" s="44"/>
      <c r="N53" s="44"/>
      <c r="O53" s="44"/>
      <c r="P53" s="70"/>
      <c r="Q53" s="215"/>
      <c r="R53" s="217"/>
      <c r="S53" s="134"/>
      <c r="T53" s="70"/>
      <c r="U53" s="70"/>
      <c r="V53" s="44"/>
      <c r="W53" s="44"/>
      <c r="X53" s="44"/>
      <c r="Y53" s="44"/>
      <c r="Z53" s="44"/>
      <c r="AA53" s="44"/>
      <c r="AB53" s="44"/>
      <c r="AC53" s="44"/>
      <c r="AD53" s="44"/>
      <c r="AE53" s="44"/>
      <c r="AF53" s="44"/>
      <c r="AG53" s="44"/>
      <c r="AH53" s="44"/>
      <c r="AI53" s="44"/>
      <c r="AJ53" s="44"/>
      <c r="AK53" s="44"/>
      <c r="AL53" s="44"/>
      <c r="AM53" s="44"/>
      <c r="AN53" s="44"/>
      <c r="AO53" s="44"/>
      <c r="AP53" s="44"/>
      <c r="AQ53" s="44"/>
      <c r="AR53" s="44"/>
      <c r="AS53" s="44"/>
      <c r="AT53" s="44"/>
      <c r="AU53" s="44"/>
      <c r="AV53" s="44"/>
      <c r="AW53" s="44"/>
      <c r="AX53" s="44"/>
      <c r="AY53"/>
      <c r="AZ53"/>
      <c r="BA53"/>
      <c r="BB53"/>
      <c r="BC53"/>
      <c r="BD53"/>
      <c r="BE53"/>
      <c r="BF53"/>
      <c r="BG53"/>
      <c r="BH53"/>
      <c r="BI53"/>
      <c r="BJ53"/>
    </row>
    <row r="54" spans="1:62" x14ac:dyDescent="0.25">
      <c r="A54" s="44"/>
      <c r="B54" s="44"/>
      <c r="C54" s="44"/>
      <c r="D54" s="44"/>
      <c r="E54" s="44"/>
      <c r="F54" s="44"/>
      <c r="G54" s="44"/>
      <c r="H54" s="44"/>
      <c r="I54" s="44"/>
      <c r="J54" s="44"/>
      <c r="K54" s="44"/>
      <c r="L54" s="44"/>
      <c r="M54" s="44"/>
      <c r="N54" s="44"/>
      <c r="O54" s="44"/>
      <c r="P54" s="279"/>
      <c r="Q54" s="58"/>
      <c r="R54" s="58"/>
      <c r="S54" s="58"/>
      <c r="T54" s="58"/>
      <c r="U54" s="59"/>
      <c r="V54" s="44"/>
      <c r="W54" s="44"/>
      <c r="X54" s="44"/>
      <c r="Y54" s="44"/>
      <c r="Z54" s="44"/>
      <c r="AA54" s="44"/>
      <c r="AB54" s="896"/>
      <c r="AC54" s="44"/>
      <c r="AD54" s="44"/>
      <c r="AE54" s="44"/>
      <c r="AF54" s="44"/>
      <c r="AG54" s="44"/>
      <c r="AH54" s="44"/>
      <c r="AI54" s="44"/>
      <c r="AJ54" s="44"/>
      <c r="AK54" s="44"/>
      <c r="AL54" s="44"/>
      <c r="AM54" s="44"/>
      <c r="AN54" s="44"/>
      <c r="AO54" s="44"/>
      <c r="AP54" s="44"/>
      <c r="AQ54" s="44"/>
      <c r="AR54" s="44"/>
      <c r="AS54" s="44"/>
      <c r="AT54" s="44"/>
      <c r="AU54" s="44"/>
      <c r="AV54" s="44"/>
      <c r="AW54" s="44"/>
      <c r="AX54" s="44"/>
      <c r="AY54"/>
      <c r="AZ54"/>
      <c r="BA54"/>
      <c r="BB54"/>
      <c r="BC54"/>
      <c r="BD54"/>
      <c r="BE54"/>
      <c r="BF54"/>
      <c r="BG54"/>
      <c r="BH54"/>
      <c r="BI54"/>
      <c r="BJ54"/>
    </row>
    <row r="55" spans="1:62" x14ac:dyDescent="0.25">
      <c r="A55" s="44"/>
      <c r="B55" s="44"/>
      <c r="C55" s="44"/>
      <c r="D55" s="44"/>
      <c r="E55" s="44"/>
      <c r="F55" s="44"/>
      <c r="G55" s="44"/>
      <c r="H55" s="44"/>
      <c r="I55" s="44"/>
      <c r="J55" s="44"/>
      <c r="K55" s="44"/>
      <c r="L55" s="44"/>
      <c r="M55" s="44"/>
      <c r="N55" s="44"/>
      <c r="O55" s="44"/>
      <c r="P55" s="1583" t="s">
        <v>41</v>
      </c>
      <c r="Q55" s="1584"/>
      <c r="R55" s="1584"/>
      <c r="S55" s="1584"/>
      <c r="T55" s="1584"/>
      <c r="U55" s="1585"/>
      <c r="V55" s="44"/>
      <c r="W55" s="44"/>
      <c r="X55" s="44"/>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c r="AZ55"/>
      <c r="BA55"/>
      <c r="BB55"/>
      <c r="BC55"/>
      <c r="BD55"/>
      <c r="BE55"/>
      <c r="BF55"/>
      <c r="BG55"/>
      <c r="BH55"/>
      <c r="BI55"/>
      <c r="BJ55"/>
    </row>
    <row r="56" spans="1:62" x14ac:dyDescent="0.25">
      <c r="A56" s="44"/>
      <c r="B56" s="44"/>
      <c r="C56" s="44"/>
      <c r="D56" s="44"/>
      <c r="E56" s="44"/>
      <c r="F56" s="44"/>
      <c r="G56" s="44"/>
      <c r="H56" s="44"/>
      <c r="I56" s="44"/>
      <c r="J56" s="44"/>
      <c r="K56" s="44"/>
      <c r="L56" s="44"/>
      <c r="M56" s="44"/>
      <c r="N56" s="44"/>
      <c r="O56" s="44"/>
      <c r="P56" s="1580" t="s">
        <v>162</v>
      </c>
      <c r="Q56" s="1581"/>
      <c r="R56" s="1581"/>
      <c r="S56" s="1581"/>
      <c r="T56" s="1581"/>
      <c r="U56" s="1582"/>
      <c r="V56" s="44"/>
      <c r="W56" s="44"/>
      <c r="X56" s="44"/>
      <c r="Y56" s="44"/>
      <c r="Z56" s="44"/>
      <c r="AA56" s="931"/>
      <c r="AB56" s="896"/>
      <c r="AC56" s="44"/>
      <c r="AD56" s="44"/>
      <c r="AE56" s="44"/>
      <c r="AF56" s="44"/>
      <c r="AG56" s="44"/>
      <c r="AH56" s="44"/>
      <c r="AI56" s="44"/>
      <c r="AJ56" s="44"/>
      <c r="AK56" s="44"/>
      <c r="AL56" s="44"/>
      <c r="AM56" s="44"/>
      <c r="AN56" s="44"/>
      <c r="AO56" s="44"/>
      <c r="AP56" s="44"/>
      <c r="AQ56" s="44"/>
      <c r="AR56" s="44"/>
      <c r="AS56" s="44"/>
      <c r="AT56" s="44"/>
      <c r="AU56" s="44"/>
      <c r="AV56" s="44"/>
      <c r="AW56" s="44"/>
      <c r="AX56" s="44"/>
      <c r="AY56"/>
      <c r="AZ56"/>
      <c r="BA56"/>
      <c r="BB56"/>
      <c r="BC56"/>
      <c r="BD56"/>
      <c r="BE56"/>
      <c r="BF56"/>
      <c r="BG56"/>
      <c r="BH56"/>
      <c r="BI56"/>
      <c r="BJ56"/>
    </row>
    <row r="57" spans="1:62" x14ac:dyDescent="0.25">
      <c r="A57" s="44"/>
      <c r="B57" s="44"/>
      <c r="C57" s="44"/>
      <c r="D57" s="44"/>
      <c r="E57" s="44"/>
      <c r="F57" s="44"/>
      <c r="G57" s="44"/>
      <c r="H57" s="44"/>
      <c r="I57" s="44"/>
      <c r="J57" s="44"/>
      <c r="K57" s="44"/>
      <c r="L57" s="44"/>
      <c r="M57" s="44"/>
      <c r="N57" s="44"/>
      <c r="O57" s="44"/>
      <c r="P57" s="79"/>
      <c r="Q57" s="80"/>
      <c r="R57" s="63"/>
      <c r="S57" s="63"/>
      <c r="T57" s="63"/>
      <c r="U57" s="62"/>
      <c r="V57" s="44"/>
      <c r="W57" s="44"/>
      <c r="X57" s="44"/>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c r="AZ57"/>
      <c r="BA57"/>
      <c r="BB57"/>
      <c r="BC57"/>
      <c r="BD57"/>
      <c r="BE57"/>
      <c r="BF57"/>
      <c r="BG57"/>
      <c r="BH57"/>
      <c r="BI57"/>
      <c r="BJ57"/>
    </row>
    <row r="58" spans="1:62" x14ac:dyDescent="0.25">
      <c r="A58" s="44"/>
      <c r="B58" s="44"/>
      <c r="C58" s="44"/>
      <c r="D58" s="44"/>
      <c r="E58" s="44"/>
      <c r="F58" s="44"/>
      <c r="G58" s="44"/>
      <c r="H58" s="44"/>
      <c r="I58" s="44"/>
      <c r="J58" s="44"/>
      <c r="K58" s="44"/>
      <c r="L58" s="44"/>
      <c r="M58" s="44"/>
      <c r="N58" s="44"/>
      <c r="O58" s="44"/>
      <c r="P58" s="79"/>
      <c r="Q58" s="1596" t="s">
        <v>572</v>
      </c>
      <c r="R58" s="1597"/>
      <c r="S58" s="65">
        <f>tr_f_pl_2_truck</f>
        <v>44</v>
      </c>
      <c r="T58" s="247" t="s">
        <v>570</v>
      </c>
      <c r="U58" s="62"/>
      <c r="V58" s="44"/>
      <c r="W58" s="44"/>
      <c r="X58" s="44"/>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c r="AZ58"/>
      <c r="BA58"/>
      <c r="BB58"/>
      <c r="BC58"/>
      <c r="BD58"/>
      <c r="BE58"/>
      <c r="BF58"/>
      <c r="BG58"/>
      <c r="BH58"/>
      <c r="BI58"/>
      <c r="BJ58"/>
    </row>
    <row r="59" spans="1:62" x14ac:dyDescent="0.25">
      <c r="A59" s="44"/>
      <c r="B59" s="44"/>
      <c r="C59" s="44"/>
      <c r="D59" s="44"/>
      <c r="E59" s="44"/>
      <c r="F59" s="44"/>
      <c r="G59" s="44"/>
      <c r="H59" s="44"/>
      <c r="I59" s="44"/>
      <c r="J59" s="44"/>
      <c r="K59" s="44"/>
      <c r="L59" s="44"/>
      <c r="M59" s="44"/>
      <c r="N59" s="44"/>
      <c r="O59" s="44"/>
      <c r="P59" s="60"/>
      <c r="Q59" s="61"/>
      <c r="R59" s="63"/>
      <c r="S59" s="63"/>
      <c r="T59" s="63"/>
      <c r="U59" s="62"/>
      <c r="V59" s="44"/>
      <c r="W59" s="44"/>
      <c r="X59" s="44"/>
      <c r="Y59" s="44"/>
      <c r="Z59" s="928"/>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c r="AZ59"/>
      <c r="BA59"/>
      <c r="BB59"/>
      <c r="BC59"/>
      <c r="BD59"/>
      <c r="BE59"/>
      <c r="BF59"/>
      <c r="BG59"/>
      <c r="BH59"/>
      <c r="BI59"/>
      <c r="BJ59"/>
    </row>
    <row r="60" spans="1:62" x14ac:dyDescent="0.25">
      <c r="A60" s="44"/>
      <c r="B60" s="44"/>
      <c r="C60" s="44"/>
      <c r="D60" s="44"/>
      <c r="E60" s="44"/>
      <c r="F60" s="44"/>
      <c r="G60" s="44"/>
      <c r="H60" s="44"/>
      <c r="I60" s="44"/>
      <c r="J60" s="44"/>
      <c r="K60" s="44"/>
      <c r="L60" s="44"/>
      <c r="M60" s="44"/>
      <c r="N60" s="44"/>
      <c r="O60" s="44"/>
      <c r="P60" s="1598" t="s">
        <v>164</v>
      </c>
      <c r="Q60" s="1590"/>
      <c r="R60" s="1591"/>
      <c r="S60" s="65">
        <f>IF(tr_f_pl_2_mode="road",tr_f_pl_2_km,0)</f>
        <v>0</v>
      </c>
      <c r="T60" s="226" t="s">
        <v>427</v>
      </c>
      <c r="U60" s="83"/>
      <c r="V60" s="44"/>
      <c r="W60" s="44"/>
      <c r="X60" s="44"/>
      <c r="Y60" s="44"/>
      <c r="Z60" s="44"/>
      <c r="AA60" s="44"/>
      <c r="AB60" s="44"/>
      <c r="AC60" s="44"/>
      <c r="AD60" s="44"/>
      <c r="AE60" s="44"/>
      <c r="AF60" s="44"/>
      <c r="AG60" s="44"/>
      <c r="AH60" s="44"/>
      <c r="AI60" s="44"/>
      <c r="AJ60" s="44"/>
      <c r="AK60" s="44"/>
      <c r="AL60" s="44"/>
      <c r="AM60" s="44"/>
      <c r="AN60" s="44"/>
      <c r="AO60" s="44"/>
      <c r="AP60" s="44"/>
      <c r="AQ60" s="44"/>
      <c r="AR60" s="44"/>
      <c r="AS60" s="44"/>
      <c r="AT60" s="44"/>
      <c r="AU60" s="44"/>
      <c r="AV60" s="44"/>
      <c r="AW60" s="44"/>
      <c r="AX60" s="44"/>
      <c r="AY60"/>
      <c r="AZ60"/>
      <c r="BA60"/>
      <c r="BB60"/>
      <c r="BC60"/>
      <c r="BD60"/>
      <c r="BE60"/>
      <c r="BF60"/>
      <c r="BG60"/>
      <c r="BH60"/>
      <c r="BI60"/>
      <c r="BJ60"/>
    </row>
    <row r="61" spans="1:62" x14ac:dyDescent="0.25">
      <c r="A61" s="44"/>
      <c r="B61" s="44"/>
      <c r="C61" s="44"/>
      <c r="D61" s="44"/>
      <c r="E61" s="44"/>
      <c r="F61" s="44"/>
      <c r="G61" s="44"/>
      <c r="H61" s="44"/>
      <c r="I61" s="44"/>
      <c r="J61" s="44"/>
      <c r="K61" s="44"/>
      <c r="L61" s="44"/>
      <c r="M61" s="44"/>
      <c r="N61" s="44"/>
      <c r="O61" s="44"/>
      <c r="P61" s="60"/>
      <c r="Q61" s="64"/>
      <c r="R61" s="64"/>
      <c r="S61" s="82"/>
      <c r="T61" s="80"/>
      <c r="U61" s="62"/>
      <c r="V61" s="44"/>
      <c r="W61" s="44"/>
      <c r="X61" s="44"/>
      <c r="Y61" s="44"/>
      <c r="Z61" s="44"/>
      <c r="AA61" s="44"/>
      <c r="AB61" s="44"/>
      <c r="AC61" s="44"/>
      <c r="AD61" s="44"/>
      <c r="AE61" s="44"/>
      <c r="AF61" s="44"/>
      <c r="AG61" s="44"/>
      <c r="AH61" s="44"/>
      <c r="AI61" s="44"/>
      <c r="AJ61" s="44"/>
      <c r="AK61" s="44"/>
      <c r="AL61" s="44"/>
      <c r="AM61" s="44"/>
      <c r="AN61" s="44"/>
      <c r="AO61" s="44"/>
      <c r="AP61" s="44"/>
      <c r="AQ61" s="44"/>
      <c r="AR61" s="44"/>
      <c r="AS61" s="44"/>
      <c r="AT61" s="44"/>
      <c r="AU61" s="44"/>
      <c r="AV61" s="44"/>
      <c r="AW61" s="44"/>
      <c r="AX61" s="44"/>
      <c r="AY61"/>
      <c r="AZ61"/>
      <c r="BA61"/>
      <c r="BB61"/>
      <c r="BC61"/>
      <c r="BD61"/>
      <c r="BE61"/>
      <c r="BF61"/>
      <c r="BG61"/>
      <c r="BH61"/>
      <c r="BI61"/>
      <c r="BJ61"/>
    </row>
    <row r="62" spans="1:62" x14ac:dyDescent="0.25">
      <c r="A62" s="44"/>
      <c r="B62" s="44"/>
      <c r="C62" s="44"/>
      <c r="D62" s="44"/>
      <c r="E62" s="44"/>
      <c r="F62" s="44"/>
      <c r="G62" s="44"/>
      <c r="H62" s="44"/>
      <c r="I62" s="44"/>
      <c r="J62" s="44"/>
      <c r="K62" s="44"/>
      <c r="L62" s="44"/>
      <c r="M62" s="44"/>
      <c r="N62" s="44"/>
      <c r="O62" s="44"/>
      <c r="P62" s="1598" t="s">
        <v>165</v>
      </c>
      <c r="Q62" s="1590"/>
      <c r="R62" s="1591"/>
      <c r="S62" s="65">
        <f>IF(tr_f_pl_2_mode="rail",tr_f_pl_2_km,0)</f>
        <v>0</v>
      </c>
      <c r="T62" s="226" t="s">
        <v>427</v>
      </c>
      <c r="U62" s="83"/>
      <c r="V62" s="44"/>
      <c r="W62" s="44"/>
      <c r="X62" s="44"/>
      <c r="Y62" s="44"/>
      <c r="Z62" s="44"/>
      <c r="AA62" s="44"/>
      <c r="AB62" s="44"/>
      <c r="AC62" s="44"/>
      <c r="AD62" s="44"/>
      <c r="AE62" s="44"/>
      <c r="AF62" s="44"/>
      <c r="AG62" s="44"/>
      <c r="AH62" s="44"/>
      <c r="AI62" s="44"/>
      <c r="AJ62" s="44"/>
      <c r="AK62" s="44"/>
      <c r="AL62" s="44"/>
      <c r="AM62" s="44"/>
      <c r="AN62" s="44"/>
      <c r="AO62" s="44"/>
      <c r="AP62" s="44"/>
      <c r="AQ62" s="44"/>
      <c r="AR62" s="44"/>
      <c r="AS62" s="44"/>
      <c r="AT62" s="44"/>
      <c r="AU62" s="44"/>
      <c r="AV62" s="44"/>
      <c r="AW62" s="44"/>
      <c r="AX62" s="44"/>
      <c r="AY62"/>
      <c r="AZ62"/>
      <c r="BA62"/>
      <c r="BB62"/>
      <c r="BC62"/>
      <c r="BD62"/>
      <c r="BE62"/>
      <c r="BF62"/>
      <c r="BG62"/>
      <c r="BH62"/>
      <c r="BI62"/>
      <c r="BJ62"/>
    </row>
    <row r="63" spans="1:62" x14ac:dyDescent="0.25">
      <c r="A63" s="44"/>
      <c r="B63" s="44"/>
      <c r="C63" s="44"/>
      <c r="D63" s="44"/>
      <c r="E63" s="44"/>
      <c r="F63" s="44"/>
      <c r="G63" s="44"/>
      <c r="H63" s="44"/>
      <c r="I63" s="44"/>
      <c r="J63" s="44"/>
      <c r="K63" s="44"/>
      <c r="L63" s="44"/>
      <c r="M63" s="44"/>
      <c r="N63" s="44"/>
      <c r="O63" s="44"/>
      <c r="P63" s="60"/>
      <c r="Q63" s="64"/>
      <c r="R63" s="64"/>
      <c r="S63" s="82"/>
      <c r="T63" s="80"/>
      <c r="U63" s="62"/>
      <c r="V63" s="44"/>
      <c r="W63" s="44"/>
      <c r="X63" s="44"/>
      <c r="Y63" s="44"/>
      <c r="Z63" s="44"/>
      <c r="AA63" s="44"/>
      <c r="AB63" s="44"/>
      <c r="AC63" s="44"/>
      <c r="AD63" s="44"/>
      <c r="AE63" s="44"/>
      <c r="AF63" s="44"/>
      <c r="AG63" s="44"/>
      <c r="AH63" s="44"/>
      <c r="AI63" s="44"/>
      <c r="AJ63" s="44"/>
      <c r="AK63" s="44"/>
      <c r="AL63" s="44"/>
      <c r="AM63" s="44"/>
      <c r="AN63" s="44"/>
      <c r="AO63" s="44"/>
      <c r="AP63" s="44"/>
      <c r="AQ63" s="44"/>
      <c r="AR63" s="44"/>
      <c r="AS63" s="44"/>
      <c r="AT63" s="44"/>
      <c r="AU63" s="44"/>
      <c r="AV63" s="44"/>
      <c r="AW63" s="44"/>
      <c r="AX63" s="44"/>
      <c r="AY63"/>
      <c r="AZ63"/>
      <c r="BA63"/>
      <c r="BB63"/>
      <c r="BC63"/>
      <c r="BD63"/>
      <c r="BE63"/>
      <c r="BF63"/>
      <c r="BG63"/>
      <c r="BH63"/>
      <c r="BI63"/>
      <c r="BJ63"/>
    </row>
    <row r="64" spans="1:62" x14ac:dyDescent="0.25">
      <c r="A64" s="44"/>
      <c r="B64" s="44"/>
      <c r="C64" s="44"/>
      <c r="D64" s="44"/>
      <c r="E64" s="44"/>
      <c r="F64" s="44"/>
      <c r="G64" s="44"/>
      <c r="H64" s="44"/>
      <c r="I64" s="44"/>
      <c r="J64" s="44"/>
      <c r="K64" s="44"/>
      <c r="L64" s="44"/>
      <c r="M64" s="44"/>
      <c r="N64" s="44"/>
      <c r="O64" s="44"/>
      <c r="P64" s="1598" t="s">
        <v>166</v>
      </c>
      <c r="Q64" s="1590"/>
      <c r="R64" s="1591"/>
      <c r="S64" s="65">
        <f>IF(tr_f_pl_2_mode="barge",tr_f_pl_2_km,0)</f>
        <v>0</v>
      </c>
      <c r="T64" s="226" t="s">
        <v>427</v>
      </c>
      <c r="U64" s="62"/>
      <c r="V64" s="44"/>
      <c r="W64" s="44"/>
      <c r="X64" s="44"/>
      <c r="Y64" s="44"/>
      <c r="Z64" s="44"/>
      <c r="AA64" s="73"/>
      <c r="AB64" s="74"/>
      <c r="AC64" s="74"/>
      <c r="AD64" s="74"/>
      <c r="AE64" s="74"/>
      <c r="AF64" s="74"/>
      <c r="AG64" s="74"/>
      <c r="AH64" s="74"/>
      <c r="AI64" s="74"/>
      <c r="AJ64" s="74"/>
      <c r="AK64" s="75"/>
      <c r="AL64" s="44"/>
      <c r="AM64" s="44"/>
      <c r="AN64" s="44"/>
      <c r="AO64" s="44"/>
      <c r="AP64" s="44"/>
      <c r="AQ64" s="44"/>
      <c r="AR64" s="44"/>
      <c r="AS64" s="44"/>
      <c r="AT64" s="44"/>
      <c r="AU64" s="44"/>
      <c r="AV64" s="44"/>
      <c r="AW64" s="44"/>
      <c r="AX64" s="44"/>
      <c r="AY64"/>
      <c r="AZ64"/>
      <c r="BA64"/>
      <c r="BB64"/>
      <c r="BC64"/>
      <c r="BD64"/>
      <c r="BE64"/>
      <c r="BF64"/>
      <c r="BG64"/>
      <c r="BH64"/>
      <c r="BI64"/>
      <c r="BJ64"/>
    </row>
    <row r="65" spans="1:62" ht="13.8" thickBot="1" x14ac:dyDescent="0.3">
      <c r="A65" s="44"/>
      <c r="B65" s="44"/>
      <c r="C65" s="44"/>
      <c r="D65" s="44"/>
      <c r="E65" s="44"/>
      <c r="F65" s="44"/>
      <c r="G65" s="44"/>
      <c r="H65" s="44"/>
      <c r="I65" s="44"/>
      <c r="J65" s="44"/>
      <c r="K65" s="44"/>
      <c r="L65" s="44"/>
      <c r="M65" s="44"/>
      <c r="N65" s="44"/>
      <c r="O65" s="44"/>
      <c r="P65" s="60"/>
      <c r="Q65" s="64"/>
      <c r="R65" s="64"/>
      <c r="S65" s="82"/>
      <c r="T65" s="80"/>
      <c r="U65" s="62"/>
      <c r="V65" s="44"/>
      <c r="W65" s="44"/>
      <c r="X65" s="44"/>
      <c r="Y65" s="138"/>
      <c r="Z65" s="44"/>
      <c r="AA65" s="94"/>
      <c r="AB65" s="70"/>
      <c r="AC65" s="70"/>
      <c r="AD65" s="70"/>
      <c r="AE65" s="70"/>
      <c r="AF65" s="70"/>
      <c r="AG65" s="70"/>
      <c r="AH65" s="70"/>
      <c r="AI65" s="70"/>
      <c r="AJ65" s="70"/>
      <c r="AK65" s="57"/>
      <c r="AL65" s="44"/>
      <c r="AM65" s="44"/>
      <c r="AN65" s="44"/>
      <c r="AO65" s="44"/>
      <c r="AP65" s="44"/>
      <c r="AQ65" s="44"/>
      <c r="AR65" s="44"/>
      <c r="AS65" s="44"/>
      <c r="AT65" s="44"/>
      <c r="AU65" s="44"/>
      <c r="AV65" s="44"/>
      <c r="AW65" s="44"/>
      <c r="AX65" s="44"/>
      <c r="AY65"/>
      <c r="AZ65"/>
      <c r="BA65"/>
      <c r="BB65"/>
      <c r="BC65"/>
      <c r="BD65"/>
      <c r="BE65"/>
      <c r="BF65"/>
      <c r="BG65"/>
      <c r="BH65"/>
      <c r="BI65"/>
      <c r="BJ65"/>
    </row>
    <row r="66" spans="1:62" x14ac:dyDescent="0.25">
      <c r="A66" s="44"/>
      <c r="B66" s="44"/>
      <c r="C66" s="44"/>
      <c r="D66" s="44"/>
      <c r="E66" s="44"/>
      <c r="F66" s="44"/>
      <c r="G66" s="44"/>
      <c r="H66" s="44"/>
      <c r="I66" s="44"/>
      <c r="J66" s="44"/>
      <c r="K66" s="44"/>
      <c r="L66" s="44"/>
      <c r="M66" s="44"/>
      <c r="N66" s="44"/>
      <c r="O66" s="44"/>
      <c r="P66" s="1598" t="s">
        <v>167</v>
      </c>
      <c r="Q66" s="1599"/>
      <c r="R66" s="1600"/>
      <c r="S66" s="65">
        <f>IF(tr_f_pl_2_mode="ship",tr_f_pl_2_km,0)</f>
        <v>0</v>
      </c>
      <c r="T66" s="226" t="s">
        <v>427</v>
      </c>
      <c r="U66" s="62"/>
      <c r="V66" s="44"/>
      <c r="W66" s="44"/>
      <c r="X66" s="44"/>
      <c r="Y66" s="123"/>
      <c r="Z66" s="552" t="s">
        <v>1772</v>
      </c>
      <c r="AA66" s="125"/>
      <c r="AB66" s="125"/>
      <c r="AC66" s="118"/>
      <c r="AD66" s="44"/>
      <c r="AE66" s="44"/>
      <c r="AF66" s="44"/>
      <c r="AG66" s="44"/>
      <c r="AH66" s="44"/>
      <c r="AI66" s="44"/>
      <c r="AJ66" s="44"/>
      <c r="AK66" s="57"/>
      <c r="AL66" s="44"/>
      <c r="AM66" s="44"/>
      <c r="AN66" s="44"/>
      <c r="AO66" s="44"/>
      <c r="AP66" s="44"/>
      <c r="AQ66" s="44"/>
      <c r="AR66" s="44"/>
      <c r="AS66" s="44"/>
      <c r="AT66" s="44"/>
      <c r="AU66" s="44"/>
      <c r="AV66" s="44"/>
      <c r="AW66" s="44"/>
      <c r="AX66" s="44"/>
      <c r="AY66"/>
      <c r="AZ66"/>
      <c r="BA66"/>
      <c r="BB66"/>
      <c r="BC66"/>
      <c r="BD66"/>
      <c r="BE66"/>
      <c r="BF66"/>
      <c r="BG66"/>
      <c r="BH66"/>
      <c r="BI66"/>
      <c r="BJ66"/>
    </row>
    <row r="67" spans="1:62" x14ac:dyDescent="0.25">
      <c r="A67" s="44"/>
      <c r="B67" s="44"/>
      <c r="C67" s="44"/>
      <c r="D67" s="44"/>
      <c r="E67" s="44"/>
      <c r="F67" s="44"/>
      <c r="G67" s="44"/>
      <c r="H67" s="44"/>
      <c r="I67" s="44"/>
      <c r="J67" s="44"/>
      <c r="K67" s="44"/>
      <c r="L67" s="44"/>
      <c r="M67" s="44"/>
      <c r="N67" s="44"/>
      <c r="O67" s="44"/>
      <c r="P67" s="60"/>
      <c r="Q67" s="80"/>
      <c r="S67" s="33"/>
      <c r="U67" s="62"/>
      <c r="V67" s="44"/>
      <c r="W67" s="44"/>
      <c r="X67" s="44"/>
      <c r="Y67" s="120"/>
      <c r="Z67" s="88"/>
      <c r="AA67" s="70"/>
      <c r="AB67" s="70"/>
      <c r="AC67" s="119"/>
      <c r="AD67" s="44"/>
      <c r="AE67" s="44"/>
      <c r="AF67" s="44"/>
      <c r="AG67" s="44"/>
      <c r="AH67" s="44"/>
      <c r="AI67" s="44"/>
      <c r="AJ67" s="44"/>
      <c r="AK67" s="57"/>
      <c r="AL67" s="44"/>
      <c r="AM67" s="44"/>
      <c r="AN67" s="44"/>
      <c r="AO67" s="44"/>
      <c r="AP67" s="44"/>
      <c r="AQ67" s="44"/>
      <c r="AR67" s="44"/>
      <c r="AS67" s="44"/>
      <c r="AT67" s="44"/>
      <c r="AU67" s="44"/>
      <c r="AV67" s="44"/>
      <c r="AW67" s="44"/>
      <c r="AX67" s="44"/>
      <c r="AY67"/>
      <c r="AZ67"/>
      <c r="BA67"/>
      <c r="BB67"/>
      <c r="BC67"/>
      <c r="BD67"/>
      <c r="BE67"/>
      <c r="BF67"/>
      <c r="BG67"/>
      <c r="BH67"/>
      <c r="BI67"/>
      <c r="BJ67"/>
    </row>
    <row r="68" spans="1:62" x14ac:dyDescent="0.25">
      <c r="A68" s="44"/>
      <c r="B68" s="44"/>
      <c r="C68" s="44"/>
      <c r="D68" s="44"/>
      <c r="E68" s="44"/>
      <c r="F68" s="44"/>
      <c r="G68" s="44"/>
      <c r="H68" s="44"/>
      <c r="I68" s="44"/>
      <c r="J68" s="44"/>
      <c r="K68" s="44"/>
      <c r="L68" s="44"/>
      <c r="M68" s="44"/>
      <c r="N68" s="44"/>
      <c r="O68" s="44"/>
      <c r="P68" s="60"/>
      <c r="Q68" s="80"/>
      <c r="R68" s="64" t="s">
        <v>163</v>
      </c>
      <c r="S68" s="81">
        <f>tr_f_pl_2_loss</f>
        <v>0</v>
      </c>
      <c r="T68" s="80" t="s">
        <v>285</v>
      </c>
      <c r="U68" s="62"/>
      <c r="V68" s="44"/>
      <c r="W68" s="44"/>
      <c r="X68" s="44"/>
      <c r="Y68" s="120"/>
      <c r="Z68" s="252"/>
      <c r="AA68" s="46"/>
      <c r="AB68" s="47"/>
      <c r="AC68" s="121"/>
      <c r="AD68" s="44"/>
      <c r="AE68" s="44"/>
      <c r="AF68" s="44"/>
      <c r="AG68" s="44"/>
      <c r="AH68" s="44"/>
      <c r="AI68" s="44"/>
      <c r="AJ68" s="44"/>
      <c r="AK68" s="57"/>
      <c r="AL68" s="44"/>
      <c r="AM68" s="44"/>
      <c r="AN68" s="44"/>
      <c r="AO68" s="44"/>
      <c r="AP68" s="44"/>
      <c r="AQ68" s="44"/>
      <c r="AR68" s="44"/>
      <c r="AS68" s="44"/>
      <c r="AT68" s="44"/>
      <c r="AU68" s="44"/>
      <c r="AV68" s="44"/>
      <c r="AW68" s="44"/>
      <c r="AX68" s="44"/>
      <c r="AY68"/>
      <c r="AZ68"/>
      <c r="BA68"/>
      <c r="BB68"/>
      <c r="BC68"/>
      <c r="BD68"/>
      <c r="BE68"/>
      <c r="BF68"/>
      <c r="BG68"/>
      <c r="BH68"/>
      <c r="BI68"/>
      <c r="BJ68"/>
    </row>
    <row r="69" spans="1:62" ht="13.8" thickBot="1" x14ac:dyDescent="0.3">
      <c r="A69" s="44"/>
      <c r="B69" s="44"/>
      <c r="C69" s="44"/>
      <c r="D69" s="44"/>
      <c r="E69" s="44"/>
      <c r="F69" s="44"/>
      <c r="G69" s="44"/>
      <c r="H69" s="44"/>
      <c r="I69" s="44"/>
      <c r="J69" s="44"/>
      <c r="K69" s="44"/>
      <c r="L69" s="44"/>
      <c r="M69" s="44"/>
      <c r="N69" s="44"/>
      <c r="O69" s="44"/>
      <c r="P69" s="67"/>
      <c r="Q69" s="84"/>
      <c r="R69" s="84"/>
      <c r="S69" s="85"/>
      <c r="T69" s="68"/>
      <c r="U69" s="69"/>
      <c r="V69" s="44"/>
      <c r="W69" s="44"/>
      <c r="X69" s="44"/>
      <c r="Y69" s="120"/>
      <c r="Z69" s="912" t="s">
        <v>1121</v>
      </c>
      <c r="AA69" s="110">
        <f>IF(AK94&gt;(S137*100/AA79),0,(S137*100/AA79)-AK94)</f>
        <v>0</v>
      </c>
      <c r="AB69" s="51" t="s">
        <v>437</v>
      </c>
      <c r="AC69" s="121"/>
      <c r="AD69" s="44"/>
      <c r="AE69" s="44"/>
      <c r="AF69" s="44"/>
      <c r="AG69" s="44"/>
      <c r="AH69" s="44"/>
      <c r="AI69" s="44"/>
      <c r="AJ69" s="44"/>
      <c r="AK69" s="57"/>
      <c r="AL69" s="44"/>
      <c r="AM69" s="44"/>
      <c r="AN69" s="44"/>
      <c r="AO69" s="44"/>
      <c r="AP69" s="44"/>
      <c r="AQ69" s="44"/>
      <c r="AR69" s="44"/>
      <c r="AS69" s="44"/>
      <c r="AT69" s="44"/>
      <c r="AU69" s="44"/>
      <c r="AV69" s="44"/>
      <c r="AW69" s="44"/>
      <c r="AX69" s="44"/>
      <c r="AY69"/>
      <c r="AZ69"/>
      <c r="BA69"/>
      <c r="BB69"/>
      <c r="BC69"/>
      <c r="BD69"/>
      <c r="BE69"/>
      <c r="BF69"/>
      <c r="BG69"/>
      <c r="BH69"/>
      <c r="BI69"/>
      <c r="BJ69"/>
    </row>
    <row r="70" spans="1:62" x14ac:dyDescent="0.25">
      <c r="A70" s="44"/>
      <c r="B70" s="44"/>
      <c r="C70" s="44"/>
      <c r="D70" s="44"/>
      <c r="E70" s="44"/>
      <c r="F70" s="44"/>
      <c r="G70" s="44"/>
      <c r="H70" s="44"/>
      <c r="I70" s="44"/>
      <c r="J70" s="44"/>
      <c r="K70" s="44"/>
      <c r="L70" s="44"/>
      <c r="M70" s="44"/>
      <c r="N70" s="44"/>
      <c r="O70" s="44"/>
      <c r="P70" s="70"/>
      <c r="Q70" s="70"/>
      <c r="R70" s="88"/>
      <c r="S70" s="70"/>
      <c r="T70" s="70"/>
      <c r="U70" s="70"/>
      <c r="V70" s="44"/>
      <c r="W70" s="44"/>
      <c r="X70" s="70"/>
      <c r="Y70" s="120"/>
      <c r="Z70" s="557"/>
      <c r="AA70" s="555"/>
      <c r="AB70" s="51"/>
      <c r="AC70" s="121"/>
      <c r="AD70" s="44"/>
      <c r="AE70" s="44"/>
      <c r="AF70" s="44"/>
      <c r="AG70" s="44"/>
      <c r="AH70" s="44"/>
      <c r="AI70" s="44"/>
      <c r="AJ70" s="44"/>
      <c r="AK70" s="57"/>
      <c r="AL70" s="44"/>
      <c r="AM70" s="44"/>
      <c r="AN70" s="44"/>
      <c r="AO70" s="44"/>
      <c r="AP70" s="44"/>
      <c r="AQ70" s="44"/>
      <c r="AR70" s="44"/>
      <c r="AS70" s="44"/>
      <c r="AT70" s="44"/>
      <c r="AU70" s="44"/>
      <c r="AV70" s="44"/>
      <c r="AW70" s="44"/>
      <c r="AX70" s="44"/>
      <c r="AY70"/>
      <c r="AZ70"/>
      <c r="BA70"/>
      <c r="BB70"/>
      <c r="BC70"/>
      <c r="BD70"/>
      <c r="BE70"/>
      <c r="BF70"/>
      <c r="BG70"/>
      <c r="BH70"/>
      <c r="BI70"/>
      <c r="BJ70"/>
    </row>
    <row r="71" spans="1:62" x14ac:dyDescent="0.25">
      <c r="A71" s="44"/>
      <c r="B71" s="44"/>
      <c r="C71" s="44"/>
      <c r="D71" s="44"/>
      <c r="E71" s="44"/>
      <c r="F71" s="44"/>
      <c r="G71" s="44"/>
      <c r="H71" s="44"/>
      <c r="I71" s="44"/>
      <c r="J71" s="44"/>
      <c r="K71" s="44"/>
      <c r="L71" s="70"/>
      <c r="M71" s="70"/>
      <c r="N71" s="70"/>
      <c r="O71" s="70"/>
      <c r="P71" s="287"/>
      <c r="Q71" s="46"/>
      <c r="R71" s="49"/>
      <c r="S71" s="46"/>
      <c r="T71" s="46"/>
      <c r="U71" s="47"/>
      <c r="V71" s="44"/>
      <c r="W71" s="70"/>
      <c r="X71" s="70"/>
      <c r="Y71" s="120"/>
      <c r="Z71" s="557" t="s">
        <v>624</v>
      </c>
      <c r="AA71" s="110">
        <f>IF(AK94&gt;(S137*100/AA79),(S137*100/AA79),AK94)</f>
        <v>10643.945961335021</v>
      </c>
      <c r="AB71" s="51" t="s">
        <v>437</v>
      </c>
      <c r="AC71" s="121"/>
      <c r="AD71" s="44"/>
      <c r="AE71" s="44"/>
      <c r="AF71" s="44"/>
      <c r="AG71" s="44"/>
      <c r="AH71" s="44"/>
      <c r="AI71" s="44"/>
      <c r="AJ71" s="44"/>
      <c r="AK71" s="57"/>
      <c r="AL71" s="44"/>
      <c r="AM71" s="44"/>
      <c r="AN71" s="44"/>
      <c r="AO71" s="44"/>
      <c r="AP71" s="44"/>
      <c r="AQ71" s="44"/>
      <c r="AR71" s="44"/>
      <c r="AS71" s="44"/>
      <c r="AT71" s="44"/>
      <c r="AU71" s="44"/>
      <c r="AV71" s="44"/>
      <c r="AW71" s="44"/>
      <c r="AX71" s="44"/>
      <c r="AY71"/>
      <c r="AZ71"/>
      <c r="BA71"/>
      <c r="BB71"/>
      <c r="BC71"/>
      <c r="BD71"/>
      <c r="BE71"/>
      <c r="BF71"/>
      <c r="BG71"/>
      <c r="BH71"/>
      <c r="BI71"/>
      <c r="BJ71"/>
    </row>
    <row r="72" spans="1:62" x14ac:dyDescent="0.25">
      <c r="A72" s="44"/>
      <c r="B72" s="44"/>
      <c r="C72" s="44"/>
      <c r="D72" s="44"/>
      <c r="E72" s="44"/>
      <c r="F72" s="44"/>
      <c r="G72" s="44"/>
      <c r="H72" s="44"/>
      <c r="I72" s="44"/>
      <c r="J72" s="44"/>
      <c r="K72" s="44"/>
      <c r="L72" s="70"/>
      <c r="M72" s="70"/>
      <c r="N72" s="70"/>
      <c r="O72" s="70"/>
      <c r="P72" s="1592" t="s">
        <v>1572</v>
      </c>
      <c r="Q72" s="1594"/>
      <c r="R72" s="1595"/>
      <c r="S72" s="1253">
        <f>func_unit</f>
        <v>1</v>
      </c>
      <c r="T72" s="925" t="s">
        <v>1714</v>
      </c>
      <c r="U72" s="51" t="s">
        <v>159</v>
      </c>
      <c r="V72" s="44"/>
      <c r="W72" s="70"/>
      <c r="X72" s="70"/>
      <c r="Y72" s="120"/>
      <c r="Z72" s="558"/>
      <c r="AA72" s="55"/>
      <c r="AB72" s="56"/>
      <c r="AC72" s="121"/>
      <c r="AD72" s="44"/>
      <c r="AE72" s="44"/>
      <c r="AF72" s="44"/>
      <c r="AG72" s="44"/>
      <c r="AH72" s="44"/>
      <c r="AI72" s="44"/>
      <c r="AJ72" s="44"/>
      <c r="AK72" s="57"/>
      <c r="AL72" s="44"/>
      <c r="AM72" s="44"/>
      <c r="AN72" s="44"/>
      <c r="AO72" s="44"/>
      <c r="AP72" s="44"/>
      <c r="AQ72" s="44"/>
      <c r="AR72" s="44"/>
      <c r="AS72" s="44"/>
      <c r="AT72" s="44"/>
      <c r="AU72" s="44"/>
      <c r="AV72" s="44"/>
      <c r="AW72" s="44"/>
      <c r="AX72" s="44"/>
      <c r="AY72"/>
      <c r="AZ72"/>
      <c r="BA72"/>
      <c r="BB72"/>
      <c r="BC72"/>
      <c r="BD72"/>
      <c r="BE72"/>
      <c r="BF72"/>
      <c r="BG72"/>
      <c r="BH72"/>
      <c r="BI72"/>
      <c r="BJ72"/>
    </row>
    <row r="73" spans="1:62" ht="13.8" thickBot="1" x14ac:dyDescent="0.3">
      <c r="A73" s="44"/>
      <c r="B73" s="44"/>
      <c r="C73" s="44"/>
      <c r="D73" s="44"/>
      <c r="E73" s="44"/>
      <c r="F73" s="44"/>
      <c r="G73" s="44"/>
      <c r="H73" s="44"/>
      <c r="I73" s="44"/>
      <c r="J73" s="44"/>
      <c r="K73" s="44"/>
      <c r="L73" s="70"/>
      <c r="M73" s="70"/>
      <c r="N73" s="70"/>
      <c r="O73" s="70"/>
      <c r="P73" s="54"/>
      <c r="Q73" s="55"/>
      <c r="R73" s="55"/>
      <c r="S73" s="55"/>
      <c r="T73" s="55"/>
      <c r="U73" s="56"/>
      <c r="V73" s="44"/>
      <c r="W73" s="70"/>
      <c r="X73" s="70"/>
      <c r="Y73" s="120"/>
      <c r="Z73" s="57"/>
      <c r="AA73" s="70"/>
      <c r="AB73" s="70"/>
      <c r="AC73" s="119"/>
      <c r="AD73" s="44"/>
      <c r="AE73" s="44"/>
      <c r="AF73" s="44"/>
      <c r="AG73" s="44"/>
      <c r="AH73" s="44"/>
      <c r="AI73" s="44"/>
      <c r="AJ73" s="44"/>
      <c r="AK73" s="57"/>
      <c r="AL73" s="44"/>
      <c r="AM73" s="44"/>
      <c r="AN73" s="44"/>
      <c r="AO73" s="44"/>
      <c r="AP73" s="44"/>
      <c r="AQ73" s="44"/>
      <c r="AR73" s="44"/>
      <c r="AS73" s="44"/>
      <c r="AT73" s="44"/>
      <c r="AU73" s="44"/>
      <c r="AV73" s="44"/>
      <c r="AW73" s="44"/>
      <c r="AX73" s="44"/>
      <c r="AY73"/>
      <c r="AZ73"/>
      <c r="BA73"/>
      <c r="BB73"/>
      <c r="BC73"/>
      <c r="BD73"/>
      <c r="BE73"/>
      <c r="BF73"/>
      <c r="BG73"/>
      <c r="BH73"/>
      <c r="BI73"/>
      <c r="BJ73"/>
    </row>
    <row r="74" spans="1:62" x14ac:dyDescent="0.25">
      <c r="A74" s="44"/>
      <c r="B74" s="44"/>
      <c r="C74" s="44"/>
      <c r="D74" s="44"/>
      <c r="E74" s="44"/>
      <c r="F74" s="44"/>
      <c r="G74" s="44"/>
      <c r="H74" s="44"/>
      <c r="I74" s="44"/>
      <c r="J74" s="44"/>
      <c r="K74" s="44"/>
      <c r="L74" s="70"/>
      <c r="M74" s="70"/>
      <c r="N74" s="70"/>
      <c r="O74" s="70"/>
      <c r="P74" s="44"/>
      <c r="Q74" s="44"/>
      <c r="R74" s="44"/>
      <c r="S74" s="73"/>
      <c r="T74" s="44"/>
      <c r="U74" s="44"/>
      <c r="V74" s="44"/>
      <c r="W74" s="70"/>
      <c r="X74" s="70"/>
      <c r="Y74" s="120"/>
      <c r="Z74" s="300"/>
      <c r="AA74" s="58"/>
      <c r="AB74" s="59"/>
      <c r="AC74" s="126"/>
      <c r="AD74" s="44"/>
      <c r="AE74" s="44"/>
      <c r="AF74" s="44"/>
      <c r="AG74" s="44"/>
      <c r="AH74" s="44"/>
      <c r="AI74" s="44"/>
      <c r="AJ74" s="44"/>
      <c r="AK74" s="57"/>
      <c r="AL74" s="44"/>
      <c r="AM74" s="44"/>
      <c r="AN74" s="44"/>
      <c r="AO74" s="44"/>
      <c r="AP74" s="44"/>
      <c r="AQ74" s="44"/>
      <c r="AR74" s="44"/>
      <c r="AS74" s="44"/>
      <c r="AT74" s="44"/>
      <c r="AU74" s="44"/>
      <c r="AV74" s="44"/>
      <c r="AW74" s="44"/>
      <c r="AX74" s="44"/>
      <c r="AY74"/>
      <c r="AZ74"/>
      <c r="BA74"/>
      <c r="BB74"/>
      <c r="BC74"/>
      <c r="BD74"/>
      <c r="BE74"/>
      <c r="BF74"/>
      <c r="BG74"/>
      <c r="BH74"/>
      <c r="BI74"/>
      <c r="BJ74"/>
    </row>
    <row r="75" spans="1:62" x14ac:dyDescent="0.25">
      <c r="A75" s="44"/>
      <c r="B75" s="44"/>
      <c r="C75" s="44"/>
      <c r="D75" s="44"/>
      <c r="E75" s="44"/>
      <c r="F75" s="44"/>
      <c r="G75" s="44"/>
      <c r="H75" s="44"/>
      <c r="I75" s="44"/>
      <c r="J75" s="44"/>
      <c r="K75" s="44"/>
      <c r="L75" s="70"/>
      <c r="M75" s="70"/>
      <c r="N75" s="70"/>
      <c r="O75" s="70"/>
      <c r="P75" s="44"/>
      <c r="Q75" s="44"/>
      <c r="R75" s="44"/>
      <c r="S75" s="94"/>
      <c r="T75" s="44"/>
      <c r="U75" s="44"/>
      <c r="V75" s="44"/>
      <c r="W75" s="70"/>
      <c r="X75" s="70"/>
      <c r="Y75" s="120"/>
      <c r="Z75" s="1583" t="s">
        <v>1771</v>
      </c>
      <c r="AA75" s="1584"/>
      <c r="AB75" s="1585"/>
      <c r="AC75" s="126"/>
      <c r="AD75" s="44"/>
      <c r="AE75" s="44"/>
      <c r="AF75" s="44"/>
      <c r="AG75" s="44"/>
      <c r="AH75" s="44"/>
      <c r="AI75" s="44"/>
      <c r="AJ75" s="44"/>
      <c r="AK75" s="57"/>
      <c r="AL75" s="44"/>
      <c r="AM75" s="44"/>
      <c r="AN75" s="44"/>
      <c r="AO75" s="44"/>
      <c r="AP75" s="44"/>
      <c r="AQ75" s="44"/>
      <c r="AR75" s="44"/>
      <c r="AS75" s="44"/>
      <c r="AT75" s="44"/>
      <c r="AU75" s="44"/>
      <c r="AV75" s="44"/>
      <c r="AW75" s="44"/>
      <c r="AX75" s="44"/>
      <c r="AY75"/>
      <c r="AZ75"/>
      <c r="BA75"/>
      <c r="BB75"/>
      <c r="BC75"/>
      <c r="BD75"/>
      <c r="BE75"/>
      <c r="BF75"/>
      <c r="BG75"/>
      <c r="BH75"/>
      <c r="BI75"/>
      <c r="BJ75"/>
    </row>
    <row r="76" spans="1:62" x14ac:dyDescent="0.25">
      <c r="A76" s="44"/>
      <c r="B76" s="44"/>
      <c r="C76" s="44"/>
      <c r="D76" s="44"/>
      <c r="E76" s="44"/>
      <c r="F76" s="44"/>
      <c r="G76" s="44"/>
      <c r="H76" s="44"/>
      <c r="I76" s="44"/>
      <c r="J76" s="44"/>
      <c r="K76" s="44"/>
      <c r="L76" s="70"/>
      <c r="M76" s="70"/>
      <c r="N76" s="70"/>
      <c r="O76" s="70"/>
      <c r="P76" s="44"/>
      <c r="Q76" s="44"/>
      <c r="R76" s="44"/>
      <c r="S76" s="94"/>
      <c r="T76" s="44"/>
      <c r="U76" s="44"/>
      <c r="V76" s="44"/>
      <c r="W76" s="70"/>
      <c r="X76" s="70"/>
      <c r="Y76" s="120"/>
      <c r="Z76" s="60"/>
      <c r="AA76" s="80"/>
      <c r="AB76" s="62"/>
      <c r="AC76" s="126"/>
      <c r="AD76" s="44"/>
      <c r="AE76" s="44"/>
      <c r="AF76" s="44"/>
      <c r="AG76" s="44"/>
      <c r="AH76" s="44"/>
      <c r="AI76" s="44"/>
      <c r="AJ76" s="44"/>
      <c r="AK76" s="57"/>
      <c r="AL76" s="44"/>
      <c r="AM76" s="44"/>
      <c r="AN76" s="44"/>
      <c r="AO76" s="44"/>
      <c r="AP76" s="44"/>
      <c r="AQ76" s="44"/>
      <c r="AR76" s="44"/>
      <c r="AS76" s="44"/>
      <c r="AT76" s="44"/>
      <c r="AU76" s="44"/>
      <c r="AV76" s="44"/>
      <c r="AW76" s="44"/>
      <c r="AX76" s="44"/>
      <c r="AY76"/>
      <c r="AZ76"/>
      <c r="BA76"/>
      <c r="BB76"/>
      <c r="BC76"/>
      <c r="BD76"/>
      <c r="BE76"/>
      <c r="BF76"/>
      <c r="BG76"/>
      <c r="BH76"/>
      <c r="BI76"/>
      <c r="BJ76"/>
    </row>
    <row r="77" spans="1:62" x14ac:dyDescent="0.25">
      <c r="A77" s="44"/>
      <c r="B77" s="44"/>
      <c r="C77" s="44"/>
      <c r="D77" s="44"/>
      <c r="E77" s="44"/>
      <c r="F77" s="44"/>
      <c r="G77" s="44"/>
      <c r="H77" s="44"/>
      <c r="I77" s="44"/>
      <c r="J77" s="44"/>
      <c r="K77" s="44"/>
      <c r="L77" s="70"/>
      <c r="M77" s="70"/>
      <c r="N77" s="70"/>
      <c r="O77" s="70"/>
      <c r="P77" s="44"/>
      <c r="Q77" s="44"/>
      <c r="R77" s="44"/>
      <c r="S77" s="94"/>
      <c r="T77" s="44"/>
      <c r="U77" s="44"/>
      <c r="V77" s="44"/>
      <c r="W77" s="70"/>
      <c r="X77" s="70"/>
      <c r="Y77" s="120"/>
      <c r="Z77" s="554" t="s">
        <v>124</v>
      </c>
      <c r="AA77" s="110">
        <f>($AA$81*100)/$AA$79</f>
        <v>15.29899491237963</v>
      </c>
      <c r="AB77" s="62" t="s">
        <v>623</v>
      </c>
      <c r="AC77" s="126"/>
      <c r="AD77" s="44"/>
      <c r="AE77" s="44"/>
      <c r="AF77" s="44"/>
      <c r="AG77" s="44"/>
      <c r="AH77" s="44"/>
      <c r="AI77" s="44"/>
      <c r="AJ77" s="44"/>
      <c r="AK77" s="57"/>
      <c r="AL77" s="44"/>
      <c r="AM77" s="44"/>
      <c r="AN77" s="44"/>
      <c r="AO77" s="44"/>
      <c r="AP77" s="44"/>
      <c r="AQ77" s="44"/>
      <c r="AR77" s="44"/>
      <c r="AS77" s="44"/>
      <c r="AT77" s="44"/>
      <c r="AU77" s="44"/>
      <c r="AV77" s="44"/>
      <c r="AW77" s="44"/>
      <c r="AX77" s="44"/>
      <c r="AY77"/>
      <c r="AZ77"/>
      <c r="BA77"/>
      <c r="BB77"/>
      <c r="BC77"/>
      <c r="BD77"/>
      <c r="BE77"/>
      <c r="BF77"/>
      <c r="BG77"/>
      <c r="BH77"/>
      <c r="BI77"/>
      <c r="BJ77"/>
    </row>
    <row r="78" spans="1:62" x14ac:dyDescent="0.25">
      <c r="A78" s="44"/>
      <c r="B78" s="44"/>
      <c r="C78" s="44"/>
      <c r="D78" s="44"/>
      <c r="E78" s="44"/>
      <c r="F78" s="44"/>
      <c r="G78" s="44"/>
      <c r="H78" s="44"/>
      <c r="I78" s="44"/>
      <c r="J78" s="44"/>
      <c r="K78" s="44"/>
      <c r="L78" s="70"/>
      <c r="M78" s="70"/>
      <c r="N78" s="70"/>
      <c r="O78" s="70"/>
      <c r="P78" s="44"/>
      <c r="Q78" s="44"/>
      <c r="R78" s="44"/>
      <c r="S78" s="94"/>
      <c r="T78" s="44"/>
      <c r="U78" s="44"/>
      <c r="V78" s="44"/>
      <c r="W78" s="70"/>
      <c r="X78" s="70"/>
      <c r="Y78" s="120"/>
      <c r="Z78" s="554"/>
      <c r="AA78" s="80"/>
      <c r="AB78" s="62"/>
      <c r="AC78" s="126"/>
      <c r="AD78" s="44"/>
      <c r="AE78" s="44"/>
      <c r="AF78" s="44"/>
      <c r="AG78" s="44"/>
      <c r="AH78" s="44"/>
      <c r="AI78" s="44"/>
      <c r="AJ78" s="44"/>
      <c r="AK78" s="57"/>
      <c r="AL78" s="44"/>
      <c r="AM78" s="44"/>
      <c r="AN78" s="44"/>
      <c r="AO78" s="44"/>
      <c r="AP78" s="44"/>
      <c r="AQ78" s="44"/>
      <c r="AR78" s="44"/>
      <c r="AS78" s="44"/>
      <c r="AT78" s="44"/>
      <c r="AU78" s="44"/>
      <c r="AV78" s="44"/>
      <c r="AW78" s="44"/>
      <c r="AX78" s="44"/>
      <c r="AY78"/>
      <c r="AZ78"/>
      <c r="BA78"/>
      <c r="BB78"/>
      <c r="BC78"/>
      <c r="BD78"/>
      <c r="BE78"/>
      <c r="BF78"/>
      <c r="BG78"/>
      <c r="BH78"/>
      <c r="BI78"/>
      <c r="BJ78"/>
    </row>
    <row r="79" spans="1:62" x14ac:dyDescent="0.25">
      <c r="A79" s="44"/>
      <c r="B79" s="44"/>
      <c r="C79" s="44"/>
      <c r="D79" s="44"/>
      <c r="E79" s="44"/>
      <c r="F79" s="44"/>
      <c r="G79" s="44"/>
      <c r="H79" s="44"/>
      <c r="I79" s="44"/>
      <c r="J79" s="44"/>
      <c r="K79" s="44"/>
      <c r="L79" s="70"/>
      <c r="M79" s="70"/>
      <c r="N79" s="70"/>
      <c r="O79" s="70"/>
      <c r="P79" s="44"/>
      <c r="Q79" s="44"/>
      <c r="R79" s="44"/>
      <c r="S79" s="94"/>
      <c r="T79" s="44"/>
      <c r="U79" s="44"/>
      <c r="V79" s="44"/>
      <c r="W79" s="70"/>
      <c r="X79" s="70"/>
      <c r="Y79" s="120"/>
      <c r="Z79" s="554" t="s">
        <v>125</v>
      </c>
      <c r="AA79" s="127">
        <f>boiler_eff_fm</f>
        <v>80</v>
      </c>
      <c r="AB79" s="62" t="s">
        <v>285</v>
      </c>
      <c r="AC79" s="126"/>
      <c r="AD79" s="44"/>
      <c r="AE79" s="44"/>
      <c r="AF79" s="44"/>
      <c r="AG79" s="44"/>
      <c r="AH79" s="44"/>
      <c r="AI79" s="44"/>
      <c r="AJ79" s="44"/>
      <c r="AK79" s="57"/>
      <c r="AL79" s="44"/>
      <c r="AM79" s="44"/>
      <c r="AN79" s="44"/>
      <c r="AO79" s="44"/>
      <c r="AP79" s="44"/>
      <c r="AQ79" s="44"/>
      <c r="AR79" s="44"/>
      <c r="AS79" s="44"/>
      <c r="AT79" s="44"/>
      <c r="AU79" s="44"/>
      <c r="AV79" s="44"/>
      <c r="AW79" s="44"/>
      <c r="AX79" s="44"/>
      <c r="AY79"/>
      <c r="AZ79"/>
      <c r="BA79"/>
      <c r="BB79"/>
      <c r="BC79"/>
      <c r="BD79"/>
      <c r="BE79"/>
      <c r="BF79"/>
      <c r="BG79"/>
      <c r="BH79"/>
      <c r="BI79"/>
      <c r="BJ79"/>
    </row>
    <row r="80" spans="1:62" x14ac:dyDescent="0.25">
      <c r="A80" s="44"/>
      <c r="B80" s="44"/>
      <c r="C80" s="44"/>
      <c r="D80" s="44"/>
      <c r="E80" s="44"/>
      <c r="F80" s="44"/>
      <c r="G80" s="44"/>
      <c r="H80" s="44"/>
      <c r="I80" s="44"/>
      <c r="J80" s="44"/>
      <c r="K80" s="44"/>
      <c r="L80" s="70"/>
      <c r="M80" s="70"/>
      <c r="N80" s="70"/>
      <c r="O80" s="70"/>
      <c r="P80" s="44"/>
      <c r="Q80" s="44"/>
      <c r="R80" s="44"/>
      <c r="S80" s="94"/>
      <c r="T80" s="44"/>
      <c r="U80" s="44"/>
      <c r="V80" s="44"/>
      <c r="W80" s="70"/>
      <c r="X80" s="87"/>
      <c r="Y80" s="826"/>
      <c r="Z80" s="554"/>
      <c r="AA80" s="80"/>
      <c r="AB80" s="62"/>
      <c r="AC80" s="126"/>
      <c r="AD80" s="44"/>
      <c r="AE80" s="44"/>
      <c r="AF80" s="44"/>
      <c r="AG80" s="44"/>
      <c r="AH80" s="44"/>
      <c r="AI80" s="44"/>
      <c r="AJ80" s="44"/>
      <c r="AK80" s="57"/>
      <c r="AL80" s="44"/>
      <c r="AM80" s="44"/>
      <c r="AN80" s="44"/>
      <c r="AO80" s="44"/>
      <c r="AP80" s="44"/>
      <c r="AQ80" s="44"/>
      <c r="AR80" s="44"/>
      <c r="AS80" s="44"/>
      <c r="AT80" s="44"/>
      <c r="AU80" s="44"/>
      <c r="AV80" s="44"/>
      <c r="AW80" s="44"/>
      <c r="AX80" s="44"/>
      <c r="AY80"/>
      <c r="AZ80"/>
      <c r="BA80"/>
      <c r="BB80"/>
      <c r="BC80"/>
      <c r="BD80"/>
      <c r="BE80"/>
      <c r="BF80"/>
      <c r="BG80"/>
      <c r="BH80"/>
      <c r="BI80"/>
      <c r="BJ80"/>
    </row>
    <row r="81" spans="1:62" x14ac:dyDescent="0.25">
      <c r="A81" s="44"/>
      <c r="B81" s="44"/>
      <c r="C81" s="44"/>
      <c r="D81" s="44"/>
      <c r="E81" s="44"/>
      <c r="F81" s="44"/>
      <c r="G81" s="44"/>
      <c r="H81" s="44"/>
      <c r="I81" s="44"/>
      <c r="J81" s="44"/>
      <c r="K81" s="44"/>
      <c r="L81" s="70"/>
      <c r="M81" s="70"/>
      <c r="N81" s="70"/>
      <c r="O81" s="70"/>
      <c r="P81" s="44"/>
      <c r="Q81" s="44"/>
      <c r="R81" s="44"/>
      <c r="S81" s="94"/>
      <c r="T81" s="44"/>
      <c r="U81" s="44"/>
      <c r="V81" s="44"/>
      <c r="W81" s="57"/>
      <c r="X81" s="70"/>
      <c r="Y81" s="120"/>
      <c r="Z81" s="554" t="s">
        <v>157</v>
      </c>
      <c r="AA81" s="110">
        <f>(S137*S101*(S294/S72))/(S105*60*60)</f>
        <v>12.239195929903703</v>
      </c>
      <c r="AB81" s="62" t="s">
        <v>623</v>
      </c>
      <c r="AC81" s="126"/>
      <c r="AD81" s="44"/>
      <c r="AE81" s="44"/>
      <c r="AF81" s="44"/>
      <c r="AG81" s="44"/>
      <c r="AH81" s="44"/>
      <c r="AI81" s="44"/>
      <c r="AJ81" s="44"/>
      <c r="AK81" s="57"/>
      <c r="AL81" s="44"/>
      <c r="AM81" s="44"/>
      <c r="AN81" s="44"/>
      <c r="AO81" s="44"/>
      <c r="AP81" s="44"/>
      <c r="AQ81" s="44"/>
      <c r="AR81" s="44"/>
      <c r="AS81" s="44"/>
      <c r="AT81" s="44"/>
      <c r="AU81" s="44"/>
      <c r="AV81" s="44"/>
      <c r="AW81" s="44"/>
      <c r="AX81" s="44"/>
      <c r="AY81"/>
      <c r="AZ81"/>
      <c r="BA81"/>
      <c r="BB81"/>
      <c r="BC81"/>
      <c r="BD81"/>
      <c r="BE81"/>
      <c r="BF81"/>
      <c r="BG81"/>
      <c r="BH81"/>
      <c r="BI81"/>
      <c r="BJ81"/>
    </row>
    <row r="82" spans="1:62" x14ac:dyDescent="0.25">
      <c r="A82" s="44"/>
      <c r="B82" s="44"/>
      <c r="C82" s="44"/>
      <c r="D82" s="44"/>
      <c r="E82" s="44"/>
      <c r="F82" s="44"/>
      <c r="G82" s="44"/>
      <c r="H82" s="44"/>
      <c r="I82" s="44"/>
      <c r="J82" s="44"/>
      <c r="K82" s="44"/>
      <c r="L82" s="70"/>
      <c r="M82" s="70"/>
      <c r="N82" s="70"/>
      <c r="O82" s="70"/>
      <c r="P82" s="44"/>
      <c r="Q82" s="44"/>
      <c r="R82" s="44"/>
      <c r="S82" s="94"/>
      <c r="T82" s="44"/>
      <c r="U82" s="44"/>
      <c r="V82" s="44"/>
      <c r="W82" s="57"/>
      <c r="X82" s="70"/>
      <c r="Y82" s="120"/>
      <c r="Z82" s="554"/>
      <c r="AA82" s="80"/>
      <c r="AB82" s="62"/>
      <c r="AC82" s="126"/>
      <c r="AD82" s="44"/>
      <c r="AE82" s="44"/>
      <c r="AF82" s="44"/>
      <c r="AG82" s="44"/>
      <c r="AH82" s="44"/>
      <c r="AI82" s="44"/>
      <c r="AJ82" s="44"/>
      <c r="AK82" s="57"/>
      <c r="AL82" s="44"/>
      <c r="AM82" s="44"/>
      <c r="AN82" s="44"/>
      <c r="AO82" s="44"/>
      <c r="AP82" s="44"/>
      <c r="AQ82" s="44"/>
      <c r="AR82" s="44"/>
      <c r="AS82" s="44"/>
      <c r="AT82" s="44"/>
      <c r="AU82" s="44"/>
      <c r="AV82" s="44"/>
      <c r="AW82" s="44"/>
      <c r="AX82" s="44"/>
      <c r="AY82"/>
      <c r="AZ82"/>
      <c r="BA82"/>
      <c r="BB82"/>
      <c r="BC82"/>
      <c r="BD82"/>
      <c r="BE82"/>
      <c r="BF82"/>
      <c r="BG82"/>
      <c r="BH82"/>
      <c r="BI82"/>
      <c r="BJ82"/>
    </row>
    <row r="83" spans="1:62" x14ac:dyDescent="0.25">
      <c r="A83" s="44"/>
      <c r="B83" s="44"/>
      <c r="C83" s="44"/>
      <c r="D83" s="44"/>
      <c r="E83" s="44"/>
      <c r="F83" s="44"/>
      <c r="G83" s="44"/>
      <c r="H83" s="44"/>
      <c r="I83" s="44"/>
      <c r="J83" s="44"/>
      <c r="K83" s="44"/>
      <c r="L83" s="70"/>
      <c r="M83" s="70"/>
      <c r="N83" s="70"/>
      <c r="O83" s="70"/>
      <c r="P83" s="44"/>
      <c r="Q83" s="44"/>
      <c r="R83" s="44"/>
      <c r="S83" s="94"/>
      <c r="T83" s="44"/>
      <c r="U83" s="44"/>
      <c r="V83" s="44"/>
      <c r="W83" s="57"/>
      <c r="X83" s="70"/>
      <c r="Y83" s="120"/>
      <c r="Z83" s="554" t="s">
        <v>126</v>
      </c>
      <c r="AA83" s="130">
        <f>($S$105*100)/8760</f>
        <v>49.315068493150683</v>
      </c>
      <c r="AB83" s="62" t="s">
        <v>285</v>
      </c>
      <c r="AC83" s="126"/>
      <c r="AD83" s="44"/>
      <c r="AE83" s="44"/>
      <c r="AF83" s="44"/>
      <c r="AG83" s="44"/>
      <c r="AH83" s="44"/>
      <c r="AI83" s="44"/>
      <c r="AJ83" s="44"/>
      <c r="AK83" s="57"/>
      <c r="AL83" s="44"/>
      <c r="AM83" s="44"/>
      <c r="AN83" s="44"/>
      <c r="AO83" s="44"/>
      <c r="AP83" s="44"/>
      <c r="AQ83" s="44"/>
      <c r="AR83" s="44"/>
      <c r="AS83" s="44"/>
      <c r="AT83" s="44"/>
      <c r="AU83" s="44"/>
      <c r="AV83" s="44"/>
      <c r="AW83" s="44"/>
      <c r="AX83" s="44"/>
      <c r="AY83"/>
      <c r="AZ83"/>
      <c r="BA83"/>
      <c r="BB83"/>
      <c r="BC83"/>
      <c r="BD83"/>
      <c r="BE83"/>
      <c r="BF83"/>
      <c r="BG83"/>
      <c r="BH83"/>
      <c r="BI83"/>
      <c r="BJ83"/>
    </row>
    <row r="84" spans="1:62" x14ac:dyDescent="0.25">
      <c r="A84" s="44"/>
      <c r="B84" s="44"/>
      <c r="C84" s="44"/>
      <c r="D84" s="44"/>
      <c r="E84" s="44"/>
      <c r="F84" s="44"/>
      <c r="G84" s="44"/>
      <c r="H84" s="44"/>
      <c r="I84" s="44"/>
      <c r="J84" s="44"/>
      <c r="K84" s="44"/>
      <c r="L84" s="70"/>
      <c r="M84" s="70"/>
      <c r="N84" s="70"/>
      <c r="O84" s="70"/>
      <c r="P84" s="44"/>
      <c r="Q84" s="44"/>
      <c r="R84" s="44"/>
      <c r="S84" s="94"/>
      <c r="T84" s="44"/>
      <c r="U84" s="44"/>
      <c r="V84" s="44"/>
      <c r="W84" s="44"/>
      <c r="X84" s="94"/>
      <c r="Y84" s="120"/>
      <c r="Z84" s="554"/>
      <c r="AA84" s="80"/>
      <c r="AB84" s="62"/>
      <c r="AC84" s="126"/>
      <c r="AD84" s="44"/>
      <c r="AE84" s="44"/>
      <c r="AF84" s="44"/>
      <c r="AG84" s="44"/>
      <c r="AH84" s="44"/>
      <c r="AI84" s="44"/>
      <c r="AJ84" s="44"/>
      <c r="AK84" s="57"/>
      <c r="AL84" s="44"/>
      <c r="AM84" s="44"/>
      <c r="AN84" s="44"/>
      <c r="AO84" s="44"/>
      <c r="AP84" s="44"/>
      <c r="AQ84" s="44"/>
      <c r="AR84" s="44"/>
      <c r="AS84" s="44"/>
      <c r="AT84" s="44"/>
      <c r="AU84" s="44"/>
      <c r="AV84" s="44"/>
      <c r="AW84" s="44"/>
      <c r="AX84" s="44"/>
      <c r="AY84"/>
      <c r="AZ84"/>
      <c r="BA84"/>
      <c r="BB84"/>
      <c r="BC84"/>
      <c r="BD84"/>
      <c r="BE84"/>
      <c r="BF84"/>
      <c r="BG84"/>
      <c r="BH84"/>
      <c r="BI84"/>
      <c r="BJ84"/>
    </row>
    <row r="85" spans="1:62" x14ac:dyDescent="0.25">
      <c r="A85" s="44"/>
      <c r="B85" s="44"/>
      <c r="C85" s="44"/>
      <c r="D85" s="44"/>
      <c r="E85" s="44"/>
      <c r="F85" s="44"/>
      <c r="G85" s="44"/>
      <c r="H85" s="44"/>
      <c r="I85" s="44"/>
      <c r="J85" s="44"/>
      <c r="K85" s="44"/>
      <c r="L85" s="70"/>
      <c r="M85" s="70"/>
      <c r="N85" s="70"/>
      <c r="O85" s="70"/>
      <c r="P85" s="44"/>
      <c r="Q85" s="44"/>
      <c r="R85" s="44"/>
      <c r="S85" s="94"/>
      <c r="T85" s="44"/>
      <c r="U85" s="44"/>
      <c r="V85" s="44"/>
      <c r="W85" s="44"/>
      <c r="X85" s="94"/>
      <c r="Y85" s="120"/>
      <c r="Z85" s="554" t="s">
        <v>127</v>
      </c>
      <c r="AA85" s="133">
        <f>$S$103</f>
        <v>20</v>
      </c>
      <c r="AB85" s="62" t="s">
        <v>420</v>
      </c>
      <c r="AC85" s="126"/>
      <c r="AD85" s="44"/>
      <c r="AE85" s="44"/>
      <c r="AF85" s="44"/>
      <c r="AG85" s="44"/>
      <c r="AH85" s="44"/>
      <c r="AI85" s="44"/>
      <c r="AJ85" s="44"/>
      <c r="AK85" s="57"/>
      <c r="AL85" s="44"/>
      <c r="AM85" s="44"/>
      <c r="AN85" s="44"/>
      <c r="AO85" s="44"/>
      <c r="AP85" s="44"/>
      <c r="AQ85" s="44"/>
      <c r="AR85" s="44"/>
      <c r="AS85" s="44"/>
      <c r="AT85" s="44"/>
      <c r="AU85" s="44"/>
      <c r="AV85" s="44"/>
      <c r="AW85" s="44"/>
      <c r="AX85" s="44"/>
      <c r="AY85"/>
      <c r="AZ85"/>
      <c r="BA85"/>
      <c r="BB85"/>
      <c r="BC85"/>
      <c r="BD85"/>
      <c r="BE85"/>
      <c r="BF85"/>
      <c r="BG85"/>
      <c r="BH85"/>
      <c r="BI85"/>
      <c r="BJ85"/>
    </row>
    <row r="86" spans="1:62" ht="13.8" thickBot="1" x14ac:dyDescent="0.3">
      <c r="A86" s="44"/>
      <c r="B86" s="44"/>
      <c r="C86" s="44"/>
      <c r="D86" s="44"/>
      <c r="E86" s="44"/>
      <c r="F86" s="44"/>
      <c r="G86" s="44"/>
      <c r="H86" s="44"/>
      <c r="I86" s="44"/>
      <c r="J86" s="44"/>
      <c r="K86" s="44"/>
      <c r="L86" s="70"/>
      <c r="M86" s="70"/>
      <c r="N86" s="70"/>
      <c r="O86" s="70"/>
      <c r="P86" s="44"/>
      <c r="Q86" s="44"/>
      <c r="R86" s="44"/>
      <c r="S86" s="94"/>
      <c r="T86" s="44"/>
      <c r="U86" s="44"/>
      <c r="V86" s="44"/>
      <c r="W86" s="44"/>
      <c r="X86" s="94"/>
      <c r="Y86" s="120"/>
      <c r="Z86" s="67"/>
      <c r="AA86" s="68"/>
      <c r="AB86" s="69"/>
      <c r="AC86" s="126"/>
      <c r="AD86" s="44"/>
      <c r="AE86" s="44"/>
      <c r="AF86" s="44"/>
      <c r="AG86" s="44"/>
      <c r="AH86" s="44"/>
      <c r="AI86" s="44"/>
      <c r="AJ86" s="44"/>
      <c r="AK86" s="57"/>
      <c r="AL86" s="44"/>
      <c r="AM86" s="44"/>
      <c r="AN86" s="44"/>
      <c r="AO86" s="44"/>
      <c r="AP86" s="44"/>
      <c r="AQ86" s="44"/>
      <c r="AR86" s="44"/>
      <c r="AS86" s="44"/>
      <c r="AT86" s="44"/>
      <c r="AU86" s="44"/>
      <c r="AV86" s="44"/>
      <c r="AW86" s="44"/>
      <c r="AX86" s="44"/>
      <c r="AY86"/>
      <c r="AZ86"/>
      <c r="BA86"/>
      <c r="BB86"/>
      <c r="BC86"/>
      <c r="BD86"/>
      <c r="BE86"/>
      <c r="BF86"/>
      <c r="BG86"/>
      <c r="BH86"/>
      <c r="BI86"/>
      <c r="BJ86"/>
    </row>
    <row r="87" spans="1:62" x14ac:dyDescent="0.25">
      <c r="A87" s="44"/>
      <c r="B87" s="44"/>
      <c r="C87" s="44"/>
      <c r="D87" s="44"/>
      <c r="E87" s="44"/>
      <c r="F87" s="44"/>
      <c r="G87" s="44"/>
      <c r="H87" s="44"/>
      <c r="I87" s="44"/>
      <c r="J87" s="44"/>
      <c r="K87" s="44"/>
      <c r="L87" s="70"/>
      <c r="M87" s="70"/>
      <c r="N87" s="70"/>
      <c r="O87" s="70"/>
      <c r="P87" s="44"/>
      <c r="Q87" s="44"/>
      <c r="R87" s="44"/>
      <c r="S87" s="94"/>
      <c r="T87" s="44"/>
      <c r="U87" s="44"/>
      <c r="V87" s="44"/>
      <c r="W87" s="44"/>
      <c r="X87" s="94"/>
      <c r="Y87" s="120"/>
      <c r="Z87" s="70"/>
      <c r="AA87" s="225"/>
      <c r="AB87" s="71"/>
      <c r="AC87" s="119"/>
      <c r="AD87" s="44"/>
      <c r="AE87" s="44"/>
      <c r="AF87" s="44"/>
      <c r="AG87" s="44"/>
      <c r="AH87" s="44"/>
      <c r="AI87" s="44"/>
      <c r="AJ87" s="44"/>
      <c r="AK87" s="57"/>
      <c r="AL87" s="44"/>
      <c r="AM87" s="44"/>
      <c r="AN87" s="44"/>
      <c r="AO87" s="44"/>
      <c r="AP87" s="44"/>
      <c r="AQ87" s="44"/>
      <c r="AR87" s="44"/>
      <c r="AS87" s="44"/>
      <c r="AT87" s="44"/>
      <c r="AU87" s="44"/>
      <c r="AV87" s="44"/>
      <c r="AW87" s="44"/>
      <c r="AX87" s="44"/>
      <c r="AY87"/>
      <c r="AZ87"/>
      <c r="BA87"/>
      <c r="BB87"/>
      <c r="BC87"/>
      <c r="BD87"/>
      <c r="BE87"/>
      <c r="BF87"/>
      <c r="BG87"/>
      <c r="BH87"/>
      <c r="BI87"/>
      <c r="BJ87"/>
    </row>
    <row r="88" spans="1:62" x14ac:dyDescent="0.25">
      <c r="A88" s="44"/>
      <c r="B88" s="44"/>
      <c r="C88" s="44"/>
      <c r="D88" s="44"/>
      <c r="E88" s="44"/>
      <c r="F88" s="44"/>
      <c r="G88" s="44"/>
      <c r="H88" s="44"/>
      <c r="I88" s="44"/>
      <c r="J88" s="44"/>
      <c r="K88" s="44"/>
      <c r="L88" s="70"/>
      <c r="M88" s="70"/>
      <c r="N88" s="70"/>
      <c r="O88" s="70"/>
      <c r="P88" s="44"/>
      <c r="Q88" s="44"/>
      <c r="R88" s="44"/>
      <c r="S88" s="94"/>
      <c r="T88" s="44"/>
      <c r="U88" s="44"/>
      <c r="V88" s="44"/>
      <c r="W88" s="44"/>
      <c r="X88" s="94"/>
      <c r="Y88" s="120"/>
      <c r="Z88" s="70"/>
      <c r="AA88" s="94"/>
      <c r="AB88" s="70"/>
      <c r="AC88" s="119"/>
      <c r="AD88" s="44"/>
      <c r="AE88" s="44"/>
      <c r="AF88" s="44"/>
      <c r="AG88" s="44"/>
      <c r="AH88" s="44"/>
      <c r="AI88" s="44"/>
      <c r="AJ88" s="44"/>
      <c r="AK88" s="57"/>
      <c r="AL88" s="44"/>
      <c r="AM88" s="44"/>
      <c r="AN88" s="44"/>
      <c r="AO88" s="44"/>
      <c r="AP88" s="44"/>
      <c r="AQ88" s="44"/>
      <c r="AR88" s="44"/>
      <c r="AS88" s="44"/>
      <c r="AT88" s="44"/>
      <c r="AU88" s="44"/>
      <c r="AV88" s="44"/>
      <c r="AW88" s="44"/>
      <c r="AX88" s="44"/>
      <c r="AY88"/>
      <c r="AZ88"/>
      <c r="BA88"/>
      <c r="BB88"/>
      <c r="BC88"/>
      <c r="BD88"/>
      <c r="BE88"/>
      <c r="BF88"/>
      <c r="BG88"/>
      <c r="BH88"/>
      <c r="BI88"/>
      <c r="BJ88"/>
    </row>
    <row r="89" spans="1:62" x14ac:dyDescent="0.25">
      <c r="A89" s="44"/>
      <c r="B89" s="44"/>
      <c r="C89" s="44"/>
      <c r="D89" s="44"/>
      <c r="E89" s="44"/>
      <c r="F89" s="44"/>
      <c r="G89" s="44"/>
      <c r="H89" s="44"/>
      <c r="I89" s="44"/>
      <c r="J89" s="44"/>
      <c r="K89" s="44"/>
      <c r="L89" s="70"/>
      <c r="M89" s="70"/>
      <c r="N89" s="70"/>
      <c r="O89" s="70"/>
      <c r="P89" s="44"/>
      <c r="Q89" s="44"/>
      <c r="R89" s="44"/>
      <c r="S89" s="94"/>
      <c r="T89" s="44"/>
      <c r="U89" s="44"/>
      <c r="V89" s="44"/>
      <c r="W89" s="44"/>
      <c r="X89" s="94"/>
      <c r="Y89" s="120"/>
      <c r="Z89" s="70"/>
      <c r="AA89" s="92"/>
      <c r="AB89" s="70"/>
      <c r="AC89" s="119"/>
      <c r="AD89" s="44"/>
      <c r="AE89" s="44"/>
      <c r="AF89" s="44"/>
      <c r="AG89" s="44"/>
      <c r="AH89" s="44"/>
      <c r="AI89" s="44"/>
      <c r="AJ89" s="44"/>
      <c r="AK89" s="57"/>
      <c r="AL89" s="44"/>
      <c r="AM89" s="44"/>
      <c r="AN89" s="44"/>
      <c r="AO89" s="44"/>
      <c r="AP89" s="44"/>
      <c r="AQ89" s="44"/>
      <c r="AR89" s="44"/>
      <c r="AS89" s="44"/>
      <c r="AT89" s="44"/>
      <c r="AU89" s="44"/>
      <c r="AV89" s="44"/>
      <c r="AW89" s="44"/>
      <c r="AX89" s="44"/>
      <c r="AY89"/>
      <c r="AZ89"/>
      <c r="BA89"/>
      <c r="BB89"/>
      <c r="BC89"/>
      <c r="BD89"/>
      <c r="BE89"/>
      <c r="BF89"/>
      <c r="BG89"/>
      <c r="BH89"/>
      <c r="BI89"/>
      <c r="BJ89"/>
    </row>
    <row r="90" spans="1:62" x14ac:dyDescent="0.25">
      <c r="A90" s="44"/>
      <c r="B90" s="44"/>
      <c r="C90" s="44"/>
      <c r="D90" s="44"/>
      <c r="E90" s="44"/>
      <c r="F90" s="44"/>
      <c r="G90" s="44"/>
      <c r="H90" s="44"/>
      <c r="I90" s="44"/>
      <c r="J90" s="44"/>
      <c r="K90" s="44"/>
      <c r="L90" s="70"/>
      <c r="M90" s="70"/>
      <c r="N90" s="70"/>
      <c r="O90" s="70"/>
      <c r="P90" s="44"/>
      <c r="Q90" s="44"/>
      <c r="R90" s="44"/>
      <c r="S90" s="94"/>
      <c r="T90" s="44"/>
      <c r="U90" s="44"/>
      <c r="V90" s="44"/>
      <c r="W90" s="44"/>
      <c r="X90" s="94"/>
      <c r="Y90" s="120"/>
      <c r="Z90" s="93"/>
      <c r="AA90" s="46"/>
      <c r="AB90" s="47"/>
      <c r="AC90" s="121"/>
      <c r="AD90" s="44"/>
      <c r="AE90" s="44"/>
      <c r="AF90" s="44"/>
      <c r="AG90" s="44"/>
      <c r="AH90" s="44"/>
      <c r="AI90" s="44"/>
      <c r="AJ90" s="44"/>
      <c r="AK90" s="929"/>
      <c r="AL90" s="930"/>
      <c r="AM90" s="896"/>
      <c r="AN90" s="44"/>
      <c r="AO90" s="44"/>
      <c r="AP90" s="44"/>
      <c r="AQ90" s="44"/>
      <c r="AR90" s="44"/>
      <c r="AS90" s="44"/>
      <c r="AT90" s="44"/>
      <c r="AU90" s="44"/>
      <c r="AV90" s="44"/>
      <c r="AW90" s="44"/>
      <c r="AX90" s="44"/>
      <c r="AY90"/>
      <c r="AZ90"/>
      <c r="BA90"/>
      <c r="BB90"/>
      <c r="BC90"/>
      <c r="BD90"/>
      <c r="BE90"/>
      <c r="BF90"/>
      <c r="BG90"/>
      <c r="BH90"/>
      <c r="BI90"/>
      <c r="BJ90"/>
    </row>
    <row r="91" spans="1:62" x14ac:dyDescent="0.25">
      <c r="A91" s="44"/>
      <c r="B91" s="44"/>
      <c r="C91" s="44"/>
      <c r="D91" s="44"/>
      <c r="E91" s="44"/>
      <c r="F91" s="44"/>
      <c r="G91" s="44"/>
      <c r="H91" s="44"/>
      <c r="I91" s="44"/>
      <c r="J91" s="44"/>
      <c r="K91" s="44"/>
      <c r="L91" s="70"/>
      <c r="M91" s="70"/>
      <c r="N91" s="70"/>
      <c r="O91" s="70"/>
      <c r="P91" s="44"/>
      <c r="Q91" s="44"/>
      <c r="R91" s="44"/>
      <c r="S91" s="94"/>
      <c r="T91" s="44"/>
      <c r="U91" s="44"/>
      <c r="V91" s="44"/>
      <c r="W91" s="44"/>
      <c r="X91" s="94"/>
      <c r="Y91" s="120"/>
      <c r="Z91" s="553" t="s">
        <v>644</v>
      </c>
      <c r="AA91" s="110">
        <f>$S$139</f>
        <v>2024.7268789719708</v>
      </c>
      <c r="AB91" s="51" t="s">
        <v>548</v>
      </c>
      <c r="AC91" s="121"/>
      <c r="AD91" s="44"/>
      <c r="AE91" s="44"/>
      <c r="AF91" s="44"/>
      <c r="AG91" s="44"/>
      <c r="AH91" s="44"/>
      <c r="AI91" s="44"/>
      <c r="AJ91" s="44"/>
      <c r="AK91" s="57"/>
      <c r="AL91" s="44"/>
      <c r="AM91" s="44"/>
      <c r="AN91" s="44"/>
      <c r="AO91" s="44"/>
      <c r="AP91" s="44"/>
      <c r="AQ91" s="44"/>
      <c r="AR91" s="44"/>
      <c r="AS91" s="44"/>
      <c r="AT91" s="44"/>
      <c r="AU91" s="44"/>
      <c r="AV91" s="44"/>
      <c r="AW91" s="44"/>
      <c r="AX91" s="44"/>
      <c r="AY91"/>
      <c r="AZ91"/>
      <c r="BA91"/>
      <c r="BB91"/>
      <c r="BC91"/>
      <c r="BD91"/>
      <c r="BE91"/>
      <c r="BF91"/>
      <c r="BG91"/>
      <c r="BH91"/>
      <c r="BI91"/>
      <c r="BJ91"/>
    </row>
    <row r="92" spans="1:62" x14ac:dyDescent="0.25">
      <c r="A92" s="44"/>
      <c r="B92" s="44"/>
      <c r="C92" s="44"/>
      <c r="D92" s="44"/>
      <c r="E92" s="44"/>
      <c r="F92" s="44"/>
      <c r="G92" s="44"/>
      <c r="H92" s="44"/>
      <c r="I92" s="44"/>
      <c r="J92" s="44"/>
      <c r="K92" s="44"/>
      <c r="L92" s="70"/>
      <c r="M92" s="70"/>
      <c r="N92" s="70"/>
      <c r="O92" s="70"/>
      <c r="P92" s="44"/>
      <c r="Q92" s="44"/>
      <c r="R92" s="44"/>
      <c r="S92" s="94"/>
      <c r="T92" s="44"/>
      <c r="U92" s="44"/>
      <c r="V92" s="44"/>
      <c r="W92" s="44"/>
      <c r="X92" s="94"/>
      <c r="Y92" s="120"/>
      <c r="Z92" s="54"/>
      <c r="AA92" s="55"/>
      <c r="AB92" s="56"/>
      <c r="AC92" s="121"/>
      <c r="AD92" s="44"/>
      <c r="AE92" s="44"/>
      <c r="AF92" s="44"/>
      <c r="AG92" s="44"/>
      <c r="AH92" s="44"/>
      <c r="AI92" s="44"/>
      <c r="AJ92" s="44"/>
      <c r="AK92" s="57"/>
      <c r="AL92" s="44"/>
      <c r="AM92" s="44"/>
      <c r="AN92" s="44"/>
      <c r="AO92" s="44"/>
      <c r="AP92" s="44"/>
      <c r="AQ92" s="44"/>
      <c r="AR92" s="44"/>
      <c r="AS92" s="44"/>
      <c r="AT92" s="44"/>
      <c r="AU92" s="44"/>
      <c r="AV92" s="44"/>
      <c r="AW92" s="44"/>
      <c r="AX92" s="44"/>
      <c r="AY92"/>
      <c r="AZ92"/>
      <c r="BA92"/>
      <c r="BB92"/>
      <c r="BC92"/>
      <c r="BD92"/>
      <c r="BE92"/>
      <c r="BF92"/>
      <c r="BG92"/>
      <c r="BH92"/>
      <c r="BI92"/>
      <c r="BJ92"/>
    </row>
    <row r="93" spans="1:62" ht="13.8" thickBot="1" x14ac:dyDescent="0.3">
      <c r="A93" s="44"/>
      <c r="B93" s="44"/>
      <c r="C93" s="44"/>
      <c r="D93" s="44"/>
      <c r="E93" s="44"/>
      <c r="F93" s="44"/>
      <c r="G93" s="44"/>
      <c r="H93" s="44"/>
      <c r="I93" s="44"/>
      <c r="J93" s="44"/>
      <c r="K93" s="44"/>
      <c r="L93" s="70"/>
      <c r="M93" s="70"/>
      <c r="N93" s="70"/>
      <c r="O93" s="70"/>
      <c r="P93" s="44"/>
      <c r="Q93" s="44"/>
      <c r="R93" s="44"/>
      <c r="S93" s="94"/>
      <c r="T93" s="44"/>
      <c r="U93" s="44"/>
      <c r="V93" s="44"/>
      <c r="W93" s="44"/>
      <c r="X93" s="94"/>
      <c r="Y93" s="137"/>
      <c r="Z93" s="138"/>
      <c r="AA93" s="138"/>
      <c r="AB93" s="138"/>
      <c r="AC93" s="140"/>
      <c r="AD93" s="44"/>
      <c r="AE93" s="44"/>
      <c r="AF93" s="44"/>
      <c r="AG93" s="44"/>
      <c r="AH93" s="44"/>
      <c r="AI93" s="93"/>
      <c r="AJ93" s="46"/>
      <c r="AK93" s="46"/>
      <c r="AL93" s="46"/>
      <c r="AM93" s="46"/>
      <c r="AN93" s="47"/>
      <c r="AO93" s="44"/>
      <c r="AP93" s="44"/>
      <c r="AQ93" s="44"/>
      <c r="AR93" s="44"/>
      <c r="AS93" s="44"/>
      <c r="AT93" s="44"/>
      <c r="AU93" s="44"/>
      <c r="AV93" s="44"/>
      <c r="AW93" s="44"/>
      <c r="AX93" s="44"/>
      <c r="AY93"/>
      <c r="AZ93"/>
      <c r="BA93"/>
      <c r="BB93"/>
      <c r="BC93"/>
      <c r="BD93"/>
      <c r="BE93"/>
      <c r="BF93"/>
      <c r="BG93"/>
      <c r="BH93"/>
      <c r="BI93"/>
      <c r="BJ93"/>
    </row>
    <row r="94" spans="1:62" x14ac:dyDescent="0.25">
      <c r="A94" s="44"/>
      <c r="B94" s="44"/>
      <c r="C94" s="44"/>
      <c r="D94" s="44"/>
      <c r="E94" s="44"/>
      <c r="F94" s="44"/>
      <c r="G94" s="44"/>
      <c r="H94" s="44"/>
      <c r="I94" s="44"/>
      <c r="J94" s="44"/>
      <c r="K94" s="44"/>
      <c r="L94" s="70"/>
      <c r="M94" s="70"/>
      <c r="N94" s="70"/>
      <c r="O94" s="70"/>
      <c r="P94" s="44"/>
      <c r="Q94" s="44"/>
      <c r="R94" s="44"/>
      <c r="S94" s="94"/>
      <c r="T94" s="44"/>
      <c r="U94" s="44"/>
      <c r="V94" s="44"/>
      <c r="W94" s="44"/>
      <c r="X94" s="94"/>
      <c r="Y94" s="44"/>
      <c r="Z94" s="44"/>
      <c r="AA94" s="44"/>
      <c r="AB94" s="44"/>
      <c r="AC94" s="44"/>
      <c r="AD94" s="44"/>
      <c r="AE94" s="44"/>
      <c r="AF94" s="44"/>
      <c r="AG94" s="44"/>
      <c r="AH94" s="44"/>
      <c r="AI94" s="1592" t="s">
        <v>1527</v>
      </c>
      <c r="AJ94" s="1593"/>
      <c r="AK94" s="110">
        <f>AC281+AC323</f>
        <v>102906.69648983399</v>
      </c>
      <c r="AL94" s="223" t="s">
        <v>437</v>
      </c>
      <c r="AM94" s="49"/>
      <c r="AN94" s="51"/>
      <c r="AO94" s="44"/>
      <c r="AP94" s="44"/>
      <c r="AQ94" s="44"/>
      <c r="AR94" s="44"/>
      <c r="AS94" s="44"/>
      <c r="AT94" s="44"/>
      <c r="AU94" s="44"/>
      <c r="AV94" s="44"/>
      <c r="AW94" s="44"/>
      <c r="AX94" s="44"/>
      <c r="AY94"/>
      <c r="AZ94"/>
      <c r="BA94"/>
      <c r="BB94"/>
      <c r="BC94"/>
      <c r="BD94"/>
      <c r="BE94"/>
      <c r="BF94"/>
      <c r="BG94"/>
      <c r="BH94"/>
      <c r="BI94"/>
      <c r="BJ94"/>
    </row>
    <row r="95" spans="1:62" x14ac:dyDescent="0.25">
      <c r="A95" s="44"/>
      <c r="B95" s="44"/>
      <c r="C95" s="44"/>
      <c r="D95" s="44"/>
      <c r="E95" s="44"/>
      <c r="F95" s="44"/>
      <c r="G95" s="44"/>
      <c r="H95" s="44"/>
      <c r="I95" s="44"/>
      <c r="J95" s="44"/>
      <c r="K95" s="44"/>
      <c r="L95" s="70"/>
      <c r="M95" s="70"/>
      <c r="N95" s="70"/>
      <c r="O95" s="70"/>
      <c r="P95" s="44"/>
      <c r="Q95" s="44"/>
      <c r="R95" s="44"/>
      <c r="S95" s="94"/>
      <c r="T95" s="44"/>
      <c r="U95" s="44"/>
      <c r="V95" s="44"/>
      <c r="W95" s="44"/>
      <c r="X95" s="94"/>
      <c r="Y95" s="44"/>
      <c r="Z95" s="44"/>
      <c r="AA95" s="73"/>
      <c r="AB95" s="74"/>
      <c r="AC95" s="74"/>
      <c r="AD95" s="74"/>
      <c r="AE95" s="74"/>
      <c r="AF95" s="74"/>
      <c r="AG95" s="74"/>
      <c r="AH95" s="74"/>
      <c r="AI95" s="54"/>
      <c r="AJ95" s="55"/>
      <c r="AK95" s="55"/>
      <c r="AL95" s="55"/>
      <c r="AM95" s="55"/>
      <c r="AN95" s="56"/>
      <c r="AO95" s="44"/>
      <c r="AP95" s="44"/>
      <c r="AQ95" s="44"/>
      <c r="AR95" s="44"/>
      <c r="AS95" s="44"/>
      <c r="AT95" s="44"/>
      <c r="AU95" s="44"/>
      <c r="AV95" s="44"/>
      <c r="AW95" s="44"/>
      <c r="AX95" s="44"/>
      <c r="AY95"/>
      <c r="AZ95"/>
      <c r="BA95"/>
      <c r="BB95"/>
      <c r="BC95"/>
      <c r="BD95"/>
      <c r="BE95"/>
      <c r="BF95"/>
      <c r="BG95"/>
      <c r="BH95"/>
      <c r="BI95"/>
      <c r="BJ95"/>
    </row>
    <row r="96" spans="1:62" x14ac:dyDescent="0.25">
      <c r="A96" s="44"/>
      <c r="B96" s="44"/>
      <c r="C96" s="44"/>
      <c r="D96" s="44"/>
      <c r="E96" s="44"/>
      <c r="F96" s="44"/>
      <c r="G96" s="44"/>
      <c r="H96" s="44"/>
      <c r="I96" s="44"/>
      <c r="J96" s="44"/>
      <c r="K96" s="44"/>
      <c r="L96" s="70"/>
      <c r="M96" s="70"/>
      <c r="N96" s="70"/>
      <c r="O96" s="70"/>
      <c r="P96" s="44"/>
      <c r="Q96" s="44"/>
      <c r="R96" s="44"/>
      <c r="S96" s="94"/>
      <c r="T96" s="44"/>
      <c r="U96" s="44"/>
      <c r="V96" s="44"/>
      <c r="W96" s="44"/>
      <c r="X96" s="94"/>
      <c r="Y96" s="44"/>
      <c r="Z96" s="44"/>
      <c r="AA96" s="94"/>
      <c r="AB96" s="70"/>
      <c r="AC96" s="70"/>
      <c r="AD96" s="70"/>
      <c r="AE96" s="70"/>
      <c r="AF96" s="70"/>
      <c r="AG96" s="70"/>
      <c r="AH96" s="70"/>
      <c r="AI96" s="70"/>
      <c r="AJ96" s="434"/>
      <c r="AK96" s="533"/>
      <c r="AL96" s="434"/>
      <c r="AM96" s="434"/>
      <c r="AN96" s="434"/>
      <c r="AO96" s="434"/>
      <c r="AP96" s="44"/>
      <c r="AQ96" s="44"/>
      <c r="AR96" s="44"/>
      <c r="AS96" s="44"/>
      <c r="AT96" s="44"/>
      <c r="AU96" s="44"/>
      <c r="AV96" s="44"/>
      <c r="AW96" s="44"/>
      <c r="AX96" s="44"/>
      <c r="AY96"/>
      <c r="AZ96"/>
      <c r="BA96"/>
      <c r="BB96"/>
      <c r="BC96"/>
      <c r="BD96"/>
      <c r="BE96"/>
      <c r="BF96"/>
      <c r="BG96"/>
      <c r="BH96"/>
      <c r="BI96"/>
      <c r="BJ96"/>
    </row>
    <row r="97" spans="1:129" s="44" customFormat="1" ht="13.8" thickBot="1" x14ac:dyDescent="0.3">
      <c r="J97" s="70"/>
      <c r="K97" s="70"/>
      <c r="L97" s="70"/>
      <c r="M97" s="70"/>
      <c r="N97" s="70"/>
      <c r="O97" s="70"/>
      <c r="P97" s="70"/>
      <c r="Q97" s="70"/>
      <c r="R97" s="57"/>
      <c r="S97" s="70"/>
      <c r="T97" s="70"/>
      <c r="U97" s="70"/>
      <c r="X97" s="94"/>
      <c r="Y97" s="138"/>
      <c r="Z97" s="561"/>
      <c r="AA97" s="94"/>
      <c r="AB97" s="70"/>
      <c r="AC97" s="70"/>
      <c r="AD97" s="70"/>
      <c r="AE97" s="70"/>
      <c r="AF97" s="70"/>
      <c r="AG97" s="70"/>
      <c r="AH97" s="70"/>
      <c r="AI97" s="70"/>
      <c r="AJ97" s="70"/>
      <c r="AK97" s="57"/>
      <c r="AY97" s="42"/>
      <c r="AZ97" s="42"/>
      <c r="BA97" s="42"/>
      <c r="BB97" s="42"/>
      <c r="BC97" s="42"/>
      <c r="BD97" s="42"/>
      <c r="BE97" s="42"/>
      <c r="BF97" s="42"/>
      <c r="BG97" s="42"/>
      <c r="BH97" s="42"/>
      <c r="BI97" s="42"/>
      <c r="BJ97" s="42"/>
      <c r="BK97" s="42"/>
      <c r="BL97" s="42"/>
      <c r="BM97" s="42"/>
      <c r="BN97" s="42"/>
      <c r="BO97" s="42"/>
      <c r="BP97" s="42"/>
      <c r="BQ97" s="42"/>
      <c r="BR97" s="42"/>
      <c r="BS97" s="42"/>
      <c r="BT97" s="42"/>
      <c r="BU97" s="42"/>
      <c r="BV97" s="42"/>
      <c r="BW97" s="42"/>
      <c r="BX97" s="42"/>
      <c r="BY97" s="42"/>
      <c r="BZ97" s="42"/>
      <c r="CA97" s="42"/>
      <c r="CB97" s="42"/>
      <c r="CC97" s="42"/>
      <c r="CD97" s="42"/>
      <c r="CE97" s="42"/>
      <c r="CF97" s="42"/>
      <c r="CG97" s="42"/>
      <c r="CH97" s="42"/>
      <c r="CI97" s="42"/>
      <c r="CJ97" s="42"/>
      <c r="CK97" s="42"/>
      <c r="CL97" s="42"/>
      <c r="CM97" s="42"/>
      <c r="CN97" s="42"/>
      <c r="CO97" s="42"/>
      <c r="CP97" s="42"/>
      <c r="CQ97" s="42"/>
      <c r="CR97" s="42"/>
      <c r="CS97" s="42"/>
      <c r="CT97" s="42"/>
      <c r="CU97" s="42"/>
      <c r="CV97" s="42"/>
      <c r="CW97" s="42"/>
      <c r="CX97" s="42"/>
      <c r="CY97" s="42"/>
      <c r="CZ97" s="42"/>
      <c r="DA97" s="42"/>
      <c r="DB97" s="42"/>
      <c r="DC97" s="42"/>
      <c r="DD97" s="42"/>
      <c r="DE97" s="42"/>
      <c r="DF97" s="42"/>
      <c r="DG97" s="42"/>
      <c r="DH97" s="42"/>
      <c r="DI97" s="42"/>
      <c r="DJ97" s="42"/>
      <c r="DK97" s="42"/>
      <c r="DL97" s="42"/>
      <c r="DM97" s="42"/>
      <c r="DN97" s="42"/>
      <c r="DO97" s="42"/>
      <c r="DP97" s="42"/>
      <c r="DQ97" s="42"/>
      <c r="DR97" s="42"/>
      <c r="DS97" s="42"/>
      <c r="DT97" s="42"/>
      <c r="DU97" s="42"/>
      <c r="DV97" s="42"/>
      <c r="DW97" s="42"/>
      <c r="DX97" s="42"/>
      <c r="DY97" s="42"/>
    </row>
    <row r="98" spans="1:129" s="44" customFormat="1" x14ac:dyDescent="0.25">
      <c r="J98" s="70"/>
      <c r="K98" s="239"/>
      <c r="L98" s="70"/>
      <c r="M98" s="70"/>
      <c r="N98" s="70"/>
      <c r="P98" s="279"/>
      <c r="Q98" s="58"/>
      <c r="R98" s="58"/>
      <c r="S98" s="58"/>
      <c r="T98" s="58"/>
      <c r="U98" s="59"/>
      <c r="X98" s="94"/>
      <c r="Y98" s="123"/>
      <c r="Z98" s="562" t="s">
        <v>1773</v>
      </c>
      <c r="AA98" s="124"/>
      <c r="AB98" s="124"/>
      <c r="AC98" s="118"/>
      <c r="AD98" s="120"/>
      <c r="AK98" s="57"/>
      <c r="AY98" s="42"/>
      <c r="AZ98" s="42"/>
      <c r="BA98" s="42"/>
      <c r="BB98" s="42"/>
      <c r="BC98" s="42"/>
      <c r="BD98" s="42"/>
      <c r="BE98" s="42"/>
      <c r="BF98" s="42"/>
      <c r="BG98" s="42"/>
      <c r="BH98" s="42"/>
      <c r="BI98" s="42"/>
      <c r="BJ98" s="42"/>
      <c r="BK98" s="42"/>
      <c r="BL98" s="42"/>
      <c r="BM98" s="42"/>
      <c r="BN98" s="42"/>
      <c r="BO98" s="42"/>
      <c r="BP98" s="42"/>
      <c r="BQ98" s="42"/>
      <c r="BR98" s="42"/>
      <c r="BS98" s="42"/>
      <c r="BT98" s="42"/>
      <c r="BU98" s="42"/>
      <c r="BV98" s="42"/>
      <c r="BW98" s="42"/>
      <c r="BX98" s="42"/>
      <c r="BY98" s="42"/>
      <c r="BZ98" s="42"/>
      <c r="CA98" s="42"/>
      <c r="CB98" s="42"/>
      <c r="CC98" s="42"/>
      <c r="CD98" s="42"/>
      <c r="CE98" s="42"/>
      <c r="CF98" s="42"/>
      <c r="CG98" s="42"/>
      <c r="CH98" s="42"/>
      <c r="CI98" s="42"/>
      <c r="CJ98" s="42"/>
      <c r="CK98" s="42"/>
      <c r="CL98" s="42"/>
      <c r="CM98" s="42"/>
      <c r="CN98" s="42"/>
      <c r="CO98" s="42"/>
      <c r="CP98" s="42"/>
      <c r="CQ98" s="42"/>
      <c r="CR98" s="42"/>
      <c r="CS98" s="42"/>
      <c r="CT98" s="42"/>
      <c r="CU98" s="42"/>
      <c r="CV98" s="42"/>
      <c r="CW98" s="42"/>
      <c r="CX98" s="42"/>
      <c r="CY98" s="42"/>
      <c r="CZ98" s="42"/>
      <c r="DA98" s="42"/>
      <c r="DB98" s="42"/>
      <c r="DC98" s="42"/>
      <c r="DD98" s="42"/>
      <c r="DE98" s="42"/>
      <c r="DF98" s="42"/>
      <c r="DG98" s="42"/>
      <c r="DH98" s="42"/>
      <c r="DI98" s="42"/>
      <c r="DJ98" s="42"/>
      <c r="DK98" s="42"/>
      <c r="DL98" s="42"/>
      <c r="DM98" s="42"/>
      <c r="DN98" s="42"/>
      <c r="DO98" s="42"/>
      <c r="DP98" s="42"/>
      <c r="DQ98" s="42"/>
      <c r="DR98" s="42"/>
      <c r="DS98" s="42"/>
      <c r="DT98" s="42"/>
      <c r="DU98" s="42"/>
      <c r="DV98" s="42"/>
      <c r="DW98" s="42"/>
      <c r="DX98" s="42"/>
      <c r="DY98" s="42"/>
    </row>
    <row r="99" spans="1:129" s="44" customFormat="1" x14ac:dyDescent="0.25">
      <c r="A99" s="70"/>
      <c r="B99" s="70"/>
      <c r="C99" s="70"/>
      <c r="D99" s="70"/>
      <c r="E99" s="70"/>
      <c r="F99" s="70"/>
      <c r="G99" s="70"/>
      <c r="H99" s="70"/>
      <c r="I99" s="70"/>
      <c r="J99" s="70"/>
      <c r="K99" s="70"/>
      <c r="L99" s="70"/>
      <c r="M99" s="70"/>
      <c r="N99" s="70"/>
      <c r="P99" s="89"/>
      <c r="Q99" s="90"/>
      <c r="R99" s="1584" t="s">
        <v>562</v>
      </c>
      <c r="S99" s="1584"/>
      <c r="T99" s="90"/>
      <c r="U99" s="62"/>
      <c r="X99" s="94"/>
      <c r="Y99" s="120"/>
      <c r="Z99" s="88"/>
      <c r="AA99" s="70"/>
      <c r="AB99" s="70"/>
      <c r="AC99" s="119"/>
      <c r="AD99" s="120"/>
      <c r="AK99" s="57"/>
      <c r="AY99" s="42"/>
      <c r="AZ99" s="42"/>
      <c r="BA99" s="42"/>
      <c r="BB99" s="42"/>
      <c r="BC99" s="42"/>
      <c r="BD99" s="42"/>
      <c r="BE99" s="42"/>
      <c r="BF99" s="42"/>
      <c r="BG99" s="42"/>
      <c r="BH99" s="42"/>
      <c r="BI99" s="42"/>
      <c r="BJ99" s="42"/>
      <c r="BK99" s="42"/>
      <c r="BL99" s="42"/>
      <c r="BM99" s="42"/>
      <c r="BN99" s="42"/>
      <c r="BO99" s="42"/>
      <c r="BP99" s="42"/>
      <c r="BQ99" s="42"/>
      <c r="BR99" s="42"/>
      <c r="BS99" s="42"/>
      <c r="BT99" s="42"/>
      <c r="BU99" s="42"/>
      <c r="BV99" s="42"/>
      <c r="BW99" s="42"/>
      <c r="BX99" s="42"/>
      <c r="BY99" s="42"/>
      <c r="BZ99" s="42"/>
      <c r="CA99" s="42"/>
      <c r="CB99" s="42"/>
      <c r="CC99" s="42"/>
      <c r="CD99" s="42"/>
      <c r="CE99" s="42"/>
      <c r="CF99" s="42"/>
      <c r="CG99" s="42"/>
      <c r="CH99" s="42"/>
      <c r="CI99" s="42"/>
      <c r="CJ99" s="42"/>
      <c r="CK99" s="42"/>
      <c r="CL99" s="42"/>
      <c r="CM99" s="42"/>
      <c r="CN99" s="42"/>
      <c r="CO99" s="42"/>
      <c r="CP99" s="42"/>
      <c r="CQ99" s="42"/>
      <c r="CR99" s="42"/>
      <c r="CS99" s="42"/>
      <c r="CT99" s="42"/>
      <c r="CU99" s="42"/>
      <c r="CV99" s="42"/>
      <c r="CW99" s="42"/>
      <c r="CX99" s="42"/>
      <c r="CY99" s="42"/>
      <c r="CZ99" s="42"/>
      <c r="DA99" s="42"/>
      <c r="DB99" s="42"/>
      <c r="DC99" s="42"/>
      <c r="DD99" s="42"/>
      <c r="DE99" s="42"/>
      <c r="DF99" s="42"/>
      <c r="DG99" s="42"/>
      <c r="DH99" s="42"/>
      <c r="DI99" s="42"/>
      <c r="DJ99" s="42"/>
      <c r="DK99" s="42"/>
      <c r="DL99" s="42"/>
      <c r="DM99" s="42"/>
      <c r="DN99" s="42"/>
      <c r="DO99" s="42"/>
      <c r="DP99" s="42"/>
      <c r="DQ99" s="42"/>
      <c r="DR99" s="42"/>
      <c r="DS99" s="42"/>
      <c r="DT99" s="42"/>
      <c r="DU99" s="42"/>
      <c r="DV99" s="42"/>
      <c r="DW99" s="42"/>
      <c r="DX99" s="42"/>
      <c r="DY99" s="42"/>
    </row>
    <row r="100" spans="1:129" s="44" customFormat="1" x14ac:dyDescent="0.25">
      <c r="J100" s="70"/>
      <c r="M100" s="70"/>
      <c r="N100" s="70"/>
      <c r="P100" s="60"/>
      <c r="Q100" s="80"/>
      <c r="R100" s="80"/>
      <c r="S100" s="80"/>
      <c r="T100" s="80"/>
      <c r="U100" s="62"/>
      <c r="X100" s="94"/>
      <c r="Y100" s="120"/>
      <c r="Z100" s="424"/>
      <c r="AA100" s="46"/>
      <c r="AB100" s="47"/>
      <c r="AC100" s="119"/>
      <c r="AD100" s="120"/>
      <c r="AK100" s="57"/>
      <c r="AY100" s="42"/>
      <c r="AZ100" s="42"/>
      <c r="BA100" s="42"/>
      <c r="BB100" s="42"/>
      <c r="BC100" s="42"/>
      <c r="BD100" s="42"/>
      <c r="BE100" s="42"/>
      <c r="BF100" s="42"/>
      <c r="BG100" s="42"/>
      <c r="BH100" s="42"/>
      <c r="BI100" s="42"/>
      <c r="BJ100" s="42"/>
      <c r="BK100" s="42"/>
      <c r="BL100" s="42"/>
      <c r="BM100" s="42"/>
      <c r="BN100" s="42"/>
      <c r="BO100" s="42"/>
      <c r="BP100" s="42"/>
      <c r="BQ100" s="42"/>
      <c r="BR100" s="42"/>
      <c r="BS100" s="42"/>
      <c r="BT100" s="42"/>
      <c r="BU100" s="42"/>
      <c r="BV100" s="42"/>
      <c r="BW100" s="42"/>
      <c r="BX100" s="42"/>
      <c r="BY100" s="42"/>
      <c r="BZ100" s="42"/>
      <c r="CA100" s="42"/>
      <c r="CB100" s="42"/>
      <c r="CC100" s="42"/>
      <c r="CD100" s="42"/>
      <c r="CE100" s="42"/>
      <c r="CF100" s="42"/>
      <c r="CG100" s="42"/>
      <c r="CH100" s="42"/>
      <c r="CI100" s="42"/>
      <c r="CJ100" s="42"/>
      <c r="CK100" s="42"/>
      <c r="CL100" s="42"/>
      <c r="CM100" s="42"/>
      <c r="CN100" s="42"/>
      <c r="CO100" s="42"/>
      <c r="CP100" s="42"/>
      <c r="CQ100" s="42"/>
      <c r="CR100" s="42"/>
      <c r="CS100" s="42"/>
      <c r="CT100" s="42"/>
      <c r="CU100" s="42"/>
      <c r="CV100" s="42"/>
      <c r="CW100" s="42"/>
      <c r="CX100" s="42"/>
      <c r="CY100" s="42"/>
      <c r="CZ100" s="42"/>
      <c r="DA100" s="42"/>
      <c r="DB100" s="42"/>
      <c r="DC100" s="42"/>
      <c r="DD100" s="42"/>
      <c r="DE100" s="42"/>
      <c r="DF100" s="42"/>
      <c r="DG100" s="42"/>
      <c r="DH100" s="42"/>
      <c r="DI100" s="42"/>
      <c r="DJ100" s="42"/>
      <c r="DK100" s="42"/>
      <c r="DL100" s="42"/>
      <c r="DM100" s="42"/>
      <c r="DN100" s="42"/>
      <c r="DO100" s="42"/>
      <c r="DP100" s="42"/>
      <c r="DQ100" s="42"/>
      <c r="DR100" s="42"/>
      <c r="DS100" s="42"/>
      <c r="DT100" s="42"/>
      <c r="DU100" s="42"/>
      <c r="DV100" s="42"/>
      <c r="DW100" s="42"/>
      <c r="DX100" s="42"/>
      <c r="DY100" s="42"/>
    </row>
    <row r="101" spans="1:129" s="44" customFormat="1" x14ac:dyDescent="0.25">
      <c r="J101" s="70"/>
      <c r="M101" s="70"/>
      <c r="N101" s="70"/>
      <c r="P101" s="60"/>
      <c r="Q101" s="80"/>
      <c r="R101" s="903" t="s">
        <v>1573</v>
      </c>
      <c r="S101" s="53">
        <f>prod_pl_input_fm</f>
        <v>500000</v>
      </c>
      <c r="T101" s="842" t="s">
        <v>1574</v>
      </c>
      <c r="U101" s="62"/>
      <c r="X101" s="94"/>
      <c r="Y101" s="120"/>
      <c r="Z101" s="885" t="s">
        <v>1122</v>
      </c>
      <c r="AA101" s="110">
        <f>IF(AK94&gt;(S137*100/AA111),0,(S137*100/AA111)-AK94)</f>
        <v>0</v>
      </c>
      <c r="AB101" s="51" t="s">
        <v>437</v>
      </c>
      <c r="AC101" s="119"/>
      <c r="AD101" s="120"/>
      <c r="AK101" s="57"/>
      <c r="AY101" s="42"/>
      <c r="AZ101" s="42"/>
      <c r="BA101" s="42"/>
      <c r="BB101" s="42"/>
      <c r="BC101" s="42"/>
      <c r="BD101" s="42"/>
      <c r="BE101" s="42"/>
      <c r="BF101" s="42"/>
      <c r="BG101" s="42"/>
      <c r="BH101" s="42"/>
      <c r="BI101" s="42"/>
      <c r="BJ101" s="42"/>
      <c r="BK101" s="42"/>
      <c r="BL101" s="42"/>
      <c r="BM101" s="42"/>
      <c r="BN101" s="42"/>
      <c r="BO101" s="42"/>
      <c r="BP101" s="42"/>
      <c r="BQ101" s="42"/>
      <c r="BR101" s="42"/>
      <c r="BS101" s="42"/>
      <c r="BT101" s="42"/>
      <c r="BU101" s="42"/>
      <c r="BV101" s="42"/>
      <c r="BW101" s="42"/>
      <c r="BX101" s="42"/>
      <c r="BY101" s="42"/>
      <c r="BZ101" s="42"/>
      <c r="CA101" s="42"/>
      <c r="CB101" s="42"/>
      <c r="CC101" s="42"/>
      <c r="CD101" s="42"/>
      <c r="CE101" s="42"/>
      <c r="CF101" s="42"/>
      <c r="CG101" s="42"/>
      <c r="CH101" s="42"/>
      <c r="CI101" s="42"/>
      <c r="CJ101" s="42"/>
      <c r="CK101" s="42"/>
      <c r="CL101" s="42"/>
      <c r="CM101" s="42"/>
      <c r="CN101" s="42"/>
      <c r="CO101" s="42"/>
      <c r="CP101" s="42"/>
      <c r="CQ101" s="42"/>
      <c r="CR101" s="42"/>
      <c r="CS101" s="42"/>
      <c r="CT101" s="42"/>
      <c r="CU101" s="42"/>
      <c r="CV101" s="42"/>
      <c r="CW101" s="42"/>
      <c r="CX101" s="42"/>
      <c r="CY101" s="42"/>
      <c r="CZ101" s="42"/>
      <c r="DA101" s="42"/>
      <c r="DB101" s="42"/>
      <c r="DC101" s="42"/>
      <c r="DD101" s="42"/>
      <c r="DE101" s="42"/>
      <c r="DF101" s="42"/>
      <c r="DG101" s="42"/>
      <c r="DH101" s="42"/>
      <c r="DI101" s="42"/>
      <c r="DJ101" s="42"/>
      <c r="DK101" s="42"/>
      <c r="DL101" s="42"/>
      <c r="DM101" s="42"/>
      <c r="DN101" s="42"/>
      <c r="DO101" s="42"/>
      <c r="DP101" s="42"/>
      <c r="DQ101" s="42"/>
      <c r="DR101" s="42"/>
      <c r="DS101" s="42"/>
      <c r="DT101" s="42"/>
      <c r="DU101" s="42"/>
      <c r="DV101" s="42"/>
      <c r="DW101" s="42"/>
      <c r="DX101" s="42"/>
      <c r="DY101" s="42"/>
    </row>
    <row r="102" spans="1:129" s="44" customFormat="1" x14ac:dyDescent="0.25">
      <c r="J102" s="70"/>
      <c r="M102" s="70"/>
      <c r="N102" s="70"/>
      <c r="P102" s="60"/>
      <c r="Q102" s="80"/>
      <c r="R102" s="64"/>
      <c r="S102" s="80"/>
      <c r="T102" s="80"/>
      <c r="U102" s="62"/>
      <c r="X102" s="94"/>
      <c r="Y102" s="120"/>
      <c r="Z102" s="427"/>
      <c r="AA102" s="555"/>
      <c r="AB102" s="51"/>
      <c r="AC102" s="119"/>
      <c r="AD102" s="120"/>
      <c r="AK102" s="57"/>
      <c r="AY102" s="42"/>
      <c r="AZ102" s="42"/>
      <c r="BA102" s="42"/>
      <c r="BB102" s="42"/>
      <c r="BC102" s="42"/>
      <c r="BD102" s="42"/>
      <c r="BE102" s="42"/>
      <c r="BF102" s="42"/>
      <c r="BG102" s="42"/>
      <c r="BH102" s="42"/>
      <c r="BI102" s="42"/>
      <c r="BJ102" s="42"/>
      <c r="BK102" s="42"/>
      <c r="BL102" s="42"/>
      <c r="BM102" s="42"/>
      <c r="BN102" s="42"/>
      <c r="BO102" s="42"/>
      <c r="BP102" s="42"/>
      <c r="BQ102" s="42"/>
      <c r="BR102" s="42"/>
      <c r="BS102" s="42"/>
      <c r="BT102" s="42"/>
      <c r="BU102" s="42"/>
      <c r="BV102" s="42"/>
      <c r="BW102" s="42"/>
      <c r="BX102" s="42"/>
      <c r="BY102" s="42"/>
      <c r="BZ102" s="42"/>
      <c r="CA102" s="42"/>
      <c r="CB102" s="42"/>
      <c r="CC102" s="42"/>
      <c r="CD102" s="42"/>
      <c r="CE102" s="42"/>
      <c r="CF102" s="42"/>
      <c r="CG102" s="42"/>
      <c r="CH102" s="42"/>
      <c r="CI102" s="42"/>
      <c r="CJ102" s="42"/>
      <c r="CK102" s="42"/>
      <c r="CL102" s="42"/>
      <c r="CM102" s="42"/>
      <c r="CN102" s="42"/>
      <c r="CO102" s="42"/>
      <c r="CP102" s="42"/>
      <c r="CQ102" s="42"/>
      <c r="CR102" s="42"/>
      <c r="CS102" s="42"/>
      <c r="CT102" s="42"/>
      <c r="CU102" s="42"/>
      <c r="CV102" s="42"/>
      <c r="CW102" s="42"/>
      <c r="CX102" s="42"/>
      <c r="CY102" s="42"/>
      <c r="CZ102" s="42"/>
      <c r="DA102" s="42"/>
      <c r="DB102" s="42"/>
      <c r="DC102" s="42"/>
      <c r="DD102" s="42"/>
      <c r="DE102" s="42"/>
      <c r="DF102" s="42"/>
      <c r="DG102" s="42"/>
      <c r="DH102" s="42"/>
      <c r="DI102" s="42"/>
      <c r="DJ102" s="42"/>
      <c r="DK102" s="42"/>
      <c r="DL102" s="42"/>
      <c r="DM102" s="42"/>
      <c r="DN102" s="42"/>
      <c r="DO102" s="42"/>
      <c r="DP102" s="42"/>
      <c r="DQ102" s="42"/>
      <c r="DR102" s="42"/>
      <c r="DS102" s="42"/>
      <c r="DT102" s="42"/>
      <c r="DU102" s="42"/>
      <c r="DV102" s="42"/>
      <c r="DW102" s="42"/>
      <c r="DX102" s="42"/>
      <c r="DY102" s="42"/>
    </row>
    <row r="103" spans="1:129" s="44" customFormat="1" x14ac:dyDescent="0.25">
      <c r="J103" s="70"/>
      <c r="M103" s="70"/>
      <c r="N103" s="70"/>
      <c r="P103" s="60"/>
      <c r="Q103" s="80"/>
      <c r="R103" s="506" t="s">
        <v>563</v>
      </c>
      <c r="S103" s="86">
        <f>prod_pl_life_fm</f>
        <v>20</v>
      </c>
      <c r="T103" s="226" t="s">
        <v>420</v>
      </c>
      <c r="U103" s="62"/>
      <c r="X103" s="94"/>
      <c r="Y103" s="120"/>
      <c r="Z103" s="510" t="s">
        <v>634</v>
      </c>
      <c r="AA103" s="110">
        <f>IF(AK94&gt;(S137*100/AA111),(S137*100/AA111),AK94)</f>
        <v>10017.831493021196</v>
      </c>
      <c r="AB103" s="51" t="s">
        <v>437</v>
      </c>
      <c r="AC103" s="119"/>
      <c r="AD103" s="120"/>
      <c r="AK103" s="57"/>
      <c r="AY103" s="42"/>
      <c r="AZ103" s="42"/>
      <c r="BA103" s="42"/>
      <c r="BB103" s="42"/>
      <c r="BC103" s="42"/>
      <c r="BD103" s="42"/>
      <c r="BE103" s="42"/>
      <c r="BF103" s="42"/>
      <c r="BG103" s="42"/>
      <c r="BH103" s="42"/>
      <c r="BI103" s="42"/>
      <c r="BJ103" s="42"/>
      <c r="BK103" s="42"/>
      <c r="BL103" s="42"/>
      <c r="BM103" s="42"/>
      <c r="BN103" s="42"/>
      <c r="BO103" s="42"/>
      <c r="BP103" s="42"/>
      <c r="BQ103" s="42"/>
      <c r="BR103" s="42"/>
      <c r="BS103" s="42"/>
      <c r="BT103" s="42"/>
      <c r="BU103" s="42"/>
      <c r="BV103" s="42"/>
      <c r="BW103" s="42"/>
      <c r="BX103" s="42"/>
      <c r="BY103" s="42"/>
      <c r="BZ103" s="42"/>
      <c r="CA103" s="42"/>
      <c r="CB103" s="42"/>
      <c r="CC103" s="42"/>
      <c r="CD103" s="42"/>
      <c r="CE103" s="42"/>
      <c r="CF103" s="42"/>
      <c r="CG103" s="42"/>
      <c r="CH103" s="42"/>
      <c r="CI103" s="42"/>
      <c r="CJ103" s="42"/>
      <c r="CK103" s="42"/>
      <c r="CL103" s="42"/>
      <c r="CM103" s="42"/>
      <c r="CN103" s="42"/>
      <c r="CO103" s="42"/>
      <c r="CP103" s="42"/>
      <c r="CQ103" s="42"/>
      <c r="CR103" s="42"/>
      <c r="CS103" s="42"/>
      <c r="CT103" s="42"/>
      <c r="CU103" s="42"/>
      <c r="CV103" s="42"/>
      <c r="CW103" s="42"/>
      <c r="CX103" s="42"/>
      <c r="CY103" s="42"/>
      <c r="CZ103" s="42"/>
      <c r="DA103" s="42"/>
      <c r="DB103" s="42"/>
      <c r="DC103" s="42"/>
      <c r="DD103" s="42"/>
      <c r="DE103" s="42"/>
      <c r="DF103" s="42"/>
      <c r="DG103" s="42"/>
      <c r="DH103" s="42"/>
      <c r="DI103" s="42"/>
      <c r="DJ103" s="42"/>
      <c r="DK103" s="42"/>
      <c r="DL103" s="42"/>
      <c r="DM103" s="42"/>
      <c r="DN103" s="42"/>
      <c r="DO103" s="42"/>
      <c r="DP103" s="42"/>
      <c r="DQ103" s="42"/>
      <c r="DR103" s="42"/>
      <c r="DS103" s="42"/>
      <c r="DT103" s="42"/>
      <c r="DU103" s="42"/>
      <c r="DV103" s="42"/>
      <c r="DW103" s="42"/>
      <c r="DX103" s="42"/>
      <c r="DY103" s="42"/>
    </row>
    <row r="104" spans="1:129" s="44" customFormat="1" x14ac:dyDescent="0.25">
      <c r="J104" s="70"/>
      <c r="M104" s="70"/>
      <c r="N104" s="70"/>
      <c r="P104" s="60"/>
      <c r="Q104" s="80"/>
      <c r="R104" s="80"/>
      <c r="S104" s="80"/>
      <c r="T104" s="80"/>
      <c r="U104" s="62"/>
      <c r="X104" s="94"/>
      <c r="Y104" s="120"/>
      <c r="Z104" s="430"/>
      <c r="AA104" s="55"/>
      <c r="AB104" s="56"/>
      <c r="AC104" s="119"/>
      <c r="AD104" s="120"/>
      <c r="AK104" s="57"/>
      <c r="AY104" s="42"/>
      <c r="AZ104" s="42"/>
      <c r="BA104" s="42"/>
      <c r="BB104" s="42"/>
      <c r="BC104" s="42"/>
      <c r="BD104" s="42"/>
      <c r="BE104" s="42"/>
      <c r="BF104" s="42"/>
      <c r="BG104" s="42"/>
      <c r="BH104" s="42"/>
      <c r="BI104" s="42"/>
      <c r="BJ104" s="42"/>
      <c r="BK104" s="42"/>
      <c r="BL104" s="42"/>
      <c r="BM104" s="42"/>
      <c r="BN104" s="42"/>
      <c r="BO104" s="42"/>
      <c r="BP104" s="42"/>
      <c r="BQ104" s="42"/>
      <c r="BR104" s="42"/>
      <c r="BS104" s="42"/>
      <c r="BT104" s="42"/>
      <c r="BU104" s="42"/>
      <c r="BV104" s="42"/>
      <c r="BW104" s="42"/>
      <c r="BX104" s="42"/>
      <c r="BY104" s="42"/>
      <c r="BZ104" s="42"/>
      <c r="CA104" s="42"/>
      <c r="CB104" s="42"/>
      <c r="CC104" s="42"/>
      <c r="CD104" s="42"/>
      <c r="CE104" s="42"/>
      <c r="CF104" s="42"/>
      <c r="CG104" s="42"/>
      <c r="CH104" s="42"/>
      <c r="CI104" s="42"/>
      <c r="CJ104" s="42"/>
      <c r="CK104" s="42"/>
      <c r="CL104" s="42"/>
      <c r="CM104" s="42"/>
      <c r="CN104" s="42"/>
      <c r="CO104" s="42"/>
      <c r="CP104" s="42"/>
      <c r="CQ104" s="42"/>
      <c r="CR104" s="42"/>
      <c r="CS104" s="42"/>
      <c r="CT104" s="42"/>
      <c r="CU104" s="42"/>
      <c r="CV104" s="42"/>
      <c r="CW104" s="42"/>
      <c r="CX104" s="42"/>
      <c r="CY104" s="42"/>
      <c r="CZ104" s="42"/>
      <c r="DA104" s="42"/>
      <c r="DB104" s="42"/>
      <c r="DC104" s="42"/>
      <c r="DD104" s="42"/>
      <c r="DE104" s="42"/>
      <c r="DF104" s="42"/>
      <c r="DG104" s="42"/>
      <c r="DH104" s="42"/>
      <c r="DI104" s="42"/>
      <c r="DJ104" s="42"/>
      <c r="DK104" s="42"/>
      <c r="DL104" s="42"/>
      <c r="DM104" s="42"/>
      <c r="DN104" s="42"/>
      <c r="DO104" s="42"/>
      <c r="DP104" s="42"/>
      <c r="DQ104" s="42"/>
      <c r="DR104" s="42"/>
      <c r="DS104" s="42"/>
      <c r="DT104" s="42"/>
      <c r="DU104" s="42"/>
      <c r="DV104" s="42"/>
      <c r="DW104" s="42"/>
      <c r="DX104" s="42"/>
      <c r="DY104" s="42"/>
    </row>
    <row r="105" spans="1:129" s="44" customFormat="1" ht="13.8" thickBot="1" x14ac:dyDescent="0.3">
      <c r="A105" s="70"/>
      <c r="B105" s="70"/>
      <c r="C105" s="70"/>
      <c r="D105" s="70"/>
      <c r="E105" s="70"/>
      <c r="F105" s="70"/>
      <c r="G105" s="70"/>
      <c r="H105" s="70"/>
      <c r="I105" s="70"/>
      <c r="J105" s="70"/>
      <c r="M105" s="70"/>
      <c r="N105" s="70"/>
      <c r="P105" s="60"/>
      <c r="Q105" s="1608" t="s">
        <v>564</v>
      </c>
      <c r="R105" s="1591"/>
      <c r="S105" s="86">
        <f>prod_pl_op_time_fm</f>
        <v>4320</v>
      </c>
      <c r="T105" s="226" t="s">
        <v>565</v>
      </c>
      <c r="U105" s="62"/>
      <c r="X105" s="94"/>
      <c r="Y105" s="120"/>
      <c r="Z105" s="70"/>
      <c r="AA105" s="70"/>
      <c r="AB105" s="70"/>
      <c r="AC105" s="119"/>
      <c r="AD105" s="120"/>
      <c r="AK105" s="57"/>
      <c r="AY105" s="42"/>
      <c r="AZ105" s="42"/>
      <c r="BA105" s="42"/>
      <c r="BB105" s="42"/>
      <c r="BC105" s="42"/>
      <c r="BD105" s="42"/>
      <c r="BE105" s="42"/>
      <c r="BF105" s="42"/>
      <c r="BG105" s="42"/>
      <c r="BH105" s="42"/>
      <c r="BI105" s="42"/>
      <c r="BJ105" s="42"/>
      <c r="BK105" s="42"/>
      <c r="BL105" s="42"/>
      <c r="BM105" s="42"/>
      <c r="BN105" s="42"/>
      <c r="BO105" s="42"/>
      <c r="BP105" s="42"/>
      <c r="BQ105" s="42"/>
      <c r="BR105" s="42"/>
      <c r="BS105" s="42"/>
      <c r="BT105" s="42"/>
      <c r="BU105" s="42"/>
      <c r="BV105" s="42"/>
      <c r="BW105" s="42"/>
      <c r="BX105" s="42"/>
      <c r="BY105" s="42"/>
      <c r="BZ105" s="42"/>
      <c r="CA105" s="42"/>
      <c r="CB105" s="42"/>
      <c r="CC105" s="42"/>
      <c r="CD105" s="42"/>
      <c r="CE105" s="42"/>
      <c r="CF105" s="42"/>
      <c r="CG105" s="42"/>
      <c r="CH105" s="42"/>
      <c r="CI105" s="42"/>
      <c r="CJ105" s="42"/>
      <c r="CK105" s="42"/>
      <c r="CL105" s="42"/>
      <c r="CM105" s="42"/>
      <c r="CN105" s="42"/>
      <c r="CO105" s="42"/>
      <c r="CP105" s="42"/>
      <c r="CQ105" s="42"/>
      <c r="CR105" s="42"/>
      <c r="CS105" s="42"/>
      <c r="CT105" s="42"/>
      <c r="CU105" s="42"/>
      <c r="CV105" s="42"/>
      <c r="CW105" s="42"/>
      <c r="CX105" s="42"/>
      <c r="CY105" s="42"/>
      <c r="CZ105" s="42"/>
      <c r="DA105" s="42"/>
      <c r="DB105" s="42"/>
      <c r="DC105" s="42"/>
      <c r="DD105" s="42"/>
      <c r="DE105" s="42"/>
      <c r="DF105" s="42"/>
      <c r="DG105" s="42"/>
      <c r="DH105" s="42"/>
      <c r="DI105" s="42"/>
      <c r="DJ105" s="42"/>
      <c r="DK105" s="42"/>
      <c r="DL105" s="42"/>
      <c r="DM105" s="42"/>
      <c r="DN105" s="42"/>
      <c r="DO105" s="42"/>
      <c r="DP105" s="42"/>
      <c r="DQ105" s="42"/>
      <c r="DR105" s="42"/>
      <c r="DS105" s="42"/>
      <c r="DT105" s="42"/>
      <c r="DU105" s="42"/>
      <c r="DV105" s="42"/>
      <c r="DW105" s="42"/>
      <c r="DX105" s="42"/>
      <c r="DY105" s="42"/>
    </row>
    <row r="106" spans="1:129" ht="13.8" thickBot="1" x14ac:dyDescent="0.3">
      <c r="A106" s="70"/>
      <c r="B106" s="70"/>
      <c r="C106" s="70"/>
      <c r="D106" s="70"/>
      <c r="E106" s="70"/>
      <c r="F106" s="70"/>
      <c r="G106" s="70"/>
      <c r="H106" s="70"/>
      <c r="I106" s="70"/>
      <c r="J106" s="70"/>
      <c r="K106" s="44"/>
      <c r="L106" s="44"/>
      <c r="M106" s="70"/>
      <c r="N106" s="70"/>
      <c r="O106" s="44"/>
      <c r="P106" s="67"/>
      <c r="Q106" s="68"/>
      <c r="R106" s="68"/>
      <c r="S106" s="68"/>
      <c r="T106" s="68"/>
      <c r="U106" s="69"/>
      <c r="V106" s="44"/>
      <c r="W106" s="44"/>
      <c r="X106" s="94"/>
      <c r="Y106" s="120"/>
      <c r="Z106" s="559"/>
      <c r="AA106" s="241"/>
      <c r="AB106" s="560"/>
      <c r="AC106" s="119"/>
      <c r="AD106" s="120"/>
      <c r="AE106" s="44"/>
      <c r="AF106" s="44"/>
      <c r="AG106" s="44"/>
      <c r="AH106" s="44"/>
      <c r="AI106" s="44"/>
      <c r="AJ106" s="44"/>
      <c r="AK106" s="57"/>
      <c r="AL106" s="44"/>
      <c r="AM106" s="44"/>
      <c r="AN106" s="44"/>
      <c r="AO106" s="44"/>
      <c r="AP106" s="44"/>
      <c r="AQ106" s="44"/>
      <c r="AR106" s="44"/>
      <c r="AS106" s="44"/>
      <c r="AT106" s="44"/>
      <c r="AU106" s="44"/>
      <c r="AV106" s="44"/>
      <c r="AW106" s="44"/>
      <c r="AX106" s="44"/>
      <c r="AY106" s="42"/>
      <c r="AZ106" s="42"/>
      <c r="BA106" s="42"/>
      <c r="BB106" s="42"/>
      <c r="BC106" s="42"/>
      <c r="BD106" s="42"/>
      <c r="BE106" s="42"/>
      <c r="BF106" s="42"/>
      <c r="BG106" s="42"/>
      <c r="BH106" s="42"/>
      <c r="BI106" s="42"/>
      <c r="BJ106" s="42"/>
      <c r="BK106" s="42"/>
      <c r="BL106" s="42"/>
      <c r="BM106" s="42"/>
      <c r="BN106" s="42"/>
      <c r="BO106" s="42"/>
      <c r="BP106" s="42"/>
      <c r="BQ106" s="42"/>
      <c r="BR106" s="42"/>
      <c r="BS106" s="42"/>
      <c r="BT106" s="42"/>
      <c r="BU106" s="42"/>
      <c r="BV106" s="42"/>
      <c r="BW106" s="42"/>
      <c r="BX106" s="42"/>
      <c r="BY106" s="42"/>
      <c r="BZ106" s="42"/>
      <c r="CA106" s="42"/>
      <c r="CB106" s="42"/>
      <c r="CC106" s="42"/>
      <c r="CD106" s="42"/>
      <c r="CE106" s="42"/>
      <c r="CF106" s="42"/>
      <c r="CG106" s="42"/>
      <c r="CH106" s="42"/>
      <c r="CI106" s="42"/>
      <c r="CJ106" s="42"/>
      <c r="CK106" s="42"/>
      <c r="CL106" s="42"/>
      <c r="CM106" s="42"/>
      <c r="CN106" s="42"/>
      <c r="CO106" s="42"/>
      <c r="CP106" s="42"/>
      <c r="CQ106" s="42"/>
      <c r="CR106" s="42"/>
      <c r="CS106" s="42"/>
      <c r="CT106" s="42"/>
      <c r="CU106" s="42"/>
      <c r="CV106" s="42"/>
      <c r="CW106" s="42"/>
      <c r="CX106" s="42"/>
      <c r="CY106" s="42"/>
      <c r="CZ106" s="42"/>
      <c r="DA106" s="42"/>
      <c r="DB106" s="42"/>
      <c r="DC106" s="42"/>
      <c r="DD106" s="42"/>
      <c r="DE106" s="42"/>
      <c r="DF106" s="42"/>
      <c r="DG106" s="42"/>
      <c r="DH106" s="42"/>
      <c r="DI106" s="42"/>
      <c r="DJ106" s="42"/>
      <c r="DK106" s="42"/>
      <c r="DL106" s="42"/>
      <c r="DM106" s="42"/>
      <c r="DN106" s="42"/>
      <c r="DO106" s="42"/>
      <c r="DP106" s="42"/>
      <c r="DQ106" s="42"/>
      <c r="DR106" s="42"/>
      <c r="DS106" s="42"/>
      <c r="DT106" s="42"/>
      <c r="DU106" s="42"/>
      <c r="DV106" s="42"/>
      <c r="DW106" s="42"/>
      <c r="DX106" s="42"/>
      <c r="DY106" s="42"/>
    </row>
    <row r="107" spans="1:129" x14ac:dyDescent="0.25">
      <c r="A107" s="70"/>
      <c r="B107" s="70"/>
      <c r="C107" s="70"/>
      <c r="D107" s="70"/>
      <c r="E107" s="70"/>
      <c r="F107" s="70"/>
      <c r="G107" s="70"/>
      <c r="H107" s="70"/>
      <c r="I107" s="70"/>
      <c r="J107" s="70"/>
      <c r="K107" s="44"/>
      <c r="L107" s="44"/>
      <c r="M107" s="70"/>
      <c r="N107" s="70"/>
      <c r="O107" s="44"/>
      <c r="P107" s="44"/>
      <c r="Q107" s="70"/>
      <c r="R107" s="70"/>
      <c r="S107" s="94"/>
      <c r="T107" s="70"/>
      <c r="U107" s="70"/>
      <c r="V107" s="44"/>
      <c r="W107" s="44"/>
      <c r="X107" s="94"/>
      <c r="Y107" s="120"/>
      <c r="Z107" s="1586" t="s">
        <v>1773</v>
      </c>
      <c r="AA107" s="1587"/>
      <c r="AB107" s="1588"/>
      <c r="AC107" s="119"/>
      <c r="AD107" s="120"/>
      <c r="AE107" s="44"/>
      <c r="AF107" s="44"/>
      <c r="AG107" s="44"/>
      <c r="AH107" s="44"/>
      <c r="AI107" s="44"/>
      <c r="AJ107" s="44"/>
      <c r="AK107" s="57"/>
      <c r="AL107" s="44"/>
      <c r="AM107" s="44"/>
      <c r="AN107" s="44"/>
      <c r="AO107" s="44"/>
      <c r="AP107" s="44"/>
      <c r="AQ107" s="44"/>
      <c r="AR107" s="44"/>
      <c r="AS107" s="44"/>
      <c r="AT107" s="44"/>
      <c r="AU107" s="44"/>
      <c r="AV107" s="44"/>
      <c r="AW107" s="44"/>
      <c r="AX107" s="44"/>
      <c r="AY107" s="42"/>
      <c r="AZ107" s="42"/>
      <c r="BA107" s="42"/>
      <c r="BB107" s="42"/>
      <c r="BC107" s="42"/>
      <c r="BD107" s="42"/>
      <c r="BE107" s="42"/>
      <c r="BF107" s="42"/>
      <c r="BG107" s="42"/>
      <c r="BH107" s="42"/>
      <c r="BI107" s="42"/>
      <c r="BJ107" s="42"/>
      <c r="BK107" s="42"/>
      <c r="BL107" s="42"/>
      <c r="BM107" s="42"/>
      <c r="BN107" s="42"/>
      <c r="BO107" s="42"/>
      <c r="BP107" s="42"/>
      <c r="BQ107" s="42"/>
      <c r="BR107" s="42"/>
      <c r="BS107" s="42"/>
      <c r="BT107" s="42"/>
      <c r="BU107" s="42"/>
      <c r="BV107" s="42"/>
      <c r="BW107" s="42"/>
      <c r="BX107" s="42"/>
      <c r="BY107" s="42"/>
      <c r="BZ107" s="42"/>
      <c r="CA107" s="42"/>
      <c r="CB107" s="42"/>
      <c r="CC107" s="42"/>
      <c r="CD107" s="42"/>
      <c r="CE107" s="42"/>
      <c r="CF107" s="42"/>
      <c r="CG107" s="42"/>
      <c r="CH107" s="42"/>
      <c r="CI107" s="42"/>
      <c r="CJ107" s="42"/>
      <c r="CK107" s="42"/>
      <c r="CL107" s="42"/>
      <c r="CM107" s="42"/>
      <c r="CN107" s="42"/>
      <c r="CO107" s="42"/>
      <c r="CP107" s="42"/>
      <c r="CQ107" s="42"/>
      <c r="CR107" s="42"/>
      <c r="CS107" s="42"/>
      <c r="CT107" s="42"/>
      <c r="CU107" s="42"/>
      <c r="CV107" s="42"/>
      <c r="CW107" s="42"/>
      <c r="CX107" s="42"/>
      <c r="CY107" s="42"/>
      <c r="CZ107" s="42"/>
      <c r="DA107" s="42"/>
      <c r="DB107" s="42"/>
      <c r="DC107" s="42"/>
      <c r="DD107" s="42"/>
      <c r="DE107" s="42"/>
      <c r="DF107" s="42"/>
      <c r="DG107" s="42"/>
      <c r="DH107" s="42"/>
      <c r="DI107" s="42"/>
      <c r="DJ107" s="42"/>
      <c r="DK107" s="42"/>
      <c r="DL107" s="42"/>
      <c r="DM107" s="42"/>
      <c r="DN107" s="42"/>
      <c r="DO107" s="42"/>
      <c r="DP107" s="42"/>
      <c r="DQ107" s="42"/>
      <c r="DR107" s="42"/>
      <c r="DS107" s="42"/>
      <c r="DT107" s="42"/>
      <c r="DU107" s="42"/>
      <c r="DV107" s="42"/>
      <c r="DW107" s="42"/>
      <c r="DX107" s="42"/>
      <c r="DY107" s="42"/>
    </row>
    <row r="108" spans="1:129" x14ac:dyDescent="0.25">
      <c r="A108" s="70"/>
      <c r="B108" s="70"/>
      <c r="C108" s="70"/>
      <c r="D108" s="70"/>
      <c r="E108" s="70"/>
      <c r="F108" s="70"/>
      <c r="G108" s="70"/>
      <c r="H108" s="70"/>
      <c r="I108" s="70"/>
      <c r="J108" s="70"/>
      <c r="K108" s="44"/>
      <c r="L108" s="44"/>
      <c r="M108" s="70"/>
      <c r="N108" s="70"/>
      <c r="O108" s="44"/>
      <c r="P108" s="44"/>
      <c r="Q108" s="70"/>
      <c r="R108" s="44"/>
      <c r="S108" s="94"/>
      <c r="T108" s="44"/>
      <c r="U108" s="44"/>
      <c r="V108" s="44"/>
      <c r="W108" s="44"/>
      <c r="X108" s="94"/>
      <c r="Y108" s="120"/>
      <c r="Z108" s="60"/>
      <c r="AA108" s="80"/>
      <c r="AB108" s="62"/>
      <c r="AC108" s="119"/>
      <c r="AD108" s="120"/>
      <c r="AE108" s="44"/>
      <c r="AF108" s="44"/>
      <c r="AG108" s="44"/>
      <c r="AH108" s="44"/>
      <c r="AI108" s="44"/>
      <c r="AJ108" s="44"/>
      <c r="AK108" s="57"/>
      <c r="AL108" s="44"/>
      <c r="AM108" s="44"/>
      <c r="AN108" s="44"/>
      <c r="AO108" s="44"/>
      <c r="AP108" s="44"/>
      <c r="AQ108" s="44"/>
      <c r="AR108" s="44"/>
      <c r="AS108" s="44"/>
      <c r="AT108" s="44"/>
      <c r="AU108" s="44"/>
      <c r="AV108" s="44"/>
      <c r="AW108" s="44"/>
      <c r="AX108" s="44"/>
      <c r="AY108" s="42"/>
      <c r="AZ108" s="42"/>
      <c r="BA108" s="42"/>
      <c r="BB108" s="42"/>
      <c r="BC108" s="42"/>
      <c r="BD108" s="42"/>
      <c r="BE108" s="42"/>
      <c r="BF108" s="42"/>
      <c r="BG108" s="42"/>
      <c r="BH108" s="42"/>
      <c r="BI108" s="42"/>
      <c r="BJ108" s="42"/>
      <c r="BK108" s="42"/>
      <c r="BL108" s="42"/>
      <c r="BM108" s="42"/>
      <c r="BN108" s="42"/>
      <c r="BO108" s="42"/>
      <c r="BP108" s="42"/>
      <c r="BQ108" s="42"/>
      <c r="BR108" s="42"/>
      <c r="BS108" s="42"/>
      <c r="BT108" s="42"/>
      <c r="BU108" s="42"/>
      <c r="BV108" s="42"/>
      <c r="BW108" s="42"/>
      <c r="BX108" s="42"/>
      <c r="BY108" s="42"/>
      <c r="BZ108" s="42"/>
      <c r="CA108" s="42"/>
      <c r="CB108" s="42"/>
      <c r="CC108" s="42"/>
      <c r="CD108" s="42"/>
      <c r="CE108" s="42"/>
      <c r="CF108" s="42"/>
      <c r="CG108" s="42"/>
      <c r="CH108" s="42"/>
      <c r="CI108" s="42"/>
      <c r="CJ108" s="42"/>
      <c r="CK108" s="42"/>
      <c r="CL108" s="42"/>
      <c r="CM108" s="42"/>
      <c r="CN108" s="42"/>
      <c r="CO108" s="42"/>
      <c r="CP108" s="42"/>
      <c r="CQ108" s="42"/>
      <c r="CR108" s="42"/>
      <c r="CS108" s="42"/>
      <c r="CT108" s="42"/>
      <c r="CU108" s="42"/>
      <c r="CV108" s="42"/>
      <c r="CW108" s="42"/>
      <c r="CX108" s="42"/>
      <c r="CY108" s="42"/>
      <c r="CZ108" s="42"/>
      <c r="DA108" s="42"/>
      <c r="DB108" s="42"/>
      <c r="DC108" s="42"/>
      <c r="DD108" s="42"/>
      <c r="DE108" s="42"/>
      <c r="DF108" s="42"/>
      <c r="DG108" s="42"/>
      <c r="DH108" s="42"/>
      <c r="DI108" s="42"/>
      <c r="DJ108" s="42"/>
      <c r="DK108" s="42"/>
      <c r="DL108" s="42"/>
      <c r="DM108" s="42"/>
      <c r="DN108" s="42"/>
      <c r="DO108" s="42"/>
      <c r="DP108" s="42"/>
      <c r="DQ108" s="42"/>
      <c r="DR108" s="42"/>
      <c r="DS108" s="42"/>
      <c r="DT108" s="42"/>
      <c r="DU108" s="42"/>
      <c r="DV108" s="42"/>
      <c r="DW108" s="42"/>
      <c r="DX108" s="42"/>
      <c r="DY108" s="42"/>
    </row>
    <row r="109" spans="1:129" x14ac:dyDescent="0.25">
      <c r="A109" s="70"/>
      <c r="B109" s="70"/>
      <c r="C109" s="70"/>
      <c r="D109" s="70"/>
      <c r="E109" s="70"/>
      <c r="F109" s="70"/>
      <c r="G109" s="70"/>
      <c r="H109" s="70"/>
      <c r="I109" s="70"/>
      <c r="J109" s="70"/>
      <c r="K109" s="44"/>
      <c r="L109" s="44"/>
      <c r="M109" s="70"/>
      <c r="N109" s="70"/>
      <c r="O109" s="44"/>
      <c r="P109" s="44"/>
      <c r="Q109" s="70"/>
      <c r="R109" s="44"/>
      <c r="S109" s="94"/>
      <c r="T109" s="44"/>
      <c r="U109" s="44"/>
      <c r="V109" s="44"/>
      <c r="W109" s="44"/>
      <c r="X109" s="94"/>
      <c r="Y109" s="120"/>
      <c r="Z109" s="556" t="s">
        <v>635</v>
      </c>
      <c r="AA109" s="110">
        <f>(AA115+AA117)*100/AA111</f>
        <v>28.798108070361657</v>
      </c>
      <c r="AB109" s="62" t="s">
        <v>623</v>
      </c>
      <c r="AC109" s="119"/>
      <c r="AD109" s="120"/>
      <c r="AE109" s="44"/>
      <c r="AF109" s="44"/>
      <c r="AG109" s="44"/>
      <c r="AH109" s="44"/>
      <c r="AI109" s="44"/>
      <c r="AJ109" s="44"/>
      <c r="AK109" s="57"/>
      <c r="AL109" s="44"/>
      <c r="AM109" s="44"/>
      <c r="AN109" s="44"/>
      <c r="AO109" s="44"/>
      <c r="AP109" s="44"/>
      <c r="AQ109" s="44"/>
      <c r="AR109" s="44"/>
      <c r="AS109" s="44"/>
      <c r="AT109" s="44"/>
      <c r="AU109" s="44"/>
      <c r="AV109" s="44"/>
      <c r="AW109" s="44"/>
      <c r="AX109" s="44"/>
      <c r="AY109" s="42"/>
      <c r="AZ109" s="42"/>
      <c r="BA109" s="42"/>
      <c r="BB109" s="42"/>
      <c r="BC109" s="42"/>
      <c r="BD109" s="42"/>
      <c r="BE109" s="42"/>
      <c r="BF109" s="42"/>
      <c r="BG109" s="42"/>
      <c r="BH109" s="42"/>
      <c r="BI109" s="42"/>
      <c r="BJ109" s="42"/>
      <c r="BK109" s="42"/>
      <c r="BL109" s="42"/>
      <c r="BM109" s="42"/>
      <c r="BN109" s="42"/>
      <c r="BO109" s="42"/>
      <c r="BP109" s="42"/>
      <c r="BQ109" s="42"/>
      <c r="BR109" s="42"/>
      <c r="BS109" s="42"/>
      <c r="BT109" s="42"/>
      <c r="BU109" s="42"/>
      <c r="BV109" s="42"/>
      <c r="BW109" s="42"/>
      <c r="BX109" s="42"/>
      <c r="BY109" s="42"/>
      <c r="BZ109" s="42"/>
      <c r="CA109" s="42"/>
      <c r="CB109" s="42"/>
      <c r="CC109" s="42"/>
      <c r="CD109" s="42"/>
      <c r="CE109" s="42"/>
      <c r="CF109" s="42"/>
      <c r="CG109" s="42"/>
      <c r="CH109" s="42"/>
      <c r="CI109" s="42"/>
      <c r="CJ109" s="42"/>
      <c r="CK109" s="42"/>
      <c r="CL109" s="42"/>
      <c r="CM109" s="42"/>
      <c r="CN109" s="42"/>
      <c r="CO109" s="42"/>
      <c r="CP109" s="42"/>
      <c r="CQ109" s="42"/>
      <c r="CR109" s="42"/>
      <c r="CS109" s="42"/>
      <c r="CT109" s="42"/>
      <c r="CU109" s="42"/>
      <c r="CV109" s="42"/>
      <c r="CW109" s="42"/>
      <c r="CX109" s="42"/>
      <c r="CY109" s="42"/>
      <c r="CZ109" s="42"/>
      <c r="DA109" s="42"/>
      <c r="DB109" s="42"/>
      <c r="DC109" s="42"/>
      <c r="DD109" s="42"/>
      <c r="DE109" s="42"/>
      <c r="DF109" s="42"/>
      <c r="DG109" s="42"/>
      <c r="DH109" s="42"/>
      <c r="DI109" s="42"/>
      <c r="DJ109" s="42"/>
      <c r="DK109" s="42"/>
      <c r="DL109" s="42"/>
      <c r="DM109" s="42"/>
      <c r="DN109" s="42"/>
      <c r="DO109" s="42"/>
      <c r="DP109" s="42"/>
      <c r="DQ109" s="42"/>
      <c r="DR109" s="42"/>
      <c r="DS109" s="42"/>
      <c r="DT109" s="42"/>
      <c r="DU109" s="42"/>
      <c r="DV109" s="42"/>
      <c r="DW109" s="42"/>
      <c r="DX109" s="42"/>
      <c r="DY109" s="42"/>
    </row>
    <row r="110" spans="1:129" x14ac:dyDescent="0.25">
      <c r="A110" s="70"/>
      <c r="B110" s="70"/>
      <c r="C110" s="70"/>
      <c r="D110" s="70"/>
      <c r="E110" s="70"/>
      <c r="F110" s="70"/>
      <c r="G110" s="70"/>
      <c r="H110" s="70"/>
      <c r="I110" s="70"/>
      <c r="J110" s="70"/>
      <c r="K110" s="44"/>
      <c r="L110" s="44"/>
      <c r="M110" s="70"/>
      <c r="N110" s="70"/>
      <c r="O110" s="44"/>
      <c r="P110" s="44"/>
      <c r="Q110" s="70"/>
      <c r="R110" s="44"/>
      <c r="S110" s="94"/>
      <c r="T110" s="44"/>
      <c r="U110" s="44"/>
      <c r="V110" s="44"/>
      <c r="W110" s="44"/>
      <c r="X110" s="94"/>
      <c r="Y110" s="120"/>
      <c r="Z110" s="554"/>
      <c r="AA110" s="80"/>
      <c r="AB110" s="62"/>
      <c r="AC110" s="119"/>
      <c r="AD110" s="120"/>
      <c r="AE110" s="44"/>
      <c r="AF110" s="44"/>
      <c r="AG110" s="44"/>
      <c r="AH110" s="44"/>
      <c r="AI110" s="44"/>
      <c r="AJ110" s="44"/>
      <c r="AK110" s="57"/>
      <c r="AL110" s="44"/>
      <c r="AM110" s="44"/>
      <c r="AN110" s="44"/>
      <c r="AO110" s="44"/>
      <c r="AP110" s="44"/>
      <c r="AQ110" s="44"/>
      <c r="AR110" s="44"/>
      <c r="AS110" s="44"/>
      <c r="AT110" s="44"/>
      <c r="AU110" s="44"/>
      <c r="AV110" s="44"/>
      <c r="AW110" s="44"/>
      <c r="AX110" s="44"/>
      <c r="AY110" s="42"/>
      <c r="AZ110" s="42"/>
      <c r="BA110" s="42"/>
      <c r="BB110" s="42"/>
      <c r="BC110" s="42"/>
      <c r="BD110" s="42"/>
      <c r="BE110" s="42"/>
      <c r="BF110" s="42"/>
      <c r="BG110" s="42"/>
      <c r="BH110" s="42"/>
      <c r="BI110" s="42"/>
      <c r="BJ110" s="42"/>
      <c r="BK110" s="42"/>
      <c r="BL110" s="42"/>
      <c r="BM110" s="42"/>
      <c r="BN110" s="42"/>
      <c r="BO110" s="42"/>
      <c r="BP110" s="42"/>
      <c r="BQ110" s="42"/>
      <c r="BR110" s="42"/>
      <c r="BS110" s="42"/>
      <c r="BT110" s="42"/>
      <c r="BU110" s="42"/>
      <c r="BV110" s="42"/>
      <c r="BW110" s="42"/>
      <c r="BX110" s="42"/>
      <c r="BY110" s="42"/>
      <c r="BZ110" s="42"/>
      <c r="CA110" s="42"/>
      <c r="CB110" s="42"/>
      <c r="CC110" s="42"/>
      <c r="CD110" s="42"/>
      <c r="CE110" s="42"/>
      <c r="CF110" s="42"/>
      <c r="CG110" s="42"/>
      <c r="CH110" s="42"/>
      <c r="CI110" s="42"/>
      <c r="CJ110" s="42"/>
      <c r="CK110" s="42"/>
      <c r="CL110" s="42"/>
      <c r="CM110" s="42"/>
      <c r="CN110" s="42"/>
      <c r="CO110" s="42"/>
      <c r="CP110" s="42"/>
      <c r="CQ110" s="42"/>
      <c r="CR110" s="42"/>
      <c r="CS110" s="42"/>
      <c r="CT110" s="42"/>
      <c r="CU110" s="42"/>
      <c r="CV110" s="42"/>
      <c r="CW110" s="42"/>
      <c r="CX110" s="42"/>
      <c r="CY110" s="42"/>
      <c r="CZ110" s="42"/>
      <c r="DA110" s="42"/>
      <c r="DB110" s="42"/>
      <c r="DC110" s="42"/>
      <c r="DD110" s="42"/>
      <c r="DE110" s="42"/>
      <c r="DF110" s="42"/>
      <c r="DG110" s="42"/>
      <c r="DH110" s="42"/>
      <c r="DI110" s="42"/>
      <c r="DJ110" s="42"/>
      <c r="DK110" s="42"/>
      <c r="DL110" s="42"/>
      <c r="DM110" s="42"/>
      <c r="DN110" s="42"/>
      <c r="DO110" s="42"/>
      <c r="DP110" s="42"/>
      <c r="DQ110" s="42"/>
      <c r="DR110" s="42"/>
      <c r="DS110" s="42"/>
      <c r="DT110" s="42"/>
      <c r="DU110" s="42"/>
      <c r="DV110" s="42"/>
      <c r="DW110" s="42"/>
      <c r="DX110" s="42"/>
      <c r="DY110" s="42"/>
    </row>
    <row r="111" spans="1:129" x14ac:dyDescent="0.25">
      <c r="A111" s="70"/>
      <c r="B111" s="70"/>
      <c r="C111" s="70"/>
      <c r="D111" s="70"/>
      <c r="E111" s="70"/>
      <c r="F111" s="70"/>
      <c r="G111" s="70"/>
      <c r="H111" s="70"/>
      <c r="I111" s="70"/>
      <c r="J111" s="70"/>
      <c r="K111" s="44"/>
      <c r="L111" s="44"/>
      <c r="M111" s="70"/>
      <c r="N111" s="70"/>
      <c r="O111" s="44"/>
      <c r="P111" s="44"/>
      <c r="Q111" s="70"/>
      <c r="R111" s="44"/>
      <c r="S111" s="94"/>
      <c r="T111" s="44"/>
      <c r="U111" s="44"/>
      <c r="V111" s="44"/>
      <c r="W111" s="44"/>
      <c r="X111" s="94"/>
      <c r="Y111" s="120"/>
      <c r="Z111" s="556" t="s">
        <v>636</v>
      </c>
      <c r="AA111" s="127">
        <f>chp_eff_fm</f>
        <v>85</v>
      </c>
      <c r="AB111" s="62" t="s">
        <v>285</v>
      </c>
      <c r="AC111" s="119"/>
      <c r="AD111" s="120"/>
      <c r="AE111" s="44"/>
      <c r="AF111" s="44"/>
      <c r="AG111" s="44"/>
      <c r="AH111" s="44"/>
      <c r="AI111" s="44"/>
      <c r="AJ111" s="44"/>
      <c r="AK111" s="57"/>
      <c r="AL111" s="44"/>
      <c r="AM111" s="44"/>
      <c r="AN111" s="44"/>
      <c r="AO111" s="44"/>
      <c r="AP111" s="44"/>
      <c r="AQ111" s="44"/>
      <c r="AR111" s="44"/>
      <c r="AS111" s="44"/>
      <c r="AT111" s="44"/>
      <c r="AU111" s="44"/>
      <c r="AV111" s="44"/>
      <c r="AW111" s="44"/>
      <c r="AX111" s="44"/>
      <c r="AY111" s="42"/>
      <c r="AZ111" s="42"/>
      <c r="BA111" s="42"/>
      <c r="BB111" s="42"/>
      <c r="BC111" s="42"/>
      <c r="BD111" s="42"/>
      <c r="BE111" s="42"/>
      <c r="BF111" s="42"/>
      <c r="BG111" s="42"/>
      <c r="BH111" s="42"/>
      <c r="BI111" s="42"/>
      <c r="BJ111" s="42"/>
      <c r="BK111" s="42"/>
      <c r="BL111" s="42"/>
      <c r="BM111" s="42"/>
      <c r="BN111" s="42"/>
      <c r="BO111" s="42"/>
      <c r="BP111" s="42"/>
      <c r="BQ111" s="42"/>
      <c r="BR111" s="42"/>
      <c r="BS111" s="42"/>
      <c r="BT111" s="42"/>
      <c r="BU111" s="42"/>
      <c r="BV111" s="42"/>
      <c r="BW111" s="42"/>
      <c r="BX111" s="42"/>
      <c r="BY111" s="42"/>
      <c r="BZ111" s="42"/>
      <c r="CA111" s="42"/>
      <c r="CB111" s="42"/>
      <c r="CC111" s="42"/>
      <c r="CD111" s="42"/>
      <c r="CE111" s="42"/>
      <c r="CF111" s="42"/>
      <c r="CG111" s="42"/>
      <c r="CH111" s="42"/>
      <c r="CI111" s="42"/>
      <c r="CJ111" s="42"/>
      <c r="CK111" s="42"/>
      <c r="CL111" s="42"/>
      <c r="CM111" s="42"/>
      <c r="CN111" s="42"/>
      <c r="CO111" s="42"/>
      <c r="CP111" s="42"/>
      <c r="CQ111" s="42"/>
      <c r="CR111" s="42"/>
      <c r="CS111" s="42"/>
      <c r="CT111" s="42"/>
      <c r="CU111" s="42"/>
      <c r="CV111" s="42"/>
      <c r="CW111" s="42"/>
      <c r="CX111" s="42"/>
      <c r="CY111" s="42"/>
      <c r="CZ111" s="42"/>
      <c r="DA111" s="42"/>
      <c r="DB111" s="42"/>
      <c r="DC111" s="42"/>
      <c r="DD111" s="42"/>
      <c r="DE111" s="42"/>
      <c r="DF111" s="42"/>
      <c r="DG111" s="42"/>
      <c r="DH111" s="42"/>
      <c r="DI111" s="42"/>
      <c r="DJ111" s="42"/>
      <c r="DK111" s="42"/>
      <c r="DL111" s="42"/>
      <c r="DM111" s="42"/>
      <c r="DN111" s="42"/>
      <c r="DO111" s="42"/>
      <c r="DP111" s="42"/>
      <c r="DQ111" s="42"/>
      <c r="DR111" s="42"/>
      <c r="DS111" s="42"/>
      <c r="DT111" s="42"/>
      <c r="DU111" s="42"/>
      <c r="DV111" s="42"/>
      <c r="DW111" s="42"/>
      <c r="DX111" s="42"/>
      <c r="DY111" s="42"/>
    </row>
    <row r="112" spans="1:129" x14ac:dyDescent="0.25">
      <c r="A112" s="70"/>
      <c r="B112" s="70"/>
      <c r="C112" s="70"/>
      <c r="D112" s="70"/>
      <c r="E112" s="70"/>
      <c r="F112" s="70"/>
      <c r="G112" s="70"/>
      <c r="H112" s="70"/>
      <c r="I112" s="70"/>
      <c r="J112" s="70"/>
      <c r="K112" s="44"/>
      <c r="L112" s="44"/>
      <c r="M112" s="70"/>
      <c r="N112" s="70"/>
      <c r="O112" s="44"/>
      <c r="P112" s="44"/>
      <c r="Q112" s="70"/>
      <c r="R112" s="44"/>
      <c r="S112" s="94"/>
      <c r="T112" s="44"/>
      <c r="U112" s="44"/>
      <c r="V112" s="44"/>
      <c r="W112" s="44"/>
      <c r="X112" s="94"/>
      <c r="Y112" s="120"/>
      <c r="Z112" s="554"/>
      <c r="AA112" s="80"/>
      <c r="AB112" s="62"/>
      <c r="AC112" s="119"/>
      <c r="AD112" s="120"/>
      <c r="AE112" s="44"/>
      <c r="AF112" s="44"/>
      <c r="AG112" s="44"/>
      <c r="AH112" s="44"/>
      <c r="AI112" s="44"/>
      <c r="AJ112" s="44"/>
      <c r="AK112" s="57"/>
      <c r="AL112" s="44"/>
      <c r="AM112" s="44"/>
      <c r="AN112" s="44"/>
      <c r="AO112" s="44"/>
      <c r="AP112" s="44"/>
      <c r="AQ112" s="44"/>
      <c r="AR112" s="44"/>
      <c r="AS112" s="44"/>
      <c r="AT112" s="44"/>
      <c r="AU112" s="44"/>
      <c r="AV112" s="44"/>
      <c r="AW112" s="44"/>
      <c r="AX112" s="44"/>
      <c r="AY112" s="42"/>
      <c r="AZ112" s="42"/>
      <c r="BA112" s="42"/>
      <c r="BB112" s="42"/>
      <c r="BC112" s="42"/>
      <c r="BD112" s="42"/>
      <c r="BE112" s="42"/>
      <c r="BF112" s="42"/>
      <c r="BG112" s="42"/>
      <c r="BH112" s="42"/>
      <c r="BI112" s="42"/>
      <c r="BJ112" s="42"/>
      <c r="BK112" s="42"/>
      <c r="BL112" s="42"/>
      <c r="BM112" s="42"/>
      <c r="BN112" s="42"/>
      <c r="BO112" s="42"/>
      <c r="BP112" s="42"/>
      <c r="BQ112" s="42"/>
      <c r="BR112" s="42"/>
      <c r="BS112" s="42"/>
      <c r="BT112" s="42"/>
      <c r="BU112" s="42"/>
      <c r="BV112" s="42"/>
      <c r="BW112" s="42"/>
      <c r="BX112" s="42"/>
      <c r="BY112" s="42"/>
      <c r="BZ112" s="42"/>
      <c r="CA112" s="42"/>
      <c r="CB112" s="42"/>
      <c r="CC112" s="42"/>
      <c r="CD112" s="42"/>
      <c r="CE112" s="42"/>
      <c r="CF112" s="42"/>
      <c r="CG112" s="42"/>
      <c r="CH112" s="42"/>
      <c r="CI112" s="42"/>
      <c r="CJ112" s="42"/>
      <c r="CK112" s="42"/>
      <c r="CL112" s="42"/>
      <c r="CM112" s="42"/>
      <c r="CN112" s="42"/>
      <c r="CO112" s="42"/>
      <c r="CP112" s="42"/>
      <c r="CQ112" s="42"/>
      <c r="CR112" s="42"/>
      <c r="CS112" s="42"/>
      <c r="CT112" s="42"/>
      <c r="CU112" s="42"/>
      <c r="CV112" s="42"/>
      <c r="CW112" s="42"/>
      <c r="CX112" s="42"/>
      <c r="CY112" s="42"/>
      <c r="CZ112" s="42"/>
      <c r="DA112" s="42"/>
      <c r="DB112" s="42"/>
      <c r="DC112" s="42"/>
      <c r="DD112" s="42"/>
      <c r="DE112" s="42"/>
      <c r="DF112" s="42"/>
      <c r="DG112" s="42"/>
      <c r="DH112" s="42"/>
      <c r="DI112" s="42"/>
      <c r="DJ112" s="42"/>
      <c r="DK112" s="42"/>
      <c r="DL112" s="42"/>
      <c r="DM112" s="42"/>
      <c r="DN112" s="42"/>
      <c r="DO112" s="42"/>
      <c r="DP112" s="42"/>
      <c r="DQ112" s="42"/>
      <c r="DR112" s="42"/>
      <c r="DS112" s="42"/>
      <c r="DT112" s="42"/>
      <c r="DU112" s="42"/>
      <c r="DV112" s="42"/>
      <c r="DW112" s="42"/>
      <c r="DX112" s="42"/>
      <c r="DY112" s="42"/>
    </row>
    <row r="113" spans="1:129" x14ac:dyDescent="0.25">
      <c r="A113" s="70"/>
      <c r="B113" s="70"/>
      <c r="C113" s="70"/>
      <c r="D113" s="70"/>
      <c r="E113" s="70"/>
      <c r="F113" s="70"/>
      <c r="G113" s="70"/>
      <c r="H113" s="70"/>
      <c r="I113" s="70"/>
      <c r="J113" s="70"/>
      <c r="K113" s="44"/>
      <c r="L113" s="44"/>
      <c r="M113" s="70"/>
      <c r="N113" s="70"/>
      <c r="O113" s="44"/>
      <c r="P113" s="70"/>
      <c r="Q113" s="70"/>
      <c r="R113" s="57"/>
      <c r="S113" s="70"/>
      <c r="T113" s="70"/>
      <c r="U113" s="70"/>
      <c r="V113" s="44"/>
      <c r="W113" s="44"/>
      <c r="X113" s="94"/>
      <c r="Y113" s="120"/>
      <c r="Z113" s="556" t="s">
        <v>637</v>
      </c>
      <c r="AA113" s="127">
        <f>chp_h_to_p_fm</f>
        <v>1</v>
      </c>
      <c r="AB113" s="62"/>
      <c r="AC113" s="119"/>
      <c r="AD113" s="120"/>
      <c r="AE113" s="44"/>
      <c r="AF113" s="44"/>
      <c r="AG113" s="44"/>
      <c r="AH113" s="44"/>
      <c r="AI113" s="44"/>
      <c r="AJ113" s="44"/>
      <c r="AK113" s="57"/>
      <c r="AL113" s="44"/>
      <c r="AM113" s="44"/>
      <c r="AN113" s="44"/>
      <c r="AO113" s="44"/>
      <c r="AP113" s="44"/>
      <c r="AQ113" s="44"/>
      <c r="AR113" s="44"/>
      <c r="AS113" s="44"/>
      <c r="AT113" s="44"/>
      <c r="AU113" s="44"/>
      <c r="AV113" s="44"/>
      <c r="AW113" s="44"/>
      <c r="AX113" s="44"/>
      <c r="AY113" s="42"/>
      <c r="AZ113" s="42"/>
      <c r="BA113" s="42"/>
      <c r="BB113" s="42"/>
      <c r="BC113" s="42"/>
      <c r="BD113" s="42"/>
      <c r="BE113" s="42"/>
      <c r="BF113" s="42"/>
      <c r="BG113" s="42"/>
      <c r="BH113" s="42"/>
      <c r="BI113" s="42"/>
      <c r="BJ113" s="42"/>
      <c r="BK113" s="42"/>
      <c r="BL113" s="42"/>
      <c r="BM113" s="42"/>
      <c r="BN113" s="42"/>
      <c r="BO113" s="42"/>
      <c r="BP113" s="42"/>
      <c r="BQ113" s="42"/>
      <c r="BR113" s="42"/>
      <c r="BS113" s="42"/>
      <c r="BT113" s="42"/>
      <c r="BU113" s="42"/>
      <c r="BV113" s="42"/>
      <c r="BW113" s="42"/>
      <c r="BX113" s="42"/>
      <c r="BY113" s="42"/>
      <c r="BZ113" s="42"/>
      <c r="CA113" s="42"/>
      <c r="CB113" s="42"/>
      <c r="CC113" s="42"/>
      <c r="CD113" s="42"/>
      <c r="CE113" s="42"/>
      <c r="CF113" s="42"/>
      <c r="CG113" s="42"/>
      <c r="CH113" s="42"/>
      <c r="CI113" s="42"/>
      <c r="CJ113" s="42"/>
      <c r="CK113" s="42"/>
      <c r="CL113" s="42"/>
      <c r="CM113" s="42"/>
      <c r="CN113" s="42"/>
      <c r="CO113" s="42"/>
      <c r="CP113" s="42"/>
      <c r="CQ113" s="42"/>
      <c r="CR113" s="42"/>
      <c r="CS113" s="42"/>
      <c r="CT113" s="42"/>
      <c r="CU113" s="42"/>
      <c r="CV113" s="42"/>
      <c r="CW113" s="42"/>
      <c r="CX113" s="42"/>
      <c r="CY113" s="42"/>
      <c r="CZ113" s="42"/>
      <c r="DA113" s="42"/>
      <c r="DB113" s="42"/>
      <c r="DC113" s="42"/>
      <c r="DD113" s="42"/>
      <c r="DE113" s="42"/>
      <c r="DF113" s="42"/>
      <c r="DG113" s="42"/>
      <c r="DH113" s="42"/>
      <c r="DI113" s="42"/>
      <c r="DJ113" s="42"/>
      <c r="DK113" s="42"/>
      <c r="DL113" s="42"/>
      <c r="DM113" s="42"/>
      <c r="DN113" s="42"/>
      <c r="DO113" s="42"/>
      <c r="DP113" s="42"/>
      <c r="DQ113" s="42"/>
      <c r="DR113" s="42"/>
      <c r="DS113" s="42"/>
      <c r="DT113" s="42"/>
      <c r="DU113" s="42"/>
      <c r="DV113" s="42"/>
      <c r="DW113" s="42"/>
      <c r="DX113" s="42"/>
      <c r="DY113" s="42"/>
    </row>
    <row r="114" spans="1:129" x14ac:dyDescent="0.25">
      <c r="A114" s="70"/>
      <c r="B114" s="70"/>
      <c r="C114" s="70"/>
      <c r="D114" s="70"/>
      <c r="E114" s="70"/>
      <c r="F114" s="70"/>
      <c r="G114" s="70"/>
      <c r="H114" s="70"/>
      <c r="I114" s="70"/>
      <c r="J114" s="70"/>
      <c r="K114" s="44"/>
      <c r="L114" s="44"/>
      <c r="M114" s="70"/>
      <c r="N114" s="70"/>
      <c r="O114" s="44"/>
      <c r="P114" s="128"/>
      <c r="Q114" s="128"/>
      <c r="R114" s="129"/>
      <c r="S114" s="128"/>
      <c r="T114" s="128"/>
      <c r="U114" s="128"/>
      <c r="V114" s="44"/>
      <c r="W114" s="44"/>
      <c r="X114" s="94"/>
      <c r="Y114" s="120"/>
      <c r="Z114" s="554"/>
      <c r="AA114" s="80"/>
      <c r="AB114" s="62"/>
      <c r="AC114" s="119"/>
      <c r="AD114" s="120"/>
      <c r="AE114" s="44"/>
      <c r="AF114" s="44"/>
      <c r="AG114" s="44"/>
      <c r="AH114" s="44"/>
      <c r="AI114" s="44"/>
      <c r="AJ114" s="44"/>
      <c r="AK114" s="57"/>
      <c r="AL114" s="44"/>
      <c r="AM114" s="44"/>
      <c r="AN114" s="44"/>
      <c r="AO114" s="44"/>
      <c r="AP114" s="44"/>
      <c r="AQ114" s="44"/>
      <c r="AR114" s="44"/>
      <c r="AS114" s="44"/>
      <c r="AT114" s="44"/>
      <c r="AU114" s="44"/>
      <c r="AV114" s="44"/>
      <c r="AW114" s="44"/>
      <c r="AX114" s="44"/>
      <c r="AY114" s="42"/>
      <c r="AZ114" s="42"/>
      <c r="BA114" s="42"/>
      <c r="BB114" s="42"/>
      <c r="BC114" s="42"/>
      <c r="BD114" s="42"/>
      <c r="BE114" s="42"/>
      <c r="BF114" s="42"/>
      <c r="BG114" s="42"/>
      <c r="BH114" s="42"/>
      <c r="BI114" s="42"/>
      <c r="BJ114" s="42"/>
      <c r="BK114" s="42"/>
      <c r="BL114" s="42"/>
      <c r="BM114" s="42"/>
      <c r="BN114" s="42"/>
      <c r="BO114" s="42"/>
      <c r="BP114" s="42"/>
      <c r="BQ114" s="42"/>
      <c r="BR114" s="42"/>
      <c r="BS114" s="42"/>
      <c r="BT114" s="42"/>
      <c r="BU114" s="42"/>
      <c r="BV114" s="42"/>
      <c r="BW114" s="42"/>
      <c r="BX114" s="42"/>
      <c r="BY114" s="42"/>
      <c r="BZ114" s="42"/>
      <c r="CA114" s="42"/>
      <c r="CB114" s="42"/>
      <c r="CC114" s="42"/>
      <c r="CD114" s="42"/>
      <c r="CE114" s="42"/>
      <c r="CF114" s="42"/>
      <c r="CG114" s="42"/>
      <c r="CH114" s="42"/>
      <c r="CI114" s="42"/>
      <c r="CJ114" s="42"/>
      <c r="CK114" s="42"/>
      <c r="CL114" s="42"/>
      <c r="CM114" s="42"/>
      <c r="CN114" s="42"/>
      <c r="CO114" s="42"/>
      <c r="CP114" s="42"/>
      <c r="CQ114" s="42"/>
      <c r="CR114" s="42"/>
      <c r="CS114" s="42"/>
      <c r="CT114" s="42"/>
      <c r="CU114" s="42"/>
      <c r="CV114" s="42"/>
      <c r="CW114" s="42"/>
      <c r="CX114" s="42"/>
      <c r="CY114" s="42"/>
      <c r="CZ114" s="42"/>
      <c r="DA114" s="42"/>
      <c r="DB114" s="42"/>
      <c r="DC114" s="42"/>
      <c r="DD114" s="42"/>
      <c r="DE114" s="42"/>
      <c r="DF114" s="42"/>
      <c r="DG114" s="42"/>
      <c r="DH114" s="42"/>
      <c r="DI114" s="42"/>
      <c r="DJ114" s="42"/>
      <c r="DK114" s="42"/>
      <c r="DL114" s="42"/>
      <c r="DM114" s="42"/>
      <c r="DN114" s="42"/>
      <c r="DO114" s="42"/>
      <c r="DP114" s="42"/>
      <c r="DQ114" s="42"/>
      <c r="DR114" s="42"/>
      <c r="DS114" s="42"/>
      <c r="DT114" s="42"/>
      <c r="DU114" s="42"/>
      <c r="DV114" s="42"/>
      <c r="DW114" s="42"/>
      <c r="DX114" s="42"/>
      <c r="DY114" s="42"/>
    </row>
    <row r="115" spans="1:129" x14ac:dyDescent="0.25">
      <c r="A115" s="70"/>
      <c r="B115" s="70"/>
      <c r="C115" s="70"/>
      <c r="D115" s="70"/>
      <c r="E115" s="70"/>
      <c r="F115" s="70"/>
      <c r="G115" s="70"/>
      <c r="H115" s="70"/>
      <c r="I115" s="70"/>
      <c r="J115" s="70"/>
      <c r="K115" s="44"/>
      <c r="L115" s="44"/>
      <c r="M115" s="70"/>
      <c r="N115" s="70"/>
      <c r="O115" s="44"/>
      <c r="P115" s="70"/>
      <c r="Q115" s="70"/>
      <c r="R115" s="131"/>
      <c r="S115" s="132"/>
      <c r="T115" s="70"/>
      <c r="U115" s="70"/>
      <c r="V115" s="44"/>
      <c r="W115" s="44"/>
      <c r="X115" s="94"/>
      <c r="Y115" s="120"/>
      <c r="Z115" s="556" t="s">
        <v>638</v>
      </c>
      <c r="AA115" s="110">
        <f>(S137*S101*(S294/S72))/(S105*60*60)</f>
        <v>12.239195929903703</v>
      </c>
      <c r="AB115" s="62" t="s">
        <v>623</v>
      </c>
      <c r="AC115" s="119"/>
      <c r="AD115" s="120"/>
      <c r="AE115" s="44"/>
      <c r="AF115" s="44"/>
      <c r="AG115" s="44"/>
      <c r="AH115" s="44"/>
      <c r="AI115" s="44"/>
      <c r="AJ115" s="44"/>
      <c r="AK115" s="57"/>
      <c r="AL115" s="44"/>
      <c r="AM115" s="44"/>
      <c r="AN115" s="44"/>
      <c r="AO115" s="44"/>
      <c r="AP115" s="44"/>
      <c r="AQ115" s="44"/>
      <c r="AR115" s="44"/>
      <c r="AS115" s="44"/>
      <c r="AT115" s="44"/>
      <c r="AU115" s="44"/>
      <c r="AV115" s="44"/>
      <c r="AW115" s="44"/>
      <c r="AX115" s="44"/>
      <c r="AY115" s="42"/>
      <c r="AZ115" s="42"/>
      <c r="BA115" s="42"/>
      <c r="BB115" s="42"/>
      <c r="BC115" s="42"/>
      <c r="BD115" s="42"/>
      <c r="BE115" s="42"/>
      <c r="BF115" s="42"/>
      <c r="BG115" s="42"/>
      <c r="BH115" s="42"/>
      <c r="BI115" s="42"/>
      <c r="BJ115" s="42"/>
      <c r="BK115" s="42"/>
      <c r="BL115" s="42"/>
      <c r="BM115" s="42"/>
      <c r="BN115" s="42"/>
      <c r="BO115" s="42"/>
      <c r="BP115" s="42"/>
      <c r="BQ115" s="42"/>
      <c r="BR115" s="42"/>
      <c r="BS115" s="42"/>
      <c r="BT115" s="42"/>
      <c r="BU115" s="42"/>
      <c r="BV115" s="42"/>
      <c r="BW115" s="42"/>
      <c r="BX115" s="42"/>
      <c r="BY115" s="42"/>
      <c r="BZ115" s="42"/>
      <c r="CA115" s="42"/>
      <c r="CB115" s="42"/>
      <c r="CC115" s="42"/>
      <c r="CD115" s="42"/>
      <c r="CE115" s="42"/>
      <c r="CF115" s="42"/>
      <c r="CG115" s="42"/>
      <c r="CH115" s="42"/>
      <c r="CI115" s="42"/>
      <c r="CJ115" s="42"/>
      <c r="CK115" s="42"/>
      <c r="CL115" s="42"/>
      <c r="CM115" s="42"/>
      <c r="CN115" s="42"/>
      <c r="CO115" s="42"/>
      <c r="CP115" s="42"/>
      <c r="CQ115" s="42"/>
      <c r="CR115" s="42"/>
      <c r="CS115" s="42"/>
      <c r="CT115" s="42"/>
      <c r="CU115" s="42"/>
      <c r="CV115" s="42"/>
      <c r="CW115" s="42"/>
      <c r="CX115" s="42"/>
      <c r="CY115" s="42"/>
      <c r="CZ115" s="42"/>
      <c r="DA115" s="42"/>
      <c r="DB115" s="42"/>
      <c r="DC115" s="42"/>
      <c r="DD115" s="42"/>
      <c r="DE115" s="42"/>
      <c r="DF115" s="42"/>
      <c r="DG115" s="42"/>
      <c r="DH115" s="42"/>
      <c r="DI115" s="42"/>
      <c r="DJ115" s="42"/>
      <c r="DK115" s="42"/>
      <c r="DL115" s="42"/>
      <c r="DM115" s="42"/>
      <c r="DN115" s="42"/>
      <c r="DO115" s="42"/>
      <c r="DP115" s="42"/>
      <c r="DQ115" s="42"/>
      <c r="DR115" s="42"/>
      <c r="DS115" s="42"/>
      <c r="DT115" s="42"/>
      <c r="DU115" s="42"/>
      <c r="DV115" s="42"/>
      <c r="DW115" s="42"/>
      <c r="DX115" s="42"/>
      <c r="DY115" s="42"/>
    </row>
    <row r="116" spans="1:129" x14ac:dyDescent="0.25">
      <c r="A116" s="70"/>
      <c r="B116" s="70"/>
      <c r="C116" s="70"/>
      <c r="D116" s="70"/>
      <c r="E116" s="70"/>
      <c r="F116" s="70"/>
      <c r="G116" s="70"/>
      <c r="H116" s="70"/>
      <c r="I116" s="70"/>
      <c r="J116" s="70"/>
      <c r="K116" s="44"/>
      <c r="L116" s="44"/>
      <c r="M116" s="70"/>
      <c r="N116" s="70"/>
      <c r="O116" s="44"/>
      <c r="P116" s="70"/>
      <c r="Q116" s="70"/>
      <c r="R116" s="57"/>
      <c r="S116" s="70"/>
      <c r="T116" s="70"/>
      <c r="U116" s="70"/>
      <c r="V116" s="44"/>
      <c r="W116" s="44"/>
      <c r="X116" s="94"/>
      <c r="Y116" s="120"/>
      <c r="Z116" s="554"/>
      <c r="AA116" s="80"/>
      <c r="AB116" s="62"/>
      <c r="AC116" s="119"/>
      <c r="AD116" s="120"/>
      <c r="AE116" s="44"/>
      <c r="AF116" s="44"/>
      <c r="AG116" s="44"/>
      <c r="AH116" s="44"/>
      <c r="AI116" s="44"/>
      <c r="AJ116" s="44"/>
      <c r="AK116" s="57"/>
      <c r="AL116" s="44"/>
      <c r="AM116" s="44"/>
      <c r="AN116" s="44"/>
      <c r="AO116" s="44"/>
      <c r="AP116" s="44"/>
      <c r="AQ116" s="44"/>
      <c r="AR116" s="44"/>
      <c r="AS116" s="44"/>
      <c r="AT116" s="44"/>
      <c r="AU116" s="44"/>
      <c r="AV116" s="44"/>
      <c r="AW116" s="44"/>
      <c r="AX116" s="44"/>
      <c r="AY116" s="42"/>
      <c r="AZ116" s="42"/>
      <c r="BA116" s="42"/>
      <c r="BB116" s="42"/>
      <c r="BC116" s="42"/>
      <c r="BD116" s="42"/>
      <c r="BE116" s="42"/>
      <c r="BF116" s="42"/>
      <c r="BG116" s="42"/>
      <c r="BH116" s="42"/>
      <c r="BI116" s="42"/>
      <c r="BJ116" s="42"/>
      <c r="BK116" s="42"/>
      <c r="BL116" s="42"/>
      <c r="BM116" s="42"/>
      <c r="BN116" s="42"/>
      <c r="BO116" s="42"/>
      <c r="BP116" s="42"/>
      <c r="BQ116" s="42"/>
      <c r="BR116" s="42"/>
      <c r="BS116" s="42"/>
      <c r="BT116" s="42"/>
      <c r="BU116" s="42"/>
      <c r="BV116" s="42"/>
      <c r="BW116" s="42"/>
      <c r="BX116" s="42"/>
      <c r="BY116" s="42"/>
      <c r="BZ116" s="42"/>
      <c r="CA116" s="42"/>
      <c r="CB116" s="42"/>
      <c r="CC116" s="42"/>
      <c r="CD116" s="42"/>
      <c r="CE116" s="42"/>
      <c r="CF116" s="42"/>
      <c r="CG116" s="42"/>
      <c r="CH116" s="42"/>
      <c r="CI116" s="42"/>
      <c r="CJ116" s="42"/>
      <c r="CK116" s="42"/>
      <c r="CL116" s="42"/>
      <c r="CM116" s="42"/>
      <c r="CN116" s="42"/>
      <c r="CO116" s="42"/>
      <c r="CP116" s="42"/>
      <c r="CQ116" s="42"/>
      <c r="CR116" s="42"/>
      <c r="CS116" s="42"/>
      <c r="CT116" s="42"/>
      <c r="CU116" s="42"/>
      <c r="CV116" s="42"/>
      <c r="CW116" s="42"/>
      <c r="CX116" s="42"/>
      <c r="CY116" s="42"/>
      <c r="CZ116" s="42"/>
      <c r="DA116" s="42"/>
      <c r="DB116" s="42"/>
      <c r="DC116" s="42"/>
      <c r="DD116" s="42"/>
      <c r="DE116" s="42"/>
      <c r="DF116" s="42"/>
      <c r="DG116" s="42"/>
      <c r="DH116" s="42"/>
      <c r="DI116" s="42"/>
      <c r="DJ116" s="42"/>
      <c r="DK116" s="42"/>
      <c r="DL116" s="42"/>
      <c r="DM116" s="42"/>
      <c r="DN116" s="42"/>
      <c r="DO116" s="42"/>
      <c r="DP116" s="42"/>
      <c r="DQ116" s="42"/>
      <c r="DR116" s="42"/>
      <c r="DS116" s="42"/>
      <c r="DT116" s="42"/>
      <c r="DU116" s="42"/>
      <c r="DV116" s="42"/>
      <c r="DW116" s="42"/>
      <c r="DX116" s="42"/>
      <c r="DY116" s="42"/>
    </row>
    <row r="117" spans="1:129" x14ac:dyDescent="0.25">
      <c r="A117" s="70"/>
      <c r="B117" s="70"/>
      <c r="C117" s="70"/>
      <c r="D117" s="70"/>
      <c r="E117" s="70"/>
      <c r="F117" s="70"/>
      <c r="G117" s="70"/>
      <c r="H117" s="70"/>
      <c r="I117" s="70"/>
      <c r="J117" s="70"/>
      <c r="K117" s="44"/>
      <c r="L117" s="44"/>
      <c r="M117" s="70"/>
      <c r="N117" s="70"/>
      <c r="O117" s="44"/>
      <c r="P117" s="132"/>
      <c r="Q117" s="132"/>
      <c r="R117" s="131"/>
      <c r="S117" s="134"/>
      <c r="T117" s="70"/>
      <c r="U117" s="70"/>
      <c r="V117" s="44"/>
      <c r="W117" s="44"/>
      <c r="X117" s="94"/>
      <c r="Y117" s="120"/>
      <c r="Z117" s="556" t="s">
        <v>639</v>
      </c>
      <c r="AA117" s="110">
        <f>$AA$115/$AA$113</f>
        <v>12.239195929903703</v>
      </c>
      <c r="AB117" s="62" t="s">
        <v>623</v>
      </c>
      <c r="AC117" s="119"/>
      <c r="AD117" s="120"/>
      <c r="AE117" s="44"/>
      <c r="AF117" s="44"/>
      <c r="AG117" s="44"/>
      <c r="AH117" s="44"/>
      <c r="AI117" s="44"/>
      <c r="AJ117" s="44"/>
      <c r="AK117" s="57"/>
      <c r="AL117" s="44"/>
      <c r="AM117" s="44"/>
      <c r="AN117" s="44"/>
      <c r="AO117" s="44"/>
      <c r="AP117" s="44"/>
      <c r="AQ117" s="44"/>
      <c r="AR117" s="44"/>
      <c r="AS117" s="44"/>
      <c r="AT117" s="44"/>
      <c r="AU117" s="44"/>
      <c r="AV117" s="44"/>
      <c r="AW117" s="44"/>
      <c r="AX117" s="44"/>
      <c r="AY117" s="42"/>
      <c r="AZ117" s="42"/>
      <c r="BA117" s="42"/>
      <c r="BB117" s="42"/>
      <c r="BC117" s="42"/>
      <c r="BD117" s="42"/>
      <c r="BE117" s="42"/>
      <c r="BF117" s="42"/>
      <c r="BG117" s="42"/>
      <c r="BH117" s="42"/>
      <c r="BI117" s="42"/>
      <c r="BJ117" s="42"/>
      <c r="BK117" s="42"/>
      <c r="BL117" s="42"/>
      <c r="BM117" s="42"/>
      <c r="BN117" s="42"/>
      <c r="BO117" s="42"/>
      <c r="BP117" s="42"/>
      <c r="BQ117" s="42"/>
      <c r="BR117" s="42"/>
      <c r="BS117" s="42"/>
      <c r="BT117" s="42"/>
      <c r="BU117" s="42"/>
      <c r="BV117" s="42"/>
      <c r="BW117" s="42"/>
      <c r="BX117" s="42"/>
      <c r="BY117" s="42"/>
      <c r="BZ117" s="42"/>
      <c r="CA117" s="42"/>
      <c r="CB117" s="42"/>
      <c r="CC117" s="42"/>
      <c r="CD117" s="42"/>
      <c r="CE117" s="42"/>
      <c r="CF117" s="42"/>
      <c r="CG117" s="42"/>
      <c r="CH117" s="42"/>
      <c r="CI117" s="42"/>
      <c r="CJ117" s="42"/>
      <c r="CK117" s="42"/>
      <c r="CL117" s="42"/>
      <c r="CM117" s="42"/>
      <c r="CN117" s="42"/>
      <c r="CO117" s="42"/>
      <c r="CP117" s="42"/>
      <c r="CQ117" s="42"/>
      <c r="CR117" s="42"/>
      <c r="CS117" s="42"/>
      <c r="CT117" s="42"/>
      <c r="CU117" s="42"/>
      <c r="CV117" s="42"/>
      <c r="CW117" s="42"/>
      <c r="CX117" s="42"/>
      <c r="CY117" s="42"/>
      <c r="CZ117" s="42"/>
      <c r="DA117" s="42"/>
      <c r="DB117" s="42"/>
      <c r="DC117" s="42"/>
      <c r="DD117" s="42"/>
      <c r="DE117" s="42"/>
      <c r="DF117" s="42"/>
      <c r="DG117" s="42"/>
      <c r="DH117" s="42"/>
      <c r="DI117" s="42"/>
      <c r="DJ117" s="42"/>
      <c r="DK117" s="42"/>
      <c r="DL117" s="42"/>
      <c r="DM117" s="42"/>
      <c r="DN117" s="42"/>
      <c r="DO117" s="42"/>
      <c r="DP117" s="42"/>
      <c r="DQ117" s="42"/>
      <c r="DR117" s="42"/>
      <c r="DS117" s="42"/>
      <c r="DT117" s="42"/>
      <c r="DU117" s="42"/>
      <c r="DV117" s="42"/>
      <c r="DW117" s="42"/>
      <c r="DX117" s="42"/>
      <c r="DY117" s="42"/>
    </row>
    <row r="118" spans="1:129" x14ac:dyDescent="0.25">
      <c r="A118" s="70"/>
      <c r="B118" s="70"/>
      <c r="C118" s="70"/>
      <c r="D118" s="70"/>
      <c r="E118" s="70"/>
      <c r="F118" s="70"/>
      <c r="G118" s="70"/>
      <c r="H118" s="70"/>
      <c r="I118" s="70"/>
      <c r="J118" s="70"/>
      <c r="K118" s="44"/>
      <c r="L118" s="44"/>
      <c r="M118" s="70"/>
      <c r="N118" s="70"/>
      <c r="O118" s="44"/>
      <c r="P118" s="70"/>
      <c r="Q118" s="135"/>
      <c r="R118" s="131"/>
      <c r="S118" s="134"/>
      <c r="T118" s="70"/>
      <c r="U118" s="70"/>
      <c r="V118" s="44"/>
      <c r="W118" s="44"/>
      <c r="X118" s="94"/>
      <c r="Y118" s="120"/>
      <c r="Z118" s="554"/>
      <c r="AA118" s="80"/>
      <c r="AB118" s="62"/>
      <c r="AC118" s="119"/>
      <c r="AD118" s="120"/>
      <c r="AE118" s="44"/>
      <c r="AF118" s="44"/>
      <c r="AG118" s="44"/>
      <c r="AH118" s="44"/>
      <c r="AI118" s="44"/>
      <c r="AJ118" s="44"/>
      <c r="AK118" s="57"/>
      <c r="AL118" s="44"/>
      <c r="AM118" s="44"/>
      <c r="AN118" s="44"/>
      <c r="AO118" s="44"/>
      <c r="AP118" s="44"/>
      <c r="AQ118" s="44"/>
      <c r="AR118" s="44"/>
      <c r="AS118" s="44"/>
      <c r="AT118" s="44"/>
      <c r="AU118" s="44"/>
      <c r="AV118" s="44"/>
      <c r="AW118" s="44"/>
      <c r="AX118" s="44"/>
      <c r="AY118" s="42"/>
      <c r="AZ118" s="42"/>
      <c r="BA118" s="42"/>
      <c r="BB118" s="42"/>
      <c r="BC118" s="42"/>
      <c r="BD118" s="42"/>
      <c r="BE118" s="42"/>
      <c r="BF118" s="42"/>
      <c r="BG118" s="42"/>
      <c r="BH118" s="42"/>
      <c r="BI118" s="42"/>
      <c r="BJ118" s="42"/>
      <c r="BK118" s="42"/>
      <c r="BL118" s="42"/>
      <c r="BM118" s="42"/>
      <c r="BN118" s="42"/>
      <c r="BO118" s="42"/>
      <c r="BP118" s="42"/>
      <c r="BQ118" s="42"/>
      <c r="BR118" s="42"/>
      <c r="BS118" s="42"/>
      <c r="BT118" s="42"/>
      <c r="BU118" s="42"/>
      <c r="BV118" s="42"/>
      <c r="BW118" s="42"/>
      <c r="BX118" s="42"/>
      <c r="BY118" s="42"/>
      <c r="BZ118" s="42"/>
      <c r="CA118" s="42"/>
      <c r="CB118" s="42"/>
      <c r="CC118" s="42"/>
      <c r="CD118" s="42"/>
      <c r="CE118" s="42"/>
      <c r="CF118" s="42"/>
      <c r="CG118" s="42"/>
      <c r="CH118" s="42"/>
      <c r="CI118" s="42"/>
      <c r="CJ118" s="42"/>
      <c r="CK118" s="42"/>
      <c r="CL118" s="42"/>
      <c r="CM118" s="42"/>
      <c r="CN118" s="42"/>
      <c r="CO118" s="42"/>
      <c r="CP118" s="42"/>
      <c r="CQ118" s="42"/>
      <c r="CR118" s="42"/>
      <c r="CS118" s="42"/>
      <c r="CT118" s="42"/>
      <c r="CU118" s="42"/>
      <c r="CV118" s="42"/>
      <c r="CW118" s="42"/>
      <c r="CX118" s="42"/>
      <c r="CY118" s="42"/>
      <c r="CZ118" s="42"/>
      <c r="DA118" s="42"/>
      <c r="DB118" s="42"/>
      <c r="DC118" s="42"/>
      <c r="DD118" s="42"/>
      <c r="DE118" s="42"/>
      <c r="DF118" s="42"/>
      <c r="DG118" s="42"/>
      <c r="DH118" s="42"/>
      <c r="DI118" s="42"/>
      <c r="DJ118" s="42"/>
      <c r="DK118" s="42"/>
      <c r="DL118" s="42"/>
      <c r="DM118" s="42"/>
      <c r="DN118" s="42"/>
      <c r="DO118" s="42"/>
      <c r="DP118" s="42"/>
      <c r="DQ118" s="42"/>
      <c r="DR118" s="42"/>
      <c r="DS118" s="42"/>
      <c r="DT118" s="42"/>
      <c r="DU118" s="42"/>
      <c r="DV118" s="42"/>
      <c r="DW118" s="42"/>
      <c r="DX118" s="42"/>
      <c r="DY118" s="42"/>
    </row>
    <row r="119" spans="1:129" x14ac:dyDescent="0.25">
      <c r="A119" s="44"/>
      <c r="B119" s="44"/>
      <c r="C119" s="44"/>
      <c r="D119" s="44"/>
      <c r="E119" s="44"/>
      <c r="F119" s="44"/>
      <c r="G119" s="44"/>
      <c r="H119" s="44"/>
      <c r="I119" s="44"/>
      <c r="J119" s="70"/>
      <c r="K119" s="44"/>
      <c r="L119" s="44"/>
      <c r="M119" s="70"/>
      <c r="N119" s="70"/>
      <c r="O119" s="70"/>
      <c r="P119" s="132"/>
      <c r="Q119" s="132"/>
      <c r="R119" s="131"/>
      <c r="S119" s="134"/>
      <c r="T119" s="70"/>
      <c r="U119" s="70"/>
      <c r="V119" s="44"/>
      <c r="W119" s="44"/>
      <c r="X119" s="94"/>
      <c r="Y119" s="120"/>
      <c r="Z119" s="556" t="s">
        <v>641</v>
      </c>
      <c r="AA119" s="127">
        <f>chp_weight_fm</f>
        <v>2</v>
      </c>
      <c r="AB119" s="62"/>
      <c r="AC119" s="119"/>
      <c r="AD119" s="120"/>
      <c r="AE119" s="44"/>
      <c r="AF119" s="44"/>
      <c r="AG119" s="44"/>
      <c r="AH119" s="44"/>
      <c r="AI119" s="44"/>
      <c r="AJ119" s="44"/>
      <c r="AK119" s="57"/>
      <c r="AL119" s="44"/>
      <c r="AM119" s="44"/>
      <c r="AN119" s="44"/>
      <c r="AO119" s="44"/>
      <c r="AP119" s="44"/>
      <c r="AQ119" s="44"/>
      <c r="AR119" s="44"/>
      <c r="AS119" s="44"/>
      <c r="AT119" s="44"/>
      <c r="AU119" s="44"/>
      <c r="AV119" s="44"/>
      <c r="AW119" s="44"/>
      <c r="AX119" s="44"/>
      <c r="AY119" s="42"/>
      <c r="AZ119" s="42"/>
      <c r="BA119" s="42"/>
      <c r="BB119" s="42"/>
      <c r="BC119" s="42"/>
      <c r="BD119" s="42"/>
      <c r="BE119" s="42"/>
      <c r="BF119" s="42"/>
      <c r="BG119" s="42"/>
      <c r="BH119" s="42"/>
      <c r="BI119" s="42"/>
      <c r="BJ119" s="42"/>
      <c r="BK119" s="42"/>
      <c r="BL119" s="42"/>
      <c r="BM119" s="42"/>
      <c r="BN119" s="42"/>
      <c r="BO119" s="42"/>
      <c r="BP119" s="42"/>
      <c r="BQ119" s="42"/>
      <c r="BR119" s="42"/>
      <c r="BS119" s="42"/>
      <c r="BT119" s="42"/>
      <c r="BU119" s="42"/>
      <c r="BV119" s="42"/>
      <c r="BW119" s="42"/>
      <c r="BX119" s="42"/>
      <c r="BY119" s="42"/>
      <c r="BZ119" s="42"/>
      <c r="CA119" s="42"/>
      <c r="CB119" s="42"/>
      <c r="CC119" s="42"/>
      <c r="CD119" s="42"/>
      <c r="CE119" s="42"/>
      <c r="CF119" s="42"/>
      <c r="CG119" s="42"/>
      <c r="CH119" s="42"/>
      <c r="CI119" s="42"/>
      <c r="CJ119" s="42"/>
      <c r="CK119" s="42"/>
      <c r="CL119" s="42"/>
      <c r="CM119" s="42"/>
      <c r="CN119" s="42"/>
      <c r="CO119" s="42"/>
      <c r="CP119" s="42"/>
      <c r="CQ119" s="42"/>
      <c r="CR119" s="42"/>
      <c r="CS119" s="42"/>
      <c r="CT119" s="42"/>
      <c r="CU119" s="42"/>
      <c r="CV119" s="42"/>
      <c r="CW119" s="42"/>
      <c r="CX119" s="42"/>
      <c r="CY119" s="42"/>
      <c r="CZ119" s="42"/>
      <c r="DA119" s="42"/>
      <c r="DB119" s="42"/>
      <c r="DC119" s="42"/>
      <c r="DD119" s="42"/>
      <c r="DE119" s="42"/>
      <c r="DF119" s="42"/>
      <c r="DG119" s="42"/>
      <c r="DH119" s="42"/>
      <c r="DI119" s="42"/>
      <c r="DJ119" s="42"/>
      <c r="DK119" s="42"/>
      <c r="DL119" s="42"/>
      <c r="DM119" s="42"/>
      <c r="DN119" s="42"/>
      <c r="DO119" s="42"/>
      <c r="DP119" s="42"/>
      <c r="DQ119" s="42"/>
      <c r="DR119" s="42"/>
      <c r="DS119" s="42"/>
      <c r="DT119" s="42"/>
      <c r="DU119" s="42"/>
      <c r="DV119" s="42"/>
      <c r="DW119" s="42"/>
      <c r="DX119" s="42"/>
      <c r="DY119" s="42"/>
    </row>
    <row r="120" spans="1:129" x14ac:dyDescent="0.25">
      <c r="A120" s="44"/>
      <c r="B120" s="44"/>
      <c r="C120" s="44"/>
      <c r="D120" s="44"/>
      <c r="E120" s="44"/>
      <c r="F120" s="44"/>
      <c r="G120" s="44"/>
      <c r="H120" s="44"/>
      <c r="I120" s="44"/>
      <c r="J120" s="70"/>
      <c r="K120" s="44"/>
      <c r="L120" s="44"/>
      <c r="M120" s="70"/>
      <c r="N120" s="70"/>
      <c r="O120" s="70"/>
      <c r="P120" s="70"/>
      <c r="Q120" s="70"/>
      <c r="R120" s="57"/>
      <c r="S120" s="70"/>
      <c r="T120" s="70"/>
      <c r="U120" s="70"/>
      <c r="V120" s="44"/>
      <c r="W120" s="44"/>
      <c r="X120" s="94"/>
      <c r="Y120" s="120"/>
      <c r="Z120" s="554"/>
      <c r="AA120" s="80"/>
      <c r="AB120" s="62"/>
      <c r="AC120" s="119"/>
      <c r="AD120" s="120"/>
      <c r="AE120" s="44"/>
      <c r="AF120" s="44"/>
      <c r="AG120" s="44"/>
      <c r="AH120" s="44"/>
      <c r="AI120" s="44"/>
      <c r="AJ120" s="44"/>
      <c r="AK120" s="57"/>
      <c r="AL120" s="44"/>
      <c r="AM120" s="44"/>
      <c r="AN120" s="44"/>
      <c r="AO120" s="44"/>
      <c r="AP120" s="44"/>
      <c r="AQ120" s="44"/>
      <c r="AR120" s="44"/>
      <c r="AS120" s="44"/>
      <c r="AT120" s="44"/>
      <c r="AU120" s="44"/>
      <c r="AV120" s="44"/>
      <c r="AW120" s="44"/>
      <c r="AX120" s="44"/>
      <c r="AY120" s="42"/>
      <c r="AZ120" s="42"/>
      <c r="BA120" s="42"/>
      <c r="BB120" s="42"/>
      <c r="BC120" s="42"/>
      <c r="BD120" s="42"/>
      <c r="BE120" s="42"/>
      <c r="BF120" s="42"/>
      <c r="BG120" s="42"/>
      <c r="BH120" s="42"/>
      <c r="BI120" s="42"/>
      <c r="BJ120" s="42"/>
      <c r="BK120" s="42"/>
      <c r="BL120" s="42"/>
      <c r="BM120" s="42"/>
      <c r="BN120" s="42"/>
      <c r="BO120" s="42"/>
      <c r="BP120" s="42"/>
      <c r="BQ120" s="42"/>
      <c r="BR120" s="42"/>
      <c r="BS120" s="42"/>
      <c r="BT120" s="42"/>
      <c r="BU120" s="42"/>
      <c r="BV120" s="42"/>
      <c r="BW120" s="42"/>
      <c r="BX120" s="42"/>
      <c r="BY120" s="42"/>
      <c r="BZ120" s="42"/>
      <c r="CA120" s="42"/>
      <c r="CB120" s="42"/>
      <c r="CC120" s="42"/>
      <c r="CD120" s="42"/>
      <c r="CE120" s="42"/>
      <c r="CF120" s="42"/>
      <c r="CG120" s="42"/>
      <c r="CH120" s="42"/>
      <c r="CI120" s="42"/>
      <c r="CJ120" s="42"/>
      <c r="CK120" s="42"/>
      <c r="CL120" s="42"/>
      <c r="CM120" s="42"/>
      <c r="CN120" s="42"/>
      <c r="CO120" s="42"/>
      <c r="CP120" s="42"/>
      <c r="CQ120" s="42"/>
      <c r="CR120" s="42"/>
      <c r="CS120" s="42"/>
      <c r="CT120" s="42"/>
      <c r="CU120" s="42"/>
      <c r="CV120" s="42"/>
      <c r="CW120" s="42"/>
      <c r="CX120" s="42"/>
      <c r="CY120" s="42"/>
      <c r="CZ120" s="42"/>
      <c r="DA120" s="42"/>
      <c r="DB120" s="42"/>
      <c r="DC120" s="42"/>
      <c r="DD120" s="42"/>
      <c r="DE120" s="42"/>
      <c r="DF120" s="42"/>
      <c r="DG120" s="42"/>
      <c r="DH120" s="42"/>
      <c r="DI120" s="42"/>
      <c r="DJ120" s="42"/>
      <c r="DK120" s="42"/>
      <c r="DL120" s="42"/>
      <c r="DM120" s="42"/>
      <c r="DN120" s="42"/>
      <c r="DO120" s="42"/>
      <c r="DP120" s="42"/>
      <c r="DQ120" s="42"/>
      <c r="DR120" s="42"/>
      <c r="DS120" s="42"/>
      <c r="DT120" s="42"/>
      <c r="DU120" s="42"/>
      <c r="DV120" s="42"/>
      <c r="DW120" s="42"/>
      <c r="DX120" s="42"/>
      <c r="DY120" s="42"/>
    </row>
    <row r="121" spans="1:129" ht="13.8" thickBot="1" x14ac:dyDescent="0.3">
      <c r="A121" s="44"/>
      <c r="B121" s="44"/>
      <c r="C121" s="44"/>
      <c r="D121" s="44"/>
      <c r="E121" s="44"/>
      <c r="F121" s="44"/>
      <c r="G121" s="44"/>
      <c r="H121" s="44"/>
      <c r="I121" s="44"/>
      <c r="J121" s="70"/>
      <c r="K121" s="44"/>
      <c r="L121" s="44"/>
      <c r="M121" s="70"/>
      <c r="N121" s="70"/>
      <c r="O121" s="70"/>
      <c r="P121" s="44"/>
      <c r="Q121" s="44"/>
      <c r="R121" s="57"/>
      <c r="S121" s="44"/>
      <c r="T121" s="44"/>
      <c r="U121" s="44"/>
      <c r="V121" s="44"/>
      <c r="W121" s="44"/>
      <c r="X121" s="94"/>
      <c r="Y121" s="120"/>
      <c r="Z121" s="556" t="s">
        <v>642</v>
      </c>
      <c r="AA121" s="110">
        <f>($S$105/8760)*100</f>
        <v>49.315068493150683</v>
      </c>
      <c r="AB121" s="62" t="s">
        <v>285</v>
      </c>
      <c r="AC121" s="119"/>
      <c r="AD121" s="120"/>
      <c r="AE121" s="44"/>
      <c r="AF121" s="44"/>
      <c r="AG121" s="44"/>
      <c r="AH121" s="44"/>
      <c r="AI121" s="44"/>
      <c r="AJ121" s="44"/>
      <c r="AK121" s="57"/>
      <c r="AL121" s="44"/>
      <c r="AM121" s="44"/>
      <c r="AN121" s="44"/>
      <c r="AO121" s="44"/>
      <c r="AP121" s="44"/>
      <c r="AQ121" s="44"/>
      <c r="AR121" s="44"/>
      <c r="AS121" s="44"/>
      <c r="AT121" s="44"/>
      <c r="AU121" s="44"/>
      <c r="AV121" s="44"/>
      <c r="AW121" s="44"/>
      <c r="AX121" s="44"/>
      <c r="AY121" s="42"/>
      <c r="AZ121" s="42"/>
      <c r="BA121" s="42"/>
      <c r="BB121" s="42"/>
      <c r="BC121" s="42"/>
      <c r="BD121" s="42"/>
      <c r="BE121" s="42"/>
      <c r="BF121" s="42"/>
      <c r="BG121" s="42"/>
      <c r="BH121" s="42"/>
      <c r="BI121" s="42"/>
      <c r="BJ121" s="42"/>
      <c r="BK121" s="42"/>
      <c r="BL121" s="42"/>
      <c r="BM121" s="42"/>
      <c r="BN121" s="42"/>
      <c r="BO121" s="42"/>
      <c r="BP121" s="42"/>
      <c r="BQ121" s="42"/>
      <c r="BR121" s="42"/>
      <c r="BS121" s="42"/>
      <c r="BT121" s="42"/>
      <c r="BU121" s="42"/>
      <c r="BV121" s="42"/>
      <c r="BW121" s="42"/>
      <c r="BX121" s="42"/>
      <c r="BY121" s="42"/>
      <c r="BZ121" s="42"/>
      <c r="CA121" s="42"/>
      <c r="CB121" s="42"/>
      <c r="CC121" s="42"/>
      <c r="CD121" s="42"/>
      <c r="CE121" s="42"/>
      <c r="CF121" s="42"/>
      <c r="CG121" s="42"/>
      <c r="CH121" s="42"/>
      <c r="CI121" s="42"/>
      <c r="CJ121" s="42"/>
      <c r="CK121" s="42"/>
      <c r="CL121" s="42"/>
      <c r="CM121" s="42"/>
      <c r="CN121" s="42"/>
      <c r="CO121" s="42"/>
      <c r="CP121" s="42"/>
      <c r="CQ121" s="42"/>
      <c r="CR121" s="42"/>
      <c r="CS121" s="42"/>
      <c r="CT121" s="42"/>
      <c r="CU121" s="42"/>
      <c r="CV121" s="42"/>
      <c r="CW121" s="42"/>
      <c r="CX121" s="42"/>
      <c r="CY121" s="42"/>
      <c r="CZ121" s="42"/>
      <c r="DA121" s="42"/>
      <c r="DB121" s="42"/>
      <c r="DC121" s="42"/>
      <c r="DD121" s="42"/>
      <c r="DE121" s="42"/>
      <c r="DF121" s="42"/>
      <c r="DG121" s="42"/>
      <c r="DH121" s="42"/>
      <c r="DI121" s="42"/>
      <c r="DJ121" s="42"/>
      <c r="DK121" s="42"/>
      <c r="DL121" s="42"/>
      <c r="DM121" s="42"/>
      <c r="DN121" s="42"/>
      <c r="DO121" s="42"/>
      <c r="DP121" s="42"/>
      <c r="DQ121" s="42"/>
      <c r="DR121" s="42"/>
      <c r="DS121" s="42"/>
      <c r="DT121" s="42"/>
      <c r="DU121" s="42"/>
      <c r="DV121" s="42"/>
      <c r="DW121" s="42"/>
      <c r="DX121" s="42"/>
      <c r="DY121" s="42"/>
    </row>
    <row r="122" spans="1:129" x14ac:dyDescent="0.25">
      <c r="A122" s="44"/>
      <c r="B122" s="44"/>
      <c r="C122" s="44"/>
      <c r="D122" s="44"/>
      <c r="E122" s="44"/>
      <c r="F122" s="44"/>
      <c r="G122" s="44"/>
      <c r="H122" s="44"/>
      <c r="I122" s="44"/>
      <c r="J122" s="70"/>
      <c r="K122" s="44"/>
      <c r="L122" s="44"/>
      <c r="M122" s="70"/>
      <c r="N122" s="70"/>
      <c r="O122" s="70"/>
      <c r="P122" s="279"/>
      <c r="Q122" s="58"/>
      <c r="R122" s="58"/>
      <c r="S122" s="58"/>
      <c r="T122" s="58"/>
      <c r="U122" s="59"/>
      <c r="V122" s="44"/>
      <c r="W122" s="44"/>
      <c r="X122" s="94"/>
      <c r="Y122" s="120"/>
      <c r="Z122" s="554"/>
      <c r="AA122" s="80"/>
      <c r="AB122" s="62"/>
      <c r="AC122" s="119"/>
      <c r="AD122" s="120"/>
      <c r="AE122" s="44"/>
      <c r="AF122" s="44"/>
      <c r="AG122" s="44"/>
      <c r="AH122" s="44"/>
      <c r="AI122" s="44"/>
      <c r="AJ122" s="44"/>
      <c r="AK122" s="57"/>
      <c r="AL122" s="44"/>
      <c r="AM122" s="44"/>
      <c r="AN122" s="44"/>
      <c r="AO122" s="44"/>
      <c r="AP122" s="44"/>
      <c r="AQ122" s="44"/>
      <c r="AR122" s="44"/>
      <c r="AS122" s="44"/>
      <c r="AT122" s="44"/>
      <c r="AU122" s="44"/>
      <c r="AV122" s="44"/>
      <c r="AW122" s="44"/>
      <c r="AX122" s="44"/>
      <c r="AY122" s="42"/>
      <c r="AZ122" s="42"/>
      <c r="BA122" s="42"/>
      <c r="BB122" s="42"/>
      <c r="BC122" s="42"/>
      <c r="BD122" s="42"/>
      <c r="BE122" s="42"/>
      <c r="BF122" s="42"/>
      <c r="BG122" s="42"/>
      <c r="BH122" s="42"/>
      <c r="BI122" s="42"/>
      <c r="BJ122" s="42"/>
      <c r="BK122" s="42"/>
      <c r="BL122" s="42"/>
      <c r="BM122" s="42"/>
      <c r="BN122" s="42"/>
      <c r="BO122" s="42"/>
      <c r="BP122" s="42"/>
      <c r="BQ122" s="42"/>
      <c r="BR122" s="42"/>
      <c r="BS122" s="42"/>
      <c r="BT122" s="42"/>
      <c r="BU122" s="42"/>
      <c r="BV122" s="42"/>
      <c r="BW122" s="42"/>
      <c r="BX122" s="42"/>
      <c r="BY122" s="42"/>
      <c r="BZ122" s="42"/>
      <c r="CA122" s="42"/>
      <c r="CB122" s="42"/>
      <c r="CC122" s="42"/>
      <c r="CD122" s="42"/>
      <c r="CE122" s="42"/>
      <c r="CF122" s="42"/>
      <c r="CG122" s="42"/>
      <c r="CH122" s="42"/>
      <c r="CI122" s="42"/>
      <c r="CJ122" s="42"/>
      <c r="CK122" s="42"/>
      <c r="CL122" s="42"/>
      <c r="CM122" s="42"/>
      <c r="CN122" s="42"/>
      <c r="CO122" s="42"/>
      <c r="CP122" s="42"/>
      <c r="CQ122" s="42"/>
      <c r="CR122" s="42"/>
      <c r="CS122" s="42"/>
      <c r="CT122" s="42"/>
      <c r="CU122" s="42"/>
      <c r="CV122" s="42"/>
      <c r="CW122" s="42"/>
      <c r="CX122" s="42"/>
      <c r="CY122" s="42"/>
      <c r="CZ122" s="42"/>
      <c r="DA122" s="42"/>
      <c r="DB122" s="42"/>
      <c r="DC122" s="42"/>
      <c r="DD122" s="42"/>
      <c r="DE122" s="42"/>
      <c r="DF122" s="42"/>
      <c r="DG122" s="42"/>
      <c r="DH122" s="42"/>
      <c r="DI122" s="42"/>
      <c r="DJ122" s="42"/>
      <c r="DK122" s="42"/>
      <c r="DL122" s="42"/>
      <c r="DM122" s="42"/>
      <c r="DN122" s="42"/>
      <c r="DO122" s="42"/>
      <c r="DP122" s="42"/>
      <c r="DQ122" s="42"/>
      <c r="DR122" s="42"/>
      <c r="DS122" s="42"/>
      <c r="DT122" s="42"/>
      <c r="DU122" s="42"/>
      <c r="DV122" s="42"/>
      <c r="DW122" s="42"/>
      <c r="DX122" s="42"/>
      <c r="DY122" s="42"/>
    </row>
    <row r="123" spans="1:129" x14ac:dyDescent="0.25">
      <c r="A123" s="44"/>
      <c r="B123" s="44"/>
      <c r="C123" s="44"/>
      <c r="D123" s="44"/>
      <c r="E123" s="44"/>
      <c r="F123" s="44"/>
      <c r="G123" s="44"/>
      <c r="H123" s="44"/>
      <c r="I123" s="44"/>
      <c r="J123" s="70"/>
      <c r="K123" s="44"/>
      <c r="L123" s="44"/>
      <c r="M123" s="70"/>
      <c r="N123" s="70"/>
      <c r="O123" s="44"/>
      <c r="P123" s="1583" t="s">
        <v>561</v>
      </c>
      <c r="Q123" s="1584"/>
      <c r="R123" s="1584"/>
      <c r="S123" s="1584"/>
      <c r="T123" s="1584"/>
      <c r="U123" s="1585"/>
      <c r="V123" s="44"/>
      <c r="W123" s="44"/>
      <c r="X123" s="94"/>
      <c r="Y123" s="120"/>
      <c r="Z123" s="556" t="s">
        <v>640</v>
      </c>
      <c r="AA123" s="133">
        <f>$S$103</f>
        <v>20</v>
      </c>
      <c r="AB123" s="62" t="s">
        <v>420</v>
      </c>
      <c r="AC123" s="119"/>
      <c r="AD123" s="120"/>
      <c r="AE123" s="44"/>
      <c r="AF123" s="44"/>
      <c r="AG123" s="44"/>
      <c r="AH123" s="44"/>
      <c r="AI123" s="44"/>
      <c r="AJ123" s="44"/>
      <c r="AK123" s="57"/>
      <c r="AL123" s="44"/>
      <c r="AM123" s="44"/>
      <c r="AN123" s="44"/>
      <c r="AO123" s="44"/>
      <c r="AP123" s="44"/>
      <c r="AQ123" s="44"/>
      <c r="AR123" s="44"/>
      <c r="AS123" s="44"/>
      <c r="AT123" s="44"/>
      <c r="AU123" s="44"/>
      <c r="AV123" s="44"/>
      <c r="AW123" s="44"/>
      <c r="AX123" s="44"/>
      <c r="AY123" s="42"/>
      <c r="AZ123" s="42"/>
      <c r="BA123" s="42"/>
      <c r="BB123" s="42"/>
      <c r="BC123" s="42"/>
      <c r="BD123" s="42"/>
      <c r="BE123" s="42"/>
      <c r="BF123" s="42"/>
      <c r="BG123" s="42"/>
      <c r="BH123" s="42"/>
      <c r="BI123" s="42"/>
      <c r="BJ123" s="42"/>
      <c r="BK123" s="42"/>
      <c r="BL123" s="42"/>
      <c r="BM123" s="42"/>
      <c r="BN123" s="42"/>
      <c r="BO123" s="42"/>
      <c r="BP123" s="42"/>
      <c r="BQ123" s="42"/>
      <c r="BR123" s="42"/>
      <c r="BS123" s="42"/>
      <c r="BT123" s="42"/>
      <c r="BU123" s="42"/>
      <c r="BV123" s="42"/>
      <c r="BW123" s="42"/>
      <c r="BX123" s="42"/>
      <c r="BY123" s="42"/>
      <c r="BZ123" s="42"/>
      <c r="CA123" s="42"/>
      <c r="CB123" s="42"/>
      <c r="CC123" s="42"/>
      <c r="CD123" s="42"/>
      <c r="CE123" s="42"/>
      <c r="CF123" s="42"/>
      <c r="CG123" s="42"/>
      <c r="CH123" s="42"/>
      <c r="CI123" s="42"/>
      <c r="CJ123" s="42"/>
      <c r="CK123" s="42"/>
      <c r="CL123" s="42"/>
      <c r="CM123" s="42"/>
      <c r="CN123" s="42"/>
      <c r="CO123" s="42"/>
      <c r="CP123" s="42"/>
      <c r="CQ123" s="42"/>
      <c r="CR123" s="42"/>
      <c r="CS123" s="42"/>
      <c r="CT123" s="42"/>
      <c r="CU123" s="42"/>
      <c r="CV123" s="42"/>
      <c r="CW123" s="42"/>
      <c r="CX123" s="42"/>
      <c r="CY123" s="42"/>
      <c r="CZ123" s="42"/>
      <c r="DA123" s="42"/>
      <c r="DB123" s="42"/>
      <c r="DC123" s="42"/>
      <c r="DD123" s="42"/>
      <c r="DE123" s="42"/>
      <c r="DF123" s="42"/>
      <c r="DG123" s="42"/>
      <c r="DH123" s="42"/>
      <c r="DI123" s="42"/>
      <c r="DJ123" s="42"/>
      <c r="DK123" s="42"/>
      <c r="DL123" s="42"/>
      <c r="DM123" s="42"/>
      <c r="DN123" s="42"/>
      <c r="DO123" s="42"/>
      <c r="DP123" s="42"/>
      <c r="DQ123" s="42"/>
      <c r="DR123" s="42"/>
      <c r="DS123" s="42"/>
      <c r="DT123" s="42"/>
      <c r="DU123" s="42"/>
      <c r="DV123" s="42"/>
      <c r="DW123" s="42"/>
      <c r="DX123" s="42"/>
      <c r="DY123" s="42"/>
    </row>
    <row r="124" spans="1:129" ht="13.8" thickBot="1" x14ac:dyDescent="0.3">
      <c r="A124" s="44"/>
      <c r="B124" s="44"/>
      <c r="C124" s="44"/>
      <c r="D124" s="44"/>
      <c r="E124" s="44"/>
      <c r="F124" s="44"/>
      <c r="G124" s="44"/>
      <c r="H124" s="44"/>
      <c r="I124" s="44"/>
      <c r="J124" s="70"/>
      <c r="K124" s="44"/>
      <c r="L124" s="44"/>
      <c r="M124" s="70"/>
      <c r="N124" s="70"/>
      <c r="O124" s="44"/>
      <c r="P124" s="60"/>
      <c r="Q124" s="80"/>
      <c r="R124" s="1581" t="s">
        <v>128</v>
      </c>
      <c r="S124" s="1581"/>
      <c r="T124" s="80"/>
      <c r="U124" s="62"/>
      <c r="V124" s="44"/>
      <c r="W124" s="44"/>
      <c r="X124" s="94"/>
      <c r="Y124" s="120"/>
      <c r="Z124" s="244"/>
      <c r="AA124" s="68"/>
      <c r="AB124" s="69"/>
      <c r="AC124" s="119"/>
      <c r="AD124" s="120"/>
      <c r="AE124" s="44"/>
      <c r="AF124" s="44"/>
      <c r="AG124" s="44"/>
      <c r="AH124" s="44"/>
      <c r="AI124" s="44"/>
      <c r="AJ124" s="44"/>
      <c r="AK124" s="57"/>
      <c r="AL124" s="44"/>
      <c r="AM124" s="44"/>
      <c r="AN124" s="44"/>
      <c r="AO124" s="44"/>
      <c r="AP124" s="44"/>
      <c r="AQ124" s="44"/>
      <c r="AR124" s="44"/>
      <c r="AS124" s="44"/>
      <c r="AT124" s="44"/>
      <c r="AU124" s="44"/>
      <c r="AV124" s="44"/>
      <c r="AW124" s="44"/>
      <c r="AX124" s="44"/>
      <c r="AY124" s="42"/>
      <c r="AZ124" s="42"/>
      <c r="BA124" s="42"/>
      <c r="BB124" s="42"/>
      <c r="BC124" s="42"/>
      <c r="BD124" s="42"/>
      <c r="BE124" s="42"/>
      <c r="BF124" s="42"/>
      <c r="BG124" s="42"/>
      <c r="BH124" s="42"/>
      <c r="BI124" s="42"/>
      <c r="BJ124" s="42"/>
      <c r="BK124" s="42"/>
      <c r="BL124" s="42"/>
      <c r="BM124" s="42"/>
      <c r="BN124" s="42"/>
      <c r="BO124" s="42"/>
      <c r="BP124" s="42"/>
      <c r="BQ124" s="42"/>
      <c r="BR124" s="42"/>
      <c r="BS124" s="42"/>
      <c r="BT124" s="42"/>
      <c r="BU124" s="42"/>
      <c r="BV124" s="42"/>
      <c r="BW124" s="42"/>
      <c r="BX124" s="42"/>
      <c r="BY124" s="42"/>
      <c r="BZ124" s="42"/>
      <c r="CA124" s="42"/>
      <c r="CB124" s="42"/>
      <c r="CC124" s="42"/>
      <c r="CD124" s="42"/>
      <c r="CE124" s="42"/>
      <c r="CF124" s="42"/>
      <c r="CG124" s="42"/>
      <c r="CH124" s="42"/>
      <c r="CI124" s="42"/>
      <c r="CJ124" s="42"/>
      <c r="CK124" s="42"/>
      <c r="CL124" s="42"/>
      <c r="CM124" s="42"/>
      <c r="CN124" s="42"/>
      <c r="CO124" s="42"/>
      <c r="CP124" s="42"/>
      <c r="CQ124" s="42"/>
      <c r="CR124" s="42"/>
      <c r="CS124" s="42"/>
      <c r="CT124" s="42"/>
      <c r="CU124" s="42"/>
      <c r="CV124" s="42"/>
      <c r="CW124" s="42"/>
      <c r="CX124" s="42"/>
      <c r="CY124" s="42"/>
      <c r="CZ124" s="42"/>
      <c r="DA124" s="42"/>
      <c r="DB124" s="42"/>
      <c r="DC124" s="42"/>
      <c r="DD124" s="42"/>
      <c r="DE124" s="42"/>
      <c r="DF124" s="42"/>
      <c r="DG124" s="42"/>
      <c r="DH124" s="42"/>
      <c r="DI124" s="42"/>
      <c r="DJ124" s="42"/>
      <c r="DK124" s="42"/>
      <c r="DL124" s="42"/>
      <c r="DM124" s="42"/>
      <c r="DN124" s="42"/>
      <c r="DO124" s="42"/>
      <c r="DP124" s="42"/>
      <c r="DQ124" s="42"/>
      <c r="DR124" s="42"/>
      <c r="DS124" s="42"/>
      <c r="DT124" s="42"/>
      <c r="DU124" s="42"/>
      <c r="DV124" s="42"/>
      <c r="DW124" s="42"/>
      <c r="DX124" s="42"/>
      <c r="DY124" s="42"/>
    </row>
    <row r="125" spans="1:129" x14ac:dyDescent="0.25">
      <c r="A125" s="44"/>
      <c r="B125" s="44"/>
      <c r="C125" s="44"/>
      <c r="D125" s="44"/>
      <c r="E125" s="44"/>
      <c r="F125" s="44"/>
      <c r="G125" s="44"/>
      <c r="H125" s="44"/>
      <c r="I125" s="44"/>
      <c r="J125" s="70"/>
      <c r="K125" s="44"/>
      <c r="L125" s="44"/>
      <c r="M125" s="70"/>
      <c r="N125" s="70"/>
      <c r="O125" s="70"/>
      <c r="P125" s="60"/>
      <c r="Q125" s="80"/>
      <c r="R125" s="136"/>
      <c r="S125" s="136"/>
      <c r="T125" s="80"/>
      <c r="U125" s="62"/>
      <c r="V125" s="44"/>
      <c r="W125" s="44"/>
      <c r="X125" s="92"/>
      <c r="Y125" s="826"/>
      <c r="Z125" s="97"/>
      <c r="AA125" s="70"/>
      <c r="AB125" s="70"/>
      <c r="AC125" s="119"/>
      <c r="AD125" s="120"/>
      <c r="AE125" s="44"/>
      <c r="AF125" s="44"/>
      <c r="AG125" s="44"/>
      <c r="AH125" s="44"/>
      <c r="AI125" s="44"/>
      <c r="AJ125" s="44"/>
      <c r="AK125" s="57"/>
      <c r="AL125" s="44"/>
      <c r="AM125" s="44"/>
      <c r="AN125" s="44"/>
      <c r="AO125" s="44"/>
      <c r="AP125" s="44"/>
      <c r="AQ125" s="44"/>
      <c r="AR125" s="44"/>
      <c r="AS125" s="44"/>
      <c r="AT125" s="44"/>
      <c r="AU125" s="44"/>
      <c r="AV125" s="44"/>
      <c r="AW125" s="44"/>
      <c r="AX125" s="44"/>
      <c r="AY125" s="42"/>
      <c r="AZ125" s="42"/>
      <c r="BA125" s="42"/>
      <c r="BB125" s="42"/>
      <c r="BC125" s="42"/>
      <c r="BD125" s="42"/>
      <c r="BE125" s="42"/>
      <c r="BF125" s="42"/>
      <c r="BG125" s="42"/>
      <c r="BH125" s="42"/>
      <c r="BI125" s="42"/>
      <c r="BJ125" s="42"/>
      <c r="BK125" s="42"/>
      <c r="BL125" s="42"/>
      <c r="BM125" s="42"/>
      <c r="BN125" s="42"/>
      <c r="BO125" s="42"/>
      <c r="BP125" s="42"/>
      <c r="BQ125" s="42"/>
      <c r="BR125" s="42"/>
      <c r="BS125" s="42"/>
      <c r="BT125" s="42"/>
      <c r="BU125" s="42"/>
      <c r="BV125" s="42"/>
      <c r="BW125" s="42"/>
      <c r="BX125" s="42"/>
      <c r="BY125" s="42"/>
      <c r="BZ125" s="42"/>
      <c r="CA125" s="42"/>
      <c r="CB125" s="42"/>
      <c r="CC125" s="42"/>
      <c r="CD125" s="42"/>
      <c r="CE125" s="42"/>
      <c r="CF125" s="42"/>
      <c r="CG125" s="42"/>
      <c r="CH125" s="42"/>
      <c r="CI125" s="42"/>
      <c r="CJ125" s="42"/>
      <c r="CK125" s="42"/>
      <c r="CL125" s="42"/>
      <c r="CM125" s="42"/>
      <c r="CN125" s="42"/>
      <c r="CO125" s="42"/>
      <c r="CP125" s="42"/>
      <c r="CQ125" s="42"/>
      <c r="CR125" s="42"/>
      <c r="CS125" s="42"/>
      <c r="CT125" s="42"/>
      <c r="CU125" s="42"/>
      <c r="CV125" s="42"/>
      <c r="CW125" s="42"/>
      <c r="CX125" s="42"/>
      <c r="CY125" s="42"/>
      <c r="CZ125" s="42"/>
      <c r="DA125" s="42"/>
      <c r="DB125" s="42"/>
      <c r="DC125" s="42"/>
      <c r="DD125" s="42"/>
      <c r="DE125" s="42"/>
      <c r="DF125" s="42"/>
      <c r="DG125" s="42"/>
      <c r="DH125" s="42"/>
      <c r="DI125" s="42"/>
      <c r="DJ125" s="42"/>
      <c r="DK125" s="42"/>
      <c r="DL125" s="42"/>
      <c r="DM125" s="42"/>
      <c r="DN125" s="42"/>
      <c r="DO125" s="42"/>
      <c r="DP125" s="42"/>
      <c r="DQ125" s="42"/>
      <c r="DR125" s="42"/>
      <c r="DS125" s="42"/>
      <c r="DT125" s="42"/>
      <c r="DU125" s="42"/>
      <c r="DV125" s="42"/>
      <c r="DW125" s="42"/>
      <c r="DX125" s="42"/>
      <c r="DY125" s="42"/>
    </row>
    <row r="126" spans="1:129" ht="13.8" thickBot="1" x14ac:dyDescent="0.3">
      <c r="A126" s="44"/>
      <c r="B126" s="44"/>
      <c r="C126" s="44"/>
      <c r="D126" s="44"/>
      <c r="E126" s="44"/>
      <c r="F126" s="44"/>
      <c r="G126" s="44"/>
      <c r="H126" s="44"/>
      <c r="I126" s="44"/>
      <c r="J126" s="70"/>
      <c r="K126" s="44"/>
      <c r="L126" s="44"/>
      <c r="M126" s="70"/>
      <c r="N126" s="70"/>
      <c r="O126" s="240"/>
      <c r="P126" s="1589" t="s">
        <v>282</v>
      </c>
      <c r="Q126" s="1590"/>
      <c r="R126" s="1591"/>
      <c r="S126" s="675">
        <f>IF(S128=0,1,0)</f>
        <v>0</v>
      </c>
      <c r="T126" s="80" t="s">
        <v>538</v>
      </c>
      <c r="U126" s="62"/>
      <c r="V126" s="224"/>
      <c r="W126" s="74"/>
      <c r="X126" s="74"/>
      <c r="Y126" s="137"/>
      <c r="Z126" s="139"/>
      <c r="AA126" s="138"/>
      <c r="AB126" s="138"/>
      <c r="AC126" s="140"/>
      <c r="AD126" s="120"/>
      <c r="AE126" s="44"/>
      <c r="AF126" s="44"/>
      <c r="AG126" s="44"/>
      <c r="AH126" s="44"/>
      <c r="AI126" s="44"/>
      <c r="AJ126" s="44"/>
      <c r="AK126" s="57"/>
      <c r="AL126" s="44"/>
      <c r="AM126" s="44"/>
      <c r="AN126" s="44"/>
      <c r="AO126" s="44"/>
      <c r="AP126" s="44"/>
      <c r="AQ126" s="44"/>
      <c r="AR126" s="44"/>
      <c r="AS126" s="44"/>
      <c r="AT126" s="44"/>
      <c r="AU126" s="44"/>
      <c r="AV126" s="44"/>
      <c r="AW126" s="44"/>
      <c r="AX126" s="44"/>
      <c r="AY126" s="42"/>
      <c r="AZ126" s="42"/>
      <c r="BA126" s="42"/>
      <c r="BB126" s="42"/>
      <c r="BC126" s="42"/>
      <c r="BD126" s="42"/>
      <c r="BE126" s="42"/>
      <c r="BF126" s="42"/>
      <c r="BG126" s="42"/>
      <c r="BH126" s="42"/>
      <c r="BI126" s="42"/>
      <c r="BJ126" s="42"/>
      <c r="BK126" s="42"/>
      <c r="BL126" s="42"/>
      <c r="BM126" s="42"/>
      <c r="BN126" s="42"/>
      <c r="BO126" s="42"/>
      <c r="BP126" s="42"/>
      <c r="BQ126" s="42"/>
      <c r="BR126" s="42"/>
      <c r="BS126" s="42"/>
      <c r="BT126" s="42"/>
      <c r="BU126" s="42"/>
      <c r="BV126" s="42"/>
      <c r="BW126" s="42"/>
      <c r="BX126" s="42"/>
      <c r="BY126" s="42"/>
      <c r="BZ126" s="42"/>
      <c r="CA126" s="42"/>
      <c r="CB126" s="42"/>
      <c r="CC126" s="42"/>
      <c r="CD126" s="42"/>
      <c r="CE126" s="42"/>
      <c r="CF126" s="42"/>
      <c r="CG126" s="42"/>
      <c r="CH126" s="42"/>
      <c r="CI126" s="42"/>
      <c r="CJ126" s="42"/>
      <c r="CK126" s="42"/>
      <c r="CL126" s="42"/>
      <c r="CM126" s="42"/>
      <c r="CN126" s="42"/>
      <c r="CO126" s="42"/>
      <c r="CP126" s="42"/>
      <c r="CQ126" s="42"/>
      <c r="CR126" s="42"/>
      <c r="CS126" s="42"/>
      <c r="CT126" s="42"/>
      <c r="CU126" s="42"/>
      <c r="CV126" s="42"/>
      <c r="CW126" s="42"/>
      <c r="CX126" s="42"/>
      <c r="CY126" s="42"/>
      <c r="CZ126" s="42"/>
      <c r="DA126" s="42"/>
      <c r="DB126" s="42"/>
      <c r="DC126" s="42"/>
      <c r="DD126" s="42"/>
      <c r="DE126" s="42"/>
      <c r="DF126" s="42"/>
      <c r="DG126" s="42"/>
      <c r="DH126" s="42"/>
      <c r="DI126" s="42"/>
      <c r="DJ126" s="42"/>
      <c r="DK126" s="42"/>
      <c r="DL126" s="42"/>
      <c r="DM126" s="42"/>
      <c r="DN126" s="42"/>
      <c r="DO126" s="42"/>
      <c r="DP126" s="42"/>
      <c r="DQ126" s="42"/>
      <c r="DR126" s="42"/>
      <c r="DS126" s="42"/>
      <c r="DT126" s="42"/>
      <c r="DU126" s="42"/>
      <c r="DV126" s="42"/>
      <c r="DW126" s="42"/>
      <c r="DX126" s="42"/>
      <c r="DY126" s="42"/>
    </row>
    <row r="127" spans="1:129" x14ac:dyDescent="0.25">
      <c r="A127" s="44"/>
      <c r="B127" s="44"/>
      <c r="C127" s="44"/>
      <c r="D127" s="44"/>
      <c r="E127" s="44"/>
      <c r="F127" s="44"/>
      <c r="G127" s="44"/>
      <c r="H127" s="44"/>
      <c r="I127" s="44"/>
      <c r="J127" s="70"/>
      <c r="K127" s="44"/>
      <c r="L127" s="44"/>
      <c r="M127" s="70"/>
      <c r="N127" s="70"/>
      <c r="O127" s="240"/>
      <c r="P127" s="60"/>
      <c r="Q127" s="80"/>
      <c r="R127" s="80"/>
      <c r="S127" s="80"/>
      <c r="T127" s="80"/>
      <c r="U127" s="62"/>
      <c r="V127" s="44"/>
      <c r="W127" s="44"/>
      <c r="X127" s="44"/>
      <c r="Y127" s="70"/>
      <c r="Z127" s="141"/>
      <c r="AA127" s="70"/>
      <c r="AB127" s="70"/>
      <c r="AC127" s="70"/>
      <c r="AD127" s="70"/>
      <c r="AE127" s="44"/>
      <c r="AF127" s="44"/>
      <c r="AG127" s="44"/>
      <c r="AH127" s="44"/>
      <c r="AI127" s="44"/>
      <c r="AJ127" s="44"/>
      <c r="AK127" s="57"/>
      <c r="AL127" s="44"/>
      <c r="AM127" s="44"/>
      <c r="AN127" s="44"/>
      <c r="AO127" s="44"/>
      <c r="AP127" s="44"/>
      <c r="AQ127" s="44"/>
      <c r="AR127" s="44"/>
      <c r="AS127" s="44"/>
      <c r="AT127" s="44"/>
      <c r="AU127" s="44"/>
      <c r="AV127" s="44"/>
      <c r="AW127" s="44"/>
      <c r="AX127" s="44"/>
      <c r="AY127" s="42"/>
      <c r="AZ127" s="42"/>
      <c r="BA127" s="42"/>
      <c r="BB127" s="42"/>
      <c r="BC127" s="42"/>
      <c r="BD127" s="42"/>
      <c r="BE127" s="42"/>
      <c r="BF127" s="42"/>
      <c r="BG127" s="42"/>
      <c r="BH127" s="42"/>
      <c r="BI127" s="42"/>
      <c r="BJ127" s="42"/>
      <c r="BK127" s="42"/>
      <c r="BL127" s="42"/>
      <c r="BM127" s="42"/>
      <c r="BN127" s="42"/>
      <c r="BO127" s="42"/>
      <c r="BP127" s="42"/>
      <c r="BQ127" s="42"/>
      <c r="BR127" s="42"/>
      <c r="BS127" s="42"/>
      <c r="BT127" s="42"/>
      <c r="BU127" s="42"/>
      <c r="BV127" s="42"/>
      <c r="BW127" s="42"/>
      <c r="BX127" s="42"/>
      <c r="BY127" s="42"/>
      <c r="BZ127" s="42"/>
      <c r="CA127" s="42"/>
      <c r="CB127" s="42"/>
      <c r="CC127" s="42"/>
      <c r="CD127" s="42"/>
      <c r="CE127" s="42"/>
      <c r="CF127" s="42"/>
      <c r="CG127" s="42"/>
      <c r="CH127" s="42"/>
      <c r="CI127" s="42"/>
      <c r="CJ127" s="42"/>
      <c r="CK127" s="42"/>
      <c r="CL127" s="42"/>
      <c r="CM127" s="42"/>
      <c r="CN127" s="42"/>
      <c r="CO127" s="42"/>
      <c r="CP127" s="42"/>
      <c r="CQ127" s="42"/>
      <c r="CR127" s="42"/>
      <c r="CS127" s="42"/>
      <c r="CT127" s="42"/>
      <c r="CU127" s="42"/>
      <c r="CV127" s="42"/>
      <c r="CW127" s="42"/>
      <c r="CX127" s="42"/>
      <c r="CY127" s="42"/>
      <c r="CZ127" s="42"/>
      <c r="DA127" s="42"/>
      <c r="DB127" s="42"/>
      <c r="DC127" s="42"/>
      <c r="DD127" s="42"/>
      <c r="DE127" s="42"/>
      <c r="DF127" s="42"/>
      <c r="DG127" s="42"/>
      <c r="DH127" s="42"/>
      <c r="DI127" s="42"/>
      <c r="DJ127" s="42"/>
      <c r="DK127" s="42"/>
      <c r="DL127" s="42"/>
      <c r="DM127" s="42"/>
      <c r="DN127" s="42"/>
      <c r="DO127" s="42"/>
      <c r="DP127" s="42"/>
      <c r="DQ127" s="42"/>
      <c r="DR127" s="42"/>
      <c r="DS127" s="42"/>
      <c r="DT127" s="42"/>
      <c r="DU127" s="42"/>
      <c r="DV127" s="42"/>
      <c r="DW127" s="42"/>
      <c r="DX127" s="42"/>
      <c r="DY127" s="42"/>
    </row>
    <row r="128" spans="1:129" x14ac:dyDescent="0.25">
      <c r="A128" s="44"/>
      <c r="B128" s="44"/>
      <c r="C128" s="44"/>
      <c r="D128" s="44"/>
      <c r="E128" s="44"/>
      <c r="F128" s="44"/>
      <c r="G128" s="44"/>
      <c r="H128" s="44"/>
      <c r="I128" s="44"/>
      <c r="J128" s="70"/>
      <c r="K128" s="44"/>
      <c r="L128" s="44"/>
      <c r="M128" s="70"/>
      <c r="N128" s="70"/>
      <c r="O128" s="44"/>
      <c r="P128" s="1589" t="s">
        <v>283</v>
      </c>
      <c r="Q128" s="1590"/>
      <c r="R128" s="1591"/>
      <c r="S128" s="86">
        <f>use_chp_fm</f>
        <v>1</v>
      </c>
      <c r="T128" s="80" t="s">
        <v>538</v>
      </c>
      <c r="U128" s="62"/>
      <c r="V128" s="44"/>
      <c r="W128" s="44"/>
      <c r="X128" s="44"/>
      <c r="Y128" s="70"/>
      <c r="Z128" s="57"/>
      <c r="AA128" s="70"/>
      <c r="AB128" s="70"/>
      <c r="AC128" s="70"/>
      <c r="AD128" s="70"/>
      <c r="AE128" s="44"/>
      <c r="AF128" s="44"/>
      <c r="AG128" s="44"/>
      <c r="AH128" s="44"/>
      <c r="AI128" s="44"/>
      <c r="AJ128" s="44"/>
      <c r="AK128" s="57"/>
      <c r="AL128" s="44"/>
      <c r="AM128" s="44"/>
      <c r="AN128" s="44"/>
      <c r="AO128" s="44"/>
      <c r="AP128" s="44"/>
      <c r="AQ128" s="44"/>
      <c r="AR128" s="44"/>
      <c r="AS128" s="44"/>
      <c r="AT128" s="44"/>
      <c r="AU128" s="44"/>
      <c r="AV128" s="44"/>
      <c r="AW128" s="44"/>
      <c r="AX128" s="44"/>
      <c r="AY128" s="42"/>
      <c r="AZ128" s="42"/>
      <c r="BA128" s="42"/>
      <c r="BB128" s="42"/>
      <c r="BC128" s="42"/>
      <c r="BD128" s="42"/>
      <c r="BE128" s="42"/>
      <c r="BF128" s="42"/>
      <c r="BG128" s="42"/>
      <c r="BH128" s="42"/>
      <c r="BI128" s="42"/>
      <c r="BJ128" s="42"/>
      <c r="BK128" s="42"/>
      <c r="BL128" s="42"/>
      <c r="BM128" s="42"/>
      <c r="BN128" s="42"/>
      <c r="BO128" s="42"/>
      <c r="BP128" s="42"/>
      <c r="BQ128" s="42"/>
      <c r="BR128" s="42"/>
      <c r="BS128" s="42"/>
      <c r="BT128" s="42"/>
      <c r="BU128" s="42"/>
      <c r="BV128" s="42"/>
      <c r="BW128" s="42"/>
      <c r="BX128" s="42"/>
      <c r="BY128" s="42"/>
      <c r="BZ128" s="42"/>
      <c r="CA128" s="42"/>
      <c r="CB128" s="42"/>
      <c r="CC128" s="42"/>
      <c r="CD128" s="42"/>
      <c r="CE128" s="42"/>
      <c r="CF128" s="42"/>
      <c r="CG128" s="42"/>
      <c r="CH128" s="42"/>
      <c r="CI128" s="42"/>
      <c r="CJ128" s="42"/>
      <c r="CK128" s="42"/>
      <c r="CL128" s="42"/>
      <c r="CM128" s="42"/>
      <c r="CN128" s="42"/>
      <c r="CO128" s="42"/>
      <c r="CP128" s="42"/>
      <c r="CQ128" s="42"/>
      <c r="CR128" s="42"/>
      <c r="CS128" s="42"/>
      <c r="CT128" s="42"/>
      <c r="CU128" s="42"/>
      <c r="CV128" s="42"/>
      <c r="CW128" s="42"/>
      <c r="CX128" s="42"/>
      <c r="CY128" s="42"/>
      <c r="CZ128" s="42"/>
      <c r="DA128" s="42"/>
      <c r="DB128" s="42"/>
      <c r="DC128" s="42"/>
      <c r="DD128" s="42"/>
      <c r="DE128" s="42"/>
      <c r="DF128" s="42"/>
      <c r="DG128" s="42"/>
      <c r="DH128" s="42"/>
      <c r="DI128" s="42"/>
      <c r="DJ128" s="42"/>
      <c r="DK128" s="42"/>
      <c r="DL128" s="42"/>
      <c r="DM128" s="42"/>
      <c r="DN128" s="42"/>
      <c r="DO128" s="42"/>
      <c r="DP128" s="42"/>
      <c r="DQ128" s="42"/>
      <c r="DR128" s="42"/>
      <c r="DS128" s="42"/>
      <c r="DT128" s="42"/>
      <c r="DU128" s="42"/>
      <c r="DV128" s="42"/>
      <c r="DW128" s="42"/>
      <c r="DX128" s="42"/>
      <c r="DY128" s="42"/>
    </row>
    <row r="129" spans="1:129" ht="13.8" thickBot="1" x14ac:dyDescent="0.3">
      <c r="A129" s="44"/>
      <c r="B129" s="44"/>
      <c r="C129" s="44"/>
      <c r="D129" s="44"/>
      <c r="E129" s="44"/>
      <c r="F129" s="44"/>
      <c r="G129" s="44"/>
      <c r="H129" s="44"/>
      <c r="I129" s="44"/>
      <c r="J129" s="70"/>
      <c r="K129" s="44"/>
      <c r="L129" s="44"/>
      <c r="M129" s="70"/>
      <c r="N129" s="70"/>
      <c r="O129" s="44"/>
      <c r="P129" s="67"/>
      <c r="Q129" s="68"/>
      <c r="R129" s="68"/>
      <c r="S129" s="68"/>
      <c r="T129" s="68"/>
      <c r="U129" s="69"/>
      <c r="V129" s="44"/>
      <c r="W129" s="44"/>
      <c r="X129" s="44"/>
      <c r="Y129" s="70"/>
      <c r="Z129" s="93"/>
      <c r="AA129" s="46"/>
      <c r="AB129" s="47"/>
      <c r="AC129" s="70"/>
      <c r="AD129" s="70"/>
      <c r="AE129" s="44"/>
      <c r="AF129" s="44"/>
      <c r="AG129" s="44"/>
      <c r="AH129" s="44"/>
      <c r="AI129" s="44"/>
      <c r="AJ129" s="44"/>
      <c r="AK129" s="57"/>
      <c r="AL129" s="44"/>
      <c r="AM129" s="44"/>
      <c r="AN129" s="44"/>
      <c r="AO129" s="44"/>
      <c r="AP129" s="44"/>
      <c r="AQ129" s="44"/>
      <c r="AR129" s="44"/>
      <c r="AS129" s="44"/>
      <c r="AT129" s="44"/>
      <c r="AU129" s="44"/>
      <c r="AV129" s="44"/>
      <c r="AW129" s="44"/>
      <c r="AX129" s="44"/>
      <c r="AY129" s="42"/>
      <c r="AZ129" s="42"/>
      <c r="BA129" s="42"/>
      <c r="BB129" s="42"/>
      <c r="BC129" s="42"/>
      <c r="BD129" s="42"/>
      <c r="BE129" s="42"/>
      <c r="BF129" s="42"/>
      <c r="BG129" s="42"/>
      <c r="BH129" s="42"/>
      <c r="BI129" s="42"/>
      <c r="BJ129" s="42"/>
      <c r="BK129" s="42"/>
      <c r="BL129" s="42"/>
      <c r="BM129" s="42"/>
      <c r="BN129" s="42"/>
      <c r="BO129" s="42"/>
      <c r="BP129" s="42"/>
      <c r="BQ129" s="42"/>
      <c r="BR129" s="42"/>
      <c r="BS129" s="42"/>
      <c r="BT129" s="42"/>
      <c r="BU129" s="42"/>
      <c r="BV129" s="42"/>
      <c r="BW129" s="42"/>
      <c r="BX129" s="42"/>
      <c r="BY129" s="42"/>
      <c r="BZ129" s="42"/>
      <c r="CA129" s="42"/>
      <c r="CB129" s="42"/>
      <c r="CC129" s="42"/>
      <c r="CD129" s="42"/>
      <c r="CE129" s="42"/>
      <c r="CF129" s="42"/>
      <c r="CG129" s="42"/>
      <c r="CH129" s="42"/>
      <c r="CI129" s="42"/>
      <c r="CJ129" s="42"/>
      <c r="CK129" s="42"/>
      <c r="CL129" s="42"/>
      <c r="CM129" s="42"/>
      <c r="CN129" s="42"/>
      <c r="CO129" s="42"/>
      <c r="CP129" s="42"/>
      <c r="CQ129" s="42"/>
      <c r="CR129" s="42"/>
      <c r="CS129" s="42"/>
      <c r="CT129" s="42"/>
      <c r="CU129" s="42"/>
      <c r="CV129" s="42"/>
      <c r="CW129" s="42"/>
      <c r="CX129" s="42"/>
      <c r="CY129" s="42"/>
      <c r="CZ129" s="42"/>
      <c r="DA129" s="42"/>
      <c r="DB129" s="42"/>
      <c r="DC129" s="42"/>
      <c r="DD129" s="42"/>
      <c r="DE129" s="42"/>
      <c r="DF129" s="42"/>
      <c r="DG129" s="42"/>
      <c r="DH129" s="42"/>
      <c r="DI129" s="42"/>
      <c r="DJ129" s="42"/>
      <c r="DK129" s="42"/>
      <c r="DL129" s="42"/>
      <c r="DM129" s="42"/>
      <c r="DN129" s="42"/>
      <c r="DO129" s="42"/>
      <c r="DP129" s="42"/>
      <c r="DQ129" s="42"/>
      <c r="DR129" s="42"/>
      <c r="DS129" s="42"/>
      <c r="DT129" s="42"/>
      <c r="DU129" s="42"/>
      <c r="DV129" s="42"/>
      <c r="DW129" s="42"/>
      <c r="DX129" s="42"/>
      <c r="DY129" s="42"/>
    </row>
    <row r="130" spans="1:129" x14ac:dyDescent="0.25">
      <c r="A130" s="44"/>
      <c r="B130" s="44"/>
      <c r="C130" s="44"/>
      <c r="D130" s="44"/>
      <c r="E130" s="44"/>
      <c r="F130" s="44"/>
      <c r="G130" s="44"/>
      <c r="H130" s="44"/>
      <c r="I130" s="44"/>
      <c r="J130" s="70"/>
      <c r="K130" s="70"/>
      <c r="L130" s="70"/>
      <c r="M130" s="70"/>
      <c r="N130" s="70"/>
      <c r="O130" s="44"/>
      <c r="P130" s="70"/>
      <c r="Q130" s="70"/>
      <c r="R130" s="57"/>
      <c r="S130" s="70"/>
      <c r="T130" s="70"/>
      <c r="U130" s="70"/>
      <c r="V130" s="44"/>
      <c r="W130" s="44"/>
      <c r="X130" s="44"/>
      <c r="Y130" s="70"/>
      <c r="Z130" s="510" t="s">
        <v>644</v>
      </c>
      <c r="AA130" s="436">
        <f>IF(S139&gt;(AA117*1000*S105)/(S101*S294/S72),S139-(AA117*1000*S105)/(S101*S294/S72),0)</f>
        <v>0</v>
      </c>
      <c r="AB130" s="429" t="s">
        <v>548</v>
      </c>
      <c r="AC130" s="70"/>
      <c r="AD130" s="70"/>
      <c r="AE130" s="44"/>
      <c r="AF130" s="44"/>
      <c r="AG130" s="44"/>
      <c r="AH130" s="44"/>
      <c r="AI130" s="44"/>
      <c r="AJ130" s="44"/>
      <c r="AK130" s="57"/>
      <c r="AL130" s="44"/>
      <c r="AM130" s="44"/>
      <c r="AN130" s="44"/>
      <c r="AO130" s="44"/>
      <c r="AP130" s="44"/>
      <c r="AQ130" s="44"/>
      <c r="AR130" s="44"/>
      <c r="AS130" s="44"/>
      <c r="AT130" s="44"/>
      <c r="AU130" s="44"/>
      <c r="AV130" s="44"/>
      <c r="AW130" s="44"/>
      <c r="AX130" s="44"/>
      <c r="AY130" s="42"/>
      <c r="AZ130" s="42"/>
      <c r="BA130" s="42"/>
      <c r="BB130" s="42"/>
      <c r="BC130" s="42"/>
      <c r="BD130" s="42"/>
      <c r="BE130" s="42"/>
      <c r="BF130" s="42"/>
      <c r="BG130" s="42"/>
      <c r="BH130" s="42"/>
      <c r="BI130" s="42"/>
      <c r="BJ130" s="42"/>
      <c r="BK130" s="42"/>
      <c r="BL130" s="42"/>
      <c r="BM130" s="42"/>
      <c r="BN130" s="42"/>
      <c r="BO130" s="42"/>
      <c r="BP130" s="42"/>
      <c r="BQ130" s="42"/>
      <c r="BR130" s="42"/>
      <c r="BS130" s="42"/>
      <c r="BT130" s="42"/>
      <c r="BU130" s="42"/>
      <c r="BV130" s="42"/>
      <c r="BW130" s="42"/>
      <c r="BX130" s="42"/>
      <c r="BY130" s="42"/>
      <c r="BZ130" s="42"/>
      <c r="CA130" s="42"/>
      <c r="CB130" s="42"/>
      <c r="CC130" s="42"/>
      <c r="CD130" s="42"/>
      <c r="CE130" s="42"/>
      <c r="CF130" s="42"/>
      <c r="CG130" s="42"/>
      <c r="CH130" s="42"/>
      <c r="CI130" s="42"/>
      <c r="CJ130" s="42"/>
      <c r="CK130" s="42"/>
      <c r="CL130" s="42"/>
      <c r="CM130" s="42"/>
      <c r="CN130" s="42"/>
      <c r="CO130" s="42"/>
      <c r="CP130" s="42"/>
      <c r="CQ130" s="42"/>
      <c r="CR130" s="42"/>
      <c r="CS130" s="42"/>
      <c r="CT130" s="42"/>
      <c r="CU130" s="42"/>
      <c r="CV130" s="42"/>
      <c r="CW130" s="42"/>
      <c r="CX130" s="42"/>
      <c r="CY130" s="42"/>
      <c r="CZ130" s="42"/>
      <c r="DA130" s="42"/>
      <c r="DB130" s="42"/>
      <c r="DC130" s="42"/>
      <c r="DD130" s="42"/>
      <c r="DE130" s="42"/>
      <c r="DF130" s="42"/>
      <c r="DG130" s="42"/>
      <c r="DH130" s="42"/>
      <c r="DI130" s="42"/>
      <c r="DJ130" s="42"/>
      <c r="DK130" s="42"/>
      <c r="DL130" s="42"/>
      <c r="DM130" s="42"/>
      <c r="DN130" s="42"/>
      <c r="DO130" s="42"/>
      <c r="DP130" s="42"/>
      <c r="DQ130" s="42"/>
      <c r="DR130" s="42"/>
      <c r="DS130" s="42"/>
      <c r="DT130" s="42"/>
      <c r="DU130" s="42"/>
      <c r="DV130" s="42"/>
      <c r="DW130" s="42"/>
      <c r="DX130" s="42"/>
      <c r="DY130" s="42"/>
    </row>
    <row r="131" spans="1:129" x14ac:dyDescent="0.25">
      <c r="A131" s="44"/>
      <c r="B131" s="44"/>
      <c r="C131" s="44"/>
      <c r="D131" s="44"/>
      <c r="E131" s="44"/>
      <c r="F131" s="44"/>
      <c r="G131" s="44"/>
      <c r="H131" s="44"/>
      <c r="I131" s="44"/>
      <c r="J131" s="70"/>
      <c r="K131" s="70"/>
      <c r="L131" s="70"/>
      <c r="M131" s="70"/>
      <c r="N131" s="70"/>
      <c r="O131" s="44"/>
      <c r="P131" s="70"/>
      <c r="Q131" s="70"/>
      <c r="R131" s="57"/>
      <c r="S131" s="70"/>
      <c r="T131" s="70"/>
      <c r="U131" s="70"/>
      <c r="V131" s="44"/>
      <c r="W131" s="44"/>
      <c r="X131" s="44"/>
      <c r="Y131" s="70"/>
      <c r="Z131" s="427"/>
      <c r="AA131" s="428"/>
      <c r="AB131" s="429"/>
      <c r="AC131" s="70"/>
      <c r="AD131" s="70"/>
      <c r="AE131" s="44"/>
      <c r="AF131" s="44"/>
      <c r="AG131" s="44"/>
      <c r="AH131" s="44"/>
      <c r="AI131" s="44"/>
      <c r="AJ131" s="44"/>
      <c r="AK131" s="57"/>
      <c r="AL131" s="44"/>
      <c r="AM131" s="44"/>
      <c r="AN131" s="44"/>
      <c r="AO131" s="44"/>
      <c r="AP131" s="44"/>
      <c r="AQ131" s="44"/>
      <c r="AR131" s="44"/>
      <c r="AS131" s="44"/>
      <c r="AT131" s="44"/>
      <c r="AU131" s="44"/>
      <c r="AV131" s="44"/>
      <c r="AW131" s="44"/>
      <c r="AX131" s="44"/>
      <c r="AY131" s="42"/>
      <c r="AZ131" s="42"/>
      <c r="BA131" s="42"/>
      <c r="BB131" s="42"/>
      <c r="BC131" s="42"/>
      <c r="BD131" s="42"/>
      <c r="BE131" s="42"/>
      <c r="BF131" s="42"/>
      <c r="BG131" s="42"/>
      <c r="BH131" s="42"/>
      <c r="BI131" s="42"/>
      <c r="BJ131" s="42"/>
      <c r="BK131" s="42"/>
      <c r="BL131" s="42"/>
      <c r="BM131" s="42"/>
      <c r="BN131" s="42"/>
      <c r="BO131" s="42"/>
      <c r="BP131" s="42"/>
      <c r="BQ131" s="42"/>
      <c r="BR131" s="42"/>
      <c r="BS131" s="42"/>
      <c r="BT131" s="42"/>
      <c r="BU131" s="42"/>
      <c r="BV131" s="42"/>
      <c r="BW131" s="42"/>
      <c r="BX131" s="42"/>
      <c r="BY131" s="42"/>
      <c r="BZ131" s="42"/>
      <c r="CA131" s="42"/>
      <c r="CB131" s="42"/>
      <c r="CC131" s="42"/>
      <c r="CD131" s="42"/>
      <c r="CE131" s="42"/>
      <c r="CF131" s="42"/>
      <c r="CG131" s="42"/>
      <c r="CH131" s="42"/>
      <c r="CI131" s="42"/>
      <c r="CJ131" s="42"/>
      <c r="CK131" s="42"/>
      <c r="CL131" s="42"/>
      <c r="CM131" s="42"/>
      <c r="CN131" s="42"/>
      <c r="CO131" s="42"/>
      <c r="CP131" s="42"/>
      <c r="CQ131" s="42"/>
      <c r="CR131" s="42"/>
      <c r="CS131" s="42"/>
      <c r="CT131" s="42"/>
      <c r="CU131" s="42"/>
      <c r="CV131" s="42"/>
      <c r="CW131" s="42"/>
      <c r="CX131" s="42"/>
      <c r="CY131" s="42"/>
      <c r="CZ131" s="42"/>
      <c r="DA131" s="42"/>
      <c r="DB131" s="42"/>
      <c r="DC131" s="42"/>
      <c r="DD131" s="42"/>
      <c r="DE131" s="42"/>
      <c r="DF131" s="42"/>
      <c r="DG131" s="42"/>
      <c r="DH131" s="42"/>
      <c r="DI131" s="42"/>
      <c r="DJ131" s="42"/>
      <c r="DK131" s="42"/>
      <c r="DL131" s="42"/>
      <c r="DM131" s="42"/>
      <c r="DN131" s="42"/>
      <c r="DO131" s="42"/>
      <c r="DP131" s="42"/>
      <c r="DQ131" s="42"/>
      <c r="DR131" s="42"/>
      <c r="DS131" s="42"/>
      <c r="DT131" s="42"/>
      <c r="DU131" s="42"/>
      <c r="DV131" s="42"/>
      <c r="DW131" s="42"/>
      <c r="DX131" s="42"/>
      <c r="DY131" s="42"/>
    </row>
    <row r="132" spans="1:129" x14ac:dyDescent="0.25">
      <c r="A132" s="44"/>
      <c r="B132" s="44"/>
      <c r="C132" s="44"/>
      <c r="D132" s="44"/>
      <c r="E132" s="44"/>
      <c r="F132" s="44"/>
      <c r="G132" s="44"/>
      <c r="H132" s="44"/>
      <c r="I132" s="44"/>
      <c r="J132" s="70"/>
      <c r="K132" s="70"/>
      <c r="L132" s="70"/>
      <c r="M132" s="70"/>
      <c r="N132" s="70"/>
      <c r="O132" s="44"/>
      <c r="P132" s="70"/>
      <c r="Q132" s="70"/>
      <c r="R132" s="57"/>
      <c r="S132" s="70"/>
      <c r="T132" s="70"/>
      <c r="U132" s="70"/>
      <c r="V132" s="44"/>
      <c r="W132" s="44"/>
      <c r="X132" s="44"/>
      <c r="Y132" s="70"/>
      <c r="Z132" s="553" t="s">
        <v>643</v>
      </c>
      <c r="AA132" s="110">
        <f>IF(S139&gt;(AA117*1000*S105)/(S101*S294/S72),0,(AA117*1000*S105)/(S101*S294/S72)-S139)</f>
        <v>340.59444576914461</v>
      </c>
      <c r="AB132" s="51" t="s">
        <v>548</v>
      </c>
      <c r="AC132" s="70"/>
      <c r="AD132" s="70"/>
      <c r="AE132" s="44"/>
      <c r="AF132" s="44"/>
      <c r="AG132" s="44"/>
      <c r="AH132" s="44"/>
      <c r="AI132" s="44"/>
      <c r="AJ132" s="44"/>
      <c r="AK132" s="57"/>
      <c r="AL132" s="44"/>
      <c r="AM132" s="44"/>
      <c r="AN132" s="44"/>
      <c r="AO132" s="44"/>
      <c r="AP132" s="44"/>
      <c r="AQ132" s="44"/>
      <c r="AR132" s="44"/>
      <c r="AS132" s="44"/>
      <c r="AT132" s="44"/>
      <c r="AU132" s="44"/>
      <c r="AV132" s="44"/>
      <c r="AW132" s="44"/>
      <c r="AX132" s="44"/>
      <c r="AY132" s="42"/>
      <c r="AZ132" s="42"/>
      <c r="BA132" s="42"/>
      <c r="BB132" s="42"/>
      <c r="BC132" s="42"/>
      <c r="BD132" s="42"/>
      <c r="BE132" s="42"/>
      <c r="BF132" s="42"/>
      <c r="BG132" s="42"/>
      <c r="BH132" s="42"/>
      <c r="BI132" s="42"/>
      <c r="BJ132" s="42"/>
      <c r="BK132" s="42"/>
      <c r="BL132" s="42"/>
      <c r="BM132" s="42"/>
      <c r="BN132" s="42"/>
      <c r="BO132" s="42"/>
      <c r="BP132" s="42"/>
      <c r="BQ132" s="42"/>
      <c r="BR132" s="42"/>
      <c r="BS132" s="42"/>
      <c r="BT132" s="42"/>
      <c r="BU132" s="42"/>
      <c r="BV132" s="42"/>
      <c r="BW132" s="42"/>
      <c r="BX132" s="42"/>
      <c r="BY132" s="42"/>
      <c r="BZ132" s="42"/>
      <c r="CA132" s="42"/>
      <c r="CB132" s="42"/>
      <c r="CC132" s="42"/>
      <c r="CD132" s="42"/>
      <c r="CE132" s="42"/>
      <c r="CF132" s="42"/>
      <c r="CG132" s="42"/>
      <c r="CH132" s="42"/>
      <c r="CI132" s="42"/>
      <c r="CJ132" s="42"/>
      <c r="CK132" s="42"/>
      <c r="CL132" s="42"/>
      <c r="CM132" s="42"/>
      <c r="CN132" s="42"/>
      <c r="CO132" s="42"/>
      <c r="CP132" s="42"/>
      <c r="CQ132" s="42"/>
      <c r="CR132" s="42"/>
      <c r="CS132" s="42"/>
      <c r="CT132" s="42"/>
      <c r="CU132" s="42"/>
      <c r="CV132" s="42"/>
      <c r="CW132" s="42"/>
      <c r="CX132" s="42"/>
      <c r="CY132" s="42"/>
      <c r="CZ132" s="42"/>
      <c r="DA132" s="42"/>
      <c r="DB132" s="42"/>
      <c r="DC132" s="42"/>
      <c r="DD132" s="42"/>
      <c r="DE132" s="42"/>
      <c r="DF132" s="42"/>
      <c r="DG132" s="42"/>
      <c r="DH132" s="42"/>
      <c r="DI132" s="42"/>
      <c r="DJ132" s="42"/>
      <c r="DK132" s="42"/>
      <c r="DL132" s="42"/>
      <c r="DM132" s="42"/>
      <c r="DN132" s="42"/>
      <c r="DO132" s="42"/>
      <c r="DP132" s="42"/>
      <c r="DQ132" s="42"/>
      <c r="DR132" s="42"/>
      <c r="DS132" s="42"/>
      <c r="DT132" s="42"/>
      <c r="DU132" s="42"/>
      <c r="DV132" s="42"/>
      <c r="DW132" s="42"/>
      <c r="DX132" s="42"/>
      <c r="DY132" s="42"/>
    </row>
    <row r="133" spans="1:129" ht="13.8" thickBot="1" x14ac:dyDescent="0.3">
      <c r="A133" s="44"/>
      <c r="B133" s="44"/>
      <c r="C133" s="44"/>
      <c r="D133" s="44"/>
      <c r="E133" s="44"/>
      <c r="F133" s="44"/>
      <c r="G133" s="44"/>
      <c r="H133" s="44"/>
      <c r="I133" s="44"/>
      <c r="J133" s="70"/>
      <c r="K133" s="70"/>
      <c r="L133" s="70"/>
      <c r="M133" s="70"/>
      <c r="N133" s="70"/>
      <c r="O133" s="44"/>
      <c r="P133" s="70"/>
      <c r="Q133" s="70"/>
      <c r="R133" s="57"/>
      <c r="S133" s="70"/>
      <c r="T133" s="70"/>
      <c r="U133" s="70"/>
      <c r="V133" s="44"/>
      <c r="W133" s="44"/>
      <c r="X133" s="44"/>
      <c r="Y133" s="70"/>
      <c r="Z133" s="54"/>
      <c r="AA133" s="55"/>
      <c r="AB133" s="56"/>
      <c r="AC133" s="70"/>
      <c r="AD133" s="70"/>
      <c r="AE133" s="44"/>
      <c r="AF133" s="44"/>
      <c r="AG133" s="44"/>
      <c r="AH133" s="44"/>
      <c r="AI133" s="44"/>
      <c r="AJ133" s="44"/>
      <c r="AK133" s="57"/>
      <c r="AL133" s="44"/>
      <c r="AM133" s="44"/>
      <c r="AN133" s="44"/>
      <c r="AO133" s="44"/>
      <c r="AP133" s="44"/>
      <c r="AQ133" s="44"/>
      <c r="AR133" s="44"/>
      <c r="AS133" s="44"/>
      <c r="AT133" s="44"/>
      <c r="AU133" s="44"/>
      <c r="AV133" s="44"/>
      <c r="AW133" s="44"/>
      <c r="AX133" s="44"/>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2"/>
      <c r="CH133" s="42"/>
      <c r="CI133" s="42"/>
      <c r="CJ133" s="42"/>
      <c r="CK133" s="42"/>
      <c r="CL133" s="42"/>
      <c r="CM133" s="42"/>
      <c r="CN133" s="42"/>
      <c r="CO133" s="42"/>
      <c r="CP133" s="42"/>
      <c r="CQ133" s="42"/>
      <c r="CR133" s="42"/>
      <c r="CS133" s="42"/>
      <c r="CT133" s="42"/>
      <c r="CU133" s="42"/>
      <c r="CV133" s="42"/>
      <c r="CW133" s="42"/>
      <c r="CX133" s="42"/>
      <c r="CY133" s="42"/>
      <c r="CZ133" s="42"/>
      <c r="DA133" s="42"/>
      <c r="DB133" s="42"/>
      <c r="DC133" s="42"/>
      <c r="DD133" s="42"/>
      <c r="DE133" s="42"/>
      <c r="DF133" s="42"/>
      <c r="DG133" s="42"/>
      <c r="DH133" s="42"/>
      <c r="DI133" s="42"/>
      <c r="DJ133" s="42"/>
      <c r="DK133" s="42"/>
      <c r="DL133" s="42"/>
      <c r="DM133" s="42"/>
      <c r="DN133" s="42"/>
      <c r="DO133" s="42"/>
      <c r="DP133" s="42"/>
      <c r="DQ133" s="42"/>
      <c r="DR133" s="42"/>
      <c r="DS133" s="42"/>
      <c r="DT133" s="42"/>
      <c r="DU133" s="42"/>
      <c r="DV133" s="42"/>
      <c r="DW133" s="42"/>
      <c r="DX133" s="42"/>
      <c r="DY133" s="42"/>
    </row>
    <row r="134" spans="1:129" x14ac:dyDescent="0.25">
      <c r="A134" s="44"/>
      <c r="B134" s="44"/>
      <c r="C134" s="44"/>
      <c r="D134" s="44"/>
      <c r="E134" s="44"/>
      <c r="F134" s="44"/>
      <c r="G134" s="44"/>
      <c r="H134" s="44"/>
      <c r="I134" s="44"/>
      <c r="J134" s="70"/>
      <c r="K134" s="70"/>
      <c r="L134" s="70"/>
      <c r="M134" s="70"/>
      <c r="N134" s="70"/>
      <c r="O134" s="44"/>
      <c r="P134" s="279"/>
      <c r="Q134" s="58"/>
      <c r="R134" s="262"/>
      <c r="S134" s="262"/>
      <c r="T134" s="58"/>
      <c r="U134" s="59"/>
      <c r="V134" s="44"/>
      <c r="W134" s="44"/>
      <c r="X134" s="44"/>
      <c r="Y134" s="70"/>
      <c r="Z134" s="70"/>
      <c r="AA134" s="70"/>
      <c r="AB134" s="70"/>
      <c r="AC134" s="70"/>
      <c r="AD134" s="70"/>
      <c r="AE134" s="44"/>
      <c r="AF134" s="44"/>
      <c r="AG134" s="44"/>
      <c r="AH134" s="44"/>
      <c r="AI134" s="44"/>
      <c r="AJ134" s="44"/>
      <c r="AK134" s="57"/>
      <c r="AL134" s="44"/>
      <c r="AM134" s="44"/>
      <c r="AN134" s="44"/>
      <c r="AO134" s="44"/>
      <c r="AP134" s="44"/>
      <c r="AQ134" s="44"/>
      <c r="AR134" s="44"/>
      <c r="AS134" s="44"/>
      <c r="AT134" s="44"/>
      <c r="AU134" s="44"/>
      <c r="AV134" s="44"/>
      <c r="AW134" s="44"/>
      <c r="AX134" s="44"/>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2"/>
      <c r="CH134" s="42"/>
      <c r="CI134" s="42"/>
      <c r="CJ134" s="42"/>
      <c r="CK134" s="42"/>
      <c r="CL134" s="42"/>
      <c r="CM134" s="42"/>
      <c r="CN134" s="42"/>
      <c r="CO134" s="42"/>
      <c r="CP134" s="42"/>
      <c r="CQ134" s="42"/>
      <c r="CR134" s="42"/>
      <c r="CS134" s="42"/>
      <c r="CT134" s="42"/>
      <c r="CU134" s="42"/>
      <c r="CV134" s="42"/>
      <c r="CW134" s="42"/>
      <c r="CX134" s="42"/>
      <c r="CY134" s="42"/>
      <c r="CZ134" s="42"/>
      <c r="DA134" s="42"/>
      <c r="DB134" s="42"/>
      <c r="DC134" s="42"/>
      <c r="DD134" s="42"/>
      <c r="DE134" s="42"/>
      <c r="DF134" s="42"/>
      <c r="DG134" s="42"/>
      <c r="DH134" s="42"/>
      <c r="DI134" s="42"/>
      <c r="DJ134" s="42"/>
      <c r="DK134" s="42"/>
      <c r="DL134" s="42"/>
      <c r="DM134" s="42"/>
      <c r="DN134" s="42"/>
      <c r="DO134" s="42"/>
      <c r="DP134" s="42"/>
      <c r="DQ134" s="42"/>
      <c r="DR134" s="42"/>
      <c r="DS134" s="42"/>
      <c r="DT134" s="42"/>
      <c r="DU134" s="42"/>
      <c r="DV134" s="42"/>
      <c r="DW134" s="42"/>
      <c r="DX134" s="42"/>
      <c r="DY134" s="42"/>
    </row>
    <row r="135" spans="1:129" x14ac:dyDescent="0.25">
      <c r="A135" s="44"/>
      <c r="B135" s="44"/>
      <c r="C135" s="44"/>
      <c r="D135" s="44"/>
      <c r="E135" s="44"/>
      <c r="F135" s="44"/>
      <c r="G135" s="44"/>
      <c r="H135" s="44"/>
      <c r="I135" s="44"/>
      <c r="J135" s="70"/>
      <c r="K135" s="70"/>
      <c r="L135" s="70"/>
      <c r="M135" s="70"/>
      <c r="N135" s="70"/>
      <c r="O135" s="44"/>
      <c r="P135" s="1583" t="s">
        <v>560</v>
      </c>
      <c r="Q135" s="1584"/>
      <c r="R135" s="1584"/>
      <c r="S135" s="1584"/>
      <c r="T135" s="1584"/>
      <c r="U135" s="1585"/>
      <c r="V135" s="44"/>
      <c r="W135" s="919"/>
      <c r="X135" s="896"/>
      <c r="Y135" s="70"/>
      <c r="Z135" s="70"/>
      <c r="AA135" s="70"/>
      <c r="AB135" s="70"/>
      <c r="AC135" s="70"/>
      <c r="AD135" s="70"/>
      <c r="AE135" s="44"/>
      <c r="AF135" s="44"/>
      <c r="AG135" s="44"/>
      <c r="AH135" s="44"/>
      <c r="AI135" s="44"/>
      <c r="AJ135" s="44"/>
      <c r="AK135" s="57"/>
      <c r="AL135" s="44"/>
      <c r="AM135" s="44"/>
      <c r="AN135" s="44"/>
      <c r="AO135" s="44"/>
      <c r="AP135" s="44"/>
      <c r="AQ135" s="44"/>
      <c r="AR135" s="44"/>
      <c r="AS135" s="44"/>
      <c r="AT135" s="44"/>
      <c r="AU135" s="44"/>
      <c r="AV135" s="44"/>
      <c r="AW135" s="44"/>
      <c r="AX135" s="44"/>
      <c r="AY135" s="42"/>
      <c r="AZ135" s="42"/>
      <c r="BA135" s="42"/>
      <c r="BB135" s="42"/>
      <c r="BC135" s="42"/>
      <c r="BD135" s="42"/>
      <c r="BE135" s="42"/>
      <c r="BF135" s="42"/>
      <c r="BG135" s="42"/>
      <c r="BH135" s="42"/>
      <c r="BI135" s="42"/>
      <c r="BJ135" s="42"/>
      <c r="BK135" s="42"/>
      <c r="BL135" s="42"/>
      <c r="BM135" s="42"/>
      <c r="BN135" s="42"/>
      <c r="BO135" s="42"/>
      <c r="BP135" s="42"/>
      <c r="BQ135" s="42"/>
      <c r="BR135" s="42"/>
      <c r="BS135" s="42"/>
      <c r="BT135" s="42"/>
      <c r="BU135" s="42"/>
      <c r="BV135" s="42"/>
      <c r="BW135" s="42"/>
      <c r="BX135" s="42"/>
      <c r="BY135" s="42"/>
      <c r="BZ135" s="42"/>
      <c r="CA135" s="42"/>
      <c r="CB135" s="42"/>
      <c r="CC135" s="42"/>
      <c r="CD135" s="42"/>
      <c r="CE135" s="42"/>
      <c r="CF135" s="42"/>
      <c r="CG135" s="42"/>
      <c r="CH135" s="42"/>
      <c r="CI135" s="42"/>
      <c r="CJ135" s="42"/>
      <c r="CK135" s="42"/>
      <c r="CL135" s="42"/>
      <c r="CM135" s="42"/>
      <c r="CN135" s="42"/>
      <c r="CO135" s="42"/>
      <c r="CP135" s="42"/>
      <c r="CQ135" s="42"/>
      <c r="CR135" s="42"/>
      <c r="CS135" s="42"/>
      <c r="CT135" s="42"/>
      <c r="CU135" s="42"/>
      <c r="CV135" s="42"/>
      <c r="CW135" s="42"/>
      <c r="CX135" s="42"/>
      <c r="CY135" s="42"/>
      <c r="CZ135" s="42"/>
      <c r="DA135" s="42"/>
      <c r="DB135" s="42"/>
      <c r="DC135" s="42"/>
      <c r="DD135" s="42"/>
      <c r="DE135" s="42"/>
      <c r="DF135" s="42"/>
      <c r="DG135" s="42"/>
      <c r="DH135" s="42"/>
      <c r="DI135" s="42"/>
      <c r="DJ135" s="42"/>
      <c r="DK135" s="42"/>
      <c r="DL135" s="42"/>
      <c r="DM135" s="42"/>
      <c r="DN135" s="42"/>
      <c r="DO135" s="42"/>
      <c r="DP135" s="42"/>
      <c r="DQ135" s="42"/>
      <c r="DR135" s="42"/>
      <c r="DS135" s="42"/>
      <c r="DT135" s="42"/>
      <c r="DU135" s="42"/>
      <c r="DV135" s="42"/>
      <c r="DW135" s="42"/>
      <c r="DX135" s="42"/>
      <c r="DY135" s="42"/>
    </row>
    <row r="136" spans="1:129" x14ac:dyDescent="0.25">
      <c r="A136" s="44"/>
      <c r="B136" s="44"/>
      <c r="C136" s="44"/>
      <c r="D136" s="44"/>
      <c r="E136" s="44"/>
      <c r="F136" s="44"/>
      <c r="G136" s="44"/>
      <c r="H136" s="44"/>
      <c r="I136" s="44"/>
      <c r="J136" s="70"/>
      <c r="K136" s="70"/>
      <c r="L136" s="70"/>
      <c r="M136" s="70"/>
      <c r="N136" s="70"/>
      <c r="O136" s="44"/>
      <c r="P136" s="60"/>
      <c r="Q136" s="80"/>
      <c r="R136" s="80"/>
      <c r="S136" s="80"/>
      <c r="T136" s="80"/>
      <c r="U136" s="62"/>
      <c r="V136" s="44"/>
      <c r="W136" s="44"/>
      <c r="X136" s="44"/>
      <c r="Y136" s="70"/>
      <c r="Z136" s="70"/>
      <c r="AA136" s="70"/>
      <c r="AB136" s="70"/>
      <c r="AC136" s="70"/>
      <c r="AD136" s="70"/>
      <c r="AE136" s="44"/>
      <c r="AF136" s="44"/>
      <c r="AG136" s="44"/>
      <c r="AH136" s="44"/>
      <c r="AI136" s="44"/>
      <c r="AJ136" s="44"/>
      <c r="AK136" s="57"/>
      <c r="AL136" s="44"/>
      <c r="AM136" s="44"/>
      <c r="AN136" s="44"/>
      <c r="AO136" s="44"/>
      <c r="AP136" s="44"/>
      <c r="AQ136" s="44"/>
      <c r="AR136" s="44"/>
      <c r="AS136" s="44"/>
      <c r="AT136" s="44"/>
      <c r="AU136" s="44"/>
      <c r="AV136" s="44"/>
      <c r="AW136" s="44"/>
      <c r="AX136" s="44"/>
      <c r="AY136" s="42"/>
      <c r="AZ136" s="42"/>
      <c r="BA136" s="42"/>
      <c r="BB136" s="42"/>
      <c r="BC136" s="42"/>
      <c r="BD136" s="42"/>
      <c r="BE136" s="42"/>
      <c r="BF136" s="42"/>
      <c r="BG136" s="42"/>
      <c r="BH136" s="42"/>
      <c r="BI136" s="42"/>
      <c r="BJ136" s="42"/>
      <c r="BK136" s="42"/>
      <c r="BL136" s="42"/>
      <c r="BM136" s="42"/>
      <c r="BN136" s="42"/>
      <c r="BO136" s="42"/>
      <c r="BP136" s="42"/>
      <c r="BQ136" s="42"/>
      <c r="BR136" s="42"/>
      <c r="BS136" s="42"/>
      <c r="BT136" s="42"/>
      <c r="BU136" s="42"/>
      <c r="BV136" s="42"/>
      <c r="BW136" s="42"/>
      <c r="BX136" s="42"/>
      <c r="BY136" s="42"/>
      <c r="BZ136" s="42"/>
      <c r="CA136" s="42"/>
      <c r="CB136" s="42"/>
      <c r="CC136" s="42"/>
      <c r="CD136" s="42"/>
      <c r="CE136" s="42"/>
      <c r="CF136" s="42"/>
      <c r="CG136" s="42"/>
      <c r="CH136" s="42"/>
      <c r="CI136" s="42"/>
      <c r="CJ136" s="42"/>
      <c r="CK136" s="42"/>
      <c r="CL136" s="42"/>
      <c r="CM136" s="42"/>
      <c r="CN136" s="42"/>
      <c r="CO136" s="42"/>
      <c r="CP136" s="42"/>
      <c r="CQ136" s="42"/>
      <c r="CR136" s="42"/>
      <c r="CS136" s="42"/>
      <c r="CT136" s="42"/>
      <c r="CU136" s="42"/>
      <c r="CV136" s="42"/>
      <c r="CW136" s="42"/>
      <c r="CX136" s="42"/>
      <c r="CY136" s="42"/>
      <c r="CZ136" s="42"/>
      <c r="DA136" s="42"/>
      <c r="DB136" s="42"/>
      <c r="DC136" s="42"/>
      <c r="DD136" s="42"/>
      <c r="DE136" s="42"/>
      <c r="DF136" s="42"/>
      <c r="DG136" s="42"/>
      <c r="DH136" s="42"/>
      <c r="DI136" s="42"/>
      <c r="DJ136" s="42"/>
      <c r="DK136" s="42"/>
      <c r="DL136" s="42"/>
      <c r="DM136" s="42"/>
      <c r="DN136" s="42"/>
      <c r="DO136" s="42"/>
      <c r="DP136" s="42"/>
      <c r="DQ136" s="42"/>
      <c r="DR136" s="42"/>
      <c r="DS136" s="42"/>
      <c r="DT136" s="42"/>
      <c r="DU136" s="42"/>
      <c r="DV136" s="42"/>
      <c r="DW136" s="42"/>
      <c r="DX136" s="42"/>
      <c r="DY136" s="42"/>
    </row>
    <row r="137" spans="1:129" x14ac:dyDescent="0.25">
      <c r="A137" s="44"/>
      <c r="B137" s="44"/>
      <c r="C137" s="44"/>
      <c r="D137" s="44"/>
      <c r="E137" s="44"/>
      <c r="F137" s="44"/>
      <c r="G137" s="44"/>
      <c r="H137" s="44"/>
      <c r="I137" s="44"/>
      <c r="J137" s="70"/>
      <c r="K137" s="70"/>
      <c r="L137" s="70"/>
      <c r="M137" s="70"/>
      <c r="N137" s="70"/>
      <c r="O137" s="44"/>
      <c r="P137" s="1589" t="s">
        <v>558</v>
      </c>
      <c r="Q137" s="1590"/>
      <c r="R137" s="1591"/>
      <c r="S137" s="436">
        <f>(S164*S153/S294)+S203+AC268</f>
        <v>8515.1567690680167</v>
      </c>
      <c r="T137" s="226" t="s">
        <v>437</v>
      </c>
      <c r="U137" s="62"/>
      <c r="V137" s="44"/>
      <c r="W137" s="919"/>
      <c r="X137" s="896"/>
      <c r="Y137" s="70"/>
      <c r="Z137" s="70"/>
      <c r="AA137" s="70"/>
      <c r="AB137" s="70"/>
      <c r="AC137" s="70"/>
      <c r="AD137" s="70"/>
      <c r="AE137" s="44"/>
      <c r="AF137" s="44"/>
      <c r="AG137" s="44"/>
      <c r="AH137" s="44"/>
      <c r="AI137" s="44"/>
      <c r="AJ137" s="44"/>
      <c r="AK137" s="57"/>
      <c r="AL137" s="44"/>
      <c r="AM137" s="44"/>
      <c r="AN137" s="44"/>
      <c r="AO137" s="44"/>
      <c r="AP137" s="44"/>
      <c r="AQ137" s="44"/>
      <c r="AR137" s="44"/>
      <c r="AS137" s="44"/>
      <c r="AT137" s="44"/>
      <c r="AU137" s="44"/>
      <c r="AV137" s="44"/>
      <c r="AW137" s="44"/>
      <c r="AX137" s="44"/>
      <c r="AY137" s="42"/>
      <c r="AZ137" s="42"/>
      <c r="BA137" s="42"/>
      <c r="BB137" s="42"/>
      <c r="BC137" s="42"/>
      <c r="BD137" s="42"/>
      <c r="BE137" s="42"/>
      <c r="BF137" s="42"/>
      <c r="BG137" s="42"/>
      <c r="BH137" s="42"/>
      <c r="BI137" s="42"/>
      <c r="BJ137" s="42"/>
      <c r="BK137" s="42"/>
      <c r="BL137" s="42"/>
      <c r="BM137" s="42"/>
      <c r="BN137" s="42"/>
      <c r="BO137" s="42"/>
      <c r="BP137" s="42"/>
      <c r="BQ137" s="42"/>
      <c r="BR137" s="42"/>
      <c r="BS137" s="42"/>
      <c r="BT137" s="42"/>
      <c r="BU137" s="42"/>
      <c r="BV137" s="42"/>
      <c r="BW137" s="42"/>
      <c r="BX137" s="42"/>
      <c r="BY137" s="42"/>
      <c r="BZ137" s="42"/>
      <c r="CA137" s="42"/>
      <c r="CB137" s="42"/>
      <c r="CC137" s="42"/>
      <c r="CD137" s="42"/>
      <c r="CE137" s="42"/>
      <c r="CF137" s="42"/>
      <c r="CG137" s="42"/>
      <c r="CH137" s="42"/>
      <c r="CI137" s="42"/>
      <c r="CJ137" s="42"/>
      <c r="CK137" s="42"/>
      <c r="CL137" s="42"/>
      <c r="CM137" s="42"/>
      <c r="CN137" s="42"/>
      <c r="CO137" s="42"/>
      <c r="CP137" s="42"/>
      <c r="CQ137" s="42"/>
      <c r="CR137" s="42"/>
      <c r="CS137" s="42"/>
      <c r="CT137" s="42"/>
      <c r="CU137" s="42"/>
      <c r="CV137" s="42"/>
      <c r="CW137" s="42"/>
      <c r="CX137" s="42"/>
      <c r="CY137" s="42"/>
      <c r="CZ137" s="42"/>
      <c r="DA137" s="42"/>
      <c r="DB137" s="42"/>
      <c r="DC137" s="42"/>
      <c r="DD137" s="42"/>
      <c r="DE137" s="42"/>
      <c r="DF137" s="42"/>
      <c r="DG137" s="42"/>
      <c r="DH137" s="42"/>
      <c r="DI137" s="42"/>
      <c r="DJ137" s="42"/>
      <c r="DK137" s="42"/>
      <c r="DL137" s="42"/>
      <c r="DM137" s="42"/>
      <c r="DN137" s="42"/>
      <c r="DO137" s="42"/>
      <c r="DP137" s="42"/>
      <c r="DQ137" s="42"/>
      <c r="DR137" s="42"/>
      <c r="DS137" s="42"/>
      <c r="DT137" s="42"/>
      <c r="DU137" s="42"/>
      <c r="DV137" s="42"/>
      <c r="DW137" s="42"/>
      <c r="DX137" s="42"/>
      <c r="DY137" s="42"/>
    </row>
    <row r="138" spans="1:129" x14ac:dyDescent="0.25">
      <c r="A138" s="44"/>
      <c r="B138" s="44"/>
      <c r="C138" s="44"/>
      <c r="D138" s="44"/>
      <c r="E138" s="44"/>
      <c r="F138" s="44"/>
      <c r="G138" s="44"/>
      <c r="H138" s="44"/>
      <c r="I138" s="44"/>
      <c r="J138" s="70"/>
      <c r="K138" s="70"/>
      <c r="L138" s="70"/>
      <c r="M138" s="70"/>
      <c r="N138" s="70"/>
      <c r="O138" s="44"/>
      <c r="P138" s="60"/>
      <c r="Q138" s="80"/>
      <c r="R138" s="80"/>
      <c r="S138" s="80"/>
      <c r="T138" s="80"/>
      <c r="U138" s="62"/>
      <c r="V138" s="44"/>
      <c r="W138" s="44"/>
      <c r="X138" s="44"/>
      <c r="Y138" s="70"/>
      <c r="Z138" s="70"/>
      <c r="AA138" s="70"/>
      <c r="AB138" s="70"/>
      <c r="AC138" s="70"/>
      <c r="AD138" s="70"/>
      <c r="AE138" s="44"/>
      <c r="AF138" s="44"/>
      <c r="AG138" s="44"/>
      <c r="AH138" s="44"/>
      <c r="AI138" s="44"/>
      <c r="AJ138" s="44"/>
      <c r="AK138" s="57"/>
      <c r="AL138" s="44"/>
      <c r="AM138" s="44"/>
      <c r="AN138" s="44"/>
      <c r="AO138" s="44"/>
      <c r="AP138" s="44"/>
      <c r="AQ138" s="44"/>
      <c r="AR138" s="44"/>
      <c r="AS138" s="44"/>
      <c r="AT138" s="44"/>
      <c r="AU138" s="44"/>
      <c r="AV138" s="44"/>
      <c r="AW138" s="44"/>
      <c r="AX138" s="44"/>
      <c r="AY138" s="42"/>
      <c r="AZ138" s="42"/>
      <c r="BA138" s="42"/>
      <c r="BB138" s="42"/>
      <c r="BC138" s="42"/>
      <c r="BD138" s="42"/>
      <c r="BE138" s="42"/>
      <c r="BF138" s="42"/>
      <c r="BG138" s="42"/>
      <c r="BH138" s="42"/>
      <c r="BI138" s="42"/>
      <c r="BJ138" s="42"/>
      <c r="BK138" s="42"/>
      <c r="BL138" s="42"/>
      <c r="BM138" s="42"/>
      <c r="BN138" s="42"/>
      <c r="BO138" s="42"/>
      <c r="BP138" s="42"/>
      <c r="BQ138" s="42"/>
      <c r="BR138" s="42"/>
      <c r="BS138" s="42"/>
      <c r="BT138" s="42"/>
      <c r="BU138" s="42"/>
      <c r="BV138" s="42"/>
      <c r="BW138" s="42"/>
      <c r="BX138" s="42"/>
      <c r="BY138" s="42"/>
      <c r="BZ138" s="42"/>
      <c r="CA138" s="42"/>
      <c r="CB138" s="42"/>
      <c r="CC138" s="42"/>
      <c r="CD138" s="42"/>
      <c r="CE138" s="42"/>
      <c r="CF138" s="42"/>
      <c r="CG138" s="42"/>
      <c r="CH138" s="42"/>
      <c r="CI138" s="42"/>
      <c r="CJ138" s="42"/>
      <c r="CK138" s="42"/>
      <c r="CL138" s="42"/>
      <c r="CM138" s="42"/>
      <c r="CN138" s="42"/>
      <c r="CO138" s="42"/>
      <c r="CP138" s="42"/>
      <c r="CQ138" s="42"/>
      <c r="CR138" s="42"/>
      <c r="CS138" s="42"/>
      <c r="CT138" s="42"/>
      <c r="CU138" s="42"/>
      <c r="CV138" s="42"/>
      <c r="CW138" s="42"/>
      <c r="CX138" s="42"/>
      <c r="CY138" s="42"/>
      <c r="CZ138" s="42"/>
      <c r="DA138" s="42"/>
      <c r="DB138" s="42"/>
      <c r="DC138" s="42"/>
      <c r="DD138" s="42"/>
      <c r="DE138" s="42"/>
      <c r="DF138" s="42"/>
      <c r="DG138" s="42"/>
      <c r="DH138" s="42"/>
      <c r="DI138" s="42"/>
      <c r="DJ138" s="42"/>
      <c r="DK138" s="42"/>
      <c r="DL138" s="42"/>
      <c r="DM138" s="42"/>
      <c r="DN138" s="42"/>
      <c r="DO138" s="42"/>
      <c r="DP138" s="42"/>
      <c r="DQ138" s="42"/>
      <c r="DR138" s="42"/>
      <c r="DS138" s="42"/>
      <c r="DT138" s="42"/>
      <c r="DU138" s="42"/>
      <c r="DV138" s="42"/>
      <c r="DW138" s="42"/>
      <c r="DX138" s="42"/>
      <c r="DY138" s="42"/>
    </row>
    <row r="139" spans="1:129" x14ac:dyDescent="0.25">
      <c r="A139" s="44"/>
      <c r="B139" s="44"/>
      <c r="C139" s="44"/>
      <c r="D139" s="44"/>
      <c r="E139" s="44"/>
      <c r="F139" s="44"/>
      <c r="G139" s="44"/>
      <c r="H139" s="44"/>
      <c r="I139" s="44"/>
      <c r="J139" s="70"/>
      <c r="K139" s="70"/>
      <c r="L139" s="70"/>
      <c r="M139" s="70"/>
      <c r="N139" s="70"/>
      <c r="O139" s="44"/>
      <c r="P139" s="1589" t="s">
        <v>557</v>
      </c>
      <c r="Q139" s="1590"/>
      <c r="R139" s="1591"/>
      <c r="S139" s="436">
        <f>(S72*S146/S294)+(S153*S166/S294)+S205+AC270+AC306</f>
        <v>2024.7268789719708</v>
      </c>
      <c r="T139" s="226" t="s">
        <v>548</v>
      </c>
      <c r="U139" s="62"/>
      <c r="V139" s="44"/>
      <c r="W139" s="44"/>
      <c r="X139" s="44"/>
      <c r="Y139" s="70"/>
      <c r="Z139" s="70"/>
      <c r="AA139" s="70"/>
      <c r="AB139" s="70"/>
      <c r="AC139" s="70"/>
      <c r="AD139" s="70"/>
      <c r="AE139" s="44"/>
      <c r="AF139" s="44"/>
      <c r="AG139" s="44"/>
      <c r="AH139" s="44"/>
      <c r="AI139" s="44"/>
      <c r="AJ139" s="44"/>
      <c r="AK139" s="57"/>
      <c r="AL139" s="44"/>
      <c r="AM139" s="44"/>
      <c r="AN139" s="44"/>
      <c r="AO139" s="44"/>
      <c r="AP139" s="44"/>
      <c r="AQ139" s="44"/>
      <c r="AR139" s="44"/>
      <c r="AS139" s="44"/>
      <c r="AT139" s="44"/>
      <c r="AU139" s="44"/>
      <c r="AV139" s="44"/>
      <c r="AW139" s="44"/>
      <c r="AX139" s="44"/>
      <c r="AY139" s="42"/>
      <c r="AZ139" s="42"/>
      <c r="BA139" s="42"/>
      <c r="BB139" s="42"/>
      <c r="BC139" s="42"/>
      <c r="BD139" s="42"/>
      <c r="BE139" s="42"/>
      <c r="BF139" s="42"/>
      <c r="BG139" s="42"/>
      <c r="BH139" s="42"/>
      <c r="BI139" s="42"/>
      <c r="BJ139" s="42"/>
      <c r="BK139" s="42"/>
      <c r="BL139" s="42"/>
      <c r="BM139" s="42"/>
      <c r="BN139" s="42"/>
      <c r="BO139" s="42"/>
      <c r="BP139" s="42"/>
      <c r="BQ139" s="42"/>
      <c r="BR139" s="42"/>
      <c r="BS139" s="42"/>
      <c r="BT139" s="42"/>
      <c r="BU139" s="42"/>
      <c r="BV139" s="42"/>
      <c r="BW139" s="42"/>
      <c r="BX139" s="42"/>
      <c r="BY139" s="42"/>
      <c r="BZ139" s="42"/>
      <c r="CA139" s="42"/>
      <c r="CB139" s="42"/>
      <c r="CC139" s="42"/>
      <c r="CD139" s="42"/>
      <c r="CE139" s="42"/>
      <c r="CF139" s="42"/>
      <c r="CG139" s="42"/>
      <c r="CH139" s="42"/>
      <c r="CI139" s="42"/>
      <c r="CJ139" s="42"/>
      <c r="CK139" s="42"/>
      <c r="CL139" s="42"/>
      <c r="CM139" s="42"/>
      <c r="CN139" s="42"/>
      <c r="CO139" s="42"/>
      <c r="CP139" s="42"/>
      <c r="CQ139" s="42"/>
      <c r="CR139" s="42"/>
      <c r="CS139" s="42"/>
      <c r="CT139" s="42"/>
      <c r="CU139" s="42"/>
      <c r="CV139" s="42"/>
      <c r="CW139" s="42"/>
      <c r="CX139" s="42"/>
      <c r="CY139" s="42"/>
      <c r="CZ139" s="42"/>
      <c r="DA139" s="42"/>
      <c r="DB139" s="42"/>
      <c r="DC139" s="42"/>
      <c r="DD139" s="42"/>
      <c r="DE139" s="42"/>
      <c r="DF139" s="42"/>
      <c r="DG139" s="42"/>
      <c r="DH139" s="42"/>
      <c r="DI139" s="42"/>
      <c r="DJ139" s="42"/>
      <c r="DK139" s="42"/>
      <c r="DL139" s="42"/>
      <c r="DM139" s="42"/>
      <c r="DN139" s="42"/>
      <c r="DO139" s="42"/>
      <c r="DP139" s="42"/>
      <c r="DQ139" s="42"/>
      <c r="DR139" s="42"/>
      <c r="DS139" s="42"/>
      <c r="DT139" s="42"/>
      <c r="DU139" s="42"/>
      <c r="DV139" s="42"/>
      <c r="DW139" s="42"/>
      <c r="DX139" s="42"/>
      <c r="DY139" s="42"/>
    </row>
    <row r="140" spans="1:129" ht="13.8" thickBot="1" x14ac:dyDescent="0.3">
      <c r="A140" s="44"/>
      <c r="B140" s="44"/>
      <c r="C140" s="44"/>
      <c r="D140" s="44"/>
      <c r="E140" s="44"/>
      <c r="F140" s="44"/>
      <c r="G140" s="44"/>
      <c r="H140" s="44"/>
      <c r="I140" s="44"/>
      <c r="J140" s="70"/>
      <c r="K140" s="70"/>
      <c r="L140" s="70"/>
      <c r="M140" s="70"/>
      <c r="N140" s="70"/>
      <c r="O140" s="44"/>
      <c r="P140" s="67"/>
      <c r="Q140" s="68"/>
      <c r="R140" s="68"/>
      <c r="S140" s="68"/>
      <c r="T140" s="68"/>
      <c r="U140" s="69"/>
      <c r="V140" s="44"/>
      <c r="W140" s="44"/>
      <c r="X140" s="44"/>
      <c r="Y140" s="70"/>
      <c r="Z140" s="70"/>
      <c r="AA140" s="70"/>
      <c r="AB140" s="70"/>
      <c r="AC140" s="70"/>
      <c r="AD140" s="70"/>
      <c r="AE140" s="44"/>
      <c r="AF140" s="44"/>
      <c r="AG140" s="44"/>
      <c r="AH140" s="44"/>
      <c r="AI140" s="44"/>
      <c r="AJ140" s="44"/>
      <c r="AK140" s="57"/>
      <c r="AL140" s="44"/>
      <c r="AM140" s="44"/>
      <c r="AN140" s="44"/>
      <c r="AO140" s="44"/>
      <c r="AP140" s="44"/>
      <c r="AQ140" s="44"/>
      <c r="AR140" s="44"/>
      <c r="AS140" s="44"/>
      <c r="AT140" s="44"/>
      <c r="AU140" s="44"/>
      <c r="AV140" s="44"/>
      <c r="AW140" s="44"/>
      <c r="AX140" s="44"/>
      <c r="AY140" s="42"/>
      <c r="AZ140" s="42"/>
      <c r="BA140" s="42"/>
      <c r="BB140" s="42"/>
      <c r="BC140" s="42"/>
      <c r="BD140" s="42"/>
      <c r="BE140" s="42"/>
      <c r="BF140" s="42"/>
      <c r="BG140" s="42"/>
      <c r="BH140" s="42"/>
      <c r="BI140" s="42"/>
      <c r="BJ140" s="42"/>
      <c r="BK140" s="42"/>
      <c r="BL140" s="42"/>
      <c r="BM140" s="42"/>
      <c r="BN140" s="42"/>
      <c r="BO140" s="42"/>
      <c r="BP140" s="42"/>
      <c r="BQ140" s="42"/>
      <c r="BR140" s="42"/>
      <c r="BS140" s="42"/>
      <c r="BT140" s="42"/>
      <c r="BU140" s="42"/>
      <c r="BV140" s="42"/>
      <c r="BW140" s="42"/>
      <c r="BX140" s="42"/>
      <c r="BY140" s="42"/>
      <c r="BZ140" s="42"/>
      <c r="CA140" s="42"/>
      <c r="CB140" s="42"/>
      <c r="CC140" s="42"/>
      <c r="CD140" s="42"/>
      <c r="CE140" s="42"/>
      <c r="CF140" s="42"/>
      <c r="CG140" s="42"/>
      <c r="CH140" s="42"/>
      <c r="CI140" s="42"/>
      <c r="CJ140" s="42"/>
      <c r="CK140" s="42"/>
      <c r="CL140" s="42"/>
      <c r="CM140" s="42"/>
      <c r="CN140" s="42"/>
      <c r="CO140" s="42"/>
      <c r="CP140" s="42"/>
      <c r="CQ140" s="42"/>
      <c r="CR140" s="42"/>
      <c r="CS140" s="42"/>
      <c r="CT140" s="42"/>
      <c r="CU140" s="42"/>
      <c r="CV140" s="42"/>
      <c r="CW140" s="42"/>
      <c r="CX140" s="42"/>
      <c r="CY140" s="42"/>
      <c r="CZ140" s="42"/>
      <c r="DA140" s="42"/>
      <c r="DB140" s="42"/>
      <c r="DC140" s="42"/>
      <c r="DD140" s="42"/>
      <c r="DE140" s="42"/>
      <c r="DF140" s="42"/>
      <c r="DG140" s="42"/>
      <c r="DH140" s="42"/>
      <c r="DI140" s="42"/>
      <c r="DJ140" s="42"/>
      <c r="DK140" s="42"/>
      <c r="DL140" s="42"/>
      <c r="DM140" s="42"/>
      <c r="DN140" s="42"/>
      <c r="DO140" s="42"/>
      <c r="DP140" s="42"/>
      <c r="DQ140" s="42"/>
      <c r="DR140" s="42"/>
      <c r="DS140" s="42"/>
      <c r="DT140" s="42"/>
      <c r="DU140" s="42"/>
      <c r="DV140" s="42"/>
      <c r="DW140" s="42"/>
      <c r="DX140" s="42"/>
      <c r="DY140" s="42"/>
    </row>
    <row r="141" spans="1:129" ht="13.8" thickBot="1" x14ac:dyDescent="0.3">
      <c r="A141" s="44"/>
      <c r="B141" s="44"/>
      <c r="C141" s="44"/>
      <c r="D141" s="44"/>
      <c r="E141" s="44"/>
      <c r="F141" s="44"/>
      <c r="G141" s="44"/>
      <c r="H141" s="44"/>
      <c r="I141" s="44"/>
      <c r="J141" s="70"/>
      <c r="K141" s="70"/>
      <c r="L141" s="70"/>
      <c r="M141" s="70"/>
      <c r="N141" s="70"/>
      <c r="O141" s="44"/>
      <c r="P141" s="70"/>
      <c r="Q141" s="70"/>
      <c r="R141" s="57"/>
      <c r="S141" s="70"/>
      <c r="T141" s="70"/>
      <c r="U141" s="70"/>
      <c r="V141" s="44"/>
      <c r="W141" s="44"/>
      <c r="X141" s="44"/>
      <c r="Y141" s="70"/>
      <c r="Z141" s="306"/>
      <c r="AA141" s="306"/>
      <c r="AB141" s="306"/>
      <c r="AC141" s="70"/>
      <c r="AD141" s="70"/>
      <c r="AE141" s="44"/>
      <c r="AF141" s="44"/>
      <c r="AG141" s="44"/>
      <c r="AH141" s="44"/>
      <c r="AI141" s="44"/>
      <c r="AJ141" s="44"/>
      <c r="AK141" s="57"/>
      <c r="AL141" s="44"/>
      <c r="AM141" s="44"/>
      <c r="AN141" s="44"/>
      <c r="AO141" s="44"/>
      <c r="AP141" s="44"/>
      <c r="AQ141" s="44"/>
      <c r="AR141" s="44"/>
      <c r="AS141" s="44"/>
      <c r="AT141" s="44"/>
      <c r="AU141" s="44"/>
      <c r="AV141" s="44"/>
      <c r="AW141" s="44"/>
      <c r="AX141" s="44"/>
      <c r="AY141" s="42"/>
      <c r="AZ141" s="42"/>
      <c r="BA141" s="42"/>
      <c r="BB141" s="42"/>
      <c r="BC141" s="42"/>
      <c r="BD141" s="42"/>
      <c r="BE141" s="42"/>
      <c r="BF141" s="42"/>
      <c r="BG141" s="42"/>
      <c r="BH141" s="42"/>
      <c r="BI141" s="42"/>
      <c r="BJ141" s="42"/>
      <c r="BK141" s="42"/>
      <c r="BL141" s="42"/>
      <c r="BM141" s="42"/>
      <c r="BN141" s="42"/>
      <c r="BO141" s="42"/>
      <c r="BP141" s="42"/>
      <c r="BQ141" s="42"/>
      <c r="BR141" s="42"/>
      <c r="BS141" s="42"/>
      <c r="BT141" s="42"/>
      <c r="BU141" s="42"/>
      <c r="BV141" s="42"/>
      <c r="BW141" s="42"/>
      <c r="BX141" s="42"/>
      <c r="BY141" s="42"/>
      <c r="BZ141" s="42"/>
      <c r="CA141" s="42"/>
      <c r="CB141" s="42"/>
      <c r="CC141" s="42"/>
      <c r="CD141" s="42"/>
      <c r="CE141" s="42"/>
      <c r="CF141" s="42"/>
      <c r="CG141" s="42"/>
      <c r="CH141" s="42"/>
      <c r="CI141" s="42"/>
      <c r="CJ141" s="42"/>
      <c r="CK141" s="42"/>
      <c r="CL141" s="42"/>
      <c r="CM141" s="42"/>
      <c r="CN141" s="42"/>
      <c r="CO141" s="42"/>
      <c r="CP141" s="42"/>
      <c r="CQ141" s="42"/>
      <c r="CR141" s="42"/>
      <c r="CS141" s="42"/>
      <c r="CT141" s="42"/>
      <c r="CU141" s="42"/>
      <c r="CV141" s="42"/>
      <c r="CW141" s="42"/>
      <c r="CX141" s="42"/>
      <c r="CY141" s="42"/>
      <c r="CZ141" s="42"/>
      <c r="DA141" s="42"/>
      <c r="DB141" s="42"/>
      <c r="DC141" s="42"/>
      <c r="DD141" s="42"/>
      <c r="DE141" s="42"/>
      <c r="DF141" s="42"/>
      <c r="DG141" s="42"/>
      <c r="DH141" s="42"/>
      <c r="DI141" s="42"/>
      <c r="DJ141" s="42"/>
      <c r="DK141" s="42"/>
      <c r="DL141" s="42"/>
      <c r="DM141" s="42"/>
      <c r="DN141" s="42"/>
      <c r="DO141" s="42"/>
      <c r="DP141" s="42"/>
      <c r="DQ141" s="42"/>
      <c r="DR141" s="42"/>
      <c r="DS141" s="42"/>
      <c r="DT141" s="42"/>
      <c r="DU141" s="42"/>
      <c r="DV141" s="42"/>
      <c r="DW141" s="42"/>
      <c r="DX141" s="42"/>
      <c r="DY141" s="42"/>
    </row>
    <row r="142" spans="1:129" ht="13.8" thickBot="1" x14ac:dyDescent="0.3">
      <c r="A142" s="509"/>
      <c r="B142" s="509"/>
      <c r="C142" s="509"/>
      <c r="D142" s="509"/>
      <c r="E142" s="509"/>
      <c r="F142" s="509"/>
      <c r="G142" s="70"/>
      <c r="H142" s="266"/>
      <c r="I142" s="267"/>
      <c r="J142" s="267"/>
      <c r="K142" s="267"/>
      <c r="L142" s="267"/>
      <c r="M142" s="267"/>
      <c r="N142" s="267"/>
      <c r="O142" s="267"/>
      <c r="P142" s="267"/>
      <c r="Q142" s="267"/>
      <c r="R142" s="267"/>
      <c r="S142" s="272"/>
      <c r="T142" s="267"/>
      <c r="U142" s="267"/>
      <c r="V142" s="267"/>
      <c r="W142" s="267"/>
      <c r="X142" s="267"/>
      <c r="Y142" s="267"/>
      <c r="Z142" s="70"/>
      <c r="AA142" s="70"/>
      <c r="AB142" s="70"/>
      <c r="AC142" s="1562"/>
      <c r="AD142" s="70"/>
      <c r="AE142" s="70"/>
      <c r="AF142" s="70"/>
      <c r="AG142" s="70"/>
      <c r="AH142" s="70"/>
      <c r="AI142" s="70"/>
      <c r="AJ142" s="70"/>
      <c r="AK142" s="70"/>
      <c r="AL142" s="94"/>
      <c r="AM142" s="70"/>
      <c r="AN142" s="44"/>
      <c r="AO142" s="44"/>
      <c r="AP142" s="44"/>
      <c r="AQ142" s="44"/>
      <c r="AR142" s="44"/>
      <c r="AS142" s="44"/>
      <c r="AT142" s="44"/>
      <c r="AU142" s="44"/>
      <c r="AV142" s="44"/>
      <c r="AW142" s="44"/>
      <c r="AX142" s="44"/>
      <c r="AY142"/>
      <c r="AZ142"/>
      <c r="BA142"/>
      <c r="BB142"/>
      <c r="BC142"/>
      <c r="BD142"/>
      <c r="BE142"/>
      <c r="BF142"/>
      <c r="BG142"/>
      <c r="BH142"/>
      <c r="BI142"/>
      <c r="BJ142"/>
    </row>
    <row r="143" spans="1:129" x14ac:dyDescent="0.25">
      <c r="A143" s="509"/>
      <c r="B143" s="509"/>
      <c r="C143" s="509"/>
      <c r="D143" s="509"/>
      <c r="E143" s="509"/>
      <c r="F143" s="509"/>
      <c r="G143" s="44"/>
      <c r="H143" s="269"/>
      <c r="I143" s="70"/>
      <c r="J143" s="70"/>
      <c r="K143" s="70"/>
      <c r="L143" s="70"/>
      <c r="M143" s="70"/>
      <c r="N143" s="70"/>
      <c r="O143" s="70"/>
      <c r="P143" s="300"/>
      <c r="Q143" s="58"/>
      <c r="R143" s="58"/>
      <c r="S143" s="58"/>
      <c r="T143" s="58"/>
      <c r="U143" s="59"/>
      <c r="V143" s="827"/>
      <c r="W143" s="44"/>
      <c r="X143" s="44"/>
      <c r="Y143" s="44"/>
      <c r="Z143" s="70"/>
      <c r="AA143" s="70"/>
      <c r="AB143" s="70"/>
      <c r="AC143" s="270"/>
      <c r="AD143" s="70"/>
      <c r="AE143" s="70"/>
      <c r="AF143" s="70"/>
      <c r="AG143" s="70"/>
      <c r="AH143" s="70"/>
      <c r="AI143" s="70"/>
      <c r="AJ143" s="70"/>
      <c r="AK143" s="70"/>
      <c r="AL143" s="94"/>
      <c r="AM143" s="70"/>
      <c r="AN143" s="44"/>
      <c r="AO143" s="44"/>
      <c r="AP143" s="44"/>
      <c r="AQ143" s="44"/>
      <c r="AR143" s="44"/>
      <c r="AS143" s="44"/>
      <c r="AT143" s="44"/>
      <c r="AU143" s="44"/>
      <c r="AV143" s="44"/>
      <c r="AW143" s="44"/>
      <c r="AX143" s="44"/>
      <c r="AY143"/>
      <c r="AZ143"/>
      <c r="BA143"/>
      <c r="BB143"/>
      <c r="BC143"/>
      <c r="BD143"/>
      <c r="BE143"/>
      <c r="BF143"/>
      <c r="BG143"/>
      <c r="BH143"/>
      <c r="BI143"/>
      <c r="BJ143"/>
    </row>
    <row r="144" spans="1:129" x14ac:dyDescent="0.25">
      <c r="A144" s="509"/>
      <c r="B144" s="509"/>
      <c r="C144" s="509"/>
      <c r="D144" s="509"/>
      <c r="E144" s="509"/>
      <c r="F144" s="509"/>
      <c r="G144" s="44"/>
      <c r="H144" s="269"/>
      <c r="I144" s="70"/>
      <c r="J144" s="70"/>
      <c r="K144" s="70"/>
      <c r="L144" s="70"/>
      <c r="M144" s="70"/>
      <c r="N144" s="70"/>
      <c r="O144" s="70"/>
      <c r="P144" s="1583" t="s">
        <v>1777</v>
      </c>
      <c r="Q144" s="1584"/>
      <c r="R144" s="1584"/>
      <c r="S144" s="1584"/>
      <c r="T144" s="1584"/>
      <c r="U144" s="1585"/>
      <c r="V144" s="827"/>
      <c r="W144" s="44"/>
      <c r="X144" s="44"/>
      <c r="Y144" s="44"/>
      <c r="Z144" s="70"/>
      <c r="AA144" s="70"/>
      <c r="AB144" s="70"/>
      <c r="AC144" s="270"/>
      <c r="AD144" s="70"/>
      <c r="AE144" s="70"/>
      <c r="AF144" s="70"/>
      <c r="AG144" s="70"/>
      <c r="AH144" s="70"/>
      <c r="AI144" s="70"/>
      <c r="AJ144" s="70"/>
      <c r="AK144" s="70"/>
      <c r="AL144" s="94"/>
      <c r="AM144" s="70"/>
      <c r="AN144" s="44"/>
      <c r="AO144" s="44"/>
      <c r="AP144" s="44"/>
      <c r="AQ144" s="44"/>
      <c r="AR144" s="44"/>
      <c r="AS144" s="44"/>
      <c r="AT144" s="44"/>
      <c r="AU144" s="44"/>
      <c r="AV144" s="44"/>
      <c r="AW144" s="44"/>
      <c r="AX144" s="44"/>
      <c r="AY144"/>
      <c r="AZ144"/>
      <c r="BA144"/>
      <c r="BB144"/>
      <c r="BC144"/>
      <c r="BD144"/>
      <c r="BE144"/>
      <c r="BF144"/>
      <c r="BG144"/>
      <c r="BH144"/>
      <c r="BI144"/>
      <c r="BJ144"/>
    </row>
    <row r="145" spans="1:62" x14ac:dyDescent="0.25">
      <c r="A145" s="509"/>
      <c r="B145" s="509"/>
      <c r="C145" s="509"/>
      <c r="D145" s="509"/>
      <c r="E145" s="509"/>
      <c r="F145" s="509"/>
      <c r="G145" s="44"/>
      <c r="H145" s="269"/>
      <c r="I145" s="70"/>
      <c r="J145" s="70"/>
      <c r="K145" s="70"/>
      <c r="L145" s="70"/>
      <c r="M145" s="70"/>
      <c r="N145" s="70"/>
      <c r="O145" s="70"/>
      <c r="P145" s="60"/>
      <c r="Q145" s="899"/>
      <c r="R145" s="899"/>
      <c r="S145" s="899"/>
      <c r="T145" s="899"/>
      <c r="U145" s="62"/>
      <c r="V145" s="827"/>
      <c r="W145" s="44"/>
      <c r="X145" s="44"/>
      <c r="Y145" s="44"/>
      <c r="Z145" s="70"/>
      <c r="AA145" s="70"/>
      <c r="AB145" s="70"/>
      <c r="AC145" s="270"/>
      <c r="AD145" s="70"/>
      <c r="AE145" s="70"/>
      <c r="AF145" s="70"/>
      <c r="AG145" s="70"/>
      <c r="AH145" s="70"/>
      <c r="AI145" s="70"/>
      <c r="AJ145" s="70"/>
      <c r="AK145" s="70"/>
      <c r="AL145" s="94"/>
      <c r="AM145" s="70"/>
      <c r="AN145" s="44"/>
      <c r="AO145" s="44"/>
      <c r="AP145" s="44"/>
      <c r="AQ145" s="44"/>
      <c r="AR145" s="44"/>
      <c r="AS145" s="44"/>
      <c r="AT145" s="44"/>
      <c r="AU145" s="44"/>
      <c r="AV145" s="44"/>
      <c r="AW145" s="44"/>
      <c r="AX145" s="44"/>
      <c r="AY145"/>
      <c r="AZ145"/>
      <c r="BA145"/>
      <c r="BB145"/>
      <c r="BC145"/>
      <c r="BD145"/>
      <c r="BE145"/>
      <c r="BF145"/>
      <c r="BG145"/>
      <c r="BH145"/>
      <c r="BI145"/>
      <c r="BJ145"/>
    </row>
    <row r="146" spans="1:62" x14ac:dyDescent="0.25">
      <c r="A146" s="509"/>
      <c r="B146" s="509"/>
      <c r="C146" s="509"/>
      <c r="D146" s="509"/>
      <c r="E146" s="509"/>
      <c r="F146" s="509"/>
      <c r="G146" s="44"/>
      <c r="H146" s="269"/>
      <c r="I146" s="70"/>
      <c r="J146" s="70"/>
      <c r="K146" s="70"/>
      <c r="L146" s="70"/>
      <c r="M146" s="70"/>
      <c r="N146" s="70"/>
      <c r="O146" s="70"/>
      <c r="P146" s="60"/>
      <c r="Q146" s="899"/>
      <c r="R146" s="903" t="s">
        <v>557</v>
      </c>
      <c r="S146" s="1289">
        <f>final_chop_elec</f>
        <v>7.9</v>
      </c>
      <c r="T146" s="1504" t="s">
        <v>1717</v>
      </c>
      <c r="U146" s="62"/>
      <c r="V146" s="827"/>
      <c r="W146" s="44"/>
      <c r="X146" s="44"/>
      <c r="Y146" s="44"/>
      <c r="Z146" s="70"/>
      <c r="AA146" s="70"/>
      <c r="AB146" s="70"/>
      <c r="AC146" s="270"/>
      <c r="AD146" s="70"/>
      <c r="AE146" s="70"/>
      <c r="AF146" s="70"/>
      <c r="AG146" s="70"/>
      <c r="AH146" s="70"/>
      <c r="AI146" s="70"/>
      <c r="AJ146" s="70"/>
      <c r="AK146" s="70"/>
      <c r="AL146" s="94"/>
      <c r="AM146" s="70"/>
      <c r="AN146" s="44"/>
      <c r="AO146" s="44"/>
      <c r="AP146" s="44"/>
      <c r="AQ146" s="44"/>
      <c r="AR146" s="44"/>
      <c r="AS146" s="44"/>
      <c r="AT146" s="44"/>
      <c r="AU146" s="44"/>
      <c r="AV146" s="44"/>
      <c r="AW146" s="44"/>
      <c r="AX146" s="44"/>
      <c r="AY146"/>
      <c r="AZ146"/>
      <c r="BA146"/>
      <c r="BB146"/>
      <c r="BC146"/>
      <c r="BD146"/>
      <c r="BE146"/>
      <c r="BF146"/>
      <c r="BG146"/>
      <c r="BH146"/>
      <c r="BI146"/>
      <c r="BJ146"/>
    </row>
    <row r="147" spans="1:62" x14ac:dyDescent="0.25">
      <c r="A147" s="509"/>
      <c r="B147" s="509"/>
      <c r="C147" s="509"/>
      <c r="D147" s="509"/>
      <c r="E147" s="509"/>
      <c r="F147" s="509"/>
      <c r="G147" s="44"/>
      <c r="H147" s="269"/>
      <c r="I147" s="70"/>
      <c r="J147" s="70"/>
      <c r="K147" s="70"/>
      <c r="L147" s="70"/>
      <c r="M147" s="70"/>
      <c r="N147" s="70"/>
      <c r="O147" s="70"/>
      <c r="P147" s="60"/>
      <c r="Q147" s="899"/>
      <c r="R147" s="901"/>
      <c r="S147" s="899"/>
      <c r="T147" s="899"/>
      <c r="U147" s="62"/>
      <c r="V147" s="827"/>
      <c r="W147" s="44"/>
      <c r="X147" s="44"/>
      <c r="Y147" s="44"/>
      <c r="Z147" s="70"/>
      <c r="AA147" s="70"/>
      <c r="AB147" s="70"/>
      <c r="AC147" s="270"/>
      <c r="AD147" s="70"/>
      <c r="AE147" s="70"/>
      <c r="AF147" s="70"/>
      <c r="AG147" s="70"/>
      <c r="AH147" s="70"/>
      <c r="AI147" s="70"/>
      <c r="AJ147" s="70"/>
      <c r="AK147" s="70"/>
      <c r="AL147" s="94"/>
      <c r="AM147" s="70"/>
      <c r="AN147" s="44"/>
      <c r="AO147" s="44"/>
      <c r="AP147" s="44"/>
      <c r="AQ147" s="44"/>
      <c r="AR147" s="44"/>
      <c r="AS147" s="44"/>
      <c r="AT147" s="44"/>
      <c r="AU147" s="44"/>
      <c r="AV147" s="44"/>
      <c r="AW147" s="44"/>
      <c r="AX147" s="44"/>
      <c r="AY147"/>
      <c r="AZ147"/>
      <c r="BA147"/>
      <c r="BB147"/>
      <c r="BC147"/>
      <c r="BD147"/>
      <c r="BE147"/>
      <c r="BF147"/>
      <c r="BG147"/>
      <c r="BH147"/>
      <c r="BI147"/>
      <c r="BJ147"/>
    </row>
    <row r="148" spans="1:62" x14ac:dyDescent="0.25">
      <c r="A148" s="509"/>
      <c r="B148" s="509"/>
      <c r="C148" s="509"/>
      <c r="D148" s="509"/>
      <c r="E148" s="509"/>
      <c r="F148" s="509"/>
      <c r="G148" s="44"/>
      <c r="H148" s="269"/>
      <c r="I148" s="70"/>
      <c r="J148" s="70"/>
      <c r="K148" s="70"/>
      <c r="L148" s="70"/>
      <c r="M148" s="70"/>
      <c r="N148" s="70"/>
      <c r="O148" s="70"/>
      <c r="P148" s="60"/>
      <c r="Q148" s="899"/>
      <c r="R148" s="64" t="s">
        <v>163</v>
      </c>
      <c r="S148" s="301">
        <f>final_chop_loss</f>
        <v>0</v>
      </c>
      <c r="T148" s="80" t="s">
        <v>160</v>
      </c>
      <c r="U148" s="62"/>
      <c r="V148" s="827"/>
      <c r="W148" s="44"/>
      <c r="X148" s="44"/>
      <c r="Y148" s="44"/>
      <c r="Z148" s="70"/>
      <c r="AA148" s="70"/>
      <c r="AB148" s="70"/>
      <c r="AC148" s="270"/>
      <c r="AD148" s="70"/>
      <c r="AE148" s="70"/>
      <c r="AF148" s="70"/>
      <c r="AG148" s="70"/>
      <c r="AH148" s="70"/>
      <c r="AI148" s="70"/>
      <c r="AJ148" s="70"/>
      <c r="AK148" s="70"/>
      <c r="AL148" s="94"/>
      <c r="AM148" s="70"/>
      <c r="AN148" s="44"/>
      <c r="AO148" s="44"/>
      <c r="AP148" s="44"/>
      <c r="AQ148" s="44"/>
      <c r="AR148" s="44"/>
      <c r="AS148" s="44"/>
      <c r="AT148" s="44"/>
      <c r="AU148" s="44"/>
      <c r="AV148" s="44"/>
      <c r="AW148" s="44"/>
      <c r="AX148" s="44"/>
      <c r="AY148"/>
      <c r="AZ148"/>
      <c r="BA148"/>
      <c r="BB148"/>
      <c r="BC148"/>
      <c r="BD148"/>
      <c r="BE148"/>
      <c r="BF148"/>
      <c r="BG148"/>
      <c r="BH148"/>
      <c r="BI148"/>
      <c r="BJ148"/>
    </row>
    <row r="149" spans="1:62" ht="13.8" thickBot="1" x14ac:dyDescent="0.3">
      <c r="A149" s="509"/>
      <c r="B149" s="509"/>
      <c r="C149" s="509"/>
      <c r="D149" s="509"/>
      <c r="E149" s="509"/>
      <c r="F149" s="509"/>
      <c r="G149" s="44"/>
      <c r="H149" s="269"/>
      <c r="I149" s="70"/>
      <c r="J149" s="70"/>
      <c r="K149" s="70"/>
      <c r="L149" s="70"/>
      <c r="M149" s="70"/>
      <c r="N149" s="70"/>
      <c r="O149" s="70"/>
      <c r="P149" s="67"/>
      <c r="Q149" s="258"/>
      <c r="R149" s="259"/>
      <c r="S149" s="302"/>
      <c r="T149" s="68"/>
      <c r="U149" s="303"/>
      <c r="V149" s="827"/>
      <c r="W149" s="44"/>
      <c r="X149" s="44"/>
      <c r="Y149" s="44"/>
      <c r="Z149" s="70"/>
      <c r="AA149" s="70"/>
      <c r="AB149" s="70"/>
      <c r="AC149" s="270"/>
      <c r="AD149" s="70"/>
      <c r="AE149" s="70"/>
      <c r="AF149" s="70"/>
      <c r="AG149" s="70"/>
      <c r="AH149" s="70"/>
      <c r="AI149" s="70"/>
      <c r="AJ149" s="70"/>
      <c r="AK149" s="70"/>
      <c r="AL149" s="94"/>
      <c r="AM149" s="70"/>
      <c r="AN149" s="44"/>
      <c r="AO149" s="44"/>
      <c r="AP149" s="44"/>
      <c r="AQ149" s="44"/>
      <c r="AR149" s="44"/>
      <c r="AS149" s="44"/>
      <c r="AT149" s="44"/>
      <c r="AU149" s="44"/>
      <c r="AV149" s="44"/>
      <c r="AW149" s="44"/>
      <c r="AX149" s="44"/>
      <c r="AY149"/>
      <c r="AZ149"/>
      <c r="BA149"/>
      <c r="BB149"/>
      <c r="BC149"/>
      <c r="BD149"/>
      <c r="BE149"/>
      <c r="BF149"/>
      <c r="BG149"/>
      <c r="BH149"/>
      <c r="BI149"/>
      <c r="BJ149"/>
    </row>
    <row r="150" spans="1:62" x14ac:dyDescent="0.25">
      <c r="A150" s="509"/>
      <c r="B150" s="509"/>
      <c r="C150" s="509"/>
      <c r="D150" s="509"/>
      <c r="E150" s="509"/>
      <c r="F150" s="509"/>
      <c r="G150" s="44"/>
      <c r="H150" s="269"/>
      <c r="I150" s="70"/>
      <c r="J150" s="70"/>
      <c r="K150" s="70"/>
      <c r="L150" s="70"/>
      <c r="M150" s="70"/>
      <c r="N150" s="70"/>
      <c r="O150" s="70"/>
      <c r="P150" s="70"/>
      <c r="Q150" s="70"/>
      <c r="R150" s="70"/>
      <c r="S150" s="94"/>
      <c r="T150" s="70"/>
      <c r="U150" s="70"/>
      <c r="V150" s="827"/>
      <c r="W150" s="44"/>
      <c r="X150" s="44"/>
      <c r="Y150" s="44"/>
      <c r="Z150" s="70"/>
      <c r="AA150" s="70"/>
      <c r="AB150" s="70"/>
      <c r="AC150" s="270"/>
      <c r="AD150" s="70"/>
      <c r="AE150" s="70"/>
      <c r="AF150" s="70"/>
      <c r="AG150" s="70"/>
      <c r="AH150" s="70"/>
      <c r="AI150" s="70"/>
      <c r="AJ150" s="70"/>
      <c r="AK150" s="70"/>
      <c r="AL150" s="94"/>
      <c r="AM150" s="70"/>
      <c r="AN150" s="44"/>
      <c r="AO150" s="44"/>
      <c r="AP150" s="44"/>
      <c r="AQ150" s="44"/>
      <c r="AR150" s="44"/>
      <c r="AS150" s="44"/>
      <c r="AT150" s="44"/>
      <c r="AU150" s="44"/>
      <c r="AV150" s="44"/>
      <c r="AW150" s="44"/>
      <c r="AX150" s="44"/>
      <c r="AY150"/>
      <c r="AZ150"/>
      <c r="BA150"/>
      <c r="BB150"/>
      <c r="BC150"/>
      <c r="BD150"/>
      <c r="BE150"/>
      <c r="BF150"/>
      <c r="BG150"/>
      <c r="BH150"/>
      <c r="BI150"/>
      <c r="BJ150"/>
    </row>
    <row r="151" spans="1:62" x14ac:dyDescent="0.25">
      <c r="A151" s="509"/>
      <c r="B151" s="509"/>
      <c r="C151" s="509"/>
      <c r="D151" s="509"/>
      <c r="E151" s="509"/>
      <c r="F151" s="509"/>
      <c r="G151" s="44"/>
      <c r="H151" s="269"/>
      <c r="I151" s="70"/>
      <c r="J151" s="70"/>
      <c r="K151" s="70"/>
      <c r="L151" s="70"/>
      <c r="M151" s="70"/>
      <c r="N151" s="70"/>
      <c r="O151" s="70"/>
      <c r="P151" s="70"/>
      <c r="Q151" s="70"/>
      <c r="R151" s="70"/>
      <c r="S151" s="94"/>
      <c r="T151" s="70"/>
      <c r="U151" s="70"/>
      <c r="V151" s="827"/>
      <c r="W151" s="44"/>
      <c r="X151" s="44"/>
      <c r="Y151" s="44"/>
      <c r="Z151" s="70"/>
      <c r="AA151" s="70"/>
      <c r="AB151" s="70"/>
      <c r="AC151" s="270"/>
      <c r="AD151" s="70"/>
      <c r="AE151" s="70"/>
      <c r="AF151" s="70"/>
      <c r="AG151" s="70"/>
      <c r="AH151" s="70"/>
      <c r="AI151" s="70"/>
      <c r="AJ151" s="70"/>
      <c r="AK151" s="70"/>
      <c r="AL151" s="94"/>
      <c r="AM151" s="70"/>
      <c r="AN151" s="44"/>
      <c r="AO151" s="44"/>
      <c r="AP151" s="44"/>
      <c r="AQ151" s="44"/>
      <c r="AR151" s="44"/>
      <c r="AS151" s="44"/>
      <c r="AT151" s="44"/>
      <c r="AU151" s="44"/>
      <c r="AV151" s="44"/>
      <c r="AW151" s="44"/>
      <c r="AX151" s="44"/>
      <c r="AY151"/>
      <c r="AZ151"/>
      <c r="BA151"/>
      <c r="BB151"/>
      <c r="BC151"/>
      <c r="BD151"/>
      <c r="BE151"/>
      <c r="BF151"/>
      <c r="BG151"/>
      <c r="BH151"/>
      <c r="BI151"/>
      <c r="BJ151"/>
    </row>
    <row r="152" spans="1:62" x14ac:dyDescent="0.25">
      <c r="A152" s="509"/>
      <c r="B152" s="509"/>
      <c r="C152" s="509"/>
      <c r="D152" s="509"/>
      <c r="E152" s="509"/>
      <c r="F152" s="509"/>
      <c r="G152" s="44"/>
      <c r="H152" s="269"/>
      <c r="I152" s="70"/>
      <c r="J152" s="70"/>
      <c r="K152" s="70"/>
      <c r="L152" s="70"/>
      <c r="M152" s="70"/>
      <c r="N152" s="70"/>
      <c r="O152" s="70"/>
      <c r="P152" s="234"/>
      <c r="Q152" s="46"/>
      <c r="R152" s="46"/>
      <c r="S152" s="46"/>
      <c r="T152" s="46"/>
      <c r="U152" s="47"/>
      <c r="V152" s="827"/>
      <c r="W152" s="44"/>
      <c r="X152" s="44"/>
      <c r="Y152" s="44"/>
      <c r="Z152" s="70"/>
      <c r="AA152" s="70"/>
      <c r="AB152" s="70"/>
      <c r="AC152" s="270"/>
      <c r="AD152" s="70"/>
      <c r="AE152" s="70"/>
      <c r="AF152" s="70"/>
      <c r="AG152" s="70"/>
      <c r="AH152" s="70"/>
      <c r="AI152" s="70"/>
      <c r="AJ152" s="70"/>
      <c r="AK152" s="70"/>
      <c r="AL152" s="94"/>
      <c r="AM152" s="70"/>
      <c r="AN152" s="44"/>
      <c r="AO152" s="44"/>
      <c r="AP152" s="44"/>
      <c r="AQ152" s="44"/>
      <c r="AR152" s="44"/>
      <c r="AS152" s="44"/>
      <c r="AT152" s="44"/>
      <c r="AU152" s="44"/>
      <c r="AV152" s="44"/>
      <c r="AW152" s="44"/>
      <c r="AX152" s="44"/>
      <c r="AY152"/>
      <c r="AZ152"/>
      <c r="BA152"/>
      <c r="BB152"/>
      <c r="BC152"/>
      <c r="BD152"/>
      <c r="BE152"/>
      <c r="BF152"/>
      <c r="BG152"/>
      <c r="BH152"/>
      <c r="BI152"/>
      <c r="BJ152"/>
    </row>
    <row r="153" spans="1:62" x14ac:dyDescent="0.25">
      <c r="A153" s="509"/>
      <c r="B153" s="509"/>
      <c r="C153" s="509"/>
      <c r="D153" s="509"/>
      <c r="E153" s="509"/>
      <c r="F153" s="509"/>
      <c r="G153" s="44"/>
      <c r="H153" s="269"/>
      <c r="I153" s="70"/>
      <c r="J153" s="70"/>
      <c r="K153" s="70"/>
      <c r="L153" s="70"/>
      <c r="M153" s="70"/>
      <c r="N153" s="70"/>
      <c r="O153" s="70"/>
      <c r="P153" s="48"/>
      <c r="Q153" s="900"/>
      <c r="R153" s="980" t="s">
        <v>1786</v>
      </c>
      <c r="S153" s="78">
        <f>S72*(100-S148)/100</f>
        <v>1</v>
      </c>
      <c r="T153" s="925" t="s">
        <v>1721</v>
      </c>
      <c r="U153" s="51"/>
      <c r="V153" s="827"/>
      <c r="W153" s="44"/>
      <c r="X153" s="44"/>
      <c r="Y153" s="44"/>
      <c r="Z153" s="70"/>
      <c r="AA153" s="70"/>
      <c r="AB153" s="70"/>
      <c r="AC153" s="270"/>
      <c r="AD153" s="70"/>
      <c r="AE153" s="70"/>
      <c r="AF153" s="70"/>
      <c r="AG153" s="70"/>
      <c r="AH153" s="70"/>
      <c r="AI153" s="70"/>
      <c r="AJ153" s="70"/>
      <c r="AK153" s="70"/>
      <c r="AL153" s="94"/>
      <c r="AM153" s="70"/>
      <c r="AN153" s="44"/>
      <c r="AO153" s="44"/>
      <c r="AP153" s="44"/>
      <c r="AQ153" s="44"/>
      <c r="AR153" s="44"/>
      <c r="AS153" s="44"/>
      <c r="AT153" s="44"/>
      <c r="AU153" s="44"/>
      <c r="AV153" s="44"/>
      <c r="AW153" s="44"/>
      <c r="AX153" s="44"/>
      <c r="AY153"/>
      <c r="AZ153"/>
      <c r="BA153"/>
      <c r="BB153"/>
      <c r="BC153"/>
      <c r="BD153"/>
      <c r="BE153"/>
      <c r="BF153"/>
      <c r="BG153"/>
      <c r="BH153"/>
      <c r="BI153"/>
      <c r="BJ153"/>
    </row>
    <row r="154" spans="1:62" x14ac:dyDescent="0.25">
      <c r="A154" s="509"/>
      <c r="B154" s="509"/>
      <c r="C154" s="509"/>
      <c r="D154" s="509"/>
      <c r="E154" s="509"/>
      <c r="F154" s="509"/>
      <c r="G154" s="44"/>
      <c r="H154" s="269"/>
      <c r="I154" s="70"/>
      <c r="J154" s="70"/>
      <c r="K154" s="70"/>
      <c r="L154" s="70"/>
      <c r="M154" s="70"/>
      <c r="N154" s="70"/>
      <c r="O154" s="70"/>
      <c r="P154" s="48"/>
      <c r="Q154" s="1434"/>
      <c r="R154" s="1435"/>
      <c r="S154" s="1435"/>
      <c r="T154" s="925"/>
      <c r="U154" s="51"/>
      <c r="V154" s="827"/>
      <c r="W154" s="44"/>
      <c r="X154" s="44"/>
      <c r="Y154" s="44"/>
      <c r="Z154" s="70"/>
      <c r="AA154" s="70"/>
      <c r="AB154" s="70"/>
      <c r="AC154" s="270"/>
      <c r="AD154" s="70"/>
      <c r="AE154" s="70"/>
      <c r="AF154" s="70"/>
      <c r="AG154" s="70"/>
      <c r="AH154" s="70"/>
      <c r="AI154" s="70"/>
      <c r="AJ154" s="70"/>
      <c r="AK154" s="70"/>
      <c r="AL154" s="94"/>
      <c r="AM154" s="70"/>
      <c r="AN154" s="44"/>
      <c r="AO154" s="44"/>
      <c r="AP154" s="44"/>
      <c r="AQ154" s="44"/>
      <c r="AR154" s="44"/>
      <c r="AS154" s="44"/>
      <c r="AT154" s="44"/>
      <c r="AU154" s="44"/>
      <c r="AV154" s="44"/>
      <c r="AW154" s="44"/>
      <c r="AX154" s="44"/>
      <c r="AY154"/>
      <c r="AZ154"/>
      <c r="BA154"/>
      <c r="BB154"/>
      <c r="BC154"/>
      <c r="BD154"/>
      <c r="BE154"/>
      <c r="BF154"/>
      <c r="BG154"/>
      <c r="BH154"/>
      <c r="BI154"/>
      <c r="BJ154"/>
    </row>
    <row r="155" spans="1:62" x14ac:dyDescent="0.25">
      <c r="A155" s="509"/>
      <c r="B155" s="509"/>
      <c r="C155" s="509"/>
      <c r="D155" s="509"/>
      <c r="E155" s="509"/>
      <c r="F155" s="509"/>
      <c r="G155" s="44"/>
      <c r="H155" s="269"/>
      <c r="I155" s="70"/>
      <c r="J155" s="70"/>
      <c r="K155" s="70"/>
      <c r="L155" s="70"/>
      <c r="M155" s="70"/>
      <c r="N155" s="70"/>
      <c r="O155" s="70"/>
      <c r="P155" s="48"/>
      <c r="Q155" s="1434"/>
      <c r="R155" s="1435" t="s">
        <v>1787</v>
      </c>
      <c r="S155" s="110">
        <f>S26</f>
        <v>68</v>
      </c>
      <c r="T155" s="925" t="s">
        <v>285</v>
      </c>
      <c r="U155" s="51"/>
      <c r="V155" s="827"/>
      <c r="W155" s="44"/>
      <c r="X155" s="44"/>
      <c r="Y155" s="44"/>
      <c r="Z155" s="70"/>
      <c r="AA155" s="70"/>
      <c r="AB155" s="70"/>
      <c r="AC155" s="270"/>
      <c r="AD155" s="70"/>
      <c r="AE155" s="70"/>
      <c r="AF155" s="70"/>
      <c r="AG155" s="70"/>
      <c r="AH155" s="70"/>
      <c r="AI155" s="70"/>
      <c r="AJ155" s="70"/>
      <c r="AK155" s="70"/>
      <c r="AL155" s="94"/>
      <c r="AM155" s="70"/>
      <c r="AN155" s="44"/>
      <c r="AO155" s="44"/>
      <c r="AP155" s="44"/>
      <c r="AQ155" s="44"/>
      <c r="AR155" s="44"/>
      <c r="AS155" s="44"/>
      <c r="AT155" s="44"/>
      <c r="AU155" s="44"/>
      <c r="AV155" s="44"/>
      <c r="AW155" s="44"/>
      <c r="AX155" s="44"/>
      <c r="AY155"/>
      <c r="AZ155"/>
      <c r="BA155"/>
      <c r="BB155"/>
      <c r="BC155"/>
      <c r="BD155"/>
      <c r="BE155"/>
      <c r="BF155"/>
      <c r="BG155"/>
      <c r="BH155"/>
      <c r="BI155"/>
      <c r="BJ155"/>
    </row>
    <row r="156" spans="1:62" x14ac:dyDescent="0.25">
      <c r="A156" s="509"/>
      <c r="B156" s="509"/>
      <c r="C156" s="509"/>
      <c r="D156" s="509"/>
      <c r="E156" s="509"/>
      <c r="F156" s="509"/>
      <c r="G156" s="44"/>
      <c r="H156" s="269"/>
      <c r="I156" s="70"/>
      <c r="J156" s="70"/>
      <c r="K156" s="70"/>
      <c r="L156" s="70"/>
      <c r="M156" s="70"/>
      <c r="N156" s="70"/>
      <c r="O156" s="70"/>
      <c r="P156" s="54"/>
      <c r="Q156" s="539"/>
      <c r="R156" s="932"/>
      <c r="S156" s="55"/>
      <c r="T156" s="933"/>
      <c r="U156" s="56"/>
      <c r="V156" s="827"/>
      <c r="W156" s="44"/>
      <c r="X156" s="44"/>
      <c r="Y156" s="44"/>
      <c r="Z156" s="70"/>
      <c r="AA156" s="70"/>
      <c r="AB156" s="70"/>
      <c r="AC156" s="270"/>
      <c r="AD156" s="70"/>
      <c r="AE156" s="70"/>
      <c r="AF156" s="70"/>
      <c r="AG156" s="70"/>
      <c r="AH156" s="70"/>
      <c r="AI156" s="70"/>
      <c r="AJ156" s="70"/>
      <c r="AK156" s="70"/>
      <c r="AL156" s="94"/>
      <c r="AM156" s="70"/>
      <c r="AN156" s="44"/>
      <c r="AO156" s="44"/>
      <c r="AP156" s="44"/>
      <c r="AQ156" s="44"/>
      <c r="AR156" s="44"/>
      <c r="AS156" s="44"/>
      <c r="AT156" s="44"/>
      <c r="AU156" s="44"/>
      <c r="AV156" s="44"/>
      <c r="AW156" s="44"/>
      <c r="AX156" s="44"/>
      <c r="AY156"/>
      <c r="AZ156"/>
      <c r="BA156"/>
      <c r="BB156"/>
      <c r="BC156"/>
      <c r="BD156"/>
      <c r="BE156"/>
      <c r="BF156"/>
      <c r="BG156"/>
      <c r="BH156"/>
      <c r="BI156"/>
      <c r="BJ156"/>
    </row>
    <row r="157" spans="1:62" x14ac:dyDescent="0.25">
      <c r="A157" s="509"/>
      <c r="B157" s="509"/>
      <c r="C157" s="509"/>
      <c r="D157" s="509"/>
      <c r="E157" s="509"/>
      <c r="F157" s="509"/>
      <c r="G157" s="44"/>
      <c r="H157" s="269"/>
      <c r="I157" s="70"/>
      <c r="J157" s="70"/>
      <c r="K157" s="70"/>
      <c r="L157" s="70"/>
      <c r="M157" s="70"/>
      <c r="N157" s="70"/>
      <c r="O157" s="70"/>
      <c r="P157" s="70"/>
      <c r="Q157" s="70"/>
      <c r="R157" s="70"/>
      <c r="S157" s="94"/>
      <c r="T157" s="70"/>
      <c r="U157" s="70"/>
      <c r="V157" s="827"/>
      <c r="W157" s="44"/>
      <c r="X157" s="44"/>
      <c r="Y157" s="44"/>
      <c r="Z157" s="70"/>
      <c r="AA157" s="70"/>
      <c r="AB157" s="70"/>
      <c r="AC157" s="270"/>
      <c r="AD157" s="70"/>
      <c r="AE157" s="70"/>
      <c r="AF157" s="70"/>
      <c r="AG157" s="70"/>
      <c r="AH157" s="70"/>
      <c r="AI157" s="70"/>
      <c r="AJ157" s="70"/>
      <c r="AK157" s="70"/>
      <c r="AL157" s="94"/>
      <c r="AM157" s="70"/>
      <c r="AN157" s="44"/>
      <c r="AO157" s="44"/>
      <c r="AP157" s="44"/>
      <c r="AQ157" s="44"/>
      <c r="AR157" s="44"/>
      <c r="AS157" s="44"/>
      <c r="AT157" s="44"/>
      <c r="AU157" s="44"/>
      <c r="AV157" s="44"/>
      <c r="AW157" s="44"/>
      <c r="AX157" s="44"/>
      <c r="AY157"/>
      <c r="AZ157"/>
      <c r="BA157"/>
      <c r="BB157"/>
      <c r="BC157"/>
      <c r="BD157"/>
      <c r="BE157"/>
      <c r="BF157"/>
      <c r="BG157"/>
      <c r="BH157"/>
      <c r="BI157"/>
      <c r="BJ157"/>
    </row>
    <row r="158" spans="1:62" ht="13.8" thickBot="1" x14ac:dyDescent="0.3">
      <c r="A158" s="509"/>
      <c r="B158" s="509"/>
      <c r="C158" s="509"/>
      <c r="D158" s="509"/>
      <c r="E158" s="509"/>
      <c r="F158" s="509"/>
      <c r="G158" s="44"/>
      <c r="H158" s="269"/>
      <c r="I158" s="70"/>
      <c r="J158" s="70"/>
      <c r="K158" s="70"/>
      <c r="L158" s="70"/>
      <c r="M158" s="70"/>
      <c r="N158" s="70"/>
      <c r="O158" s="70"/>
      <c r="P158" s="70"/>
      <c r="Q158" s="70"/>
      <c r="R158" s="70"/>
      <c r="S158" s="246"/>
      <c r="T158" s="70"/>
      <c r="U158" s="70"/>
      <c r="V158" s="44"/>
      <c r="W158" s="44"/>
      <c r="X158" s="44"/>
      <c r="Y158" s="44"/>
      <c r="Z158" s="70"/>
      <c r="AA158" s="70"/>
      <c r="AB158" s="70"/>
      <c r="AC158" s="270"/>
      <c r="AD158" s="70"/>
      <c r="AE158" s="70"/>
      <c r="AF158" s="70"/>
      <c r="AG158" s="70"/>
      <c r="AH158" s="70"/>
      <c r="AI158" s="70"/>
      <c r="AJ158" s="70"/>
      <c r="AK158" s="70"/>
      <c r="AL158" s="94"/>
      <c r="AM158" s="70"/>
      <c r="AN158" s="44"/>
      <c r="AO158" s="44"/>
      <c r="AP158" s="44"/>
      <c r="AQ158" s="44"/>
      <c r="AR158" s="44"/>
      <c r="AS158" s="44"/>
      <c r="AT158" s="44"/>
      <c r="AU158" s="44"/>
      <c r="AV158" s="44"/>
      <c r="AW158" s="44"/>
      <c r="AX158" s="44"/>
      <c r="AY158"/>
      <c r="AZ158"/>
      <c r="BA158"/>
      <c r="BB158"/>
      <c r="BC158"/>
      <c r="BD158"/>
      <c r="BE158"/>
      <c r="BF158"/>
      <c r="BG158"/>
      <c r="BH158"/>
      <c r="BI158"/>
      <c r="BJ158"/>
    </row>
    <row r="159" spans="1:62" x14ac:dyDescent="0.25">
      <c r="A159" s="509"/>
      <c r="B159" s="509"/>
      <c r="C159" s="509"/>
      <c r="D159" s="509"/>
      <c r="E159" s="509"/>
      <c r="F159" s="509"/>
      <c r="G159" s="44"/>
      <c r="H159" s="269"/>
      <c r="I159" s="70"/>
      <c r="J159" s="70"/>
      <c r="K159" s="70"/>
      <c r="L159" s="70"/>
      <c r="M159" s="70"/>
      <c r="N159" s="70"/>
      <c r="O159" s="70"/>
      <c r="P159" s="300"/>
      <c r="Q159" s="58"/>
      <c r="R159" s="58"/>
      <c r="S159" s="58"/>
      <c r="T159" s="58"/>
      <c r="U159" s="59"/>
      <c r="V159" s="44"/>
      <c r="W159" s="44"/>
      <c r="X159" s="44"/>
      <c r="Y159" s="44"/>
      <c r="Z159" s="70"/>
      <c r="AA159" s="70"/>
      <c r="AB159" s="70"/>
      <c r="AC159" s="270"/>
      <c r="AD159" s="70"/>
      <c r="AE159" s="70"/>
      <c r="AF159" s="70"/>
      <c r="AG159" s="70"/>
      <c r="AH159" s="70"/>
      <c r="AI159" s="70"/>
      <c r="AJ159" s="70"/>
      <c r="AK159" s="70"/>
      <c r="AL159" s="94"/>
      <c r="AM159" s="70"/>
      <c r="AN159" s="44"/>
      <c r="AO159" s="44"/>
      <c r="AP159" s="44"/>
      <c r="AQ159" s="44"/>
      <c r="AR159" s="44"/>
      <c r="AS159" s="44"/>
      <c r="AT159" s="44"/>
      <c r="AU159" s="44"/>
      <c r="AV159" s="44"/>
      <c r="AW159" s="44"/>
      <c r="AX159" s="44"/>
      <c r="AY159"/>
      <c r="AZ159"/>
      <c r="BA159"/>
      <c r="BB159"/>
      <c r="BC159"/>
      <c r="BD159"/>
      <c r="BE159"/>
      <c r="BF159"/>
      <c r="BG159"/>
      <c r="BH159"/>
      <c r="BI159"/>
      <c r="BJ159"/>
    </row>
    <row r="160" spans="1:62" x14ac:dyDescent="0.25">
      <c r="A160" s="509"/>
      <c r="B160" s="509"/>
      <c r="C160" s="509"/>
      <c r="D160" s="509"/>
      <c r="E160" s="509"/>
      <c r="F160" s="509"/>
      <c r="G160" s="44"/>
      <c r="H160" s="269"/>
      <c r="I160" s="70"/>
      <c r="J160" s="70"/>
      <c r="K160" s="70"/>
      <c r="L160" s="70"/>
      <c r="M160" s="70"/>
      <c r="N160" s="70"/>
      <c r="O160" s="70"/>
      <c r="P160" s="1586" t="s">
        <v>1789</v>
      </c>
      <c r="Q160" s="1587"/>
      <c r="R160" s="1587"/>
      <c r="S160" s="1587"/>
      <c r="T160" s="1587"/>
      <c r="U160" s="1588"/>
      <c r="V160" s="44"/>
      <c r="W160" s="44"/>
      <c r="X160" s="44"/>
      <c r="Y160" s="44"/>
      <c r="Z160" s="70"/>
      <c r="AA160" s="70"/>
      <c r="AB160" s="70"/>
      <c r="AC160" s="270"/>
      <c r="AD160" s="70"/>
      <c r="AE160" s="70"/>
      <c r="AF160" s="70"/>
      <c r="AG160" s="70"/>
      <c r="AH160" s="70"/>
      <c r="AI160" s="70"/>
      <c r="AJ160" s="70"/>
      <c r="AK160" s="70"/>
      <c r="AL160" s="94"/>
      <c r="AM160" s="70"/>
      <c r="AN160" s="44"/>
      <c r="AO160" s="44"/>
      <c r="AP160" s="44"/>
      <c r="AQ160" s="44"/>
      <c r="AR160" s="44"/>
      <c r="AS160" s="44"/>
      <c r="AT160" s="44"/>
      <c r="AU160" s="44"/>
      <c r="AV160" s="44"/>
      <c r="AW160" s="44"/>
      <c r="AX160" s="44"/>
      <c r="AY160"/>
      <c r="AZ160"/>
      <c r="BA160"/>
      <c r="BB160"/>
      <c r="BC160"/>
      <c r="BD160"/>
      <c r="BE160"/>
      <c r="BF160"/>
      <c r="BG160"/>
      <c r="BH160"/>
      <c r="BI160"/>
      <c r="BJ160"/>
    </row>
    <row r="161" spans="1:62" x14ac:dyDescent="0.25">
      <c r="A161" s="509"/>
      <c r="B161" s="509"/>
      <c r="C161" s="509"/>
      <c r="D161" s="509"/>
      <c r="E161" s="509"/>
      <c r="F161" s="509"/>
      <c r="G161" s="44"/>
      <c r="H161" s="269"/>
      <c r="I161" s="70"/>
      <c r="J161" s="70"/>
      <c r="K161" s="70"/>
      <c r="L161" s="70"/>
      <c r="M161" s="70"/>
      <c r="N161" s="70"/>
      <c r="O161" s="70"/>
      <c r="P161" s="60"/>
      <c r="Q161" s="820"/>
      <c r="R161" s="820"/>
      <c r="S161" s="820"/>
      <c r="T161" s="820"/>
      <c r="U161" s="62"/>
      <c r="V161" s="896"/>
      <c r="W161" s="44"/>
      <c r="X161" s="44"/>
      <c r="Y161" s="44"/>
      <c r="Z161" s="70"/>
      <c r="AA161" s="70"/>
      <c r="AB161" s="70"/>
      <c r="AC161" s="270"/>
      <c r="AD161" s="70"/>
      <c r="AE161" s="70"/>
      <c r="AF161" s="70"/>
      <c r="AG161" s="70"/>
      <c r="AH161" s="70"/>
      <c r="AI161" s="70"/>
      <c r="AJ161" s="70"/>
      <c r="AK161" s="70"/>
      <c r="AL161" s="94"/>
      <c r="AM161" s="70"/>
      <c r="AN161" s="44"/>
      <c r="AO161" s="44"/>
      <c r="AP161" s="44"/>
      <c r="AQ161" s="44"/>
      <c r="AR161" s="44"/>
      <c r="AS161" s="44"/>
      <c r="AT161" s="44"/>
      <c r="AU161" s="44"/>
      <c r="AV161" s="44"/>
      <c r="AW161" s="44"/>
      <c r="AX161" s="44"/>
      <c r="AY161"/>
      <c r="AZ161"/>
      <c r="BA161"/>
      <c r="BB161"/>
      <c r="BC161"/>
      <c r="BD161"/>
      <c r="BE161"/>
      <c r="BF161"/>
      <c r="BG161"/>
      <c r="BH161"/>
      <c r="BI161"/>
      <c r="BJ161"/>
    </row>
    <row r="162" spans="1:62" x14ac:dyDescent="0.25">
      <c r="A162" s="509"/>
      <c r="B162" s="509"/>
      <c r="C162" s="509"/>
      <c r="D162" s="509"/>
      <c r="E162" s="509"/>
      <c r="F162" s="509"/>
      <c r="G162" s="44"/>
      <c r="H162" s="269"/>
      <c r="I162" s="70"/>
      <c r="J162" s="70"/>
      <c r="K162" s="70"/>
      <c r="L162" s="70"/>
      <c r="M162" s="70"/>
      <c r="N162" s="70"/>
      <c r="O162" s="70"/>
      <c r="P162" s="60"/>
      <c r="Q162" s="1528"/>
      <c r="R162" s="903" t="s">
        <v>2090</v>
      </c>
      <c r="S162" s="1561">
        <f>sce_option</f>
        <v>0</v>
      </c>
      <c r="T162" s="1560" t="s">
        <v>538</v>
      </c>
      <c r="U162" s="62"/>
      <c r="V162" s="896"/>
      <c r="W162" s="44"/>
      <c r="X162" s="44"/>
      <c r="Y162" s="44"/>
      <c r="Z162" s="70"/>
      <c r="AA162" s="70"/>
      <c r="AB162" s="70"/>
      <c r="AC162" s="270"/>
      <c r="AD162" s="70"/>
      <c r="AE162" s="70"/>
      <c r="AF162" s="70"/>
      <c r="AG162" s="70"/>
      <c r="AH162" s="70"/>
      <c r="AI162" s="70"/>
      <c r="AJ162" s="70"/>
      <c r="AK162" s="70"/>
      <c r="AL162" s="94"/>
      <c r="AM162" s="70"/>
      <c r="AN162" s="44"/>
      <c r="AO162" s="44"/>
      <c r="AP162" s="44"/>
      <c r="AQ162" s="44"/>
      <c r="AR162" s="44"/>
      <c r="AS162" s="44"/>
      <c r="AT162" s="44"/>
      <c r="AU162" s="44"/>
      <c r="AV162" s="44"/>
      <c r="AW162" s="44"/>
      <c r="AX162" s="44"/>
      <c r="AY162"/>
      <c r="AZ162"/>
      <c r="BA162"/>
      <c r="BB162"/>
      <c r="BC162"/>
      <c r="BD162"/>
      <c r="BE162"/>
      <c r="BF162"/>
      <c r="BG162"/>
      <c r="BH162"/>
      <c r="BI162"/>
      <c r="BJ162"/>
    </row>
    <row r="163" spans="1:62" x14ac:dyDescent="0.25">
      <c r="A163" s="509"/>
      <c r="B163" s="509"/>
      <c r="C163" s="509"/>
      <c r="D163" s="509"/>
      <c r="E163" s="509"/>
      <c r="F163" s="509"/>
      <c r="G163" s="44"/>
      <c r="H163" s="269"/>
      <c r="I163" s="70"/>
      <c r="J163" s="70"/>
      <c r="K163" s="70"/>
      <c r="L163" s="70"/>
      <c r="M163" s="70"/>
      <c r="N163" s="70"/>
      <c r="O163" s="70"/>
      <c r="P163" s="60"/>
      <c r="Q163" s="1528"/>
      <c r="R163" s="1528"/>
      <c r="S163" s="1528"/>
      <c r="T163" s="1528"/>
      <c r="U163" s="62"/>
      <c r="V163" s="896"/>
      <c r="W163" s="44"/>
      <c r="X163" s="44"/>
      <c r="Y163" s="44"/>
      <c r="Z163" s="70"/>
      <c r="AA163" s="70"/>
      <c r="AB163" s="70"/>
      <c r="AC163" s="270"/>
      <c r="AD163" s="70"/>
      <c r="AE163" s="70"/>
      <c r="AF163" s="70"/>
      <c r="AG163" s="70"/>
      <c r="AH163" s="70"/>
      <c r="AI163" s="70"/>
      <c r="AJ163" s="70"/>
      <c r="AK163" s="70"/>
      <c r="AL163" s="94"/>
      <c r="AM163" s="70"/>
      <c r="AN163" s="44"/>
      <c r="AO163" s="44"/>
      <c r="AP163" s="44"/>
      <c r="AQ163" s="44"/>
      <c r="AR163" s="44"/>
      <c r="AS163" s="44"/>
      <c r="AT163" s="44"/>
      <c r="AU163" s="44"/>
      <c r="AV163" s="44"/>
      <c r="AW163" s="44"/>
      <c r="AX163" s="44"/>
      <c r="AY163"/>
      <c r="AZ163"/>
      <c r="BA163"/>
      <c r="BB163"/>
      <c r="BC163"/>
      <c r="BD163"/>
      <c r="BE163"/>
      <c r="BF163"/>
      <c r="BG163"/>
      <c r="BH163"/>
      <c r="BI163"/>
      <c r="BJ163"/>
    </row>
    <row r="164" spans="1:62" x14ac:dyDescent="0.25">
      <c r="A164" s="509"/>
      <c r="B164" s="509"/>
      <c r="C164" s="509"/>
      <c r="D164" s="509"/>
      <c r="E164" s="509"/>
      <c r="F164" s="509"/>
      <c r="G164" s="44"/>
      <c r="H164" s="269"/>
      <c r="I164" s="70"/>
      <c r="J164" s="70"/>
      <c r="K164" s="70"/>
      <c r="L164" s="70"/>
      <c r="M164" s="70"/>
      <c r="N164" s="70"/>
      <c r="O164" s="70"/>
      <c r="P164" s="60"/>
      <c r="Q164" s="820"/>
      <c r="R164" s="1499" t="s">
        <v>1792</v>
      </c>
      <c r="S164" s="1505">
        <f>((process_steam*steam_heat)+(S162*sce_heat))*(100-S155)/100</f>
        <v>48.222720000000002</v>
      </c>
      <c r="T164" s="918" t="s">
        <v>1722</v>
      </c>
      <c r="U164" s="62"/>
      <c r="V164" s="896"/>
      <c r="W164" s="44"/>
      <c r="X164" s="44"/>
      <c r="Y164" s="44"/>
      <c r="Z164" s="70"/>
      <c r="AA164" s="70"/>
      <c r="AB164" s="70"/>
      <c r="AC164" s="270"/>
      <c r="AD164" s="70"/>
      <c r="AE164" s="70"/>
      <c r="AF164" s="70"/>
      <c r="AG164" s="70"/>
      <c r="AH164" s="70"/>
      <c r="AI164" s="70"/>
      <c r="AJ164" s="70"/>
      <c r="AK164" s="70"/>
      <c r="AL164" s="94"/>
      <c r="AM164" s="70"/>
      <c r="AN164" s="44"/>
      <c r="AO164" s="44"/>
      <c r="AP164" s="44"/>
      <c r="AQ164" s="44"/>
      <c r="AR164" s="44"/>
      <c r="AS164" s="44"/>
      <c r="AT164" s="44"/>
      <c r="AU164" s="44"/>
      <c r="AV164" s="44"/>
      <c r="AW164" s="44"/>
      <c r="AX164" s="44"/>
      <c r="AY164"/>
      <c r="AZ164"/>
      <c r="BA164"/>
      <c r="BB164"/>
      <c r="BC164"/>
      <c r="BD164"/>
      <c r="BE164"/>
      <c r="BF164"/>
      <c r="BG164"/>
      <c r="BH164"/>
      <c r="BI164"/>
      <c r="BJ164"/>
    </row>
    <row r="165" spans="1:62" x14ac:dyDescent="0.25">
      <c r="A165" s="509"/>
      <c r="B165" s="509"/>
      <c r="C165" s="509"/>
      <c r="D165" s="509"/>
      <c r="E165" s="509"/>
      <c r="F165" s="509"/>
      <c r="G165" s="44"/>
      <c r="H165" s="269"/>
      <c r="I165" s="70"/>
      <c r="J165" s="70"/>
      <c r="K165" s="70"/>
      <c r="L165" s="70"/>
      <c r="M165" s="70"/>
      <c r="N165" s="70"/>
      <c r="O165" s="70"/>
      <c r="P165" s="60"/>
      <c r="Q165" s="1428"/>
      <c r="R165" s="903"/>
      <c r="S165" s="1429"/>
      <c r="T165" s="918"/>
      <c r="U165" s="62"/>
      <c r="V165" s="827"/>
      <c r="W165" s="44"/>
      <c r="X165" s="44"/>
      <c r="Y165" s="44"/>
      <c r="Z165" s="70"/>
      <c r="AA165" s="70"/>
      <c r="AB165" s="70"/>
      <c r="AC165" s="270"/>
      <c r="AD165" s="70"/>
      <c r="AE165" s="70"/>
      <c r="AF165" s="70"/>
      <c r="AG165" s="70"/>
      <c r="AH165" s="70"/>
      <c r="AI165" s="70"/>
      <c r="AJ165" s="70"/>
      <c r="AK165" s="70"/>
      <c r="AL165" s="94"/>
      <c r="AM165" s="70"/>
      <c r="AN165" s="44"/>
      <c r="AO165" s="44"/>
      <c r="AP165" s="44"/>
      <c r="AQ165" s="44"/>
      <c r="AR165" s="44"/>
      <c r="AS165" s="44"/>
      <c r="AT165" s="44"/>
      <c r="AU165" s="44"/>
      <c r="AV165" s="44"/>
      <c r="AW165" s="44"/>
      <c r="AX165" s="44"/>
      <c r="AY165"/>
      <c r="AZ165"/>
      <c r="BA165"/>
      <c r="BB165"/>
      <c r="BC165"/>
      <c r="BD165"/>
      <c r="BE165"/>
      <c r="BF165"/>
      <c r="BG165"/>
      <c r="BH165"/>
      <c r="BI165"/>
      <c r="BJ165"/>
    </row>
    <row r="166" spans="1:62" x14ac:dyDescent="0.25">
      <c r="A166" s="509"/>
      <c r="B166" s="509"/>
      <c r="C166" s="509"/>
      <c r="D166" s="509"/>
      <c r="E166" s="509"/>
      <c r="F166" s="509"/>
      <c r="G166" s="44"/>
      <c r="H166" s="269"/>
      <c r="I166" s="70"/>
      <c r="J166" s="70"/>
      <c r="K166" s="70"/>
      <c r="L166" s="70"/>
      <c r="M166" s="70"/>
      <c r="N166" s="70"/>
      <c r="O166" s="70"/>
      <c r="P166" s="60"/>
      <c r="Q166" s="1428"/>
      <c r="R166" s="1499" t="s">
        <v>1793</v>
      </c>
      <c r="S166" s="1505">
        <f>((process_elect)+(S162*sce_elect))*(100-S155)/100</f>
        <v>50.911999999999999</v>
      </c>
      <c r="T166" s="918" t="s">
        <v>1723</v>
      </c>
      <c r="U166" s="62"/>
      <c r="V166" s="827"/>
      <c r="W166" s="44"/>
      <c r="X166" s="44"/>
      <c r="Y166" s="44"/>
      <c r="Z166" s="70"/>
      <c r="AA166" s="70"/>
      <c r="AB166" s="70"/>
      <c r="AC166" s="270"/>
      <c r="AD166" s="70"/>
      <c r="AE166" s="70"/>
      <c r="AF166" s="70"/>
      <c r="AG166" s="70"/>
      <c r="AH166" s="70"/>
      <c r="AI166" s="70"/>
      <c r="AJ166" s="70"/>
      <c r="AK166" s="70"/>
      <c r="AL166" s="94"/>
      <c r="AM166" s="70"/>
      <c r="AN166" s="44"/>
      <c r="AO166" s="44"/>
      <c r="AP166" s="44"/>
      <c r="AQ166" s="44"/>
      <c r="AR166" s="44"/>
      <c r="AS166" s="44"/>
      <c r="AT166" s="44"/>
      <c r="AU166" s="44"/>
      <c r="AV166" s="44"/>
      <c r="AW166" s="44"/>
      <c r="AX166" s="44"/>
      <c r="AY166"/>
      <c r="AZ166"/>
      <c r="BA166"/>
      <c r="BB166"/>
      <c r="BC166"/>
      <c r="BD166"/>
      <c r="BE166"/>
      <c r="BF166"/>
      <c r="BG166"/>
      <c r="BH166"/>
      <c r="BI166"/>
      <c r="BJ166"/>
    </row>
    <row r="167" spans="1:62" x14ac:dyDescent="0.25">
      <c r="A167" s="509"/>
      <c r="B167" s="509"/>
      <c r="C167" s="509"/>
      <c r="D167" s="509"/>
      <c r="E167" s="509"/>
      <c r="F167" s="509"/>
      <c r="G167" s="44"/>
      <c r="H167" s="269"/>
      <c r="I167" s="70"/>
      <c r="J167" s="70"/>
      <c r="K167" s="70"/>
      <c r="L167" s="70"/>
      <c r="M167" s="70"/>
      <c r="N167" s="70"/>
      <c r="O167" s="70"/>
      <c r="P167" s="60"/>
      <c r="Q167" s="820"/>
      <c r="R167" s="821"/>
      <c r="S167" s="820"/>
      <c r="T167" s="820"/>
      <c r="U167" s="62"/>
      <c r="V167" s="44"/>
      <c r="W167" s="44"/>
      <c r="X167" s="44"/>
      <c r="Y167" s="44"/>
      <c r="Z167" s="70"/>
      <c r="AA167" s="70"/>
      <c r="AB167" s="70"/>
      <c r="AC167" s="270"/>
      <c r="AD167" s="70"/>
      <c r="AE167" s="70"/>
      <c r="AF167" s="70"/>
      <c r="AG167" s="70"/>
      <c r="AH167" s="70"/>
      <c r="AI167" s="70"/>
      <c r="AJ167" s="70"/>
      <c r="AK167" s="70"/>
      <c r="AL167" s="94"/>
      <c r="AM167" s="70"/>
      <c r="AN167" s="44"/>
      <c r="AO167" s="44"/>
      <c r="AP167" s="44"/>
      <c r="AQ167" s="44"/>
      <c r="AR167" s="44"/>
      <c r="AS167" s="44"/>
      <c r="AT167" s="44"/>
      <c r="AU167" s="44"/>
      <c r="AV167" s="44"/>
      <c r="AW167" s="44"/>
      <c r="AX167" s="44"/>
      <c r="AY167"/>
      <c r="AZ167"/>
      <c r="BA167"/>
      <c r="BB167"/>
      <c r="BC167"/>
      <c r="BD167"/>
      <c r="BE167"/>
      <c r="BF167"/>
      <c r="BG167"/>
      <c r="BH167"/>
      <c r="BI167"/>
      <c r="BJ167"/>
    </row>
    <row r="168" spans="1:62" x14ac:dyDescent="0.25">
      <c r="A168" s="509"/>
      <c r="B168" s="509"/>
      <c r="C168" s="509"/>
      <c r="D168" s="509"/>
      <c r="E168" s="509"/>
      <c r="F168" s="509"/>
      <c r="G168" s="44"/>
      <c r="H168" s="269"/>
      <c r="I168" s="70"/>
      <c r="J168" s="70"/>
      <c r="K168" s="70"/>
      <c r="L168" s="70"/>
      <c r="M168" s="70"/>
      <c r="N168" s="70"/>
      <c r="O168" s="70"/>
      <c r="P168" s="60"/>
      <c r="Q168" s="820"/>
      <c r="R168" s="1498" t="s">
        <v>1794</v>
      </c>
      <c r="S168" s="301">
        <f>pretreat_loss</f>
        <v>0</v>
      </c>
      <c r="T168" s="80" t="s">
        <v>160</v>
      </c>
      <c r="U168" s="62"/>
      <c r="V168" s="44"/>
      <c r="W168" s="44"/>
      <c r="X168" s="44"/>
      <c r="Y168" s="44"/>
      <c r="Z168" s="70"/>
      <c r="AA168" s="70"/>
      <c r="AB168" s="70"/>
      <c r="AC168" s="270"/>
      <c r="AD168" s="70"/>
      <c r="AE168" s="70"/>
      <c r="AF168" s="70"/>
      <c r="AG168" s="70"/>
      <c r="AH168" s="70"/>
      <c r="AI168" s="70"/>
      <c r="AJ168" s="70"/>
      <c r="AK168" s="70"/>
      <c r="AL168" s="94"/>
      <c r="AM168" s="70"/>
      <c r="AN168" s="44"/>
      <c r="AO168" s="44"/>
      <c r="AP168" s="44"/>
      <c r="AQ168" s="44"/>
      <c r="AR168" s="44"/>
      <c r="AS168" s="44"/>
      <c r="AT168" s="44"/>
      <c r="AU168" s="44"/>
      <c r="AV168" s="44"/>
      <c r="AW168" s="44"/>
      <c r="AX168" s="44"/>
      <c r="AY168"/>
      <c r="AZ168"/>
      <c r="BA168"/>
      <c r="BB168"/>
      <c r="BC168"/>
      <c r="BD168"/>
      <c r="BE168"/>
      <c r="BF168"/>
      <c r="BG168"/>
      <c r="BH168"/>
      <c r="BI168"/>
      <c r="BJ168"/>
    </row>
    <row r="169" spans="1:62" ht="13.8" thickBot="1" x14ac:dyDescent="0.3">
      <c r="A169" s="509"/>
      <c r="B169" s="509"/>
      <c r="C169" s="509"/>
      <c r="D169" s="509"/>
      <c r="E169" s="509"/>
      <c r="F169" s="509"/>
      <c r="G169" s="44"/>
      <c r="H169" s="269"/>
      <c r="I169" s="70"/>
      <c r="J169" s="70"/>
      <c r="K169" s="70"/>
      <c r="L169" s="70"/>
      <c r="M169" s="70"/>
      <c r="N169" s="70"/>
      <c r="O169" s="70"/>
      <c r="P169" s="67"/>
      <c r="Q169" s="258"/>
      <c r="R169" s="259"/>
      <c r="S169" s="302"/>
      <c r="T169" s="68"/>
      <c r="U169" s="303"/>
      <c r="V169" s="44"/>
      <c r="W169" s="44"/>
      <c r="X169" s="44"/>
      <c r="Y169" s="44"/>
      <c r="Z169" s="70"/>
      <c r="AA169" s="70"/>
      <c r="AB169" s="70"/>
      <c r="AC169" s="270"/>
      <c r="AD169" s="70"/>
      <c r="AE169" s="70"/>
      <c r="AF169" s="70"/>
      <c r="AG169" s="70"/>
      <c r="AH169" s="70"/>
      <c r="AI169" s="70"/>
      <c r="AJ169" s="70"/>
      <c r="AK169" s="70"/>
      <c r="AL169" s="94"/>
      <c r="AM169" s="70"/>
      <c r="AN169" s="44"/>
      <c r="AO169" s="44"/>
      <c r="AP169" s="44"/>
      <c r="AQ169" s="44"/>
      <c r="AR169" s="44"/>
      <c r="AS169" s="44"/>
      <c r="AT169" s="44"/>
      <c r="AU169" s="44"/>
      <c r="AV169" s="44"/>
      <c r="AW169" s="44"/>
      <c r="AX169" s="44"/>
      <c r="AY169"/>
      <c r="AZ169"/>
      <c r="BA169"/>
      <c r="BB169"/>
      <c r="BC169"/>
      <c r="BD169"/>
      <c r="BE169"/>
      <c r="BF169"/>
      <c r="BG169"/>
      <c r="BH169"/>
      <c r="BI169"/>
      <c r="BJ169"/>
    </row>
    <row r="170" spans="1:62" x14ac:dyDescent="0.25">
      <c r="A170" s="509"/>
      <c r="B170" s="509"/>
      <c r="C170" s="509"/>
      <c r="D170" s="509"/>
      <c r="E170" s="509"/>
      <c r="F170" s="509"/>
      <c r="G170" s="44"/>
      <c r="H170" s="269"/>
      <c r="I170" s="70"/>
      <c r="J170" s="87"/>
      <c r="K170" s="87"/>
      <c r="L170" s="87"/>
      <c r="M170" s="87"/>
      <c r="N170" s="87"/>
      <c r="O170" s="87"/>
      <c r="P170" s="514"/>
      <c r="Q170" s="514"/>
      <c r="R170" s="97"/>
      <c r="S170" s="72"/>
      <c r="T170" s="514"/>
      <c r="U170" s="514"/>
      <c r="V170" s="87"/>
      <c r="W170" s="87"/>
      <c r="X170" s="87"/>
      <c r="Y170" s="70"/>
      <c r="Z170" s="70"/>
      <c r="AA170" s="70"/>
      <c r="AB170" s="70"/>
      <c r="AC170" s="270"/>
      <c r="AD170" s="70"/>
      <c r="AE170" s="70"/>
      <c r="AF170" s="70"/>
      <c r="AG170" s="70"/>
      <c r="AH170" s="70"/>
      <c r="AI170" s="70"/>
      <c r="AJ170" s="70"/>
      <c r="AK170" s="70"/>
      <c r="AL170" s="94"/>
      <c r="AM170" s="70"/>
      <c r="AN170" s="44"/>
      <c r="AO170" s="44"/>
      <c r="AP170" s="44"/>
      <c r="AQ170" s="44"/>
      <c r="AR170" s="44"/>
      <c r="AS170" s="44"/>
      <c r="AT170" s="44"/>
      <c r="AU170" s="44"/>
      <c r="AV170" s="44"/>
      <c r="AW170" s="44"/>
      <c r="AX170" s="44"/>
      <c r="AY170"/>
      <c r="AZ170"/>
      <c r="BA170"/>
      <c r="BB170"/>
      <c r="BC170"/>
      <c r="BD170"/>
      <c r="BE170"/>
      <c r="BF170"/>
      <c r="BG170"/>
      <c r="BH170"/>
      <c r="BI170"/>
      <c r="BJ170"/>
    </row>
    <row r="171" spans="1:62" x14ac:dyDescent="0.25">
      <c r="A171" s="509"/>
      <c r="B171" s="509"/>
      <c r="C171" s="509"/>
      <c r="D171" s="509"/>
      <c r="E171" s="509"/>
      <c r="F171" s="509"/>
      <c r="G171" s="44"/>
      <c r="H171" s="269"/>
      <c r="I171" s="88"/>
      <c r="J171" s="70"/>
      <c r="K171" s="70"/>
      <c r="L171" s="70"/>
      <c r="M171" s="88"/>
      <c r="N171" s="87"/>
      <c r="O171" s="87"/>
      <c r="P171" s="70"/>
      <c r="Q171" s="44"/>
      <c r="R171" s="57"/>
      <c r="S171" s="44"/>
      <c r="T171" s="827"/>
      <c r="U171" s="74"/>
      <c r="V171" s="70"/>
      <c r="W171" s="417"/>
      <c r="X171" s="44"/>
      <c r="Y171" s="74"/>
      <c r="Z171" s="74"/>
      <c r="AA171" s="75"/>
      <c r="AB171" s="70"/>
      <c r="AC171" s="270"/>
      <c r="AD171" s="70"/>
      <c r="AE171" s="70"/>
      <c r="AF171" s="70"/>
      <c r="AG171" s="70"/>
      <c r="AH171" s="70"/>
      <c r="AI171" s="70"/>
      <c r="AJ171" s="70"/>
      <c r="AK171" s="70"/>
      <c r="AL171" s="94"/>
      <c r="AM171" s="70"/>
      <c r="AN171" s="44"/>
      <c r="AO171" s="44"/>
      <c r="AP171" s="44"/>
      <c r="AQ171" s="44"/>
      <c r="AR171" s="44"/>
      <c r="AS171" s="44"/>
      <c r="AT171" s="44"/>
      <c r="AU171" s="44"/>
      <c r="AV171" s="44"/>
      <c r="AW171" s="44"/>
      <c r="AX171" s="44"/>
      <c r="AY171"/>
      <c r="AZ171"/>
      <c r="BA171"/>
      <c r="BB171"/>
      <c r="BC171"/>
      <c r="BD171"/>
      <c r="BE171"/>
      <c r="BF171"/>
      <c r="BG171"/>
      <c r="BH171"/>
      <c r="BI171"/>
      <c r="BJ171"/>
    </row>
    <row r="172" spans="1:62" x14ac:dyDescent="0.25">
      <c r="A172" s="509"/>
      <c r="B172" s="509"/>
      <c r="C172" s="509"/>
      <c r="D172" s="509"/>
      <c r="E172" s="509"/>
      <c r="F172" s="509"/>
      <c r="G172" s="44"/>
      <c r="H172" s="269"/>
      <c r="I172" s="424"/>
      <c r="J172" s="425"/>
      <c r="K172" s="426"/>
      <c r="L172" s="70"/>
      <c r="M172" s="424"/>
      <c r="N172" s="425"/>
      <c r="O172" s="426"/>
      <c r="P172" s="509"/>
      <c r="Q172" s="424"/>
      <c r="R172" s="425"/>
      <c r="S172" s="425"/>
      <c r="T172" s="426"/>
      <c r="U172" s="509"/>
      <c r="V172" s="424"/>
      <c r="W172" s="425"/>
      <c r="X172" s="426"/>
      <c r="Y172" s="70"/>
      <c r="Z172" s="424"/>
      <c r="AA172" s="425"/>
      <c r="AB172" s="426"/>
      <c r="AC172" s="270"/>
      <c r="AD172" s="70"/>
      <c r="AE172" s="70"/>
      <c r="AF172" s="70"/>
      <c r="AG172" s="70"/>
      <c r="AH172" s="70"/>
      <c r="AI172" s="70"/>
      <c r="AJ172" s="70"/>
      <c r="AK172" s="70"/>
      <c r="AL172" s="94"/>
      <c r="AM172" s="70"/>
      <c r="AN172" s="44"/>
      <c r="AO172" s="44"/>
      <c r="AP172" s="44"/>
      <c r="AQ172" s="44"/>
      <c r="AR172" s="44"/>
      <c r="AS172" s="44"/>
      <c r="AT172" s="44"/>
      <c r="AU172" s="44"/>
      <c r="AV172" s="44"/>
      <c r="AW172" s="44"/>
      <c r="AX172" s="44"/>
      <c r="AY172"/>
      <c r="AZ172"/>
      <c r="BA172"/>
      <c r="BB172"/>
      <c r="BC172"/>
      <c r="BD172"/>
      <c r="BE172"/>
      <c r="BF172"/>
      <c r="BG172"/>
      <c r="BH172"/>
      <c r="BI172"/>
      <c r="BJ172"/>
    </row>
    <row r="173" spans="1:62" x14ac:dyDescent="0.25">
      <c r="A173" s="509"/>
      <c r="B173" s="509"/>
      <c r="C173" s="509"/>
      <c r="D173" s="509"/>
      <c r="E173" s="509"/>
      <c r="F173" s="509"/>
      <c r="G173" s="44"/>
      <c r="H173" s="269"/>
      <c r="I173" s="883" t="s">
        <v>2016</v>
      </c>
      <c r="J173" s="435">
        <f>((S153*((100-S168)/100)*((100-S155)/100))-(N173*((100-N175)/100))-(S173*S175/100)-(W173*(9/100))-AA173)*(100/(100-J175))</f>
        <v>1.4783471074380177</v>
      </c>
      <c r="K173" s="884" t="s">
        <v>1730</v>
      </c>
      <c r="L173" s="70"/>
      <c r="M173" s="512" t="s">
        <v>577</v>
      </c>
      <c r="N173" s="521">
        <f>(lignin*S153*((100-S26)/100)*(100/(100-N175)))*((100+(S162*lignin_sce))/100)*IF(S5="low digestibility genotype",(100+lignin_maizld)/100,IF(S5="high digestibility genotype",(100+lignin_maizhd)/100,1))</f>
        <v>0.39669421487603329</v>
      </c>
      <c r="O173" s="884" t="s">
        <v>1928</v>
      </c>
      <c r="P173" s="509"/>
      <c r="Q173" s="510"/>
      <c r="R173" s="523" t="s">
        <v>586</v>
      </c>
      <c r="S173" s="435">
        <f>(hexoses*S153*((100-S26)/100)*(100/S175))*((100+(S162*hexoses_sce))/100)*IF(S5="low digestibility genotype",(100+hexoses_maizld)/100,IF(S5="high digestibility genotype",(100+hexoses_maizhd)/100,1))</f>
        <v>0.79589743589743589</v>
      </c>
      <c r="T173" s="884" t="s">
        <v>1803</v>
      </c>
      <c r="U173" s="509"/>
      <c r="V173" s="510" t="s">
        <v>574</v>
      </c>
      <c r="W173" s="435">
        <f>pentose*S153*((100-S26)/100)*(100/9)</f>
        <v>0</v>
      </c>
      <c r="X173" s="886" t="s">
        <v>1724</v>
      </c>
      <c r="Y173" s="70"/>
      <c r="Z173" s="1530" t="s">
        <v>2092</v>
      </c>
      <c r="AA173" s="435">
        <f>S162*(sce_wax/100)*S153*((100-S155)/100)</f>
        <v>0</v>
      </c>
      <c r="AB173" s="429" t="s">
        <v>2096</v>
      </c>
      <c r="AC173" s="270"/>
      <c r="AD173" s="70"/>
      <c r="AE173" s="70"/>
      <c r="AF173" s="70"/>
      <c r="AG173" s="70"/>
      <c r="AH173" s="70"/>
      <c r="AI173" s="70"/>
      <c r="AJ173" s="70"/>
      <c r="AK173" s="70"/>
      <c r="AL173" s="94"/>
      <c r="AM173" s="70"/>
      <c r="AN173" s="44"/>
      <c r="AO173" s="44"/>
      <c r="AP173" s="44"/>
      <c r="AQ173" s="44"/>
      <c r="AR173" s="44"/>
      <c r="AS173" s="44"/>
      <c r="AT173" s="44"/>
      <c r="AU173" s="44"/>
      <c r="AV173" s="44"/>
      <c r="AW173" s="44"/>
      <c r="AX173" s="44"/>
      <c r="AY173"/>
      <c r="AZ173"/>
      <c r="BA173"/>
      <c r="BB173"/>
      <c r="BC173"/>
      <c r="BD173"/>
      <c r="BE173"/>
      <c r="BF173"/>
      <c r="BG173"/>
      <c r="BH173"/>
      <c r="BI173"/>
      <c r="BJ173"/>
    </row>
    <row r="174" spans="1:62" x14ac:dyDescent="0.25">
      <c r="A174" s="509"/>
      <c r="B174" s="509"/>
      <c r="C174" s="509"/>
      <c r="D174" s="509"/>
      <c r="E174" s="509"/>
      <c r="F174" s="509"/>
      <c r="G174" s="44"/>
      <c r="H174" s="269"/>
      <c r="I174" s="427"/>
      <c r="J174" s="428"/>
      <c r="K174" s="429"/>
      <c r="L174" s="70"/>
      <c r="M174" s="427"/>
      <c r="N174" s="428"/>
      <c r="O174" s="429"/>
      <c r="P174" s="509"/>
      <c r="Q174" s="48"/>
      <c r="R174" s="49"/>
      <c r="S174" s="46"/>
      <c r="T174" s="429"/>
      <c r="U174" s="509"/>
      <c r="V174" s="427"/>
      <c r="W174" s="428"/>
      <c r="X174" s="429"/>
      <c r="Y174" s="70"/>
      <c r="Z174" s="427"/>
      <c r="AA174" s="428"/>
      <c r="AB174" s="429"/>
      <c r="AC174" s="270"/>
      <c r="AD174" s="70"/>
      <c r="AE174" s="70"/>
      <c r="AF174" s="70"/>
      <c r="AG174" s="70"/>
      <c r="AH174" s="70"/>
      <c r="AI174" s="70"/>
      <c r="AJ174" s="70"/>
      <c r="AK174" s="70"/>
      <c r="AL174" s="94"/>
      <c r="AM174" s="70"/>
      <c r="AN174" s="44"/>
      <c r="AO174" s="44"/>
      <c r="AP174" s="44"/>
      <c r="AQ174" s="44"/>
      <c r="AR174" s="44"/>
      <c r="AS174" s="44"/>
      <c r="AT174" s="44"/>
      <c r="AU174" s="44"/>
      <c r="AV174" s="44"/>
      <c r="AW174" s="44"/>
      <c r="AX174" s="44"/>
      <c r="AY174"/>
      <c r="AZ174"/>
      <c r="BA174"/>
      <c r="BB174"/>
      <c r="BC174"/>
      <c r="BD174"/>
      <c r="BE174"/>
      <c r="BF174"/>
      <c r="BG174"/>
      <c r="BH174"/>
      <c r="BI174"/>
      <c r="BJ174"/>
    </row>
    <row r="175" spans="1:62" x14ac:dyDescent="0.25">
      <c r="A175" s="509"/>
      <c r="B175" s="509"/>
      <c r="C175" s="509"/>
      <c r="D175" s="509"/>
      <c r="E175" s="509"/>
      <c r="F175" s="509"/>
      <c r="G175" s="44"/>
      <c r="H175" s="269"/>
      <c r="I175" s="883" t="s">
        <v>2017</v>
      </c>
      <c r="J175" s="433">
        <f>fm_waste_solid_mois</f>
        <v>87.9</v>
      </c>
      <c r="K175" s="513" t="s">
        <v>285</v>
      </c>
      <c r="L175" s="70"/>
      <c r="M175" s="550" t="s">
        <v>2015</v>
      </c>
      <c r="N175" s="433">
        <f>lignin_mois</f>
        <v>87.9</v>
      </c>
      <c r="O175" s="429" t="s">
        <v>1802</v>
      </c>
      <c r="P175" s="509"/>
      <c r="Q175" s="48"/>
      <c r="R175" s="601" t="s">
        <v>1801</v>
      </c>
      <c r="S175" s="433">
        <f>hexoses_conc</f>
        <v>11.7</v>
      </c>
      <c r="T175" s="429" t="s">
        <v>1802</v>
      </c>
      <c r="U175" s="509"/>
      <c r="V175" s="512" t="s">
        <v>575</v>
      </c>
      <c r="W175" s="697">
        <f>CV_pen</f>
        <v>1519</v>
      </c>
      <c r="X175" s="884" t="s">
        <v>1725</v>
      </c>
      <c r="Y175" s="70"/>
      <c r="Z175" s="1530" t="s">
        <v>2093</v>
      </c>
      <c r="AA175" s="1566">
        <f>CV_wax</f>
        <v>40000</v>
      </c>
      <c r="AB175" s="429" t="s">
        <v>2097</v>
      </c>
      <c r="AC175" s="270"/>
      <c r="AD175" s="70"/>
      <c r="AE175" s="70"/>
      <c r="AF175" s="70"/>
      <c r="AG175" s="70"/>
      <c r="AH175" s="70"/>
      <c r="AI175" s="70"/>
      <c r="AJ175" s="70"/>
      <c r="AK175" s="70"/>
      <c r="AL175" s="94"/>
      <c r="AM175" s="70"/>
      <c r="AN175" s="44"/>
      <c r="AO175" s="44"/>
      <c r="AP175" s="44"/>
      <c r="AQ175" s="44"/>
      <c r="AR175" s="44"/>
      <c r="AS175" s="44"/>
      <c r="AT175" s="44"/>
      <c r="AU175" s="44"/>
      <c r="AV175" s="44"/>
      <c r="AW175" s="44"/>
      <c r="AX175" s="44"/>
      <c r="AY175"/>
      <c r="AZ175"/>
      <c r="BA175"/>
      <c r="BB175"/>
      <c r="BC175"/>
      <c r="BD175"/>
      <c r="BE175"/>
      <c r="BF175"/>
      <c r="BG175"/>
      <c r="BH175"/>
      <c r="BI175"/>
      <c r="BJ175"/>
    </row>
    <row r="176" spans="1:62" x14ac:dyDescent="0.25">
      <c r="A176" s="509"/>
      <c r="B176" s="509"/>
      <c r="C176" s="509"/>
      <c r="D176" s="509"/>
      <c r="E176" s="509"/>
      <c r="F176" s="509"/>
      <c r="G176" s="44"/>
      <c r="H176" s="269"/>
      <c r="I176" s="430"/>
      <c r="J176" s="431"/>
      <c r="K176" s="432"/>
      <c r="L176" s="70"/>
      <c r="M176" s="427"/>
      <c r="N176" s="1485"/>
      <c r="O176" s="429"/>
      <c r="P176" s="509"/>
      <c r="Q176" s="48"/>
      <c r="R176" s="49"/>
      <c r="S176" s="46"/>
      <c r="T176" s="429"/>
      <c r="U176" s="509"/>
      <c r="V176" s="427"/>
      <c r="W176" s="428"/>
      <c r="X176" s="429"/>
      <c r="Y176" s="70"/>
      <c r="Z176" s="427"/>
      <c r="AA176" s="428"/>
      <c r="AB176" s="429"/>
      <c r="AC176" s="270"/>
      <c r="AD176" s="70"/>
      <c r="AE176" s="70"/>
      <c r="AF176" s="70"/>
      <c r="AG176" s="70"/>
      <c r="AH176" s="70"/>
      <c r="AI176" s="70"/>
      <c r="AJ176" s="70"/>
      <c r="AK176" s="70"/>
      <c r="AL176" s="94"/>
      <c r="AM176" s="70"/>
      <c r="AN176" s="44"/>
      <c r="AO176" s="44"/>
      <c r="AP176" s="44"/>
      <c r="AQ176" s="44"/>
      <c r="AR176" s="44"/>
      <c r="AS176" s="44"/>
      <c r="AT176" s="44"/>
      <c r="AU176" s="44"/>
      <c r="AV176" s="44"/>
      <c r="AW176" s="44"/>
      <c r="AX176" s="44"/>
      <c r="AY176"/>
      <c r="AZ176"/>
      <c r="BA176"/>
      <c r="BB176"/>
      <c r="BC176"/>
      <c r="BD176"/>
      <c r="BE176"/>
      <c r="BF176"/>
      <c r="BG176"/>
      <c r="BH176"/>
      <c r="BI176"/>
      <c r="BJ176"/>
    </row>
    <row r="177" spans="1:62" x14ac:dyDescent="0.25">
      <c r="A177" s="509"/>
      <c r="B177" s="509"/>
      <c r="C177" s="509"/>
      <c r="D177" s="509"/>
      <c r="E177" s="509"/>
      <c r="F177" s="509"/>
      <c r="G177" s="44"/>
      <c r="H177" s="269"/>
      <c r="I177" s="75"/>
      <c r="J177" s="70"/>
      <c r="K177" s="70"/>
      <c r="L177" s="70"/>
      <c r="M177" s="512" t="s">
        <v>578</v>
      </c>
      <c r="N177" s="1486">
        <f>CV_ln*(100-N175)/(100-50)</f>
        <v>2991.119999999999</v>
      </c>
      <c r="O177" s="884" t="s">
        <v>1929</v>
      </c>
      <c r="P177" s="509"/>
      <c r="Q177" s="883"/>
      <c r="R177" s="888" t="s">
        <v>1081</v>
      </c>
      <c r="S177" s="1486">
        <f>CV_hx*(S175/9)</f>
        <v>1934.3999999999996</v>
      </c>
      <c r="T177" s="884" t="s">
        <v>1809</v>
      </c>
      <c r="U177" s="509"/>
      <c r="V177" s="510" t="s">
        <v>576</v>
      </c>
      <c r="W177" s="538">
        <f>price_pen</f>
        <v>19</v>
      </c>
      <c r="X177" s="886" t="s">
        <v>1726</v>
      </c>
      <c r="Y177" s="70"/>
      <c r="Z177" s="1530" t="s">
        <v>2094</v>
      </c>
      <c r="AA177" s="1566">
        <f>price_wax</f>
        <v>8000</v>
      </c>
      <c r="AB177" s="429" t="s">
        <v>2098</v>
      </c>
      <c r="AC177" s="270"/>
      <c r="AD177" s="70"/>
      <c r="AE177" s="70"/>
      <c r="AF177" s="70"/>
      <c r="AG177" s="70"/>
      <c r="AH177" s="70"/>
      <c r="AI177" s="70"/>
      <c r="AJ177" s="70"/>
      <c r="AK177" s="70"/>
      <c r="AL177" s="94"/>
      <c r="AM177" s="70"/>
      <c r="AN177" s="44"/>
      <c r="AO177" s="44"/>
      <c r="AP177" s="44"/>
      <c r="AQ177" s="44"/>
      <c r="AR177" s="44"/>
      <c r="AS177" s="44"/>
      <c r="AT177" s="44"/>
      <c r="AU177" s="44"/>
      <c r="AV177" s="44"/>
      <c r="AW177" s="44"/>
      <c r="AX177" s="44"/>
      <c r="AY177"/>
      <c r="AZ177"/>
      <c r="BA177"/>
      <c r="BB177"/>
      <c r="BC177"/>
      <c r="BD177"/>
      <c r="BE177"/>
      <c r="BF177"/>
      <c r="BG177"/>
      <c r="BH177"/>
      <c r="BI177"/>
      <c r="BJ177"/>
    </row>
    <row r="178" spans="1:62" x14ac:dyDescent="0.25">
      <c r="A178" s="509"/>
      <c r="B178" s="509"/>
      <c r="C178" s="509"/>
      <c r="D178" s="509"/>
      <c r="E178" s="509"/>
      <c r="F178" s="509"/>
      <c r="G178" s="44"/>
      <c r="H178" s="269"/>
      <c r="I178" s="57"/>
      <c r="J178" s="70"/>
      <c r="K178" s="70"/>
      <c r="L178" s="70"/>
      <c r="M178" s="427"/>
      <c r="N178" s="428"/>
      <c r="O178" s="429"/>
      <c r="P178" s="509"/>
      <c r="Q178" s="427"/>
      <c r="R178" s="428"/>
      <c r="S178" s="428"/>
      <c r="T178" s="429"/>
      <c r="U178" s="509"/>
      <c r="V178" s="510"/>
      <c r="W178" s="428"/>
      <c r="X178" s="511"/>
      <c r="Y178" s="70"/>
      <c r="Z178" s="427"/>
      <c r="AA178" s="428"/>
      <c r="AB178" s="429"/>
      <c r="AC178" s="270"/>
      <c r="AD178" s="70"/>
      <c r="AE178" s="70"/>
      <c r="AF178" s="70"/>
      <c r="AG178" s="70"/>
      <c r="AH178" s="70"/>
      <c r="AI178" s="70"/>
      <c r="AJ178" s="70"/>
      <c r="AK178" s="70"/>
      <c r="AL178" s="94"/>
      <c r="AM178" s="70"/>
      <c r="AN178" s="44"/>
      <c r="AO178" s="44"/>
      <c r="AP178" s="44"/>
      <c r="AQ178" s="44"/>
      <c r="AR178" s="44"/>
      <c r="AS178" s="44"/>
      <c r="AT178" s="44"/>
      <c r="AU178" s="44"/>
      <c r="AV178" s="44"/>
      <c r="AW178" s="44"/>
      <c r="AX178" s="44"/>
      <c r="AY178"/>
      <c r="AZ178"/>
      <c r="BA178"/>
      <c r="BB178"/>
      <c r="BC178"/>
      <c r="BD178"/>
      <c r="BE178"/>
      <c r="BF178"/>
      <c r="BG178"/>
      <c r="BH178"/>
      <c r="BI178"/>
      <c r="BJ178"/>
    </row>
    <row r="179" spans="1:62" ht="15.6" x14ac:dyDescent="0.35">
      <c r="A179" s="509"/>
      <c r="B179" s="509"/>
      <c r="C179" s="509"/>
      <c r="D179" s="509"/>
      <c r="E179" s="509"/>
      <c r="F179" s="509"/>
      <c r="G179" s="44"/>
      <c r="H179" s="269"/>
      <c r="I179" s="57"/>
      <c r="J179" s="70"/>
      <c r="K179" s="70"/>
      <c r="L179" s="70"/>
      <c r="M179" s="510" t="s">
        <v>832</v>
      </c>
      <c r="N179" s="1506">
        <f>price_ln*(100-N175)/(100-50)</f>
        <v>12.099999999999996</v>
      </c>
      <c r="O179" s="884" t="s">
        <v>1930</v>
      </c>
      <c r="P179" s="509"/>
      <c r="Q179" s="885"/>
      <c r="R179" s="887" t="s">
        <v>1082</v>
      </c>
      <c r="S179" s="1506">
        <f>price_hx*(S175/9)</f>
        <v>24.699999999999996</v>
      </c>
      <c r="T179" s="886" t="s">
        <v>1810</v>
      </c>
      <c r="U179" s="509"/>
      <c r="V179" s="510" t="s">
        <v>924</v>
      </c>
      <c r="W179" s="507">
        <f>sub_cred_pen</f>
        <v>63.1</v>
      </c>
      <c r="X179" s="886" t="s">
        <v>1727</v>
      </c>
      <c r="Y179" s="70"/>
      <c r="Z179" s="1530" t="s">
        <v>2095</v>
      </c>
      <c r="AA179" s="1566">
        <f>sub_cred_wax</f>
        <v>4780</v>
      </c>
      <c r="AB179" s="884" t="s">
        <v>2099</v>
      </c>
      <c r="AC179" s="270"/>
      <c r="AD179" s="902"/>
      <c r="AE179" s="70"/>
      <c r="AF179" s="70"/>
      <c r="AG179" s="70"/>
      <c r="AH179" s="70"/>
      <c r="AI179" s="70"/>
      <c r="AJ179" s="70"/>
      <c r="AK179" s="70"/>
      <c r="AL179" s="94"/>
      <c r="AM179" s="70"/>
      <c r="AN179" s="44"/>
      <c r="AO179" s="44"/>
      <c r="AP179" s="44"/>
      <c r="AQ179" s="44"/>
      <c r="AR179" s="44"/>
      <c r="AS179" s="44"/>
      <c r="AT179" s="44"/>
      <c r="AU179" s="44"/>
      <c r="AV179" s="44"/>
      <c r="AW179" s="44"/>
      <c r="AX179" s="44"/>
      <c r="AY179"/>
      <c r="AZ179"/>
      <c r="BA179"/>
      <c r="BB179"/>
      <c r="BC179"/>
      <c r="BD179"/>
      <c r="BE179"/>
      <c r="BF179"/>
      <c r="BG179"/>
      <c r="BH179"/>
      <c r="BI179"/>
      <c r="BJ179"/>
    </row>
    <row r="180" spans="1:62" x14ac:dyDescent="0.25">
      <c r="A180" s="509"/>
      <c r="B180" s="509"/>
      <c r="C180" s="509"/>
      <c r="D180" s="509"/>
      <c r="E180" s="509"/>
      <c r="F180" s="509"/>
      <c r="G180" s="44"/>
      <c r="H180" s="269"/>
      <c r="I180" s="57"/>
      <c r="J180" s="70"/>
      <c r="K180" s="70"/>
      <c r="L180" s="70"/>
      <c r="M180" s="427"/>
      <c r="N180" s="431"/>
      <c r="O180" s="429"/>
      <c r="P180" s="509"/>
      <c r="Q180" s="430"/>
      <c r="R180" s="431"/>
      <c r="S180" s="431"/>
      <c r="T180" s="432"/>
      <c r="U180" s="509"/>
      <c r="V180" s="430"/>
      <c r="W180" s="431"/>
      <c r="X180" s="432"/>
      <c r="Y180" s="70"/>
      <c r="Z180" s="430"/>
      <c r="AA180" s="431"/>
      <c r="AB180" s="1565"/>
      <c r="AC180" s="270"/>
      <c r="AD180" s="902"/>
      <c r="AE180" s="70"/>
      <c r="AF180" s="70"/>
      <c r="AG180" s="70"/>
      <c r="AH180" s="70"/>
      <c r="AI180" s="70"/>
      <c r="AJ180" s="70"/>
      <c r="AK180" s="70"/>
      <c r="AL180" s="94"/>
      <c r="AM180" s="70"/>
      <c r="AN180" s="44"/>
      <c r="AO180" s="44"/>
      <c r="AP180" s="44"/>
      <c r="AQ180" s="44"/>
      <c r="AR180" s="44"/>
      <c r="AS180" s="44"/>
      <c r="AT180" s="44"/>
      <c r="AU180" s="44"/>
      <c r="AV180" s="44"/>
      <c r="AW180" s="44"/>
      <c r="AX180" s="44"/>
      <c r="AY180"/>
      <c r="AZ180"/>
      <c r="BA180"/>
      <c r="BB180"/>
      <c r="BC180"/>
      <c r="BD180"/>
      <c r="BE180"/>
      <c r="BF180"/>
      <c r="BG180"/>
      <c r="BH180"/>
      <c r="BI180"/>
      <c r="BJ180"/>
    </row>
    <row r="181" spans="1:62" ht="15.6" x14ac:dyDescent="0.35">
      <c r="A181" s="509"/>
      <c r="B181" s="509"/>
      <c r="C181" s="509"/>
      <c r="D181" s="509"/>
      <c r="E181" s="509"/>
      <c r="F181" s="509"/>
      <c r="G181" s="44"/>
      <c r="H181" s="269"/>
      <c r="I181" s="57"/>
      <c r="J181" s="70"/>
      <c r="K181" s="70"/>
      <c r="L181" s="70"/>
      <c r="M181" s="510" t="s">
        <v>923</v>
      </c>
      <c r="N181" s="1506">
        <f>sub_cred_ln*(100-N175)/(100-50)</f>
        <v>0.2637799999999999</v>
      </c>
      <c r="O181" s="884" t="s">
        <v>2022</v>
      </c>
      <c r="P181" s="509"/>
      <c r="Q181" s="434"/>
      <c r="R181" s="57"/>
      <c r="S181" s="44"/>
      <c r="T181" s="44"/>
      <c r="U181" s="509"/>
      <c r="V181" s="509"/>
      <c r="W181" s="509"/>
      <c r="X181" s="509"/>
      <c r="Y181" s="70"/>
      <c r="Z181" s="70"/>
      <c r="AA181" s="44"/>
      <c r="AB181" s="135"/>
      <c r="AC181" s="1563"/>
      <c r="AD181" s="70"/>
      <c r="AE181" s="70"/>
      <c r="AF181" s="70"/>
      <c r="AG181" s="70"/>
      <c r="AH181" s="70"/>
      <c r="AI181" s="70"/>
      <c r="AJ181" s="70"/>
      <c r="AK181" s="70"/>
      <c r="AL181" s="94"/>
      <c r="AM181" s="70"/>
      <c r="AN181" s="44"/>
      <c r="AO181" s="44"/>
      <c r="AP181" s="44"/>
      <c r="AQ181" s="44"/>
      <c r="AR181" s="44"/>
      <c r="AS181" s="44"/>
      <c r="AT181" s="44"/>
      <c r="AU181" s="44"/>
      <c r="AV181" s="44"/>
      <c r="AW181" s="44"/>
      <c r="AX181" s="44"/>
      <c r="AY181"/>
      <c r="AZ181"/>
      <c r="BA181"/>
      <c r="BB181"/>
      <c r="BC181"/>
      <c r="BD181"/>
      <c r="BE181"/>
      <c r="BF181"/>
      <c r="BG181"/>
      <c r="BH181"/>
      <c r="BI181"/>
      <c r="BJ181"/>
    </row>
    <row r="182" spans="1:62" x14ac:dyDescent="0.25">
      <c r="A182" s="509"/>
      <c r="B182" s="509"/>
      <c r="C182" s="509"/>
      <c r="D182" s="509"/>
      <c r="E182" s="509"/>
      <c r="F182" s="509"/>
      <c r="G182" s="44"/>
      <c r="H182" s="269"/>
      <c r="I182" s="57"/>
      <c r="J182" s="70"/>
      <c r="K182" s="70"/>
      <c r="L182" s="70"/>
      <c r="M182" s="427"/>
      <c r="N182" s="428"/>
      <c r="O182" s="429"/>
      <c r="P182" s="509"/>
      <c r="Q182" s="434"/>
      <c r="R182" s="57"/>
      <c r="S182" s="44"/>
      <c r="T182" s="44"/>
      <c r="U182" s="509"/>
      <c r="V182" s="509"/>
      <c r="W182" s="509"/>
      <c r="X182" s="509"/>
      <c r="Y182" s="70"/>
      <c r="Z182" s="70"/>
      <c r="AA182" s="44"/>
      <c r="AB182" s="135"/>
      <c r="AC182" s="270"/>
      <c r="AD182" s="70"/>
      <c r="AE182" s="70"/>
      <c r="AF182" s="70"/>
      <c r="AG182" s="70"/>
      <c r="AH182" s="70"/>
      <c r="AI182" s="70"/>
      <c r="AJ182" s="70"/>
      <c r="AK182" s="70"/>
      <c r="AL182" s="94"/>
      <c r="AM182" s="70"/>
      <c r="AN182" s="44"/>
      <c r="AO182" s="44"/>
      <c r="AP182" s="44"/>
      <c r="AQ182" s="44"/>
      <c r="AR182" s="44"/>
      <c r="AS182" s="44"/>
      <c r="AT182" s="44"/>
      <c r="AU182" s="44"/>
      <c r="AV182" s="44"/>
      <c r="AW182" s="44"/>
      <c r="AX182" s="44"/>
      <c r="AY182"/>
      <c r="AZ182"/>
      <c r="BA182"/>
      <c r="BB182"/>
      <c r="BC182"/>
      <c r="BD182"/>
      <c r="BE182"/>
      <c r="BF182"/>
      <c r="BG182"/>
      <c r="BH182"/>
      <c r="BI182"/>
      <c r="BJ182"/>
    </row>
    <row r="183" spans="1:62" x14ac:dyDescent="0.25">
      <c r="A183" s="509"/>
      <c r="B183" s="509"/>
      <c r="C183" s="509"/>
      <c r="D183" s="509"/>
      <c r="E183" s="509"/>
      <c r="F183" s="509"/>
      <c r="G183" s="44"/>
      <c r="H183" s="269"/>
      <c r="I183" s="57"/>
      <c r="J183" s="70"/>
      <c r="K183" s="70"/>
      <c r="L183" s="70"/>
      <c r="M183" s="512" t="s">
        <v>579</v>
      </c>
      <c r="N183" s="522">
        <f>lignin_energy_source</f>
        <v>1</v>
      </c>
      <c r="O183" s="429" t="s">
        <v>538</v>
      </c>
      <c r="P183" s="509"/>
      <c r="Q183" s="44"/>
      <c r="R183" s="57"/>
      <c r="S183" s="44"/>
      <c r="T183" s="44"/>
      <c r="U183" s="44"/>
      <c r="V183" s="44"/>
      <c r="W183" s="44"/>
      <c r="X183" s="44"/>
      <c r="Y183" s="70"/>
      <c r="Z183" s="70"/>
      <c r="AA183" s="44"/>
      <c r="AB183" s="135"/>
      <c r="AC183" s="270"/>
      <c r="AD183" s="70"/>
      <c r="AE183" s="70"/>
      <c r="AF183" s="70"/>
      <c r="AG183" s="70"/>
      <c r="AH183" s="70"/>
      <c r="AI183" s="70"/>
      <c r="AJ183" s="70"/>
      <c r="AK183" s="70"/>
      <c r="AL183" s="94"/>
      <c r="AM183" s="70"/>
      <c r="AN183" s="44"/>
      <c r="AO183" s="44"/>
      <c r="AP183" s="44"/>
      <c r="AQ183" s="44"/>
      <c r="AR183" s="44"/>
      <c r="AS183" s="44"/>
      <c r="AT183" s="44"/>
      <c r="AU183" s="44"/>
      <c r="AV183" s="44"/>
      <c r="AW183" s="44"/>
      <c r="AX183" s="44"/>
      <c r="AY183"/>
      <c r="AZ183"/>
      <c r="BA183"/>
      <c r="BB183"/>
      <c r="BC183"/>
      <c r="BD183"/>
      <c r="BE183"/>
      <c r="BF183"/>
      <c r="BG183"/>
      <c r="BH183"/>
      <c r="BI183"/>
      <c r="BJ183"/>
    </row>
    <row r="184" spans="1:62" x14ac:dyDescent="0.25">
      <c r="A184" s="509"/>
      <c r="B184" s="509"/>
      <c r="C184" s="509"/>
      <c r="D184" s="509"/>
      <c r="E184" s="509"/>
      <c r="F184" s="509"/>
      <c r="G184" s="44"/>
      <c r="H184" s="269"/>
      <c r="I184" s="57"/>
      <c r="J184" s="70"/>
      <c r="K184" s="70"/>
      <c r="L184" s="70"/>
      <c r="M184" s="427"/>
      <c r="N184" s="428"/>
      <c r="O184" s="429"/>
      <c r="P184" s="509"/>
      <c r="Q184" s="70"/>
      <c r="R184" s="57"/>
      <c r="S184" s="70"/>
      <c r="T184" s="70"/>
      <c r="U184" s="70"/>
      <c r="V184" s="44"/>
      <c r="W184" s="44"/>
      <c r="X184" s="44"/>
      <c r="Y184" s="70"/>
      <c r="Z184" s="70"/>
      <c r="AA184" s="44"/>
      <c r="AB184" s="135"/>
      <c r="AC184" s="270"/>
      <c r="AD184" s="70"/>
      <c r="AE184" s="70"/>
      <c r="AF184" s="70"/>
      <c r="AG184" s="70"/>
      <c r="AH184" s="70"/>
      <c r="AI184" s="70"/>
      <c r="AJ184" s="70"/>
      <c r="AK184" s="70"/>
      <c r="AL184" s="94"/>
      <c r="AM184" s="70"/>
      <c r="AN184" s="44"/>
      <c r="AO184" s="44"/>
      <c r="AP184" s="44"/>
      <c r="AQ184" s="44"/>
      <c r="AR184" s="44"/>
      <c r="AS184" s="44"/>
      <c r="AT184" s="44"/>
      <c r="AU184" s="44"/>
      <c r="AV184" s="44"/>
      <c r="AW184" s="44"/>
      <c r="AX184" s="44"/>
      <c r="AY184"/>
      <c r="AZ184"/>
      <c r="BA184"/>
      <c r="BB184"/>
      <c r="BC184"/>
      <c r="BD184"/>
      <c r="BE184"/>
      <c r="BF184"/>
      <c r="BG184"/>
      <c r="BH184"/>
      <c r="BI184"/>
      <c r="BJ184"/>
    </row>
    <row r="185" spans="1:62" x14ac:dyDescent="0.25">
      <c r="A185" s="509"/>
      <c r="B185" s="509"/>
      <c r="C185" s="509"/>
      <c r="D185" s="509"/>
      <c r="E185" s="509"/>
      <c r="F185" s="509"/>
      <c r="G185" s="44"/>
      <c r="H185" s="269"/>
      <c r="I185" s="57"/>
      <c r="J185" s="70"/>
      <c r="K185" s="70"/>
      <c r="L185" s="70"/>
      <c r="M185" s="550" t="s">
        <v>620</v>
      </c>
      <c r="N185" s="1486">
        <f>(N173*N177)/S357</f>
        <v>26540.751842810732</v>
      </c>
      <c r="O185" s="429" t="s">
        <v>437</v>
      </c>
      <c r="P185" s="509"/>
      <c r="Q185" s="70"/>
      <c r="R185" s="57"/>
      <c r="S185" s="70"/>
      <c r="T185" s="70"/>
      <c r="U185" s="70"/>
      <c r="V185" s="44"/>
      <c r="W185" s="44"/>
      <c r="X185" s="44"/>
      <c r="Y185" s="70"/>
      <c r="Z185" s="70"/>
      <c r="AA185" s="44"/>
      <c r="AB185" s="135"/>
      <c r="AC185" s="270"/>
      <c r="AD185" s="70"/>
      <c r="AE185" s="70"/>
      <c r="AF185" s="70"/>
      <c r="AG185" s="70"/>
      <c r="AH185" s="70"/>
      <c r="AI185" s="70"/>
      <c r="AJ185" s="70"/>
      <c r="AK185" s="70"/>
      <c r="AL185" s="94"/>
      <c r="AM185" s="70"/>
      <c r="AN185" s="44"/>
      <c r="AO185" s="44"/>
      <c r="AP185" s="44"/>
      <c r="AQ185" s="44"/>
      <c r="AR185" s="44"/>
      <c r="AS185" s="44"/>
      <c r="AT185" s="44"/>
      <c r="AU185" s="44"/>
      <c r="AV185" s="44"/>
      <c r="AW185" s="44"/>
      <c r="AX185" s="44"/>
      <c r="AY185"/>
      <c r="AZ185"/>
      <c r="BA185"/>
      <c r="BB185"/>
      <c r="BC185"/>
      <c r="BD185"/>
      <c r="BE185"/>
      <c r="BF185"/>
      <c r="BG185"/>
      <c r="BH185"/>
      <c r="BI185"/>
      <c r="BJ185"/>
    </row>
    <row r="186" spans="1:62" x14ac:dyDescent="0.25">
      <c r="A186" s="509"/>
      <c r="B186" s="509"/>
      <c r="C186" s="509"/>
      <c r="D186" s="509"/>
      <c r="E186" s="509"/>
      <c r="F186" s="509"/>
      <c r="G186" s="44"/>
      <c r="H186" s="269"/>
      <c r="I186" s="57"/>
      <c r="J186" s="70"/>
      <c r="K186" s="70"/>
      <c r="L186" s="70"/>
      <c r="M186" s="430"/>
      <c r="N186" s="431"/>
      <c r="O186" s="432"/>
      <c r="P186" s="509"/>
      <c r="Q186" s="70"/>
      <c r="R186" s="57"/>
      <c r="S186" s="70"/>
      <c r="T186" s="70"/>
      <c r="U186" s="70"/>
      <c r="V186" s="44"/>
      <c r="W186" s="44"/>
      <c r="X186" s="44"/>
      <c r="Y186" s="70"/>
      <c r="Z186" s="70"/>
      <c r="AA186" s="44"/>
      <c r="AB186" s="135"/>
      <c r="AC186" s="270"/>
      <c r="AD186" s="70"/>
      <c r="AE186" s="70"/>
      <c r="AF186" s="70"/>
      <c r="AG186" s="70"/>
      <c r="AH186" s="70"/>
      <c r="AI186" s="70"/>
      <c r="AJ186" s="70"/>
      <c r="AK186" s="70"/>
      <c r="AL186" s="94"/>
      <c r="AM186" s="70"/>
      <c r="AN186" s="44"/>
      <c r="AO186" s="44"/>
      <c r="AP186" s="44"/>
      <c r="AQ186" s="44"/>
      <c r="AR186" s="44"/>
      <c r="AS186" s="44"/>
      <c r="AT186" s="44"/>
      <c r="AU186" s="44"/>
      <c r="AV186" s="44"/>
      <c r="AW186" s="44"/>
      <c r="AX186" s="44"/>
      <c r="AY186"/>
      <c r="AZ186"/>
      <c r="BA186"/>
      <c r="BB186"/>
      <c r="BC186"/>
      <c r="BD186"/>
      <c r="BE186"/>
      <c r="BF186"/>
      <c r="BG186"/>
      <c r="BH186"/>
      <c r="BI186"/>
      <c r="BJ186"/>
    </row>
    <row r="187" spans="1:62" ht="13.8" thickBot="1" x14ac:dyDescent="0.3">
      <c r="A187" s="509"/>
      <c r="B187" s="509"/>
      <c r="C187" s="509"/>
      <c r="D187" s="509"/>
      <c r="E187" s="509"/>
      <c r="F187" s="509"/>
      <c r="G187" s="44"/>
      <c r="H187" s="305"/>
      <c r="I187" s="515"/>
      <c r="J187" s="306"/>
      <c r="K187" s="306"/>
      <c r="L187" s="306"/>
      <c r="M187" s="515"/>
      <c r="N187" s="306"/>
      <c r="O187" s="306"/>
      <c r="P187" s="306"/>
      <c r="Q187" s="306"/>
      <c r="R187" s="515"/>
      <c r="S187" s="518"/>
      <c r="T187" s="306"/>
      <c r="U187" s="306"/>
      <c r="V187" s="306"/>
      <c r="W187" s="306"/>
      <c r="X187" s="306"/>
      <c r="Y187" s="306"/>
      <c r="Z187" s="70"/>
      <c r="AA187" s="44"/>
      <c r="AB187" s="70"/>
      <c r="AC187" s="307"/>
      <c r="AD187" s="70"/>
      <c r="AE187" s="70"/>
      <c r="AF187" s="70"/>
      <c r="AG187" s="70"/>
      <c r="AH187" s="70"/>
      <c r="AI187" s="70"/>
      <c r="AJ187" s="70"/>
      <c r="AK187" s="70"/>
      <c r="AL187" s="94"/>
      <c r="AM187" s="70"/>
      <c r="AN187" s="44"/>
      <c r="AO187" s="44"/>
      <c r="AP187" s="44"/>
      <c r="AQ187" s="44"/>
      <c r="AR187" s="44"/>
      <c r="AS187" s="44"/>
      <c r="AT187" s="44"/>
      <c r="AU187" s="44"/>
      <c r="AV187" s="44"/>
      <c r="AW187" s="44"/>
      <c r="AX187" s="44"/>
      <c r="AY187"/>
      <c r="AZ187"/>
      <c r="BA187"/>
      <c r="BB187"/>
      <c r="BC187"/>
      <c r="BD187"/>
      <c r="BE187"/>
      <c r="BF187"/>
      <c r="BG187"/>
      <c r="BH187"/>
      <c r="BI187"/>
      <c r="BJ187"/>
    </row>
    <row r="188" spans="1:62" x14ac:dyDescent="0.25">
      <c r="A188" s="509"/>
      <c r="B188" s="509"/>
      <c r="C188" s="509"/>
      <c r="D188" s="509"/>
      <c r="E188" s="509"/>
      <c r="F188" s="509"/>
      <c r="G188" s="70"/>
      <c r="H188" s="267"/>
      <c r="I188" s="57"/>
      <c r="J188" s="70"/>
      <c r="K188" s="70"/>
      <c r="L188" s="70"/>
      <c r="M188" s="57"/>
      <c r="N188" s="70"/>
      <c r="O188" s="70"/>
      <c r="P188" s="70"/>
      <c r="Q188" s="70"/>
      <c r="R188" s="1475"/>
      <c r="S188" s="70"/>
      <c r="T188" s="44"/>
      <c r="U188" s="44"/>
      <c r="V188" s="44"/>
      <c r="W188" s="44"/>
      <c r="X188" s="44"/>
      <c r="Y188" s="70"/>
      <c r="Z188" s="267"/>
      <c r="AA188" s="267"/>
      <c r="AB188" s="1564"/>
      <c r="AC188" s="70"/>
      <c r="AD188" s="70"/>
      <c r="AE188" s="70"/>
      <c r="AF188" s="70"/>
      <c r="AG188" s="70"/>
      <c r="AH188" s="70"/>
      <c r="AI188" s="70"/>
      <c r="AJ188" s="70"/>
      <c r="AK188" s="70"/>
      <c r="AL188" s="94"/>
      <c r="AM188" s="70"/>
      <c r="AN188" s="44"/>
      <c r="AO188" s="44"/>
      <c r="AP188" s="44"/>
      <c r="AQ188" s="44"/>
      <c r="AR188" s="44"/>
      <c r="AS188" s="44"/>
      <c r="AT188" s="44"/>
      <c r="AU188" s="44"/>
      <c r="AV188" s="44"/>
      <c r="AW188" s="44"/>
      <c r="AX188" s="44"/>
      <c r="AY188"/>
      <c r="AZ188"/>
      <c r="BA188"/>
      <c r="BB188"/>
      <c r="BC188"/>
      <c r="BD188"/>
      <c r="BE188"/>
      <c r="BF188"/>
      <c r="BG188"/>
      <c r="BH188"/>
      <c r="BI188"/>
      <c r="BJ188"/>
    </row>
    <row r="189" spans="1:62" x14ac:dyDescent="0.25">
      <c r="A189" s="70"/>
      <c r="B189" s="70"/>
      <c r="C189" s="44"/>
      <c r="D189" s="87"/>
      <c r="E189" s="87"/>
      <c r="F189" s="87"/>
      <c r="G189" s="87"/>
      <c r="H189" s="87"/>
      <c r="I189" s="88"/>
      <c r="J189" s="70"/>
      <c r="K189" s="70"/>
      <c r="L189" s="70"/>
      <c r="M189" s="57"/>
      <c r="N189" s="70"/>
      <c r="O189" s="70"/>
      <c r="P189" s="70"/>
      <c r="Q189" s="509"/>
      <c r="R189" s="519"/>
      <c r="S189" s="509"/>
      <c r="T189" s="509"/>
      <c r="U189" s="44"/>
      <c r="V189" s="44"/>
      <c r="W189" s="44"/>
      <c r="X189" s="44"/>
      <c r="Y189" s="70"/>
      <c r="Z189" s="44"/>
      <c r="AA189" s="44"/>
      <c r="AB189" s="70"/>
      <c r="AC189" s="70"/>
      <c r="AD189" s="70"/>
      <c r="AE189" s="70"/>
      <c r="AF189" s="70"/>
      <c r="AG189" s="70"/>
      <c r="AH189" s="70"/>
      <c r="AI189" s="70"/>
      <c r="AJ189" s="70"/>
      <c r="AK189" s="70"/>
      <c r="AL189" s="94"/>
      <c r="AM189" s="70"/>
      <c r="AN189" s="44"/>
      <c r="AO189" s="44"/>
      <c r="AP189" s="44"/>
      <c r="AQ189" s="44"/>
      <c r="AR189" s="44"/>
      <c r="AS189" s="44"/>
      <c r="AT189" s="44"/>
      <c r="AU189" s="44"/>
      <c r="AV189" s="44"/>
      <c r="AW189" s="44"/>
      <c r="AX189" s="44"/>
      <c r="AY189"/>
      <c r="AZ189"/>
      <c r="BA189"/>
      <c r="BB189"/>
      <c r="BC189"/>
      <c r="BD189"/>
      <c r="BE189"/>
      <c r="BF189"/>
      <c r="BG189"/>
      <c r="BH189"/>
      <c r="BI189"/>
      <c r="BJ189"/>
    </row>
    <row r="190" spans="1:62" x14ac:dyDescent="0.25">
      <c r="A190" s="70"/>
      <c r="B190" s="70"/>
      <c r="C190" s="44"/>
      <c r="D190" s="73"/>
      <c r="E190" s="44"/>
      <c r="F190" s="70"/>
      <c r="G190" s="44"/>
      <c r="H190" s="44"/>
      <c r="I190" s="44"/>
      <c r="J190" s="70"/>
      <c r="K190" s="70"/>
      <c r="L190" s="70"/>
      <c r="M190" s="57"/>
      <c r="N190" s="70"/>
      <c r="O190" s="70"/>
      <c r="P190" s="70"/>
      <c r="Q190" s="509"/>
      <c r="R190" s="519"/>
      <c r="S190" s="509"/>
      <c r="T190" s="509"/>
      <c r="U190" s="44"/>
      <c r="V190" s="70"/>
      <c r="W190" s="70"/>
      <c r="X190" s="44"/>
      <c r="Y190" s="70"/>
      <c r="Z190" s="70"/>
      <c r="AA190" s="70"/>
      <c r="AB190" s="70"/>
      <c r="AC190" s="70"/>
      <c r="AD190" s="70"/>
      <c r="AE190" s="70"/>
      <c r="AF190" s="70"/>
      <c r="AG190" s="70"/>
      <c r="AH190" s="70"/>
      <c r="AI190" s="70"/>
      <c r="AJ190" s="70"/>
      <c r="AK190" s="70"/>
      <c r="AL190" s="94"/>
      <c r="AM190" s="70"/>
      <c r="AN190" s="44"/>
      <c r="AO190" s="44"/>
      <c r="AP190" s="44"/>
      <c r="AQ190" s="44"/>
      <c r="AR190" s="44"/>
      <c r="AS190" s="44"/>
      <c r="AT190" s="44"/>
      <c r="AU190" s="44"/>
      <c r="AV190" s="44"/>
      <c r="AW190" s="44"/>
      <c r="AX190" s="44"/>
      <c r="AY190"/>
      <c r="AZ190"/>
      <c r="BA190"/>
      <c r="BB190"/>
      <c r="BC190"/>
      <c r="BD190"/>
      <c r="BE190"/>
      <c r="BF190"/>
      <c r="BG190"/>
      <c r="BH190"/>
      <c r="BI190"/>
      <c r="BJ190"/>
    </row>
    <row r="191" spans="1:62" x14ac:dyDescent="0.25">
      <c r="A191" s="70"/>
      <c r="B191" s="70"/>
      <c r="C191" s="44"/>
      <c r="D191" s="94"/>
      <c r="E191" s="87"/>
      <c r="F191" s="87"/>
      <c r="G191" s="87"/>
      <c r="H191" s="87"/>
      <c r="I191" s="87"/>
      <c r="J191" s="87"/>
      <c r="K191" s="87"/>
      <c r="L191" s="87"/>
      <c r="M191" s="88"/>
      <c r="N191" s="70"/>
      <c r="O191" s="70"/>
      <c r="P191" s="70"/>
      <c r="Q191" s="509"/>
      <c r="R191" s="519"/>
      <c r="S191" s="509"/>
      <c r="T191" s="509"/>
      <c r="U191" s="44"/>
      <c r="V191" s="70"/>
      <c r="W191" s="70"/>
      <c r="X191" s="44"/>
      <c r="Y191" s="70"/>
      <c r="Z191" s="70"/>
      <c r="AA191" s="70"/>
      <c r="AB191" s="70"/>
      <c r="AC191" s="70"/>
      <c r="AD191" s="70"/>
      <c r="AE191" s="70"/>
      <c r="AF191" s="70"/>
      <c r="AG191" s="70"/>
      <c r="AH191" s="70"/>
      <c r="AI191" s="70"/>
      <c r="AJ191" s="70"/>
      <c r="AK191" s="70"/>
      <c r="AL191" s="94"/>
      <c r="AM191" s="70"/>
      <c r="AN191" s="44"/>
      <c r="AO191" s="44"/>
      <c r="AP191" s="44"/>
      <c r="AQ191" s="44"/>
      <c r="AR191" s="44"/>
      <c r="AS191" s="44"/>
      <c r="AT191" s="44"/>
      <c r="AU191" s="44"/>
      <c r="AV191" s="44"/>
      <c r="AW191" s="44"/>
      <c r="AX191" s="44"/>
      <c r="AY191"/>
      <c r="AZ191"/>
      <c r="BA191"/>
      <c r="BB191"/>
      <c r="BC191"/>
      <c r="BD191"/>
      <c r="BE191"/>
      <c r="BF191"/>
      <c r="BG191"/>
      <c r="BH191"/>
      <c r="BI191"/>
      <c r="BJ191"/>
    </row>
    <row r="192" spans="1:62" x14ac:dyDescent="0.25">
      <c r="A192" s="70"/>
      <c r="B192" s="70"/>
      <c r="C192" s="44"/>
      <c r="D192" s="825"/>
      <c r="E192" s="44"/>
      <c r="F192" s="70"/>
      <c r="G192" s="70"/>
      <c r="H192" s="70"/>
      <c r="I192" s="70"/>
      <c r="J192" s="70"/>
      <c r="K192" s="70"/>
      <c r="L192" s="70"/>
      <c r="M192" s="70"/>
      <c r="N192" s="70"/>
      <c r="O192" s="70"/>
      <c r="P192" s="70"/>
      <c r="Q192" s="509"/>
      <c r="R192" s="519"/>
      <c r="S192" s="509"/>
      <c r="T192" s="509"/>
      <c r="U192" s="509"/>
      <c r="V192" s="70"/>
      <c r="W192" s="70"/>
      <c r="X192" s="70"/>
      <c r="Y192" s="70"/>
      <c r="Z192" s="70"/>
      <c r="AA192" s="70"/>
      <c r="AB192" s="70"/>
      <c r="AC192" s="70"/>
      <c r="AD192" s="70"/>
      <c r="AE192" s="70"/>
      <c r="AF192" s="70"/>
      <c r="AG192" s="70"/>
      <c r="AH192" s="70"/>
      <c r="AI192" s="70"/>
      <c r="AJ192" s="70"/>
      <c r="AK192" s="70"/>
      <c r="AL192" s="94"/>
      <c r="AM192" s="70"/>
      <c r="AN192" s="44"/>
      <c r="AO192" s="44"/>
      <c r="AP192" s="44"/>
      <c r="AQ192" s="44"/>
      <c r="AR192" s="44"/>
      <c r="AS192" s="44"/>
      <c r="AT192" s="44"/>
      <c r="AU192" s="44"/>
      <c r="AV192" s="44"/>
      <c r="AW192" s="44"/>
      <c r="AX192" s="44"/>
      <c r="AY192"/>
      <c r="AZ192"/>
      <c r="BA192"/>
      <c r="BB192"/>
      <c r="BC192"/>
      <c r="BD192"/>
      <c r="BE192"/>
      <c r="BF192"/>
      <c r="BG192"/>
      <c r="BH192"/>
      <c r="BI192"/>
      <c r="BJ192"/>
    </row>
    <row r="193" spans="1:62" x14ac:dyDescent="0.25">
      <c r="A193" s="70"/>
      <c r="B193" s="70"/>
      <c r="C193" s="44"/>
      <c r="D193" s="825"/>
      <c r="E193" s="44"/>
      <c r="F193" s="70"/>
      <c r="G193" s="70"/>
      <c r="H193" s="70"/>
      <c r="I193" s="70"/>
      <c r="J193" s="44"/>
      <c r="K193" s="44"/>
      <c r="L193" s="44"/>
      <c r="M193" s="44"/>
      <c r="N193" s="44"/>
      <c r="O193" s="44"/>
      <c r="P193" s="44"/>
      <c r="Q193" s="509"/>
      <c r="R193" s="519"/>
      <c r="S193" s="509"/>
      <c r="T193" s="509"/>
      <c r="U193" s="509"/>
      <c r="V193" s="44"/>
      <c r="W193" s="44"/>
      <c r="X193" s="44"/>
      <c r="Y193" s="70"/>
      <c r="Z193" s="70"/>
      <c r="AA193" s="70"/>
      <c r="AB193" s="70"/>
      <c r="AC193" s="70"/>
      <c r="AD193" s="70"/>
      <c r="AE193" s="70"/>
      <c r="AF193" s="70"/>
      <c r="AG193" s="70"/>
      <c r="AH193" s="70"/>
      <c r="AI193" s="70"/>
      <c r="AJ193" s="70"/>
      <c r="AK193" s="70"/>
      <c r="AL193" s="94"/>
      <c r="AM193" s="70"/>
      <c r="AN193" s="44"/>
      <c r="AO193" s="44"/>
      <c r="AP193" s="44"/>
      <c r="AQ193" s="44"/>
      <c r="AR193" s="44"/>
      <c r="AS193" s="44"/>
      <c r="AT193" s="44"/>
      <c r="AU193" s="44"/>
      <c r="AV193" s="44"/>
      <c r="AW193" s="44"/>
      <c r="AX193" s="44"/>
      <c r="AY193"/>
      <c r="AZ193"/>
      <c r="BA193"/>
      <c r="BB193"/>
      <c r="BC193"/>
      <c r="BD193"/>
      <c r="BE193"/>
      <c r="BF193"/>
      <c r="BG193"/>
      <c r="BH193"/>
      <c r="BI193"/>
      <c r="BJ193"/>
    </row>
    <row r="194" spans="1:62" x14ac:dyDescent="0.25">
      <c r="A194" s="70"/>
      <c r="B194" s="70"/>
      <c r="C194" s="44"/>
      <c r="D194" s="825"/>
      <c r="E194" s="44"/>
      <c r="F194" s="70"/>
      <c r="G194" s="70"/>
      <c r="H194" s="70"/>
      <c r="I194" s="70"/>
      <c r="J194" s="44"/>
      <c r="K194" s="44"/>
      <c r="L194" s="44"/>
      <c r="M194" s="44"/>
      <c r="N194" s="44"/>
      <c r="O194" s="44"/>
      <c r="P194" s="44"/>
      <c r="Q194" s="509"/>
      <c r="R194" s="519"/>
      <c r="S194" s="509"/>
      <c r="T194" s="509"/>
      <c r="U194" s="509"/>
      <c r="V194" s="44"/>
      <c r="W194" s="44"/>
      <c r="X194" s="70"/>
      <c r="Y194" s="70"/>
      <c r="Z194" s="70"/>
      <c r="AA194" s="70"/>
      <c r="AB194" s="70"/>
      <c r="AC194" s="70"/>
      <c r="AD194" s="70"/>
      <c r="AE194" s="70"/>
      <c r="AF194" s="70"/>
      <c r="AG194" s="70"/>
      <c r="AH194" s="70"/>
      <c r="AI194" s="70"/>
      <c r="AJ194" s="70"/>
      <c r="AK194" s="70"/>
      <c r="AL194" s="94"/>
      <c r="AM194" s="70"/>
      <c r="AN194" s="44"/>
      <c r="AO194" s="44"/>
      <c r="AP194" s="44"/>
      <c r="AQ194" s="44"/>
      <c r="AR194" s="44"/>
      <c r="AS194" s="44"/>
      <c r="AT194" s="44"/>
      <c r="AU194" s="44"/>
      <c r="AV194" s="44"/>
      <c r="AW194" s="44"/>
      <c r="AX194" s="44"/>
      <c r="AY194"/>
      <c r="AZ194"/>
      <c r="BA194"/>
      <c r="BB194"/>
      <c r="BC194"/>
      <c r="BD194"/>
      <c r="BE194"/>
      <c r="BF194"/>
      <c r="BG194"/>
      <c r="BH194"/>
      <c r="BI194"/>
      <c r="BJ194"/>
    </row>
    <row r="195" spans="1:62" x14ac:dyDescent="0.25">
      <c r="A195" s="70"/>
      <c r="B195" s="70"/>
      <c r="C195" s="70"/>
      <c r="D195" s="825"/>
      <c r="E195" s="70"/>
      <c r="F195" s="70"/>
      <c r="G195" s="70"/>
      <c r="H195" s="70"/>
      <c r="I195" s="70"/>
      <c r="J195" s="44"/>
      <c r="K195" s="44"/>
      <c r="L195" s="44"/>
      <c r="M195" s="44"/>
      <c r="N195" s="44"/>
      <c r="O195" s="44"/>
      <c r="P195" s="44"/>
      <c r="Q195" s="509"/>
      <c r="R195" s="519"/>
      <c r="S195" s="509"/>
      <c r="T195" s="509"/>
      <c r="U195" s="509"/>
      <c r="V195" s="44"/>
      <c r="W195" s="44"/>
      <c r="X195" s="44"/>
      <c r="Y195" s="70"/>
      <c r="Z195" s="70"/>
      <c r="AA195" s="70"/>
      <c r="AB195" s="70"/>
      <c r="AC195" s="70"/>
      <c r="AD195" s="70"/>
      <c r="AE195" s="70"/>
      <c r="AF195" s="70"/>
      <c r="AG195" s="70"/>
      <c r="AH195" s="70"/>
      <c r="AI195" s="70"/>
      <c r="AJ195" s="70"/>
      <c r="AK195" s="70"/>
      <c r="AL195" s="94"/>
      <c r="AM195" s="70"/>
      <c r="AN195" s="44"/>
      <c r="AO195" s="44"/>
      <c r="AP195" s="44"/>
      <c r="AQ195" s="44"/>
      <c r="AR195" s="44"/>
      <c r="AS195" s="44"/>
      <c r="AT195" s="44"/>
      <c r="AU195" s="44"/>
      <c r="AV195" s="44"/>
      <c r="AW195" s="44"/>
      <c r="AX195" s="44"/>
      <c r="AY195"/>
      <c r="AZ195"/>
      <c r="BA195"/>
      <c r="BB195"/>
      <c r="BC195"/>
      <c r="BD195"/>
      <c r="BE195"/>
      <c r="BF195"/>
      <c r="BG195"/>
      <c r="BH195"/>
      <c r="BI195"/>
      <c r="BJ195"/>
    </row>
    <row r="196" spans="1:62" x14ac:dyDescent="0.25">
      <c r="A196" s="44"/>
      <c r="B196" s="44"/>
      <c r="C196" s="44"/>
      <c r="D196" s="825"/>
      <c r="E196" s="70"/>
      <c r="F196" s="44"/>
      <c r="G196" s="70"/>
      <c r="H196" s="70"/>
      <c r="I196" s="70"/>
      <c r="J196" s="44"/>
      <c r="K196" s="44"/>
      <c r="L196" s="44"/>
      <c r="M196" s="44"/>
      <c r="N196" s="44"/>
      <c r="O196" s="44"/>
      <c r="P196" s="44"/>
      <c r="Q196" s="509"/>
      <c r="R196" s="519"/>
      <c r="S196" s="509"/>
      <c r="T196" s="509"/>
      <c r="U196" s="509"/>
      <c r="V196" s="44"/>
      <c r="W196" s="44"/>
      <c r="X196" s="44"/>
      <c r="Y196" s="70"/>
      <c r="Z196" s="70"/>
      <c r="AA196" s="70"/>
      <c r="AB196" s="70"/>
      <c r="AC196" s="70"/>
      <c r="AD196" s="70"/>
      <c r="AE196" s="70"/>
      <c r="AF196" s="70"/>
      <c r="AG196" s="44"/>
      <c r="AH196" s="44"/>
      <c r="AI196" s="44"/>
      <c r="AJ196" s="44"/>
      <c r="AK196" s="44"/>
      <c r="AL196" s="94"/>
      <c r="AM196" s="70"/>
      <c r="AN196" s="44"/>
      <c r="AO196" s="44"/>
      <c r="AP196" s="44"/>
      <c r="AQ196" s="44"/>
      <c r="AR196" s="44"/>
      <c r="AS196" s="44"/>
      <c r="AT196" s="44"/>
      <c r="AU196" s="44"/>
      <c r="AV196" s="44"/>
      <c r="AW196" s="44"/>
      <c r="AX196" s="44"/>
      <c r="AY196"/>
      <c r="AZ196"/>
      <c r="BA196"/>
      <c r="BB196"/>
      <c r="BC196"/>
      <c r="BD196"/>
      <c r="BE196"/>
      <c r="BF196"/>
      <c r="BG196"/>
      <c r="BH196"/>
      <c r="BI196"/>
      <c r="BJ196"/>
    </row>
    <row r="197" spans="1:62" x14ac:dyDescent="0.25">
      <c r="A197" s="44"/>
      <c r="B197" s="44"/>
      <c r="C197" s="44"/>
      <c r="D197" s="825"/>
      <c r="E197" s="44"/>
      <c r="F197" s="44"/>
      <c r="G197" s="70"/>
      <c r="H197" s="70"/>
      <c r="I197" s="70"/>
      <c r="J197" s="44"/>
      <c r="K197" s="44"/>
      <c r="L197" s="44"/>
      <c r="M197" s="44"/>
      <c r="N197" s="44"/>
      <c r="O197" s="44"/>
      <c r="P197" s="44"/>
      <c r="Q197" s="509"/>
      <c r="R197" s="519"/>
      <c r="S197" s="509"/>
      <c r="T197" s="509"/>
      <c r="U197" s="509"/>
      <c r="V197" s="44"/>
      <c r="W197" s="44"/>
      <c r="X197" s="44"/>
      <c r="Y197" s="70"/>
      <c r="Z197" s="70"/>
      <c r="AA197" s="70"/>
      <c r="AB197" s="70"/>
      <c r="AC197" s="70"/>
      <c r="AD197" s="70"/>
      <c r="AE197" s="70"/>
      <c r="AF197" s="70"/>
      <c r="AG197" s="44"/>
      <c r="AH197" s="44"/>
      <c r="AI197" s="44"/>
      <c r="AJ197" s="44"/>
      <c r="AK197" s="44"/>
      <c r="AL197" s="94"/>
      <c r="AM197" s="70"/>
      <c r="AN197" s="44"/>
      <c r="AO197" s="44"/>
      <c r="AP197" s="44"/>
      <c r="AQ197" s="44"/>
      <c r="AR197" s="44"/>
      <c r="AS197" s="44"/>
      <c r="AT197" s="44"/>
      <c r="AU197" s="44"/>
      <c r="AV197" s="44"/>
      <c r="AW197" s="44"/>
      <c r="AX197" s="44"/>
      <c r="AY197"/>
      <c r="AZ197"/>
      <c r="BA197"/>
      <c r="BB197"/>
      <c r="BC197"/>
      <c r="BD197"/>
      <c r="BE197"/>
      <c r="BF197"/>
      <c r="BG197"/>
      <c r="BH197"/>
      <c r="BI197"/>
      <c r="BJ197"/>
    </row>
    <row r="198" spans="1:62" ht="13.8" thickBot="1" x14ac:dyDescent="0.3">
      <c r="A198" s="44"/>
      <c r="B198" s="44"/>
      <c r="C198" s="70"/>
      <c r="D198" s="825"/>
      <c r="E198" s="70"/>
      <c r="F198" s="70"/>
      <c r="G198" s="70"/>
      <c r="H198" s="70"/>
      <c r="I198" s="70"/>
      <c r="J198" s="44"/>
      <c r="K198" s="44"/>
      <c r="L198" s="44"/>
      <c r="M198" s="44"/>
      <c r="N198" s="44"/>
      <c r="O198" s="44"/>
      <c r="P198" s="44"/>
      <c r="Q198" s="44"/>
      <c r="R198" s="57"/>
      <c r="S198" s="70"/>
      <c r="T198" s="44"/>
      <c r="U198" s="44"/>
      <c r="V198" s="44"/>
      <c r="W198" s="44"/>
      <c r="X198" s="70"/>
      <c r="Y198" s="70"/>
      <c r="Z198" s="70"/>
      <c r="AA198" s="70"/>
      <c r="AB198" s="70"/>
      <c r="AC198" s="70"/>
      <c r="AD198" s="70"/>
      <c r="AE198" s="70"/>
      <c r="AF198" s="70"/>
      <c r="AG198" s="44"/>
      <c r="AH198" s="44"/>
      <c r="AI198" s="44"/>
      <c r="AJ198" s="44"/>
      <c r="AK198" s="70"/>
      <c r="AL198" s="94"/>
      <c r="AM198" s="70"/>
      <c r="AN198" s="44"/>
      <c r="AO198" s="44"/>
      <c r="AP198" s="44"/>
      <c r="AQ198" s="44"/>
      <c r="AR198" s="44"/>
      <c r="AS198" s="44"/>
      <c r="AT198" s="44"/>
      <c r="AU198" s="44"/>
      <c r="AV198" s="44"/>
      <c r="AW198" s="44"/>
      <c r="AX198" s="44"/>
      <c r="AY198"/>
      <c r="AZ198"/>
      <c r="BA198"/>
      <c r="BB198"/>
      <c r="BC198"/>
      <c r="BD198"/>
      <c r="BE198"/>
      <c r="BF198"/>
      <c r="BG198"/>
      <c r="BH198"/>
      <c r="BI198"/>
      <c r="BJ198"/>
    </row>
    <row r="199" spans="1:62" ht="13.8" thickBot="1" x14ac:dyDescent="0.3">
      <c r="A199" s="44"/>
      <c r="B199" s="44"/>
      <c r="C199" s="70"/>
      <c r="D199" s="825"/>
      <c r="E199" s="70"/>
      <c r="F199" s="70"/>
      <c r="G199" s="70"/>
      <c r="H199" s="70"/>
      <c r="I199" s="70"/>
      <c r="J199" s="44"/>
      <c r="K199" s="44"/>
      <c r="L199" s="44"/>
      <c r="M199" s="44"/>
      <c r="N199" s="44"/>
      <c r="O199" s="266"/>
      <c r="P199" s="267"/>
      <c r="Q199" s="267"/>
      <c r="R199" s="267"/>
      <c r="S199" s="268"/>
      <c r="T199" s="824"/>
      <c r="U199" s="267"/>
      <c r="V199" s="267"/>
      <c r="W199" s="269"/>
      <c r="X199" s="70"/>
      <c r="Y199" s="70"/>
      <c r="Z199" s="70"/>
      <c r="AA199" s="70"/>
      <c r="AB199" s="70"/>
      <c r="AC199" s="70"/>
      <c r="AD199" s="70"/>
      <c r="AE199" s="70"/>
      <c r="AF199" s="70"/>
      <c r="AG199" s="44"/>
      <c r="AH199" s="44"/>
      <c r="AI199" s="44"/>
      <c r="AJ199" s="44"/>
      <c r="AK199" s="44"/>
      <c r="AL199" s="94"/>
      <c r="AM199" s="70"/>
      <c r="AN199" s="44"/>
      <c r="AO199" s="44"/>
      <c r="AP199" s="44"/>
      <c r="AQ199" s="44"/>
      <c r="AR199" s="44"/>
      <c r="AS199" s="44"/>
      <c r="AT199" s="44"/>
      <c r="AU199" s="44"/>
      <c r="AV199" s="44"/>
      <c r="AW199" s="44"/>
      <c r="AX199" s="44"/>
      <c r="AY199"/>
      <c r="AZ199"/>
      <c r="BA199"/>
      <c r="BB199"/>
      <c r="BC199"/>
      <c r="BD199"/>
      <c r="BE199"/>
      <c r="BF199"/>
      <c r="BG199"/>
      <c r="BH199"/>
      <c r="BI199"/>
      <c r="BJ199"/>
    </row>
    <row r="200" spans="1:62" x14ac:dyDescent="0.25">
      <c r="A200" s="44"/>
      <c r="B200" s="44"/>
      <c r="C200" s="70"/>
      <c r="D200" s="825"/>
      <c r="E200" s="70"/>
      <c r="F200" s="44"/>
      <c r="G200" s="70"/>
      <c r="H200" s="70"/>
      <c r="I200" s="70"/>
      <c r="J200" s="44"/>
      <c r="K200" s="44"/>
      <c r="L200" s="44"/>
      <c r="M200" s="44"/>
      <c r="N200" s="44"/>
      <c r="O200" s="269"/>
      <c r="P200" s="279"/>
      <c r="Q200" s="58"/>
      <c r="R200" s="58"/>
      <c r="S200" s="58"/>
      <c r="T200" s="58"/>
      <c r="U200" s="59"/>
      <c r="V200" s="270"/>
      <c r="W200" s="70"/>
      <c r="X200" s="70"/>
      <c r="Y200" s="70"/>
      <c r="Z200" s="70"/>
      <c r="AA200" s="70"/>
      <c r="AB200" s="70"/>
      <c r="AC200" s="70"/>
      <c r="AD200" s="70"/>
      <c r="AE200" s="70"/>
      <c r="AF200" s="70"/>
      <c r="AG200" s="44"/>
      <c r="AH200" s="44"/>
      <c r="AI200" s="44"/>
      <c r="AJ200" s="44"/>
      <c r="AK200" s="70"/>
      <c r="AL200" s="94"/>
      <c r="AM200" s="70"/>
      <c r="AN200" s="44"/>
      <c r="AO200" s="44"/>
      <c r="AP200" s="44"/>
      <c r="AQ200" s="44"/>
      <c r="AR200" s="44"/>
      <c r="AS200" s="44"/>
      <c r="AT200" s="44"/>
      <c r="AU200" s="44"/>
      <c r="AV200" s="44"/>
      <c r="AW200" s="44"/>
      <c r="AX200" s="44"/>
      <c r="AY200"/>
      <c r="AZ200"/>
      <c r="BA200"/>
      <c r="BB200"/>
      <c r="BC200"/>
      <c r="BD200"/>
      <c r="BE200"/>
      <c r="BF200"/>
      <c r="BG200"/>
      <c r="BH200"/>
      <c r="BI200"/>
      <c r="BJ200"/>
    </row>
    <row r="201" spans="1:62" x14ac:dyDescent="0.25">
      <c r="A201" s="44"/>
      <c r="B201" s="44"/>
      <c r="C201" s="70"/>
      <c r="D201" s="825"/>
      <c r="E201" s="70"/>
      <c r="F201" s="44"/>
      <c r="G201" s="70"/>
      <c r="H201" s="70"/>
      <c r="I201" s="70"/>
      <c r="J201" s="44"/>
      <c r="K201" s="44"/>
      <c r="L201" s="44"/>
      <c r="M201" s="44"/>
      <c r="N201" s="44"/>
      <c r="O201" s="269"/>
      <c r="P201" s="1583" t="s">
        <v>1762</v>
      </c>
      <c r="Q201" s="1584"/>
      <c r="R201" s="1584"/>
      <c r="S201" s="1584"/>
      <c r="T201" s="1584"/>
      <c r="U201" s="1585"/>
      <c r="V201" s="270"/>
      <c r="W201" s="70"/>
      <c r="X201" s="70"/>
      <c r="Y201" s="70"/>
      <c r="Z201" s="70"/>
      <c r="AA201" s="70"/>
      <c r="AB201" s="70"/>
      <c r="AC201" s="70"/>
      <c r="AD201" s="70"/>
      <c r="AE201" s="70"/>
      <c r="AF201" s="70"/>
      <c r="AG201" s="44"/>
      <c r="AH201" s="44"/>
      <c r="AI201" s="44"/>
      <c r="AJ201" s="44"/>
      <c r="AK201" s="70"/>
      <c r="AL201" s="94"/>
      <c r="AM201" s="70"/>
      <c r="AN201" s="44"/>
      <c r="AO201" s="44"/>
      <c r="AP201" s="44"/>
      <c r="AQ201" s="44"/>
      <c r="AR201" s="44"/>
      <c r="AS201" s="44"/>
      <c r="AT201" s="44"/>
      <c r="AU201" s="44"/>
      <c r="AV201" s="44"/>
      <c r="AW201" s="44"/>
      <c r="AX201" s="44"/>
      <c r="AY201"/>
      <c r="AZ201"/>
      <c r="BA201"/>
      <c r="BB201"/>
      <c r="BC201"/>
      <c r="BD201"/>
      <c r="BE201"/>
      <c r="BF201"/>
      <c r="BG201"/>
      <c r="BH201"/>
      <c r="BI201"/>
      <c r="BJ201"/>
    </row>
    <row r="202" spans="1:62" x14ac:dyDescent="0.25">
      <c r="A202" s="44"/>
      <c r="B202" s="44"/>
      <c r="C202" s="70"/>
      <c r="D202" s="825"/>
      <c r="E202" s="70"/>
      <c r="F202" s="70"/>
      <c r="G202" s="70"/>
      <c r="H202" s="70"/>
      <c r="I202" s="70"/>
      <c r="J202" s="44"/>
      <c r="K202" s="44"/>
      <c r="L202" s="44"/>
      <c r="M202" s="44"/>
      <c r="N202" s="44"/>
      <c r="O202" s="269"/>
      <c r="P202" s="263"/>
      <c r="Q202" s="271"/>
      <c r="R202" s="820"/>
      <c r="S202" s="820"/>
      <c r="T202" s="820"/>
      <c r="U202" s="249"/>
      <c r="V202" s="270"/>
      <c r="W202" s="70"/>
      <c r="X202" s="70"/>
      <c r="Y202" s="70"/>
      <c r="Z202" s="70"/>
      <c r="AA202" s="70"/>
      <c r="AB202" s="70"/>
      <c r="AC202" s="70"/>
      <c r="AD202" s="70"/>
      <c r="AE202" s="70"/>
      <c r="AF202" s="70"/>
      <c r="AG202" s="44"/>
      <c r="AH202" s="44"/>
      <c r="AI202" s="44"/>
      <c r="AJ202" s="44"/>
      <c r="AK202" s="70"/>
      <c r="AL202" s="94"/>
      <c r="AM202" s="70"/>
      <c r="AN202" s="44"/>
      <c r="AO202" s="44"/>
      <c r="AP202" s="44"/>
      <c r="AQ202" s="44"/>
      <c r="AR202" s="44"/>
      <c r="AS202" s="44"/>
      <c r="AT202" s="44"/>
      <c r="AU202" s="44"/>
      <c r="AV202" s="44"/>
      <c r="AW202" s="44"/>
      <c r="AX202" s="44"/>
      <c r="AY202"/>
      <c r="AZ202"/>
      <c r="BA202"/>
      <c r="BB202"/>
      <c r="BC202"/>
      <c r="BD202"/>
      <c r="BE202"/>
      <c r="BF202"/>
      <c r="BG202"/>
      <c r="BH202"/>
      <c r="BI202"/>
      <c r="BJ202"/>
    </row>
    <row r="203" spans="1:62" x14ac:dyDescent="0.25">
      <c r="A203" s="44"/>
      <c r="B203" s="44"/>
      <c r="C203" s="70"/>
      <c r="D203" s="825"/>
      <c r="E203" s="70"/>
      <c r="F203" s="44"/>
      <c r="G203" s="70"/>
      <c r="H203" s="44"/>
      <c r="I203" s="44"/>
      <c r="J203" s="44"/>
      <c r="K203" s="44"/>
      <c r="L203" s="44"/>
      <c r="M203" s="44"/>
      <c r="N203" s="44"/>
      <c r="O203" s="269"/>
      <c r="P203" s="243"/>
      <c r="Q203" s="64"/>
      <c r="R203" s="821" t="s">
        <v>555</v>
      </c>
      <c r="S203" s="110">
        <f>S217+S241</f>
        <v>7436.5199999999995</v>
      </c>
      <c r="T203" s="226" t="s">
        <v>437</v>
      </c>
      <c r="U203" s="62"/>
      <c r="V203" s="270"/>
      <c r="W203" s="70"/>
      <c r="X203" s="70"/>
      <c r="Y203" s="70"/>
      <c r="Z203" s="70"/>
      <c r="AA203" s="70"/>
      <c r="AB203" s="70"/>
      <c r="AC203" s="70"/>
      <c r="AD203" s="70"/>
      <c r="AE203" s="70"/>
      <c r="AF203" s="70"/>
      <c r="AG203" s="44"/>
      <c r="AH203" s="44"/>
      <c r="AI203" s="44"/>
      <c r="AJ203" s="44"/>
      <c r="AK203" s="70"/>
      <c r="AL203" s="94"/>
      <c r="AM203" s="70"/>
      <c r="AN203" s="44"/>
      <c r="AO203" s="44"/>
      <c r="AP203" s="44"/>
      <c r="AQ203" s="44"/>
      <c r="AR203" s="44"/>
      <c r="AS203" s="44"/>
      <c r="AT203" s="44"/>
      <c r="AU203" s="44"/>
      <c r="AV203" s="44"/>
      <c r="AW203" s="44"/>
      <c r="AX203" s="44"/>
      <c r="AY203"/>
      <c r="AZ203"/>
      <c r="BA203"/>
      <c r="BB203"/>
      <c r="BC203"/>
      <c r="BD203"/>
      <c r="BE203"/>
      <c r="BF203"/>
      <c r="BG203"/>
      <c r="BH203"/>
      <c r="BI203"/>
      <c r="BJ203"/>
    </row>
    <row r="204" spans="1:62" x14ac:dyDescent="0.25">
      <c r="A204" s="44"/>
      <c r="B204" s="44"/>
      <c r="C204" s="44"/>
      <c r="D204" s="825"/>
      <c r="E204" s="44"/>
      <c r="F204" s="44"/>
      <c r="G204" s="44"/>
      <c r="H204" s="44"/>
      <c r="I204" s="44"/>
      <c r="J204" s="44"/>
      <c r="K204" s="44"/>
      <c r="L204" s="44"/>
      <c r="M204" s="44"/>
      <c r="N204" s="44"/>
      <c r="O204" s="269"/>
      <c r="P204" s="60"/>
      <c r="Q204" s="80"/>
      <c r="R204" s="80"/>
      <c r="S204" s="80"/>
      <c r="T204" s="80"/>
      <c r="U204" s="62"/>
      <c r="V204" s="270"/>
      <c r="W204" s="70"/>
      <c r="X204" s="70"/>
      <c r="Y204" s="70"/>
      <c r="Z204" s="70"/>
      <c r="AA204" s="70"/>
      <c r="AB204" s="70"/>
      <c r="AC204" s="70"/>
      <c r="AD204" s="70"/>
      <c r="AE204" s="70"/>
      <c r="AF204" s="70"/>
      <c r="AG204" s="70"/>
      <c r="AH204" s="70"/>
      <c r="AI204" s="70"/>
      <c r="AJ204" s="70"/>
      <c r="AK204" s="57"/>
      <c r="AL204" s="94"/>
      <c r="AM204" s="70"/>
      <c r="AN204" s="44"/>
      <c r="AO204" s="44"/>
      <c r="AP204" s="44"/>
      <c r="AQ204" s="44"/>
      <c r="AR204" s="44"/>
      <c r="AS204" s="44"/>
      <c r="AT204" s="44"/>
      <c r="AU204" s="44"/>
      <c r="AV204" s="44"/>
      <c r="AW204" s="44"/>
      <c r="AX204" s="44"/>
      <c r="AY204"/>
      <c r="AZ204"/>
      <c r="BA204"/>
      <c r="BB204"/>
      <c r="BC204"/>
      <c r="BD204"/>
      <c r="BE204"/>
      <c r="BF204"/>
      <c r="BG204"/>
      <c r="BH204"/>
      <c r="BI204"/>
      <c r="BJ204"/>
    </row>
    <row r="205" spans="1:62" x14ac:dyDescent="0.25">
      <c r="A205" s="44"/>
      <c r="B205" s="44"/>
      <c r="C205" s="44"/>
      <c r="D205" s="825"/>
      <c r="E205" s="44"/>
      <c r="F205" s="44"/>
      <c r="G205" s="44"/>
      <c r="H205" s="44"/>
      <c r="I205" s="44"/>
      <c r="J205" s="44"/>
      <c r="K205" s="44"/>
      <c r="L205" s="44"/>
      <c r="M205" s="44"/>
      <c r="N205" s="44"/>
      <c r="O205" s="269"/>
      <c r="P205" s="243"/>
      <c r="Q205" s="64"/>
      <c r="R205" s="821" t="s">
        <v>556</v>
      </c>
      <c r="S205" s="436">
        <f>S219+S243+S261</f>
        <v>255.8</v>
      </c>
      <c r="T205" s="226" t="s">
        <v>548</v>
      </c>
      <c r="U205" s="62"/>
      <c r="V205" s="270"/>
      <c r="W205" s="70"/>
      <c r="X205" s="70"/>
      <c r="Y205" s="70"/>
      <c r="Z205" s="70"/>
      <c r="AA205" s="70"/>
      <c r="AB205" s="70"/>
      <c r="AC205" s="70"/>
      <c r="AD205" s="70"/>
      <c r="AE205" s="70"/>
      <c r="AF205" s="70"/>
      <c r="AG205" s="70"/>
      <c r="AH205" s="70"/>
      <c r="AI205" s="70"/>
      <c r="AJ205" s="70"/>
      <c r="AK205" s="57"/>
      <c r="AL205" s="94"/>
      <c r="AM205" s="70"/>
      <c r="AN205" s="44"/>
      <c r="AO205" s="44"/>
      <c r="AP205" s="44"/>
      <c r="AQ205" s="44"/>
      <c r="AR205" s="44"/>
      <c r="AS205" s="44"/>
      <c r="AT205" s="44"/>
      <c r="AU205" s="44"/>
      <c r="AV205" s="44"/>
      <c r="AW205" s="44"/>
      <c r="AX205" s="44"/>
      <c r="AY205"/>
      <c r="AZ205"/>
      <c r="BA205"/>
      <c r="BB205"/>
      <c r="BC205"/>
      <c r="BD205"/>
      <c r="BE205"/>
      <c r="BF205"/>
      <c r="BG205"/>
      <c r="BH205"/>
      <c r="BI205"/>
      <c r="BJ205"/>
    </row>
    <row r="206" spans="1:62" ht="13.8" thickBot="1" x14ac:dyDescent="0.3">
      <c r="A206" s="44"/>
      <c r="B206" s="44"/>
      <c r="C206" s="44"/>
      <c r="D206" s="825"/>
      <c r="E206" s="44"/>
      <c r="F206" s="44"/>
      <c r="G206" s="44"/>
      <c r="H206" s="44"/>
      <c r="I206" s="44"/>
      <c r="J206" s="44"/>
      <c r="K206" s="44"/>
      <c r="L206" s="44"/>
      <c r="M206" s="44"/>
      <c r="N206" s="44"/>
      <c r="O206" s="269"/>
      <c r="P206" s="264"/>
      <c r="Q206" s="258"/>
      <c r="R206" s="258"/>
      <c r="S206" s="258"/>
      <c r="T206" s="258"/>
      <c r="U206" s="265"/>
      <c r="V206" s="270"/>
      <c r="W206" s="70"/>
      <c r="X206" s="70"/>
      <c r="Y206" s="70"/>
      <c r="Z206" s="44"/>
      <c r="AA206" s="828"/>
      <c r="AB206" s="70"/>
      <c r="AC206" s="70"/>
      <c r="AD206" s="70"/>
      <c r="AE206" s="44"/>
      <c r="AF206" s="44"/>
      <c r="AG206" s="44"/>
      <c r="AH206" s="44"/>
      <c r="AI206" s="44"/>
      <c r="AJ206" s="44"/>
      <c r="AK206" s="44"/>
      <c r="AL206" s="94"/>
      <c r="AM206" s="44"/>
      <c r="AN206" s="44"/>
      <c r="AO206" s="44"/>
      <c r="AP206" s="44"/>
      <c r="AQ206" s="44"/>
      <c r="AR206" s="44"/>
      <c r="AS206" s="44"/>
      <c r="AT206" s="44"/>
      <c r="AU206" s="44"/>
      <c r="AV206" s="44"/>
      <c r="AW206" s="44"/>
      <c r="AX206" s="44"/>
      <c r="AY206"/>
      <c r="AZ206"/>
      <c r="BA206"/>
      <c r="BB206"/>
      <c r="BC206"/>
      <c r="BD206"/>
      <c r="BE206"/>
      <c r="BF206"/>
      <c r="BG206"/>
      <c r="BH206"/>
      <c r="BI206"/>
      <c r="BJ206"/>
    </row>
    <row r="207" spans="1:62" x14ac:dyDescent="0.25">
      <c r="A207" s="44"/>
      <c r="B207" s="44"/>
      <c r="C207" s="44"/>
      <c r="D207" s="825"/>
      <c r="E207" s="44"/>
      <c r="F207" s="44"/>
      <c r="G207" s="44"/>
      <c r="H207" s="44"/>
      <c r="I207" s="44"/>
      <c r="J207" s="44"/>
      <c r="K207" s="44"/>
      <c r="L207" s="44"/>
      <c r="M207" s="44"/>
      <c r="N207" s="44"/>
      <c r="O207" s="269"/>
      <c r="P207" s="70"/>
      <c r="Q207" s="70"/>
      <c r="R207" s="70"/>
      <c r="S207" s="94"/>
      <c r="T207" s="70"/>
      <c r="U207" s="70"/>
      <c r="V207" s="270"/>
      <c r="W207" s="70"/>
      <c r="X207" s="70"/>
      <c r="Y207" s="44"/>
      <c r="Z207" s="70"/>
      <c r="AA207" s="70"/>
      <c r="AB207" s="70"/>
      <c r="AC207" s="70"/>
      <c r="AD207" s="44"/>
      <c r="AE207" s="44"/>
      <c r="AF207" s="44"/>
      <c r="AG207" s="44"/>
      <c r="AH207" s="44"/>
      <c r="AI207" s="44"/>
      <c r="AJ207" s="44"/>
      <c r="AK207" s="44"/>
      <c r="AL207" s="94"/>
      <c r="AM207" s="44"/>
      <c r="AN207" s="44"/>
      <c r="AO207" s="44"/>
      <c r="AP207" s="44"/>
      <c r="AQ207" s="44"/>
      <c r="AR207" s="44"/>
      <c r="AS207" s="44"/>
      <c r="AT207" s="44"/>
      <c r="AU207" s="44"/>
      <c r="AV207" s="44"/>
      <c r="AW207" s="44"/>
      <c r="AX207" s="44"/>
      <c r="AY207"/>
      <c r="AZ207"/>
      <c r="BA207"/>
      <c r="BB207"/>
      <c r="BC207"/>
      <c r="BD207"/>
      <c r="BE207"/>
      <c r="BF207"/>
      <c r="BG207"/>
      <c r="BH207"/>
      <c r="BI207"/>
      <c r="BJ207"/>
    </row>
    <row r="208" spans="1:62" x14ac:dyDescent="0.25">
      <c r="A208" s="44"/>
      <c r="B208" s="44"/>
      <c r="C208" s="70"/>
      <c r="D208" s="825"/>
      <c r="E208" s="70"/>
      <c r="F208" s="70"/>
      <c r="G208" s="70"/>
      <c r="H208" s="70"/>
      <c r="I208" s="70"/>
      <c r="J208" s="70"/>
      <c r="K208" s="70"/>
      <c r="L208" s="70"/>
      <c r="M208" s="70"/>
      <c r="N208" s="70"/>
      <c r="O208" s="269"/>
      <c r="P208" s="70"/>
      <c r="Q208" s="424"/>
      <c r="R208" s="425"/>
      <c r="S208" s="425"/>
      <c r="T208" s="426"/>
      <c r="U208" s="70"/>
      <c r="V208" s="270"/>
      <c r="W208" s="70"/>
      <c r="X208" s="70"/>
      <c r="Y208" s="44"/>
      <c r="Z208" s="70"/>
      <c r="AA208" s="70"/>
      <c r="AB208" s="70"/>
      <c r="AC208" s="70"/>
      <c r="AD208" s="44"/>
      <c r="AE208" s="44"/>
      <c r="AF208" s="44"/>
      <c r="AG208" s="44"/>
      <c r="AH208" s="44"/>
      <c r="AI208" s="44"/>
      <c r="AJ208" s="44"/>
      <c r="AK208" s="44"/>
      <c r="AL208" s="94"/>
      <c r="AM208" s="44"/>
      <c r="AN208" s="44"/>
      <c r="AO208" s="44"/>
      <c r="AP208" s="44"/>
      <c r="AQ208" s="44"/>
      <c r="AR208" s="44"/>
      <c r="AS208" s="44"/>
      <c r="AT208" s="44"/>
      <c r="AU208" s="44"/>
      <c r="AV208" s="44"/>
      <c r="AW208" s="44"/>
      <c r="AX208" s="44"/>
      <c r="AY208"/>
      <c r="AZ208"/>
      <c r="BA208"/>
      <c r="BB208"/>
      <c r="BC208"/>
      <c r="BD208"/>
      <c r="BE208"/>
      <c r="BF208"/>
      <c r="BG208"/>
      <c r="BH208"/>
      <c r="BI208"/>
      <c r="BJ208"/>
    </row>
    <row r="209" spans="1:62" x14ac:dyDescent="0.25">
      <c r="A209" s="44"/>
      <c r="B209" s="44"/>
      <c r="C209" s="70"/>
      <c r="D209" s="825"/>
      <c r="E209" s="70"/>
      <c r="F209" s="70"/>
      <c r="G209" s="70"/>
      <c r="H209" s="70"/>
      <c r="I209" s="70"/>
      <c r="J209" s="70"/>
      <c r="K209" s="70"/>
      <c r="L209" s="70"/>
      <c r="M209" s="70"/>
      <c r="N209" s="70"/>
      <c r="O209" s="269"/>
      <c r="P209" s="57"/>
      <c r="Q209" s="427"/>
      <c r="R209" s="523" t="s">
        <v>588</v>
      </c>
      <c r="S209" s="435">
        <f>(S173*S175/100)</f>
        <v>9.3119999999999994E-2</v>
      </c>
      <c r="T209" s="513" t="s">
        <v>587</v>
      </c>
      <c r="U209" s="70"/>
      <c r="V209" s="270"/>
      <c r="W209" s="70"/>
      <c r="X209" s="70"/>
      <c r="Y209" s="44"/>
      <c r="Z209" s="70"/>
      <c r="AA209" s="70"/>
      <c r="AB209" s="70"/>
      <c r="AC209" s="70"/>
      <c r="AD209" s="44"/>
      <c r="AE209" s="44"/>
      <c r="AF209" s="44"/>
      <c r="AG209" s="44"/>
      <c r="AH209" s="44"/>
      <c r="AI209" s="44"/>
      <c r="AJ209" s="44"/>
      <c r="AK209" s="44"/>
      <c r="AL209" s="94"/>
      <c r="AM209" s="44"/>
      <c r="AN209" s="44"/>
      <c r="AO209" s="44"/>
      <c r="AP209" s="44"/>
      <c r="AQ209" s="44"/>
      <c r="AR209" s="44"/>
      <c r="AS209" s="44"/>
      <c r="AT209" s="44"/>
      <c r="AU209" s="44"/>
      <c r="AV209" s="44"/>
      <c r="AW209" s="44"/>
      <c r="AX209" s="44"/>
      <c r="AY209"/>
      <c r="AZ209"/>
      <c r="BA209"/>
      <c r="BB209"/>
      <c r="BC209"/>
      <c r="BD209"/>
      <c r="BE209"/>
      <c r="BF209"/>
      <c r="BG209"/>
      <c r="BH209"/>
      <c r="BI209"/>
      <c r="BJ209"/>
    </row>
    <row r="210" spans="1:62" x14ac:dyDescent="0.25">
      <c r="A210" s="44"/>
      <c r="B210" s="44"/>
      <c r="C210" s="70"/>
      <c r="D210" s="825"/>
      <c r="E210" s="70"/>
      <c r="F210" s="70"/>
      <c r="G210" s="70"/>
      <c r="H210" s="70"/>
      <c r="I210" s="70"/>
      <c r="J210" s="70"/>
      <c r="K210" s="70"/>
      <c r="L210" s="70"/>
      <c r="M210" s="70"/>
      <c r="N210" s="70"/>
      <c r="O210" s="269"/>
      <c r="P210" s="70"/>
      <c r="Q210" s="430"/>
      <c r="R210" s="431"/>
      <c r="S210" s="431"/>
      <c r="T210" s="432"/>
      <c r="U210" s="70"/>
      <c r="V210" s="270"/>
      <c r="W210" s="70"/>
      <c r="X210" s="70"/>
      <c r="Y210" s="44"/>
      <c r="Z210" s="70"/>
      <c r="AA210" s="70"/>
      <c r="AB210" s="70"/>
      <c r="AC210" s="70"/>
      <c r="AD210" s="44"/>
      <c r="AE210" s="44"/>
      <c r="AF210" s="44"/>
      <c r="AG210" s="44"/>
      <c r="AH210" s="44"/>
      <c r="AI210" s="44"/>
      <c r="AJ210" s="44"/>
      <c r="AK210" s="44"/>
      <c r="AL210" s="94"/>
      <c r="AM210" s="44"/>
      <c r="AN210" s="44"/>
      <c r="AO210" s="44"/>
      <c r="AP210" s="44"/>
      <c r="AQ210" s="44"/>
      <c r="AR210" s="44"/>
      <c r="AS210" s="44"/>
      <c r="AT210" s="44"/>
      <c r="AU210" s="44"/>
      <c r="AV210" s="44"/>
      <c r="AW210" s="44"/>
      <c r="AX210" s="44"/>
      <c r="AY210"/>
      <c r="AZ210"/>
      <c r="BA210"/>
      <c r="BB210"/>
      <c r="BC210"/>
      <c r="BD210"/>
      <c r="BE210"/>
      <c r="BF210"/>
      <c r="BG210"/>
      <c r="BH210"/>
      <c r="BI210"/>
      <c r="BJ210"/>
    </row>
    <row r="211" spans="1:62" ht="13.8" thickBot="1" x14ac:dyDescent="0.3">
      <c r="A211" s="44"/>
      <c r="B211" s="44"/>
      <c r="C211" s="44"/>
      <c r="D211" s="825"/>
      <c r="E211" s="44"/>
      <c r="F211" s="44"/>
      <c r="G211" s="44"/>
      <c r="H211" s="44"/>
      <c r="I211" s="44"/>
      <c r="J211" s="44"/>
      <c r="K211" s="44"/>
      <c r="L211" s="44"/>
      <c r="M211" s="44"/>
      <c r="N211" s="44"/>
      <c r="O211" s="269"/>
      <c r="P211" s="70"/>
      <c r="Q211" s="70"/>
      <c r="R211" s="70"/>
      <c r="S211" s="94"/>
      <c r="T211" s="70"/>
      <c r="U211" s="70"/>
      <c r="V211" s="270"/>
      <c r="W211" s="70"/>
      <c r="X211" s="70"/>
      <c r="Y211" s="44"/>
      <c r="Z211" s="44"/>
      <c r="AA211" s="44"/>
      <c r="AB211" s="44"/>
      <c r="AC211" s="44"/>
      <c r="AD211" s="44"/>
      <c r="AE211" s="44"/>
      <c r="AF211" s="44"/>
      <c r="AG211" s="44"/>
      <c r="AH211" s="44"/>
      <c r="AI211" s="44"/>
      <c r="AJ211" s="44"/>
      <c r="AK211" s="44"/>
      <c r="AL211" s="94"/>
      <c r="AM211" s="44"/>
      <c r="AN211" s="44"/>
      <c r="AO211" s="44"/>
      <c r="AP211" s="44"/>
      <c r="AQ211" s="44"/>
      <c r="AR211" s="44"/>
      <c r="AS211" s="44"/>
      <c r="AT211" s="44"/>
      <c r="AU211" s="44"/>
      <c r="AV211" s="44"/>
      <c r="AW211" s="44"/>
      <c r="AX211" s="44"/>
      <c r="AY211"/>
      <c r="AZ211"/>
      <c r="BA211"/>
      <c r="BB211"/>
      <c r="BC211"/>
      <c r="BD211"/>
      <c r="BE211"/>
      <c r="BF211"/>
      <c r="BG211"/>
      <c r="BH211"/>
      <c r="BI211"/>
      <c r="BJ211"/>
    </row>
    <row r="212" spans="1:62" x14ac:dyDescent="0.25">
      <c r="A212" s="44"/>
      <c r="B212" s="44"/>
      <c r="C212" s="44"/>
      <c r="D212" s="825"/>
      <c r="E212" s="44"/>
      <c r="F212" s="44"/>
      <c r="G212" s="44"/>
      <c r="H212" s="44"/>
      <c r="I212" s="44"/>
      <c r="J212" s="44"/>
      <c r="K212" s="44"/>
      <c r="L212" s="44"/>
      <c r="M212" s="44"/>
      <c r="N212" s="44"/>
      <c r="O212" s="269"/>
      <c r="P212" s="227"/>
      <c r="Q212" s="228"/>
      <c r="R212" s="228"/>
      <c r="S212" s="228"/>
      <c r="T212" s="228"/>
      <c r="U212" s="229"/>
      <c r="V212" s="270"/>
      <c r="W212" s="70"/>
      <c r="X212" s="70"/>
      <c r="Y212" s="44"/>
      <c r="Z212" s="44"/>
      <c r="AA212" s="44"/>
      <c r="AB212" s="44"/>
      <c r="AC212" s="44"/>
      <c r="AD212" s="44"/>
      <c r="AE212" s="44"/>
      <c r="AF212" s="44"/>
      <c r="AG212" s="44"/>
      <c r="AH212" s="44"/>
      <c r="AI212" s="44"/>
      <c r="AJ212" s="44"/>
      <c r="AK212" s="44"/>
      <c r="AL212" s="94"/>
      <c r="AM212" s="44"/>
      <c r="AN212" s="44"/>
      <c r="AO212" s="44"/>
      <c r="AP212" s="44"/>
      <c r="AQ212" s="44"/>
      <c r="AR212" s="44"/>
      <c r="AS212" s="44"/>
      <c r="AT212" s="44"/>
      <c r="AU212" s="44"/>
      <c r="AV212" s="44"/>
      <c r="AW212" s="44"/>
      <c r="AX212" s="44"/>
      <c r="AY212"/>
      <c r="AZ212"/>
      <c r="BA212"/>
      <c r="BB212"/>
      <c r="BC212"/>
      <c r="BD212"/>
      <c r="BE212"/>
      <c r="BF212"/>
      <c r="BG212"/>
      <c r="BH212"/>
      <c r="BI212"/>
      <c r="BJ212"/>
    </row>
    <row r="213" spans="1:62" x14ac:dyDescent="0.25">
      <c r="A213" s="44"/>
      <c r="B213" s="44"/>
      <c r="C213" s="44"/>
      <c r="D213" s="825"/>
      <c r="E213" s="44"/>
      <c r="F213" s="44"/>
      <c r="G213" s="44"/>
      <c r="H213" s="44"/>
      <c r="I213" s="44"/>
      <c r="J213" s="44"/>
      <c r="K213" s="44"/>
      <c r="L213" s="44"/>
      <c r="M213" s="44"/>
      <c r="N213" s="44"/>
      <c r="O213" s="269"/>
      <c r="P213" s="1583" t="s">
        <v>284</v>
      </c>
      <c r="Q213" s="1601"/>
      <c r="R213" s="1601"/>
      <c r="S213" s="1601"/>
      <c r="T213" s="1601"/>
      <c r="U213" s="1602"/>
      <c r="V213" s="270"/>
      <c r="W213" s="70"/>
      <c r="X213" s="70"/>
      <c r="Y213" s="44"/>
      <c r="Z213" s="44"/>
      <c r="AA213" s="44"/>
      <c r="AB213" s="44"/>
      <c r="AC213" s="44"/>
      <c r="AD213" s="44"/>
      <c r="AE213" s="44"/>
      <c r="AF213" s="44"/>
      <c r="AG213" s="44"/>
      <c r="AH213" s="44"/>
      <c r="AI213" s="44"/>
      <c r="AJ213" s="44"/>
      <c r="AK213" s="44"/>
      <c r="AL213" s="94"/>
      <c r="AM213" s="44"/>
      <c r="AN213" s="44"/>
      <c r="AO213" s="44"/>
      <c r="AP213" s="44"/>
      <c r="AQ213" s="44"/>
      <c r="AR213" s="44"/>
      <c r="AS213" s="44"/>
      <c r="AT213" s="44"/>
      <c r="AU213" s="44"/>
      <c r="AV213" s="44"/>
      <c r="AW213" s="44"/>
      <c r="AX213" s="44"/>
      <c r="AY213"/>
      <c r="AZ213"/>
      <c r="BA213"/>
      <c r="BB213"/>
      <c r="BC213"/>
      <c r="BD213"/>
      <c r="BE213"/>
      <c r="BF213"/>
      <c r="BG213"/>
      <c r="BH213"/>
      <c r="BI213"/>
      <c r="BJ213"/>
    </row>
    <row r="214" spans="1:62" x14ac:dyDescent="0.25">
      <c r="A214" s="44"/>
      <c r="B214" s="44"/>
      <c r="C214" s="44"/>
      <c r="D214" s="825"/>
      <c r="E214" s="44"/>
      <c r="F214" s="44"/>
      <c r="G214" s="44"/>
      <c r="H214" s="44"/>
      <c r="I214" s="44"/>
      <c r="J214" s="44"/>
      <c r="K214" s="44"/>
      <c r="L214" s="44"/>
      <c r="M214" s="44"/>
      <c r="N214" s="44"/>
      <c r="O214" s="269"/>
      <c r="P214" s="60"/>
      <c r="Q214" s="61"/>
      <c r="R214" s="61"/>
      <c r="S214" s="61"/>
      <c r="T214" s="61"/>
      <c r="U214" s="62"/>
      <c r="V214" s="270"/>
      <c r="W214" s="70"/>
      <c r="X214" s="70"/>
      <c r="Y214" s="44"/>
      <c r="Z214" s="44"/>
      <c r="AA214" s="44"/>
      <c r="AB214" s="44"/>
      <c r="AC214" s="44"/>
      <c r="AD214" s="44"/>
      <c r="AE214" s="44"/>
      <c r="AF214" s="44"/>
      <c r="AG214" s="44"/>
      <c r="AH214" s="44"/>
      <c r="AI214" s="44"/>
      <c r="AJ214" s="44"/>
      <c r="AK214" s="44"/>
      <c r="AL214" s="94"/>
      <c r="AM214" s="44"/>
      <c r="AN214" s="44"/>
      <c r="AO214" s="44"/>
      <c r="AP214" s="44"/>
      <c r="AQ214" s="44"/>
      <c r="AR214" s="44"/>
      <c r="AS214" s="44"/>
      <c r="AT214" s="44"/>
      <c r="AU214" s="44"/>
      <c r="AV214" s="44"/>
      <c r="AW214" s="44"/>
      <c r="AX214" s="44"/>
      <c r="AY214"/>
      <c r="AZ214"/>
      <c r="BA214"/>
      <c r="BB214"/>
      <c r="BC214"/>
      <c r="BD214"/>
      <c r="BE214"/>
      <c r="BF214"/>
      <c r="BG214"/>
      <c r="BH214"/>
      <c r="BI214"/>
      <c r="BJ214"/>
    </row>
    <row r="215" spans="1:62" x14ac:dyDescent="0.25">
      <c r="A215" s="44"/>
      <c r="B215" s="44"/>
      <c r="C215" s="70"/>
      <c r="D215" s="825"/>
      <c r="E215" s="70"/>
      <c r="F215" s="70"/>
      <c r="G215" s="44"/>
      <c r="H215" s="44"/>
      <c r="I215" s="44"/>
      <c r="J215" s="44"/>
      <c r="K215" s="44"/>
      <c r="L215" s="44"/>
      <c r="M215" s="44"/>
      <c r="N215" s="44"/>
      <c r="O215" s="269"/>
      <c r="P215" s="1605" t="s">
        <v>1761</v>
      </c>
      <c r="Q215" s="1590"/>
      <c r="R215" s="1591"/>
      <c r="S215" s="420">
        <f>yield_et</f>
        <v>0.48299999999999998</v>
      </c>
      <c r="T215" s="918" t="s">
        <v>1755</v>
      </c>
      <c r="U215" s="62"/>
      <c r="V215" s="270"/>
      <c r="W215" s="70"/>
      <c r="X215" s="70"/>
      <c r="Y215" s="44"/>
      <c r="Z215" s="44"/>
      <c r="AA215" s="44"/>
      <c r="AB215" s="44"/>
      <c r="AC215" s="44"/>
      <c r="AD215" s="44"/>
      <c r="AE215" s="44"/>
      <c r="AF215" s="44"/>
      <c r="AG215" s="44"/>
      <c r="AH215" s="44"/>
      <c r="AI215" s="44"/>
      <c r="AJ215" s="44"/>
      <c r="AK215" s="44"/>
      <c r="AL215" s="94"/>
      <c r="AM215" s="44"/>
      <c r="AN215" s="44"/>
      <c r="AO215" s="44"/>
      <c r="AP215" s="44"/>
      <c r="AQ215" s="44"/>
      <c r="AR215" s="44"/>
      <c r="AS215" s="44"/>
      <c r="AT215" s="44"/>
      <c r="AU215" s="44"/>
      <c r="AV215" s="44"/>
      <c r="AW215" s="44"/>
      <c r="AX215" s="44"/>
      <c r="AY215"/>
      <c r="AZ215"/>
      <c r="BA215"/>
      <c r="BB215"/>
      <c r="BC215"/>
      <c r="BD215"/>
      <c r="BE215"/>
      <c r="BF215"/>
      <c r="BG215"/>
      <c r="BH215"/>
      <c r="BI215"/>
      <c r="BJ215"/>
    </row>
    <row r="216" spans="1:62" x14ac:dyDescent="0.25">
      <c r="A216" s="44"/>
      <c r="B216" s="44"/>
      <c r="C216" s="70"/>
      <c r="D216" s="825"/>
      <c r="E216" s="70"/>
      <c r="F216" s="70"/>
      <c r="G216" s="70"/>
      <c r="H216" s="70"/>
      <c r="I216" s="70"/>
      <c r="J216" s="70"/>
      <c r="K216" s="70"/>
      <c r="L216" s="70"/>
      <c r="M216" s="70"/>
      <c r="N216" s="70"/>
      <c r="O216" s="304"/>
      <c r="P216" s="60"/>
      <c r="Q216" s="80"/>
      <c r="R216" s="80"/>
      <c r="S216" s="80"/>
      <c r="T216" s="80"/>
      <c r="U216" s="62"/>
      <c r="V216" s="270"/>
      <c r="W216" s="70"/>
      <c r="X216" s="70"/>
      <c r="Y216" s="44"/>
      <c r="Z216" s="44"/>
      <c r="AA216" s="44"/>
      <c r="AB216" s="44"/>
      <c r="AC216" s="44"/>
      <c r="AD216" s="44"/>
      <c r="AE216" s="44"/>
      <c r="AF216" s="44"/>
      <c r="AG216" s="44"/>
      <c r="AH216" s="44"/>
      <c r="AI216" s="44"/>
      <c r="AJ216" s="44"/>
      <c r="AK216" s="44"/>
      <c r="AL216" s="94"/>
      <c r="AM216" s="44"/>
      <c r="AN216" s="44"/>
      <c r="AO216" s="44"/>
      <c r="AP216" s="44"/>
      <c r="AQ216" s="44"/>
      <c r="AR216" s="44"/>
      <c r="AS216" s="44"/>
      <c r="AT216" s="44"/>
      <c r="AU216" s="44"/>
      <c r="AV216" s="44"/>
      <c r="AW216" s="44"/>
      <c r="AX216" s="44"/>
      <c r="AY216"/>
      <c r="AZ216"/>
      <c r="BA216"/>
      <c r="BB216"/>
      <c r="BC216"/>
      <c r="BD216"/>
      <c r="BE216"/>
      <c r="BF216"/>
      <c r="BG216"/>
      <c r="BH216"/>
      <c r="BI216"/>
      <c r="BJ216"/>
    </row>
    <row r="217" spans="1:62" x14ac:dyDescent="0.25">
      <c r="A217" s="44"/>
      <c r="B217" s="44"/>
      <c r="C217" s="70"/>
      <c r="D217" s="825"/>
      <c r="E217" s="70"/>
      <c r="F217" s="70"/>
      <c r="G217" s="70"/>
      <c r="H217" s="70"/>
      <c r="I217" s="70"/>
      <c r="J217" s="70"/>
      <c r="K217" s="70"/>
      <c r="L217" s="70"/>
      <c r="M217" s="70"/>
      <c r="N217" s="70"/>
      <c r="O217" s="304"/>
      <c r="P217" s="1589" t="s">
        <v>425</v>
      </c>
      <c r="Q217" s="1590"/>
      <c r="R217" s="1591"/>
      <c r="S217" s="110">
        <f>steam_heat*ferment_heat</f>
        <v>0</v>
      </c>
      <c r="T217" s="226" t="s">
        <v>437</v>
      </c>
      <c r="U217" s="62"/>
      <c r="V217" s="270"/>
      <c r="W217" s="70"/>
      <c r="X217" s="70"/>
      <c r="Y217" s="44"/>
      <c r="Z217" s="44"/>
      <c r="AA217" s="44"/>
      <c r="AB217" s="44"/>
      <c r="AC217" s="44"/>
      <c r="AD217" s="44"/>
      <c r="AE217" s="44"/>
      <c r="AF217" s="44"/>
      <c r="AG217" s="44"/>
      <c r="AH217" s="44"/>
      <c r="AI217" s="44"/>
      <c r="AJ217" s="44"/>
      <c r="AK217" s="44"/>
      <c r="AL217" s="94"/>
      <c r="AM217" s="44"/>
      <c r="AN217" s="44"/>
      <c r="AO217" s="44"/>
      <c r="AP217" s="44"/>
      <c r="AQ217" s="44"/>
      <c r="AR217" s="44"/>
      <c r="AS217" s="44"/>
      <c r="AT217" s="44"/>
      <c r="AU217" s="44"/>
      <c r="AV217" s="44"/>
      <c r="AW217" s="44"/>
      <c r="AX217" s="44"/>
      <c r="AY217"/>
      <c r="AZ217"/>
      <c r="BA217"/>
      <c r="BB217"/>
      <c r="BC217"/>
      <c r="BD217"/>
      <c r="BE217"/>
      <c r="BF217"/>
      <c r="BG217"/>
      <c r="BH217"/>
      <c r="BI217"/>
      <c r="BJ217"/>
    </row>
    <row r="218" spans="1:62" x14ac:dyDescent="0.25">
      <c r="A218" s="44"/>
      <c r="B218" s="44"/>
      <c r="C218" s="70"/>
      <c r="D218" s="825"/>
      <c r="E218" s="70"/>
      <c r="F218" s="70"/>
      <c r="G218" s="70"/>
      <c r="H218" s="70"/>
      <c r="I218" s="70"/>
      <c r="J218" s="70"/>
      <c r="K218" s="70"/>
      <c r="L218" s="70"/>
      <c r="M218" s="70"/>
      <c r="N218" s="70"/>
      <c r="O218" s="304"/>
      <c r="P218" s="251"/>
      <c r="Q218" s="64"/>
      <c r="R218" s="64"/>
      <c r="S218" s="64"/>
      <c r="T218" s="226"/>
      <c r="U218" s="62"/>
      <c r="V218" s="270"/>
      <c r="W218" s="70"/>
      <c r="X218" s="70"/>
      <c r="Y218" s="44"/>
      <c r="Z218" s="44"/>
      <c r="AA218" s="44"/>
      <c r="AB218" s="44"/>
      <c r="AC218" s="44"/>
      <c r="AD218" s="44"/>
      <c r="AE218" s="44"/>
      <c r="AF218" s="44"/>
      <c r="AG218" s="44"/>
      <c r="AH218" s="44"/>
      <c r="AI218" s="44"/>
      <c r="AJ218" s="44"/>
      <c r="AK218" s="44"/>
      <c r="AL218" s="94"/>
      <c r="AM218" s="44"/>
      <c r="AN218" s="44"/>
      <c r="AO218" s="44"/>
      <c r="AP218" s="44"/>
      <c r="AQ218" s="44"/>
      <c r="AR218" s="44"/>
      <c r="AS218" s="44"/>
      <c r="AT218" s="44"/>
      <c r="AU218" s="44"/>
      <c r="AV218" s="44"/>
      <c r="AW218" s="44"/>
      <c r="AX218" s="44"/>
      <c r="AY218"/>
      <c r="AZ218"/>
      <c r="BA218"/>
      <c r="BB218"/>
      <c r="BC218"/>
      <c r="BD218"/>
      <c r="BE218"/>
      <c r="BF218"/>
      <c r="BG218"/>
      <c r="BH218"/>
      <c r="BI218"/>
      <c r="BJ218"/>
    </row>
    <row r="219" spans="1:62" x14ac:dyDescent="0.25">
      <c r="A219" s="44"/>
      <c r="B219" s="44"/>
      <c r="C219" s="70"/>
      <c r="D219" s="825"/>
      <c r="E219" s="70"/>
      <c r="F219" s="70"/>
      <c r="G219" s="70"/>
      <c r="H219" s="70"/>
      <c r="I219" s="70"/>
      <c r="J219" s="70"/>
      <c r="K219" s="70"/>
      <c r="L219" s="70"/>
      <c r="M219" s="70"/>
      <c r="N219" s="70"/>
      <c r="O219" s="304"/>
      <c r="P219" s="251"/>
      <c r="Q219" s="64"/>
      <c r="R219" s="231" t="s">
        <v>426</v>
      </c>
      <c r="S219" s="507">
        <f>ferment_elec</f>
        <v>12</v>
      </c>
      <c r="T219" s="918" t="s">
        <v>548</v>
      </c>
      <c r="U219" s="62"/>
      <c r="V219" s="270"/>
      <c r="W219" s="70"/>
      <c r="X219" s="70"/>
      <c r="Y219" s="44"/>
      <c r="Z219" s="44"/>
      <c r="AA219" s="44"/>
      <c r="AB219" s="44"/>
      <c r="AC219" s="44"/>
      <c r="AD219" s="44"/>
      <c r="AE219" s="44"/>
      <c r="AF219" s="44"/>
      <c r="AG219" s="44"/>
      <c r="AH219" s="44"/>
      <c r="AI219" s="44"/>
      <c r="AJ219" s="44"/>
      <c r="AK219" s="44"/>
      <c r="AL219" s="94"/>
      <c r="AM219" s="44"/>
      <c r="AN219" s="44"/>
      <c r="AO219" s="44"/>
      <c r="AP219" s="44"/>
      <c r="AQ219" s="44"/>
      <c r="AR219" s="44"/>
      <c r="AS219" s="44"/>
      <c r="AT219" s="44"/>
      <c r="AU219" s="44"/>
      <c r="AV219" s="44"/>
      <c r="AW219" s="44"/>
      <c r="AX219" s="44"/>
      <c r="AY219"/>
      <c r="AZ219"/>
      <c r="BA219"/>
      <c r="BB219"/>
      <c r="BC219"/>
      <c r="BD219"/>
      <c r="BE219"/>
      <c r="BF219"/>
      <c r="BG219"/>
      <c r="BH219"/>
      <c r="BI219"/>
      <c r="BJ219"/>
    </row>
    <row r="220" spans="1:62" x14ac:dyDescent="0.25">
      <c r="A220" s="44"/>
      <c r="B220" s="44"/>
      <c r="C220" s="70"/>
      <c r="D220" s="825"/>
      <c r="E220" s="70"/>
      <c r="F220" s="70"/>
      <c r="G220" s="44"/>
      <c r="H220" s="44"/>
      <c r="I220" s="44"/>
      <c r="J220" s="44"/>
      <c r="K220" s="44"/>
      <c r="L220" s="44"/>
      <c r="M220" s="44"/>
      <c r="N220" s="44"/>
      <c r="O220" s="269"/>
      <c r="P220" s="60"/>
      <c r="Q220" s="61"/>
      <c r="R220" s="23"/>
      <c r="S220" s="142"/>
      <c r="T220" s="23"/>
      <c r="U220" s="62"/>
      <c r="V220" s="270"/>
      <c r="W220" s="70"/>
      <c r="X220" s="70"/>
      <c r="Y220" s="44"/>
      <c r="Z220" s="44"/>
      <c r="AA220" s="44"/>
      <c r="AB220" s="44"/>
      <c r="AC220" s="44"/>
      <c r="AD220" s="44"/>
      <c r="AE220" s="44"/>
      <c r="AF220" s="44"/>
      <c r="AG220" s="44"/>
      <c r="AH220" s="44"/>
      <c r="AI220" s="44"/>
      <c r="AJ220" s="44"/>
      <c r="AK220" s="44"/>
      <c r="AL220" s="94"/>
      <c r="AM220" s="44"/>
      <c r="AN220" s="44"/>
      <c r="AO220" s="44"/>
      <c r="AP220" s="44"/>
      <c r="AQ220" s="44"/>
      <c r="AR220" s="44"/>
      <c r="AS220" s="44"/>
      <c r="AT220" s="44"/>
      <c r="AU220" s="44"/>
      <c r="AV220" s="44"/>
      <c r="AW220" s="44"/>
      <c r="AX220" s="44"/>
      <c r="AY220"/>
      <c r="AZ220"/>
      <c r="BA220"/>
      <c r="BB220"/>
      <c r="BC220"/>
      <c r="BD220"/>
      <c r="BE220"/>
      <c r="BF220"/>
      <c r="BG220"/>
      <c r="BH220"/>
      <c r="BI220"/>
      <c r="BJ220"/>
    </row>
    <row r="221" spans="1:62" x14ac:dyDescent="0.25">
      <c r="A221" s="44"/>
      <c r="B221" s="44"/>
      <c r="C221" s="70"/>
      <c r="D221" s="825"/>
      <c r="E221" s="70"/>
      <c r="F221" s="70"/>
      <c r="G221" s="44"/>
      <c r="H221" s="44"/>
      <c r="I221" s="44"/>
      <c r="J221" s="44"/>
      <c r="K221" s="44"/>
      <c r="L221" s="44"/>
      <c r="M221" s="44"/>
      <c r="N221" s="44"/>
      <c r="O221" s="269"/>
      <c r="P221" s="60"/>
      <c r="Q221" s="61"/>
      <c r="R221" s="231" t="s">
        <v>358</v>
      </c>
      <c r="S221" s="86">
        <f>ferm_loss</f>
        <v>0</v>
      </c>
      <c r="T221" s="80" t="s">
        <v>160</v>
      </c>
      <c r="U221" s="62"/>
      <c r="V221" s="270"/>
      <c r="W221" s="70"/>
      <c r="X221" s="70"/>
      <c r="Y221" s="44"/>
      <c r="Z221" s="44"/>
      <c r="AA221" s="44"/>
      <c r="AB221" s="44"/>
      <c r="AC221" s="44"/>
      <c r="AD221" s="44"/>
      <c r="AE221" s="44"/>
      <c r="AF221" s="44"/>
      <c r="AG221" s="44"/>
      <c r="AH221" s="44"/>
      <c r="AI221" s="44"/>
      <c r="AJ221" s="44"/>
      <c r="AK221" s="44"/>
      <c r="AL221" s="94"/>
      <c r="AM221" s="44"/>
      <c r="AN221" s="44"/>
      <c r="AO221" s="44"/>
      <c r="AP221" s="44"/>
      <c r="AQ221" s="44"/>
      <c r="AR221" s="44"/>
      <c r="AS221" s="44"/>
      <c r="AT221" s="44"/>
      <c r="AU221" s="44"/>
      <c r="AV221" s="44"/>
      <c r="AW221" s="44"/>
      <c r="AX221" s="44"/>
      <c r="AY221"/>
      <c r="AZ221"/>
      <c r="BA221"/>
      <c r="BB221"/>
      <c r="BC221"/>
      <c r="BD221"/>
      <c r="BE221"/>
      <c r="BF221"/>
      <c r="BG221"/>
      <c r="BH221"/>
      <c r="BI221"/>
      <c r="BJ221"/>
    </row>
    <row r="222" spans="1:62" ht="13.8" thickBot="1" x14ac:dyDescent="0.3">
      <c r="A222" s="44"/>
      <c r="B222" s="44"/>
      <c r="C222" s="70"/>
      <c r="D222" s="825"/>
      <c r="E222" s="70"/>
      <c r="F222" s="70"/>
      <c r="G222" s="44"/>
      <c r="H222" s="44"/>
      <c r="I222" s="44"/>
      <c r="J222" s="44"/>
      <c r="K222" s="44"/>
      <c r="L222" s="44"/>
      <c r="M222" s="44"/>
      <c r="N222" s="44"/>
      <c r="O222" s="269"/>
      <c r="P222" s="67"/>
      <c r="Q222" s="68"/>
      <c r="R222" s="68"/>
      <c r="S222" s="68"/>
      <c r="T222" s="68"/>
      <c r="U222" s="69"/>
      <c r="V222" s="270"/>
      <c r="W222" s="70"/>
      <c r="X222" s="70"/>
      <c r="Y222" s="44"/>
      <c r="Z222" s="44"/>
      <c r="AA222" s="44"/>
      <c r="AB222" s="44"/>
      <c r="AC222" s="44"/>
      <c r="AD222" s="44"/>
      <c r="AE222" s="44"/>
      <c r="AF222" s="44"/>
      <c r="AG222" s="44"/>
      <c r="AH222" s="44"/>
      <c r="AI222" s="44"/>
      <c r="AJ222" s="44"/>
      <c r="AK222" s="44"/>
      <c r="AL222" s="94"/>
      <c r="AM222" s="44"/>
      <c r="AN222" s="44"/>
      <c r="AO222" s="44"/>
      <c r="AP222" s="44"/>
      <c r="AQ222" s="44"/>
      <c r="AR222" s="44"/>
      <c r="AS222" s="44"/>
      <c r="AT222" s="44"/>
      <c r="AU222" s="44"/>
      <c r="AV222" s="44"/>
      <c r="AW222" s="44"/>
      <c r="AX222" s="44"/>
      <c r="AY222"/>
      <c r="AZ222"/>
      <c r="BA222"/>
      <c r="BB222"/>
      <c r="BC222"/>
      <c r="BD222"/>
      <c r="BE222"/>
      <c r="BF222"/>
      <c r="BG222"/>
      <c r="BH222"/>
      <c r="BI222"/>
      <c r="BJ222"/>
    </row>
    <row r="223" spans="1:62" x14ac:dyDescent="0.25">
      <c r="A223" s="44"/>
      <c r="B223" s="44"/>
      <c r="C223" s="70"/>
      <c r="D223" s="825"/>
      <c r="E223" s="70"/>
      <c r="F223" s="70"/>
      <c r="G223" s="44"/>
      <c r="H223" s="44"/>
      <c r="I223" s="44"/>
      <c r="J223" s="44"/>
      <c r="K223" s="44"/>
      <c r="L223" s="44"/>
      <c r="M223" s="44"/>
      <c r="N223" s="44"/>
      <c r="O223" s="269"/>
      <c r="P223" s="70"/>
      <c r="Q223" s="70"/>
      <c r="R223" s="70"/>
      <c r="S223" s="92"/>
      <c r="T223" s="87"/>
      <c r="U223" s="87"/>
      <c r="V223" s="273"/>
      <c r="W223" s="87"/>
      <c r="X223" s="424"/>
      <c r="Y223" s="425"/>
      <c r="Z223" s="426"/>
      <c r="AA223" s="44"/>
      <c r="AB223" s="44"/>
      <c r="AC223" s="44"/>
      <c r="AD223" s="70"/>
      <c r="AE223" s="44"/>
      <c r="AF223" s="44"/>
      <c r="AG223" s="44"/>
      <c r="AH223" s="44"/>
      <c r="AI223" s="44"/>
      <c r="AJ223" s="44"/>
      <c r="AK223" s="44"/>
      <c r="AL223" s="94"/>
      <c r="AM223" s="44"/>
      <c r="AN223" s="44"/>
      <c r="AO223" s="44"/>
      <c r="AP223" s="44"/>
      <c r="AQ223" s="44"/>
      <c r="AR223" s="44"/>
      <c r="AS223" s="44"/>
      <c r="AT223" s="44"/>
      <c r="AU223" s="44"/>
      <c r="AV223" s="44"/>
      <c r="AW223" s="44"/>
      <c r="AX223" s="44"/>
      <c r="AY223"/>
      <c r="AZ223"/>
      <c r="BA223"/>
      <c r="BB223"/>
      <c r="BC223"/>
      <c r="BD223"/>
      <c r="BE223"/>
      <c r="BF223"/>
      <c r="BG223"/>
      <c r="BH223"/>
      <c r="BI223"/>
      <c r="BJ223"/>
    </row>
    <row r="224" spans="1:62" x14ac:dyDescent="0.25">
      <c r="A224" s="44"/>
      <c r="B224" s="44"/>
      <c r="C224" s="70"/>
      <c r="D224" s="825"/>
      <c r="E224" s="70"/>
      <c r="F224" s="70"/>
      <c r="G224" s="44"/>
      <c r="H224" s="44"/>
      <c r="I224" s="44"/>
      <c r="J224" s="44"/>
      <c r="K224" s="44"/>
      <c r="L224" s="44"/>
      <c r="M224" s="44"/>
      <c r="N224" s="44"/>
      <c r="O224" s="269"/>
      <c r="P224" s="70"/>
      <c r="Q224" s="70"/>
      <c r="R224" s="70"/>
      <c r="S224" s="94"/>
      <c r="T224" s="70"/>
      <c r="U224" s="70"/>
      <c r="V224" s="270"/>
      <c r="W224" s="70"/>
      <c r="X224" s="510" t="s">
        <v>595</v>
      </c>
      <c r="Y224" s="86">
        <f>gas_capt</f>
        <v>0</v>
      </c>
      <c r="Z224" s="513" t="s">
        <v>538</v>
      </c>
      <c r="AA224" s="74"/>
      <c r="AB224" s="417"/>
      <c r="AC224" s="92"/>
      <c r="AD224" s="70"/>
      <c r="AE224" s="70"/>
      <c r="AF224" s="44"/>
      <c r="AG224" s="44"/>
      <c r="AH224" s="44"/>
      <c r="AI224" s="44"/>
      <c r="AJ224" s="44"/>
      <c r="AK224" s="44"/>
      <c r="AL224" s="94"/>
      <c r="AM224" s="44"/>
      <c r="AN224" s="44"/>
      <c r="AO224" s="44"/>
      <c r="AP224" s="44"/>
      <c r="AQ224" s="44"/>
      <c r="AR224" s="44"/>
      <c r="AS224" s="44"/>
      <c r="AT224" s="44"/>
      <c r="AU224" s="44"/>
      <c r="AV224" s="44"/>
      <c r="AW224" s="44"/>
      <c r="AX224" s="44"/>
      <c r="AY224"/>
      <c r="AZ224"/>
      <c r="BA224"/>
      <c r="BB224"/>
      <c r="BC224"/>
      <c r="BD224"/>
      <c r="BE224"/>
      <c r="BF224"/>
      <c r="BG224"/>
      <c r="BH224"/>
      <c r="BI224"/>
      <c r="BJ224"/>
    </row>
    <row r="225" spans="1:62" x14ac:dyDescent="0.25">
      <c r="A225" s="44"/>
      <c r="B225" s="44"/>
      <c r="C225" s="70"/>
      <c r="D225" s="825"/>
      <c r="E225" s="70"/>
      <c r="F225" s="70"/>
      <c r="G225" s="44"/>
      <c r="H225" s="44"/>
      <c r="I225" s="44"/>
      <c r="J225" s="44"/>
      <c r="K225" s="44"/>
      <c r="L225" s="44"/>
      <c r="M225" s="44"/>
      <c r="N225" s="44"/>
      <c r="O225" s="269"/>
      <c r="P225" s="252"/>
      <c r="Q225" s="95"/>
      <c r="R225" s="95"/>
      <c r="S225" s="95"/>
      <c r="T225" s="95"/>
      <c r="U225" s="253"/>
      <c r="V225" s="270"/>
      <c r="W225" s="70"/>
      <c r="X225" s="430"/>
      <c r="Y225" s="431"/>
      <c r="Z225" s="432"/>
      <c r="AA225" s="44"/>
      <c r="AB225" s="93"/>
      <c r="AC225" s="46"/>
      <c r="AD225" s="47"/>
      <c r="AE225" s="44"/>
      <c r="AF225" s="44"/>
      <c r="AG225" s="44"/>
      <c r="AH225" s="44"/>
      <c r="AI225" s="44"/>
      <c r="AJ225" s="44"/>
      <c r="AK225" s="44"/>
      <c r="AL225" s="94"/>
      <c r="AM225" s="44"/>
      <c r="AN225" s="44"/>
      <c r="AO225" s="44"/>
      <c r="AP225" s="44"/>
      <c r="AQ225" s="44"/>
      <c r="AR225" s="44"/>
      <c r="AS225" s="44"/>
      <c r="AT225" s="44"/>
      <c r="AU225" s="44"/>
      <c r="AV225" s="44"/>
      <c r="AW225" s="44"/>
      <c r="AX225" s="44"/>
      <c r="AY225"/>
      <c r="AZ225"/>
      <c r="BA225"/>
      <c r="BB225"/>
      <c r="BC225"/>
      <c r="BD225"/>
      <c r="BE225"/>
      <c r="BF225"/>
      <c r="BG225"/>
      <c r="BH225"/>
      <c r="BI225"/>
      <c r="BJ225"/>
    </row>
    <row r="226" spans="1:62" ht="15.6" x14ac:dyDescent="0.35">
      <c r="A226" s="44"/>
      <c r="B226" s="44"/>
      <c r="C226" s="70"/>
      <c r="D226" s="825"/>
      <c r="E226" s="70"/>
      <c r="F226" s="70"/>
      <c r="G226" s="44"/>
      <c r="H226" s="44"/>
      <c r="I226" s="44"/>
      <c r="J226" s="44"/>
      <c r="K226" s="44"/>
      <c r="L226" s="44"/>
      <c r="M226" s="44"/>
      <c r="N226" s="44"/>
      <c r="O226" s="269"/>
      <c r="P226" s="76"/>
      <c r="Q226" s="77"/>
      <c r="R226" s="1461" t="s">
        <v>1756</v>
      </c>
      <c r="S226" s="1310">
        <f>S209*S215*(100-S221)/100</f>
        <v>4.4976959999999996E-2</v>
      </c>
      <c r="T226" s="925" t="s">
        <v>1757</v>
      </c>
      <c r="U226" s="50"/>
      <c r="V226" s="270"/>
      <c r="W226" s="70"/>
      <c r="X226" s="70"/>
      <c r="Y226" s="44"/>
      <c r="Z226" s="44"/>
      <c r="AA226" s="44"/>
      <c r="AB226" s="76" t="s">
        <v>286</v>
      </c>
      <c r="AC226" s="78">
        <f>Y224*S226*carbondioxide_emit</f>
        <v>0</v>
      </c>
      <c r="AD226" s="232" t="s">
        <v>590</v>
      </c>
      <c r="AE226" s="44"/>
      <c r="AF226" s="44"/>
      <c r="AG226" s="44"/>
      <c r="AH226" s="44"/>
      <c r="AI226" s="44"/>
      <c r="AJ226" s="44"/>
      <c r="AK226" s="44"/>
      <c r="AL226" s="94"/>
      <c r="AM226" s="44"/>
      <c r="AN226" s="44"/>
      <c r="AO226" s="44"/>
      <c r="AP226" s="44"/>
      <c r="AQ226" s="44"/>
      <c r="AR226" s="44"/>
      <c r="AS226" s="44"/>
      <c r="AT226" s="44"/>
      <c r="AU226" s="44"/>
      <c r="AV226" s="44"/>
      <c r="AW226" s="44"/>
      <c r="AX226" s="44"/>
      <c r="AY226"/>
      <c r="AZ226"/>
      <c r="BA226"/>
      <c r="BB226"/>
      <c r="BC226"/>
      <c r="BD226"/>
      <c r="BE226"/>
      <c r="BF226"/>
      <c r="BG226"/>
      <c r="BH226"/>
      <c r="BI226"/>
      <c r="BJ226"/>
    </row>
    <row r="227" spans="1:62" x14ac:dyDescent="0.25">
      <c r="A227" s="44"/>
      <c r="B227" s="44"/>
      <c r="C227" s="44"/>
      <c r="D227" s="825"/>
      <c r="E227" s="44"/>
      <c r="F227" s="44"/>
      <c r="G227" s="44"/>
      <c r="H227" s="44"/>
      <c r="I227" s="44"/>
      <c r="J227" s="44"/>
      <c r="K227" s="44"/>
      <c r="L227" s="44"/>
      <c r="M227" s="44"/>
      <c r="N227" s="44"/>
      <c r="O227" s="269"/>
      <c r="P227" s="76"/>
      <c r="Q227" s="77"/>
      <c r="R227" s="77"/>
      <c r="S227" s="77"/>
      <c r="T227" s="49"/>
      <c r="U227" s="50"/>
      <c r="V227" s="270"/>
      <c r="W227" s="70"/>
      <c r="X227" s="70"/>
      <c r="Y227" s="44"/>
      <c r="Z227" s="44"/>
      <c r="AA227" s="44"/>
      <c r="AB227" s="76"/>
      <c r="AC227" s="49"/>
      <c r="AD227" s="51"/>
      <c r="AE227" s="44"/>
      <c r="AF227" s="44"/>
      <c r="AG227" s="44"/>
      <c r="AH227" s="44"/>
      <c r="AI227" s="44"/>
      <c r="AJ227" s="44"/>
      <c r="AK227" s="44"/>
      <c r="AL227" s="94"/>
      <c r="AM227" s="44"/>
      <c r="AN227" s="44"/>
      <c r="AO227" s="44"/>
      <c r="AP227" s="44"/>
      <c r="AQ227" s="44"/>
      <c r="AR227" s="44"/>
      <c r="AS227" s="44"/>
      <c r="AT227" s="44"/>
      <c r="AU227" s="44"/>
      <c r="AV227" s="44"/>
      <c r="AW227" s="44"/>
      <c r="AX227" s="44"/>
      <c r="AY227"/>
      <c r="AZ227"/>
      <c r="BA227"/>
      <c r="BB227"/>
      <c r="BC227"/>
      <c r="BD227"/>
      <c r="BE227"/>
      <c r="BF227"/>
      <c r="BG227"/>
      <c r="BH227"/>
      <c r="BI227"/>
      <c r="BJ227"/>
    </row>
    <row r="228" spans="1:62" ht="15.6" x14ac:dyDescent="0.35">
      <c r="A228" s="44"/>
      <c r="B228" s="44"/>
      <c r="C228" s="44"/>
      <c r="D228" s="825"/>
      <c r="E228" s="44"/>
      <c r="F228" s="44"/>
      <c r="G228" s="44"/>
      <c r="H228" s="44"/>
      <c r="I228" s="44"/>
      <c r="J228" s="44"/>
      <c r="K228" s="44"/>
      <c r="L228" s="44"/>
      <c r="M228" s="44"/>
      <c r="N228" s="44"/>
      <c r="O228" s="269"/>
      <c r="P228" s="76"/>
      <c r="Q228" s="77"/>
      <c r="R228" s="222" t="s">
        <v>439</v>
      </c>
      <c r="S228" s="1469">
        <f>broth_conc</f>
        <v>50.8</v>
      </c>
      <c r="T228" s="925" t="s">
        <v>1758</v>
      </c>
      <c r="U228" s="50"/>
      <c r="V228" s="270"/>
      <c r="W228" s="70"/>
      <c r="X228" s="70"/>
      <c r="Y228" s="44"/>
      <c r="Z228" s="44"/>
      <c r="AA228" s="44"/>
      <c r="AB228" s="76" t="s">
        <v>589</v>
      </c>
      <c r="AC228" s="233">
        <f>price_carbondioxide</f>
        <v>43.31</v>
      </c>
      <c r="AD228" s="232" t="s">
        <v>591</v>
      </c>
      <c r="AE228" s="44"/>
      <c r="AF228" s="44"/>
      <c r="AG228" s="44"/>
      <c r="AH228" s="44"/>
      <c r="AI228" s="44"/>
      <c r="AJ228" s="44"/>
      <c r="AK228" s="44"/>
      <c r="AL228" s="94"/>
      <c r="AM228" s="44"/>
      <c r="AN228" s="44"/>
      <c r="AO228" s="44"/>
      <c r="AP228" s="44"/>
      <c r="AQ228" s="44"/>
      <c r="AR228" s="44"/>
      <c r="AS228" s="44"/>
      <c r="AT228" s="44"/>
      <c r="AU228" s="44"/>
      <c r="AV228" s="44"/>
      <c r="AW228" s="44"/>
      <c r="AX228" s="44"/>
      <c r="AY228"/>
      <c r="AZ228"/>
      <c r="BA228"/>
      <c r="BB228"/>
      <c r="BC228"/>
      <c r="BD228"/>
      <c r="BE228"/>
      <c r="BF228"/>
      <c r="BG228"/>
      <c r="BH228"/>
      <c r="BI228"/>
      <c r="BJ228"/>
    </row>
    <row r="229" spans="1:62" x14ac:dyDescent="0.25">
      <c r="A229" s="44"/>
      <c r="B229" s="44"/>
      <c r="C229" s="44"/>
      <c r="D229" s="825"/>
      <c r="E229" s="44"/>
      <c r="F229" s="44"/>
      <c r="G229" s="44"/>
      <c r="H229" s="44"/>
      <c r="I229" s="44"/>
      <c r="J229" s="44"/>
      <c r="K229" s="44"/>
      <c r="L229" s="44"/>
      <c r="M229" s="44"/>
      <c r="N229" s="44"/>
      <c r="O229" s="269"/>
      <c r="P229" s="76"/>
      <c r="Q229" s="77"/>
      <c r="R229" s="77"/>
      <c r="S229" s="77"/>
      <c r="T229" s="49"/>
      <c r="U229" s="50"/>
      <c r="V229" s="270"/>
      <c r="W229" s="70"/>
      <c r="X229" s="70"/>
      <c r="Y229" s="44"/>
      <c r="Z229" s="44"/>
      <c r="AA229" s="44"/>
      <c r="AB229" s="76"/>
      <c r="AC229" s="95"/>
      <c r="AD229" s="51"/>
      <c r="AE229" s="44"/>
      <c r="AF229" s="44"/>
      <c r="AG229" s="44"/>
      <c r="AH229" s="44"/>
      <c r="AI229" s="44"/>
      <c r="AJ229" s="44"/>
      <c r="AK229" s="44"/>
      <c r="AL229" s="94"/>
      <c r="AM229" s="44"/>
      <c r="AN229" s="44"/>
      <c r="AO229" s="44"/>
      <c r="AP229" s="44"/>
      <c r="AQ229" s="44"/>
      <c r="AR229" s="44"/>
      <c r="AS229" s="44"/>
      <c r="AT229" s="44"/>
      <c r="AU229" s="44"/>
      <c r="AV229" s="44"/>
      <c r="AW229" s="44"/>
      <c r="AX229" s="44"/>
      <c r="AY229"/>
      <c r="AZ229"/>
      <c r="BA229"/>
      <c r="BB229"/>
      <c r="BC229"/>
      <c r="BD229"/>
      <c r="BE229"/>
      <c r="BF229"/>
      <c r="BG229"/>
      <c r="BH229"/>
      <c r="BI229"/>
      <c r="BJ229"/>
    </row>
    <row r="230" spans="1:62" ht="16.8" x14ac:dyDescent="0.35">
      <c r="A230" s="44"/>
      <c r="B230" s="44"/>
      <c r="C230" s="44"/>
      <c r="D230" s="825"/>
      <c r="E230" s="44"/>
      <c r="F230" s="44"/>
      <c r="G230" s="44"/>
      <c r="H230" s="44"/>
      <c r="I230" s="44"/>
      <c r="J230" s="44"/>
      <c r="K230" s="44"/>
      <c r="L230" s="44"/>
      <c r="M230" s="44"/>
      <c r="N230" s="44"/>
      <c r="O230" s="269"/>
      <c r="P230" s="76"/>
      <c r="Q230" s="77"/>
      <c r="R230" s="77" t="s">
        <v>288</v>
      </c>
      <c r="S230" s="110">
        <f>1000/S228</f>
        <v>19.685039370078741</v>
      </c>
      <c r="T230" s="925" t="s">
        <v>1759</v>
      </c>
      <c r="U230" s="50"/>
      <c r="V230" s="270"/>
      <c r="W230" s="70"/>
      <c r="X230" s="70"/>
      <c r="Y230" s="44"/>
      <c r="Z230" s="44"/>
      <c r="AA230" s="44"/>
      <c r="AB230" s="238" t="s">
        <v>592</v>
      </c>
      <c r="AC230" s="694">
        <f>subs_cred_carb_diox</f>
        <v>3932</v>
      </c>
      <c r="AD230" s="232" t="s">
        <v>593</v>
      </c>
      <c r="AE230" s="44"/>
      <c r="AF230" s="44"/>
      <c r="AG230" s="44"/>
      <c r="AH230" s="44"/>
      <c r="AI230" s="44"/>
      <c r="AJ230" s="44"/>
      <c r="AK230" s="44"/>
      <c r="AL230" s="94"/>
      <c r="AM230" s="44"/>
      <c r="AN230" s="44"/>
      <c r="AO230" s="44"/>
      <c r="AP230" s="44"/>
      <c r="AQ230" s="44"/>
      <c r="AR230" s="44"/>
      <c r="AS230" s="44"/>
      <c r="AT230" s="44"/>
      <c r="AU230" s="44"/>
      <c r="AV230" s="44"/>
      <c r="AW230" s="44"/>
      <c r="AX230" s="44"/>
      <c r="AY230"/>
      <c r="AZ230"/>
      <c r="BA230"/>
      <c r="BB230"/>
      <c r="BC230"/>
      <c r="BD230"/>
      <c r="BE230"/>
      <c r="BF230"/>
      <c r="BG230"/>
      <c r="BH230"/>
      <c r="BI230"/>
      <c r="BJ230"/>
    </row>
    <row r="231" spans="1:62" x14ac:dyDescent="0.25">
      <c r="A231" s="44"/>
      <c r="B231" s="44"/>
      <c r="C231" s="44"/>
      <c r="D231" s="825"/>
      <c r="E231" s="44"/>
      <c r="F231" s="44"/>
      <c r="G231" s="44"/>
      <c r="H231" s="44"/>
      <c r="I231" s="44"/>
      <c r="J231" s="44"/>
      <c r="K231" s="44"/>
      <c r="L231" s="44"/>
      <c r="M231" s="44"/>
      <c r="N231" s="44"/>
      <c r="O231" s="269"/>
      <c r="P231" s="76"/>
      <c r="Q231" s="77"/>
      <c r="R231" s="77"/>
      <c r="S231" s="77"/>
      <c r="T231" s="49"/>
      <c r="U231" s="50"/>
      <c r="V231" s="270"/>
      <c r="W231" s="70"/>
      <c r="X231" s="70"/>
      <c r="Y231" s="44"/>
      <c r="Z231" s="44"/>
      <c r="AA231" s="44"/>
      <c r="AB231" s="221"/>
      <c r="AC231" s="55"/>
      <c r="AD231" s="56"/>
      <c r="AE231" s="44"/>
      <c r="AF231" s="44"/>
      <c r="AG231" s="44"/>
      <c r="AH231" s="44"/>
      <c r="AI231" s="44"/>
      <c r="AJ231" s="44"/>
      <c r="AK231" s="44"/>
      <c r="AL231" s="94"/>
      <c r="AM231" s="44"/>
      <c r="AN231" s="44"/>
      <c r="AO231" s="44"/>
      <c r="AP231" s="44"/>
      <c r="AQ231" s="44"/>
      <c r="AR231" s="44"/>
      <c r="AS231" s="44"/>
      <c r="AT231" s="44"/>
      <c r="AU231" s="44"/>
      <c r="AV231" s="44"/>
      <c r="AW231" s="44"/>
      <c r="AX231" s="44"/>
      <c r="AY231"/>
      <c r="AZ231"/>
      <c r="BA231"/>
      <c r="BB231"/>
      <c r="BC231"/>
      <c r="BD231"/>
      <c r="BE231"/>
      <c r="BF231"/>
      <c r="BG231"/>
      <c r="BH231"/>
      <c r="BI231"/>
      <c r="BJ231"/>
    </row>
    <row r="232" spans="1:62" x14ac:dyDescent="0.25">
      <c r="A232" s="44"/>
      <c r="B232" s="44"/>
      <c r="C232" s="44"/>
      <c r="D232" s="825"/>
      <c r="E232" s="44"/>
      <c r="F232" s="44"/>
      <c r="G232" s="44"/>
      <c r="H232" s="44"/>
      <c r="I232" s="44"/>
      <c r="J232" s="44"/>
      <c r="K232" s="44"/>
      <c r="L232" s="44"/>
      <c r="M232" s="44"/>
      <c r="N232" s="44"/>
      <c r="O232" s="269"/>
      <c r="P232" s="76"/>
      <c r="Q232" s="77"/>
      <c r="R232" s="1461" t="s">
        <v>1766</v>
      </c>
      <c r="S232" s="507">
        <f>price_be_sc</f>
        <v>494</v>
      </c>
      <c r="T232" s="925" t="s">
        <v>438</v>
      </c>
      <c r="U232" s="50"/>
      <c r="V232" s="270"/>
      <c r="W232" s="70"/>
      <c r="X232" s="70"/>
      <c r="Y232" s="44"/>
      <c r="Z232" s="44"/>
      <c r="AA232" s="44"/>
      <c r="AB232" s="44"/>
      <c r="AC232" s="44"/>
      <c r="AD232" s="44"/>
      <c r="AE232" s="44"/>
      <c r="AF232" s="44"/>
      <c r="AG232" s="44"/>
      <c r="AH232" s="44"/>
      <c r="AI232" s="44"/>
      <c r="AJ232" s="44"/>
      <c r="AK232" s="44"/>
      <c r="AL232" s="94"/>
      <c r="AM232" s="44"/>
      <c r="AN232" s="44"/>
      <c r="AO232" s="44"/>
      <c r="AP232" s="44"/>
      <c r="AQ232" s="44"/>
      <c r="AR232" s="44"/>
      <c r="AS232" s="44"/>
      <c r="AT232" s="44"/>
      <c r="AU232" s="44"/>
      <c r="AV232" s="44"/>
      <c r="AW232" s="44"/>
      <c r="AX232" s="44"/>
      <c r="AY232"/>
      <c r="AZ232"/>
      <c r="BA232"/>
      <c r="BB232"/>
      <c r="BC232"/>
      <c r="BD232"/>
      <c r="BE232"/>
      <c r="BF232"/>
      <c r="BG232"/>
      <c r="BH232"/>
      <c r="BI232"/>
      <c r="BJ232"/>
    </row>
    <row r="233" spans="1:62" x14ac:dyDescent="0.25">
      <c r="A233" s="44"/>
      <c r="B233" s="44"/>
      <c r="C233" s="44"/>
      <c r="D233" s="825"/>
      <c r="E233" s="44"/>
      <c r="F233" s="44"/>
      <c r="G233" s="44"/>
      <c r="H233" s="44"/>
      <c r="I233" s="44"/>
      <c r="J233" s="44"/>
      <c r="K233" s="44"/>
      <c r="L233" s="44"/>
      <c r="M233" s="44"/>
      <c r="N233" s="44"/>
      <c r="O233" s="269"/>
      <c r="P233" s="76"/>
      <c r="Q233" s="77"/>
      <c r="R233" s="77"/>
      <c r="S233" s="77"/>
      <c r="T233" s="49"/>
      <c r="U233" s="50"/>
      <c r="V233" s="270"/>
      <c r="W233" s="70"/>
      <c r="X233" s="70"/>
      <c r="Y233" s="44"/>
      <c r="Z233" s="44"/>
      <c r="AA233" s="44"/>
      <c r="AB233" s="44"/>
      <c r="AC233" s="44"/>
      <c r="AD233" s="44"/>
      <c r="AE233" s="44"/>
      <c r="AF233" s="44"/>
      <c r="AG233" s="44"/>
      <c r="AH233" s="44"/>
      <c r="AI233" s="44"/>
      <c r="AJ233" s="44"/>
      <c r="AK233" s="44"/>
      <c r="AL233" s="94"/>
      <c r="AM233" s="44"/>
      <c r="AN233" s="44"/>
      <c r="AO233" s="44"/>
      <c r="AP233" s="44"/>
      <c r="AQ233" s="44"/>
      <c r="AR233" s="44"/>
      <c r="AS233" s="44"/>
      <c r="AT233" s="44"/>
      <c r="AU233" s="44"/>
      <c r="AV233" s="44"/>
      <c r="AW233" s="44"/>
      <c r="AX233" s="44"/>
      <c r="AY233"/>
      <c r="AZ233"/>
      <c r="BA233"/>
      <c r="BB233"/>
      <c r="BC233"/>
      <c r="BD233"/>
      <c r="BE233"/>
      <c r="BF233"/>
      <c r="BG233"/>
      <c r="BH233"/>
      <c r="BI233"/>
      <c r="BJ233"/>
    </row>
    <row r="234" spans="1:62" x14ac:dyDescent="0.25">
      <c r="A234" s="44"/>
      <c r="B234" s="44"/>
      <c r="C234" s="44"/>
      <c r="D234" s="825"/>
      <c r="E234" s="44"/>
      <c r="F234" s="44"/>
      <c r="G234" s="44"/>
      <c r="H234" s="44"/>
      <c r="I234" s="44"/>
      <c r="J234" s="44"/>
      <c r="K234" s="44"/>
      <c r="L234" s="44"/>
      <c r="M234" s="44"/>
      <c r="N234" s="44"/>
      <c r="O234" s="269"/>
      <c r="P234" s="76"/>
      <c r="Q234" s="77"/>
      <c r="R234" s="1461" t="s">
        <v>1767</v>
      </c>
      <c r="S234" s="697">
        <f>CV_be</f>
        <v>26700</v>
      </c>
      <c r="T234" s="925" t="s">
        <v>437</v>
      </c>
      <c r="U234" s="50"/>
      <c r="V234" s="270"/>
      <c r="W234" s="70"/>
      <c r="X234" s="70"/>
      <c r="Y234" s="44"/>
      <c r="Z234" s="44"/>
      <c r="AA234" s="44"/>
      <c r="AB234" s="44"/>
      <c r="AC234" s="44"/>
      <c r="AD234" s="44"/>
      <c r="AE234" s="44"/>
      <c r="AF234" s="44"/>
      <c r="AG234" s="44"/>
      <c r="AH234" s="44"/>
      <c r="AI234" s="44"/>
      <c r="AJ234" s="44"/>
      <c r="AK234" s="44"/>
      <c r="AL234" s="94"/>
      <c r="AM234" s="44"/>
      <c r="AN234" s="44"/>
      <c r="AO234" s="44"/>
      <c r="AP234" s="44"/>
      <c r="AQ234" s="44"/>
      <c r="AR234" s="44"/>
      <c r="AS234" s="44"/>
      <c r="AT234" s="44"/>
      <c r="AU234" s="44"/>
      <c r="AV234" s="44"/>
      <c r="AW234" s="44"/>
      <c r="AX234" s="44"/>
      <c r="AY234"/>
      <c r="AZ234"/>
      <c r="BA234"/>
      <c r="BB234"/>
      <c r="BC234"/>
      <c r="BD234"/>
      <c r="BE234"/>
      <c r="BF234"/>
      <c r="BG234"/>
      <c r="BH234"/>
      <c r="BI234"/>
      <c r="BJ234"/>
    </row>
    <row r="235" spans="1:62" x14ac:dyDescent="0.25">
      <c r="A235" s="44"/>
      <c r="B235" s="44"/>
      <c r="C235" s="44"/>
      <c r="D235" s="825"/>
      <c r="E235" s="44"/>
      <c r="F235" s="44"/>
      <c r="G235" s="44"/>
      <c r="H235" s="44"/>
      <c r="I235" s="44"/>
      <c r="J235" s="44"/>
      <c r="K235" s="44"/>
      <c r="L235" s="44"/>
      <c r="M235" s="44"/>
      <c r="N235" s="44"/>
      <c r="O235" s="269"/>
      <c r="P235" s="221"/>
      <c r="Q235" s="96"/>
      <c r="R235" s="96"/>
      <c r="S235" s="96"/>
      <c r="T235" s="96"/>
      <c r="U235" s="220"/>
      <c r="V235" s="270"/>
      <c r="W235" s="70"/>
      <c r="X235" s="70"/>
      <c r="Y235" s="44"/>
      <c r="Z235" s="44"/>
      <c r="AA235" s="44"/>
      <c r="AB235" s="44"/>
      <c r="AC235" s="44"/>
      <c r="AD235" s="44"/>
      <c r="AE235" s="44"/>
      <c r="AF235" s="44"/>
      <c r="AG235" s="44"/>
      <c r="AH235" s="44"/>
      <c r="AI235" s="44"/>
      <c r="AJ235" s="44"/>
      <c r="AK235" s="44"/>
      <c r="AL235" s="94"/>
      <c r="AM235" s="44"/>
      <c r="AN235" s="44"/>
      <c r="AO235" s="44"/>
      <c r="AP235" s="44"/>
      <c r="AQ235" s="44"/>
      <c r="AR235" s="44"/>
      <c r="AS235" s="44"/>
      <c r="AT235" s="44"/>
      <c r="AU235" s="44"/>
      <c r="AV235" s="44"/>
      <c r="AW235" s="44"/>
      <c r="AX235" s="44"/>
      <c r="AY235"/>
      <c r="AZ235"/>
      <c r="BA235"/>
      <c r="BB235"/>
      <c r="BC235"/>
      <c r="BD235"/>
      <c r="BE235"/>
      <c r="BF235"/>
      <c r="BG235"/>
      <c r="BH235"/>
      <c r="BI235"/>
      <c r="BJ235"/>
    </row>
    <row r="236" spans="1:62" x14ac:dyDescent="0.25">
      <c r="A236" s="44"/>
      <c r="B236" s="44"/>
      <c r="C236" s="44"/>
      <c r="D236" s="825"/>
      <c r="E236" s="44"/>
      <c r="F236" s="44"/>
      <c r="G236" s="44"/>
      <c r="H236" s="44"/>
      <c r="I236" s="44"/>
      <c r="J236" s="44"/>
      <c r="K236" s="44"/>
      <c r="L236" s="44"/>
      <c r="M236" s="44"/>
      <c r="N236" s="44"/>
      <c r="O236" s="269"/>
      <c r="P236" s="70"/>
      <c r="Q236" s="70"/>
      <c r="R236" s="70"/>
      <c r="S236" s="73"/>
      <c r="T236" s="70"/>
      <c r="U236" s="70"/>
      <c r="V236" s="270"/>
      <c r="W236" s="70"/>
      <c r="X236" s="70"/>
      <c r="Y236" s="44"/>
      <c r="Z236" s="44"/>
      <c r="AA236" s="44"/>
      <c r="AB236" s="44"/>
      <c r="AC236" s="44"/>
      <c r="AD236" s="44"/>
      <c r="AE236" s="44"/>
      <c r="AF236" s="44"/>
      <c r="AG236" s="44"/>
      <c r="AH236" s="44"/>
      <c r="AI236" s="44"/>
      <c r="AJ236" s="44"/>
      <c r="AK236" s="44"/>
      <c r="AL236" s="94"/>
      <c r="AM236" s="44"/>
      <c r="AN236" s="44"/>
      <c r="AO236" s="44"/>
      <c r="AP236" s="44"/>
      <c r="AQ236" s="44"/>
      <c r="AR236" s="44"/>
      <c r="AS236" s="44"/>
      <c r="AT236" s="44"/>
      <c r="AU236" s="44"/>
      <c r="AV236" s="44"/>
      <c r="AW236" s="44"/>
      <c r="AX236" s="44"/>
      <c r="AY236"/>
      <c r="AZ236"/>
      <c r="BA236"/>
      <c r="BB236"/>
      <c r="BC236"/>
      <c r="BD236"/>
      <c r="BE236"/>
      <c r="BF236"/>
      <c r="BG236"/>
      <c r="BH236"/>
      <c r="BI236"/>
      <c r="BJ236"/>
    </row>
    <row r="237" spans="1:62" ht="13.8" thickBot="1" x14ac:dyDescent="0.3">
      <c r="A237" s="44"/>
      <c r="B237" s="44"/>
      <c r="C237" s="44"/>
      <c r="D237" s="825"/>
      <c r="E237" s="44"/>
      <c r="F237" s="44"/>
      <c r="G237" s="44"/>
      <c r="H237" s="44"/>
      <c r="I237" s="44"/>
      <c r="J237" s="44"/>
      <c r="K237" s="44"/>
      <c r="L237" s="44"/>
      <c r="M237" s="44"/>
      <c r="N237" s="44"/>
      <c r="O237" s="269"/>
      <c r="P237" s="70"/>
      <c r="Q237" s="70"/>
      <c r="R237" s="70"/>
      <c r="S237" s="94"/>
      <c r="T237" s="70"/>
      <c r="U237" s="70"/>
      <c r="V237" s="270"/>
      <c r="W237" s="70"/>
      <c r="X237" s="70"/>
      <c r="Y237" s="44"/>
      <c r="Z237" s="44"/>
      <c r="AA237" s="44"/>
      <c r="AB237" s="44"/>
      <c r="AC237" s="44"/>
      <c r="AD237" s="44"/>
      <c r="AE237" s="44"/>
      <c r="AF237" s="44"/>
      <c r="AG237" s="44"/>
      <c r="AH237" s="44"/>
      <c r="AI237" s="44"/>
      <c r="AJ237" s="44"/>
      <c r="AK237" s="44"/>
      <c r="AL237" s="94"/>
      <c r="AM237" s="44"/>
      <c r="AN237" s="44"/>
      <c r="AO237" s="44"/>
      <c r="AP237" s="44"/>
      <c r="AQ237" s="44"/>
      <c r="AR237" s="44"/>
      <c r="AS237" s="44"/>
      <c r="AT237" s="44"/>
      <c r="AU237" s="44"/>
      <c r="AV237" s="44"/>
      <c r="AW237" s="44"/>
      <c r="AX237" s="44"/>
      <c r="AY237"/>
      <c r="AZ237"/>
      <c r="BA237"/>
      <c r="BB237"/>
      <c r="BC237"/>
      <c r="BD237"/>
      <c r="BE237"/>
      <c r="BF237"/>
      <c r="BG237"/>
      <c r="BH237"/>
      <c r="BI237"/>
      <c r="BJ237"/>
    </row>
    <row r="238" spans="1:62" x14ac:dyDescent="0.25">
      <c r="A238" s="44"/>
      <c r="B238" s="44"/>
      <c r="C238" s="44"/>
      <c r="D238" s="825"/>
      <c r="E238" s="44"/>
      <c r="F238" s="44"/>
      <c r="G238" s="44"/>
      <c r="H238" s="44"/>
      <c r="I238" s="44"/>
      <c r="J238" s="44"/>
      <c r="K238" s="44"/>
      <c r="L238" s="44"/>
      <c r="M238" s="44"/>
      <c r="N238" s="44"/>
      <c r="O238" s="269"/>
      <c r="P238" s="254"/>
      <c r="Q238" s="228"/>
      <c r="R238" s="255"/>
      <c r="S238" s="256"/>
      <c r="T238" s="58"/>
      <c r="U238" s="59"/>
      <c r="V238" s="270"/>
      <c r="W238" s="70"/>
      <c r="X238" s="70"/>
      <c r="Y238" s="44"/>
      <c r="Z238" s="44"/>
      <c r="AA238" s="44"/>
      <c r="AB238" s="44"/>
      <c r="AC238" s="44"/>
      <c r="AD238" s="44"/>
      <c r="AE238" s="44"/>
      <c r="AF238" s="44"/>
      <c r="AG238" s="44"/>
      <c r="AH238" s="44"/>
      <c r="AI238" s="44"/>
      <c r="AJ238" s="44"/>
      <c r="AK238" s="44"/>
      <c r="AL238" s="94"/>
      <c r="AM238" s="44"/>
      <c r="AN238" s="44"/>
      <c r="AO238" s="44"/>
      <c r="AP238" s="44"/>
      <c r="AQ238" s="44"/>
      <c r="AR238" s="44"/>
      <c r="AS238" s="44"/>
      <c r="AT238" s="44"/>
      <c r="AU238" s="44"/>
      <c r="AV238" s="44"/>
      <c r="AW238" s="44"/>
      <c r="AX238" s="44"/>
      <c r="AY238"/>
      <c r="AZ238"/>
      <c r="BA238"/>
      <c r="BB238"/>
      <c r="BC238"/>
      <c r="BD238"/>
      <c r="BE238"/>
      <c r="BF238"/>
      <c r="BG238"/>
      <c r="BH238"/>
      <c r="BI238"/>
      <c r="BJ238"/>
    </row>
    <row r="239" spans="1:62" x14ac:dyDescent="0.25">
      <c r="A239" s="44"/>
      <c r="B239" s="44"/>
      <c r="C239" s="44"/>
      <c r="D239" s="825"/>
      <c r="E239" s="44"/>
      <c r="F239" s="44"/>
      <c r="G239" s="44"/>
      <c r="H239" s="44"/>
      <c r="I239" s="44"/>
      <c r="J239" s="44"/>
      <c r="K239" s="44"/>
      <c r="L239" s="44"/>
      <c r="M239" s="44"/>
      <c r="N239" s="44"/>
      <c r="O239" s="269"/>
      <c r="P239" s="1586" t="s">
        <v>1959</v>
      </c>
      <c r="Q239" s="1587"/>
      <c r="R239" s="1587"/>
      <c r="S239" s="1587"/>
      <c r="T239" s="1587"/>
      <c r="U239" s="1588"/>
      <c r="V239" s="270"/>
      <c r="W239" s="70"/>
      <c r="X239" s="70"/>
      <c r="Y239" s="44"/>
      <c r="Z239" s="44"/>
      <c r="AA239" s="44"/>
      <c r="AB239" s="44"/>
      <c r="AC239" s="44"/>
      <c r="AD239" s="44"/>
      <c r="AE239" s="44"/>
      <c r="AF239" s="44"/>
      <c r="AG239" s="44"/>
      <c r="AH239" s="44"/>
      <c r="AI239" s="44"/>
      <c r="AJ239" s="44"/>
      <c r="AK239" s="44"/>
      <c r="AL239" s="94"/>
      <c r="AM239" s="44"/>
      <c r="AN239" s="44"/>
      <c r="AO239" s="44"/>
      <c r="AP239" s="44"/>
      <c r="AQ239" s="44"/>
      <c r="AR239" s="44"/>
      <c r="AS239" s="44"/>
      <c r="AT239" s="44"/>
      <c r="AU239" s="44"/>
      <c r="AV239" s="44"/>
      <c r="AW239" s="44"/>
      <c r="AX239" s="44"/>
      <c r="AY239"/>
      <c r="AZ239"/>
      <c r="BA239"/>
      <c r="BB239"/>
      <c r="BC239"/>
      <c r="BD239"/>
      <c r="BE239"/>
      <c r="BF239"/>
      <c r="BG239"/>
      <c r="BH239"/>
      <c r="BI239"/>
      <c r="BJ239"/>
    </row>
    <row r="240" spans="1:62" x14ac:dyDescent="0.25">
      <c r="A240" s="44"/>
      <c r="B240" s="44"/>
      <c r="C240" s="44"/>
      <c r="D240" s="825"/>
      <c r="E240" s="44"/>
      <c r="F240" s="44"/>
      <c r="G240" s="44"/>
      <c r="H240" s="44"/>
      <c r="I240" s="44"/>
      <c r="J240" s="44"/>
      <c r="K240" s="44"/>
      <c r="L240" s="44"/>
      <c r="M240" s="44"/>
      <c r="N240" s="44"/>
      <c r="O240" s="269"/>
      <c r="P240" s="60"/>
      <c r="Q240" s="61"/>
      <c r="R240" s="64"/>
      <c r="S240" s="257"/>
      <c r="T240" s="80"/>
      <c r="U240" s="62"/>
      <c r="V240" s="270"/>
      <c r="W240" s="70"/>
      <c r="X240" s="70"/>
      <c r="Y240" s="44"/>
      <c r="Z240" s="44"/>
      <c r="AA240" s="44"/>
      <c r="AB240" s="44"/>
      <c r="AC240" s="44"/>
      <c r="AD240" s="44"/>
      <c r="AE240" s="44"/>
      <c r="AF240" s="44"/>
      <c r="AG240" s="44"/>
      <c r="AH240" s="44"/>
      <c r="AI240" s="44"/>
      <c r="AJ240" s="44"/>
      <c r="AK240" s="44"/>
      <c r="AL240" s="94"/>
      <c r="AM240" s="44"/>
      <c r="AN240" s="44"/>
      <c r="AO240" s="44"/>
      <c r="AP240" s="44"/>
      <c r="AQ240" s="44"/>
      <c r="AR240" s="44"/>
      <c r="AS240" s="44"/>
      <c r="AT240" s="44"/>
      <c r="AU240" s="44"/>
      <c r="AV240" s="44"/>
      <c r="AW240" s="44"/>
      <c r="AX240" s="44"/>
      <c r="AY240"/>
      <c r="AZ240"/>
      <c r="BA240"/>
      <c r="BB240"/>
      <c r="BC240"/>
      <c r="BD240"/>
      <c r="BE240"/>
      <c r="BF240"/>
      <c r="BG240"/>
      <c r="BH240"/>
      <c r="BI240"/>
      <c r="BJ240"/>
    </row>
    <row r="241" spans="1:62" x14ac:dyDescent="0.25">
      <c r="A241" s="44"/>
      <c r="B241" s="44"/>
      <c r="C241" s="44"/>
      <c r="D241" s="825"/>
      <c r="E241" s="44"/>
      <c r="F241" s="44"/>
      <c r="G241" s="44"/>
      <c r="H241" s="44"/>
      <c r="I241" s="44"/>
      <c r="J241" s="44"/>
      <c r="K241" s="44"/>
      <c r="L241" s="44"/>
      <c r="M241" s="44"/>
      <c r="N241" s="44"/>
      <c r="O241" s="269"/>
      <c r="P241" s="60"/>
      <c r="Q241" s="61"/>
      <c r="R241" s="1499" t="s">
        <v>1997</v>
      </c>
      <c r="S241" s="436">
        <f>steam_heat*distil_heat</f>
        <v>7436.5199999999995</v>
      </c>
      <c r="T241" s="226" t="s">
        <v>437</v>
      </c>
      <c r="U241" s="62"/>
      <c r="V241" s="270"/>
      <c r="W241" s="70"/>
      <c r="X241" s="70"/>
      <c r="Y241" s="44"/>
      <c r="Z241" s="44"/>
      <c r="AA241" s="44"/>
      <c r="AB241" s="44"/>
      <c r="AC241" s="44"/>
      <c r="AD241" s="44"/>
      <c r="AE241" s="44"/>
      <c r="AF241" s="44"/>
      <c r="AG241" s="44"/>
      <c r="AH241" s="44"/>
      <c r="AI241" s="44"/>
      <c r="AJ241" s="44"/>
      <c r="AK241" s="44"/>
      <c r="AL241" s="94"/>
      <c r="AM241" s="44"/>
      <c r="AN241" s="44"/>
      <c r="AO241" s="44"/>
      <c r="AP241" s="44"/>
      <c r="AQ241" s="44"/>
      <c r="AR241" s="44"/>
      <c r="AS241" s="44"/>
      <c r="AT241" s="44"/>
      <c r="AU241" s="44"/>
      <c r="AV241" s="44"/>
      <c r="AW241" s="44"/>
      <c r="AX241" s="44"/>
      <c r="AY241"/>
      <c r="AZ241"/>
      <c r="BA241"/>
      <c r="BB241"/>
      <c r="BC241"/>
      <c r="BD241"/>
      <c r="BE241"/>
      <c r="BF241"/>
      <c r="BG241"/>
      <c r="BH241"/>
      <c r="BI241"/>
      <c r="BJ241"/>
    </row>
    <row r="242" spans="1:62" x14ac:dyDescent="0.25">
      <c r="A242" s="44"/>
      <c r="B242" s="44"/>
      <c r="C242" s="44"/>
      <c r="D242" s="825"/>
      <c r="E242" s="44"/>
      <c r="F242" s="44"/>
      <c r="G242" s="44"/>
      <c r="H242" s="44"/>
      <c r="I242" s="44"/>
      <c r="J242" s="44"/>
      <c r="K242" s="44"/>
      <c r="L242" s="44"/>
      <c r="M242" s="44"/>
      <c r="N242" s="44"/>
      <c r="O242" s="269"/>
      <c r="P242" s="60"/>
      <c r="Q242" s="61"/>
      <c r="R242" s="64"/>
      <c r="S242" s="257"/>
      <c r="T242" s="80"/>
      <c r="U242" s="62"/>
      <c r="V242" s="270"/>
      <c r="W242" s="70"/>
      <c r="X242" s="70"/>
      <c r="Y242" s="44"/>
      <c r="Z242" s="44"/>
      <c r="AA242" s="44"/>
      <c r="AB242" s="44"/>
      <c r="AC242" s="44"/>
      <c r="AD242" s="44"/>
      <c r="AE242" s="44"/>
      <c r="AF242" s="44"/>
      <c r="AG242" s="44"/>
      <c r="AH242" s="44"/>
      <c r="AI242" s="44"/>
      <c r="AJ242" s="44"/>
      <c r="AK242" s="44"/>
      <c r="AL242" s="94"/>
      <c r="AM242" s="44"/>
      <c r="AN242" s="44"/>
      <c r="AO242" s="44"/>
      <c r="AP242" s="44"/>
      <c r="AQ242" s="44"/>
      <c r="AR242" s="44"/>
      <c r="AS242" s="44"/>
      <c r="AT242" s="44"/>
      <c r="AU242" s="44"/>
      <c r="AV242" s="44"/>
      <c r="AW242" s="44"/>
      <c r="AX242" s="44"/>
      <c r="AY242"/>
      <c r="AZ242"/>
      <c r="BA242"/>
      <c r="BB242"/>
      <c r="BC242"/>
      <c r="BD242"/>
      <c r="BE242"/>
      <c r="BF242"/>
      <c r="BG242"/>
      <c r="BH242"/>
      <c r="BI242"/>
      <c r="BJ242"/>
    </row>
    <row r="243" spans="1:62" x14ac:dyDescent="0.25">
      <c r="A243" s="44"/>
      <c r="B243" s="44"/>
      <c r="C243" s="44"/>
      <c r="D243" s="825"/>
      <c r="E243" s="44"/>
      <c r="F243" s="44"/>
      <c r="G243" s="44"/>
      <c r="H243" s="44"/>
      <c r="I243" s="44"/>
      <c r="J243" s="44"/>
      <c r="K243" s="44"/>
      <c r="L243" s="44"/>
      <c r="M243" s="44"/>
      <c r="N243" s="44"/>
      <c r="O243" s="269"/>
      <c r="P243" s="60"/>
      <c r="Q243" s="61"/>
      <c r="R243" s="1499" t="s">
        <v>1998</v>
      </c>
      <c r="S243" s="233">
        <f>distil_elec</f>
        <v>93.4</v>
      </c>
      <c r="T243" s="226" t="s">
        <v>548</v>
      </c>
      <c r="U243" s="62"/>
      <c r="V243" s="270"/>
      <c r="W243" s="70"/>
      <c r="X243" s="70"/>
      <c r="Y243" s="44"/>
      <c r="Z243" s="44"/>
      <c r="AA243" s="44"/>
      <c r="AB243" s="44"/>
      <c r="AC243" s="44"/>
      <c r="AD243" s="44"/>
      <c r="AE243" s="44"/>
      <c r="AF243" s="44"/>
      <c r="AG243" s="44"/>
      <c r="AH243" s="44"/>
      <c r="AI243" s="44"/>
      <c r="AJ243" s="44"/>
      <c r="AK243" s="44"/>
      <c r="AL243" s="94"/>
      <c r="AM243" s="44"/>
      <c r="AN243" s="44"/>
      <c r="AO243" s="44"/>
      <c r="AP243" s="44"/>
      <c r="AQ243" s="44"/>
      <c r="AR243" s="44"/>
      <c r="AS243" s="44"/>
      <c r="AT243" s="44"/>
      <c r="AU243" s="44"/>
      <c r="AV243" s="44"/>
      <c r="AW243" s="44"/>
      <c r="AX243" s="44"/>
      <c r="AY243"/>
      <c r="AZ243"/>
      <c r="BA243"/>
      <c r="BB243"/>
      <c r="BC243"/>
      <c r="BD243"/>
      <c r="BE243"/>
      <c r="BF243"/>
      <c r="BG243"/>
      <c r="BH243"/>
      <c r="BI243"/>
      <c r="BJ243"/>
    </row>
    <row r="244" spans="1:62" x14ac:dyDescent="0.25">
      <c r="A244" s="44"/>
      <c r="B244" s="44"/>
      <c r="C244" s="44"/>
      <c r="D244" s="825"/>
      <c r="E244" s="44"/>
      <c r="F244" s="44"/>
      <c r="G244" s="44"/>
      <c r="H244" s="44"/>
      <c r="I244" s="44"/>
      <c r="J244" s="44"/>
      <c r="K244" s="44"/>
      <c r="L244" s="44"/>
      <c r="M244" s="44"/>
      <c r="N244" s="44"/>
      <c r="O244" s="269"/>
      <c r="P244" s="60"/>
      <c r="Q244" s="61"/>
      <c r="R244" s="64"/>
      <c r="S244" s="61"/>
      <c r="T244" s="80"/>
      <c r="U244" s="62"/>
      <c r="V244" s="270"/>
      <c r="W244" s="70"/>
      <c r="X244" s="70"/>
      <c r="Y244" s="44"/>
      <c r="Z244" s="44"/>
      <c r="AA244" s="44"/>
      <c r="AB244" s="44"/>
      <c r="AC244" s="44"/>
      <c r="AD244" s="44"/>
      <c r="AE244" s="44"/>
      <c r="AF244" s="44"/>
      <c r="AG244" s="44"/>
      <c r="AH244" s="44"/>
      <c r="AI244" s="44"/>
      <c r="AJ244" s="44"/>
      <c r="AK244" s="44"/>
      <c r="AL244" s="94"/>
      <c r="AM244" s="44"/>
      <c r="AN244" s="44"/>
      <c r="AO244" s="44"/>
      <c r="AP244" s="44"/>
      <c r="AQ244" s="44"/>
      <c r="AR244" s="44"/>
      <c r="AS244" s="44"/>
      <c r="AT244" s="44"/>
      <c r="AU244" s="44"/>
      <c r="AV244" s="44"/>
      <c r="AW244" s="44"/>
      <c r="AX244" s="44"/>
      <c r="AY244"/>
      <c r="AZ244"/>
      <c r="BA244"/>
      <c r="BB244"/>
      <c r="BC244"/>
      <c r="BD244"/>
      <c r="BE244"/>
      <c r="BF244"/>
      <c r="BG244"/>
      <c r="BH244"/>
      <c r="BI244"/>
      <c r="BJ244"/>
    </row>
    <row r="245" spans="1:62" x14ac:dyDescent="0.25">
      <c r="A245" s="44"/>
      <c r="B245" s="44"/>
      <c r="C245" s="44"/>
      <c r="D245" s="825"/>
      <c r="E245" s="44"/>
      <c r="F245" s="44"/>
      <c r="G245" s="44"/>
      <c r="H245" s="44"/>
      <c r="I245" s="44"/>
      <c r="J245" s="44"/>
      <c r="K245" s="44"/>
      <c r="L245" s="44"/>
      <c r="M245" s="44"/>
      <c r="N245" s="44"/>
      <c r="O245" s="269"/>
      <c r="P245" s="60"/>
      <c r="Q245" s="61"/>
      <c r="R245" s="64" t="s">
        <v>163</v>
      </c>
      <c r="S245" s="127">
        <f>distil_loss</f>
        <v>0.6</v>
      </c>
      <c r="T245" s="80" t="s">
        <v>160</v>
      </c>
      <c r="U245" s="62"/>
      <c r="V245" s="270"/>
      <c r="W245" s="70"/>
      <c r="X245" s="70"/>
      <c r="Y245" s="44"/>
      <c r="Z245" s="44"/>
      <c r="AA245" s="44"/>
      <c r="AB245" s="44"/>
      <c r="AC245" s="44"/>
      <c r="AD245" s="44"/>
      <c r="AE245" s="44"/>
      <c r="AF245" s="44"/>
      <c r="AG245" s="44"/>
      <c r="AH245" s="44"/>
      <c r="AI245" s="44"/>
      <c r="AJ245" s="44"/>
      <c r="AK245" s="44"/>
      <c r="AL245" s="94"/>
      <c r="AM245" s="44"/>
      <c r="AN245" s="44"/>
      <c r="AO245" s="44"/>
      <c r="AP245" s="44"/>
      <c r="AQ245" s="44"/>
      <c r="AR245" s="44"/>
      <c r="AS245" s="44"/>
      <c r="AT245" s="44"/>
      <c r="AU245" s="44"/>
      <c r="AV245" s="44"/>
      <c r="AW245" s="44"/>
      <c r="AX245" s="44"/>
      <c r="AY245"/>
      <c r="AZ245"/>
      <c r="BA245"/>
      <c r="BB245"/>
      <c r="BC245"/>
      <c r="BD245"/>
      <c r="BE245"/>
      <c r="BF245"/>
      <c r="BG245"/>
      <c r="BH245"/>
      <c r="BI245"/>
      <c r="BJ245"/>
    </row>
    <row r="246" spans="1:62" ht="13.8" thickBot="1" x14ac:dyDescent="0.3">
      <c r="A246" s="44"/>
      <c r="B246" s="44"/>
      <c r="C246" s="44"/>
      <c r="D246" s="825"/>
      <c r="E246" s="44"/>
      <c r="F246" s="44"/>
      <c r="G246" s="44"/>
      <c r="H246" s="44"/>
      <c r="I246" s="44"/>
      <c r="J246" s="44"/>
      <c r="K246" s="44"/>
      <c r="L246" s="44"/>
      <c r="M246" s="44"/>
      <c r="N246" s="44"/>
      <c r="O246" s="269"/>
      <c r="P246" s="67"/>
      <c r="Q246" s="258"/>
      <c r="R246" s="259"/>
      <c r="S246" s="260"/>
      <c r="T246" s="68"/>
      <c r="U246" s="69"/>
      <c r="V246" s="270"/>
      <c r="W246" s="70"/>
      <c r="X246" s="70"/>
      <c r="Y246" s="44"/>
      <c r="Z246" s="44"/>
      <c r="AA246" s="44"/>
      <c r="AB246" s="44"/>
      <c r="AC246" s="44"/>
      <c r="AD246" s="44"/>
      <c r="AE246" s="44"/>
      <c r="AF246" s="44"/>
      <c r="AG246" s="44"/>
      <c r="AH246" s="44"/>
      <c r="AI246" s="44"/>
      <c r="AJ246" s="44"/>
      <c r="AK246" s="44"/>
      <c r="AL246" s="94"/>
      <c r="AM246" s="44"/>
      <c r="AN246" s="44"/>
      <c r="AO246" s="44"/>
      <c r="AP246" s="44"/>
      <c r="AQ246" s="44"/>
      <c r="AR246" s="44"/>
      <c r="AS246" s="44"/>
      <c r="AT246" s="44"/>
      <c r="AU246" s="44"/>
      <c r="AV246" s="44"/>
      <c r="AW246" s="44"/>
      <c r="AX246" s="44"/>
      <c r="AY246"/>
      <c r="AZ246"/>
      <c r="BA246"/>
      <c r="BB246"/>
      <c r="BC246"/>
      <c r="BD246"/>
      <c r="BE246"/>
      <c r="BF246"/>
      <c r="BG246"/>
      <c r="BH246"/>
      <c r="BI246"/>
      <c r="BJ246"/>
    </row>
    <row r="247" spans="1:62" x14ac:dyDescent="0.25">
      <c r="A247" s="44"/>
      <c r="B247" s="44"/>
      <c r="C247" s="44"/>
      <c r="D247" s="825"/>
      <c r="E247" s="44"/>
      <c r="F247" s="44"/>
      <c r="G247" s="44"/>
      <c r="H247" s="44"/>
      <c r="I247" s="44"/>
      <c r="J247" s="44"/>
      <c r="K247" s="44"/>
      <c r="L247" s="44"/>
      <c r="M247" s="44"/>
      <c r="N247" s="44"/>
      <c r="O247" s="269"/>
      <c r="P247" s="70"/>
      <c r="Q247" s="70"/>
      <c r="R247" s="70"/>
      <c r="S247" s="94"/>
      <c r="T247" s="70"/>
      <c r="U247" s="70"/>
      <c r="V247" s="270"/>
      <c r="W247" s="70"/>
      <c r="X247" s="70"/>
      <c r="Y247" s="44"/>
      <c r="Z247" s="44"/>
      <c r="AA247" s="44"/>
      <c r="AB247" s="87"/>
      <c r="AC247" s="44"/>
      <c r="AD247" s="44"/>
      <c r="AE247" s="44"/>
      <c r="AF247" s="44"/>
      <c r="AG247" s="44"/>
      <c r="AH247" s="44"/>
      <c r="AI247" s="44"/>
      <c r="AJ247" s="44"/>
      <c r="AK247" s="44"/>
      <c r="AL247" s="94"/>
      <c r="AM247" s="44"/>
      <c r="AN247" s="44"/>
      <c r="AO247" s="44"/>
      <c r="AP247" s="44"/>
      <c r="AQ247" s="44"/>
      <c r="AR247" s="44"/>
      <c r="AS247" s="44"/>
      <c r="AT247" s="44"/>
      <c r="AU247" s="44"/>
      <c r="AV247" s="44"/>
      <c r="AW247" s="44"/>
      <c r="AX247" s="44"/>
      <c r="AY247"/>
      <c r="AZ247"/>
      <c r="BA247"/>
      <c r="BB247"/>
      <c r="BC247"/>
      <c r="BD247"/>
      <c r="BE247"/>
      <c r="BF247"/>
      <c r="BG247"/>
      <c r="BH247"/>
      <c r="BI247"/>
      <c r="BJ247"/>
    </row>
    <row r="248" spans="1:62" x14ac:dyDescent="0.25">
      <c r="A248" s="44"/>
      <c r="B248" s="44"/>
      <c r="C248" s="44"/>
      <c r="D248" s="825"/>
      <c r="E248" s="44"/>
      <c r="F248" s="44"/>
      <c r="G248" s="44"/>
      <c r="H248" s="44"/>
      <c r="I248" s="44"/>
      <c r="J248" s="44"/>
      <c r="K248" s="44"/>
      <c r="L248" s="44"/>
      <c r="M248" s="44"/>
      <c r="N248" s="44"/>
      <c r="O248" s="269"/>
      <c r="P248" s="70"/>
      <c r="Q248" s="70"/>
      <c r="R248" s="70"/>
      <c r="S248" s="73"/>
      <c r="T248" s="74"/>
      <c r="U248" s="74"/>
      <c r="V248" s="274"/>
      <c r="W248" s="542"/>
      <c r="X248" s="74"/>
      <c r="Y248" s="74"/>
      <c r="Z248" s="74"/>
      <c r="AA248" s="74"/>
      <c r="AB248" s="417"/>
      <c r="AC248" s="44"/>
      <c r="AD248" s="44"/>
      <c r="AE248" s="44"/>
      <c r="AF248" s="44"/>
      <c r="AG248" s="44"/>
      <c r="AH248" s="44"/>
      <c r="AI248" s="44"/>
      <c r="AJ248" s="44"/>
      <c r="AK248" s="44"/>
      <c r="AL248" s="94"/>
      <c r="AM248" s="44"/>
      <c r="AN248" s="44"/>
      <c r="AO248" s="44"/>
      <c r="AP248" s="44"/>
      <c r="AQ248" s="44"/>
      <c r="AR248" s="44"/>
      <c r="AS248" s="44"/>
      <c r="AT248" s="44"/>
      <c r="AU248" s="44"/>
      <c r="AV248" s="44"/>
      <c r="AW248" s="44"/>
      <c r="AX248" s="44"/>
      <c r="AY248"/>
      <c r="AZ248"/>
      <c r="BA248"/>
      <c r="BB248"/>
      <c r="BC248"/>
      <c r="BD248"/>
      <c r="BE248"/>
      <c r="BF248"/>
      <c r="BG248"/>
      <c r="BH248"/>
      <c r="BI248"/>
      <c r="BJ248"/>
    </row>
    <row r="249" spans="1:62" x14ac:dyDescent="0.25">
      <c r="A249" s="44"/>
      <c r="B249" s="44"/>
      <c r="C249" s="44"/>
      <c r="D249" s="825"/>
      <c r="E249" s="44"/>
      <c r="F249" s="44"/>
      <c r="G249" s="44"/>
      <c r="H249" s="44"/>
      <c r="I249" s="44"/>
      <c r="J249" s="44"/>
      <c r="K249" s="44"/>
      <c r="L249" s="44"/>
      <c r="M249" s="44"/>
      <c r="N249" s="44"/>
      <c r="O249" s="269"/>
      <c r="P249" s="93"/>
      <c r="Q249" s="46"/>
      <c r="R249" s="46"/>
      <c r="S249" s="46"/>
      <c r="T249" s="46"/>
      <c r="U249" s="47"/>
      <c r="V249" s="270"/>
      <c r="W249" s="269"/>
      <c r="X249" s="70"/>
      <c r="Y249" s="44"/>
      <c r="Z249" s="44"/>
      <c r="AA249" s="44"/>
      <c r="AB249" s="234"/>
      <c r="AC249" s="46"/>
      <c r="AD249" s="47"/>
      <c r="AE249" s="44"/>
      <c r="AF249" s="44"/>
      <c r="AG249" s="44"/>
      <c r="AH249" s="44"/>
      <c r="AI249" s="44"/>
      <c r="AJ249" s="44"/>
      <c r="AK249" s="44"/>
      <c r="AL249" s="94"/>
      <c r="AM249" s="44"/>
      <c r="AN249" s="44"/>
      <c r="AO249" s="44"/>
      <c r="AP249" s="44"/>
      <c r="AQ249" s="44"/>
      <c r="AR249" s="44"/>
      <c r="AS249" s="44"/>
      <c r="AT249" s="44"/>
      <c r="AU249" s="44"/>
      <c r="AV249" s="44"/>
      <c r="AW249" s="44"/>
      <c r="AX249" s="44"/>
      <c r="AY249"/>
      <c r="AZ249"/>
      <c r="BA249"/>
      <c r="BB249"/>
      <c r="BC249"/>
      <c r="BD249"/>
      <c r="BE249"/>
      <c r="BF249"/>
      <c r="BG249"/>
      <c r="BH249"/>
      <c r="BI249"/>
      <c r="BJ249"/>
    </row>
    <row r="250" spans="1:62" x14ac:dyDescent="0.25">
      <c r="A250" s="44"/>
      <c r="B250" s="44"/>
      <c r="C250" s="44"/>
      <c r="D250" s="825"/>
      <c r="E250" s="44"/>
      <c r="F250" s="44"/>
      <c r="G250" s="44"/>
      <c r="H250" s="44"/>
      <c r="I250" s="44"/>
      <c r="J250" s="44"/>
      <c r="K250" s="44"/>
      <c r="L250" s="44"/>
      <c r="M250" s="44"/>
      <c r="N250" s="44"/>
      <c r="O250" s="269"/>
      <c r="P250" s="48"/>
      <c r="Q250" s="77"/>
      <c r="R250" s="77" t="s">
        <v>1760</v>
      </c>
      <c r="S250" s="1444">
        <f>S226*(100-S245)/100</f>
        <v>4.470709824E-2</v>
      </c>
      <c r="T250" s="925" t="s">
        <v>432</v>
      </c>
      <c r="U250" s="51"/>
      <c r="V250" s="270"/>
      <c r="W250" s="269"/>
      <c r="X250" s="70"/>
      <c r="Y250" s="44"/>
      <c r="Z250" s="44"/>
      <c r="AA250" s="44"/>
      <c r="AB250" s="520" t="s">
        <v>596</v>
      </c>
      <c r="AC250" s="275">
        <f>vol_ws</f>
        <v>10</v>
      </c>
      <c r="AD250" s="232" t="s">
        <v>597</v>
      </c>
      <c r="AE250" s="44"/>
      <c r="AF250" s="44"/>
      <c r="AG250" s="44"/>
      <c r="AH250" s="44"/>
      <c r="AI250" s="44"/>
      <c r="AJ250" s="44"/>
      <c r="AK250" s="44"/>
      <c r="AL250" s="94"/>
      <c r="AM250" s="44"/>
      <c r="AN250" s="44"/>
      <c r="AO250" s="44"/>
      <c r="AP250" s="44"/>
      <c r="AQ250" s="44"/>
      <c r="AR250" s="44"/>
      <c r="AS250" s="44"/>
      <c r="AT250" s="44"/>
      <c r="AU250" s="44"/>
      <c r="AV250" s="44"/>
      <c r="AW250" s="44"/>
      <c r="AX250" s="44"/>
      <c r="AY250"/>
      <c r="AZ250"/>
      <c r="BA250"/>
      <c r="BB250"/>
      <c r="BC250"/>
      <c r="BD250"/>
      <c r="BE250"/>
      <c r="BF250"/>
      <c r="BG250"/>
      <c r="BH250"/>
      <c r="BI250"/>
      <c r="BJ250"/>
    </row>
    <row r="251" spans="1:62" x14ac:dyDescent="0.25">
      <c r="A251" s="44"/>
      <c r="B251" s="44"/>
      <c r="C251" s="44"/>
      <c r="D251" s="825"/>
      <c r="E251" s="44"/>
      <c r="F251" s="44"/>
      <c r="G251" s="44"/>
      <c r="H251" s="44"/>
      <c r="I251" s="44"/>
      <c r="J251" s="44"/>
      <c r="K251" s="44"/>
      <c r="L251" s="44"/>
      <c r="M251" s="44"/>
      <c r="N251" s="44"/>
      <c r="O251" s="269"/>
      <c r="P251" s="48"/>
      <c r="Q251" s="49"/>
      <c r="R251" s="49"/>
      <c r="S251" s="49"/>
      <c r="T251" s="49"/>
      <c r="U251" s="51"/>
      <c r="V251" s="270"/>
      <c r="W251" s="269"/>
      <c r="X251" s="70"/>
      <c r="Y251" s="44"/>
      <c r="Z251" s="44"/>
      <c r="AA251" s="44"/>
      <c r="AB251" s="48"/>
      <c r="AC251" s="49"/>
      <c r="AD251" s="51"/>
      <c r="AE251" s="44"/>
      <c r="AF251" s="44"/>
      <c r="AG251" s="44"/>
      <c r="AH251" s="44"/>
      <c r="AI251" s="44"/>
      <c r="AJ251" s="44"/>
      <c r="AK251" s="44"/>
      <c r="AL251" s="94"/>
      <c r="AM251" s="44"/>
      <c r="AN251" s="44"/>
      <c r="AO251" s="44"/>
      <c r="AP251" s="44"/>
      <c r="AQ251" s="44"/>
      <c r="AR251" s="44"/>
      <c r="AS251" s="44"/>
      <c r="AT251" s="44"/>
      <c r="AU251" s="44"/>
      <c r="AV251" s="44"/>
      <c r="AW251" s="44"/>
      <c r="AX251" s="44"/>
      <c r="AY251"/>
      <c r="AZ251"/>
      <c r="BA251"/>
      <c r="BB251"/>
      <c r="BC251"/>
      <c r="BD251"/>
      <c r="BE251"/>
      <c r="BF251"/>
      <c r="BG251"/>
      <c r="BH251"/>
      <c r="BI251"/>
      <c r="BJ251"/>
    </row>
    <row r="252" spans="1:62" ht="15.6" x14ac:dyDescent="0.25">
      <c r="A252" s="44"/>
      <c r="B252" s="44"/>
      <c r="C252" s="44"/>
      <c r="D252" s="825"/>
      <c r="E252" s="44"/>
      <c r="F252" s="44"/>
      <c r="G252" s="44"/>
      <c r="H252" s="44"/>
      <c r="I252" s="44"/>
      <c r="J252" s="44"/>
      <c r="K252" s="44"/>
      <c r="L252" s="44"/>
      <c r="M252" s="44"/>
      <c r="N252" s="44"/>
      <c r="O252" s="269"/>
      <c r="P252" s="48"/>
      <c r="Q252" s="49"/>
      <c r="R252" s="77" t="s">
        <v>547</v>
      </c>
      <c r="S252" s="436">
        <f>S230*((100-AC250)/100)</f>
        <v>17.716535433070867</v>
      </c>
      <c r="T252" s="925" t="s">
        <v>1759</v>
      </c>
      <c r="U252" s="51"/>
      <c r="V252" s="270"/>
      <c r="W252" s="269"/>
      <c r="X252" s="70"/>
      <c r="Y252" s="70"/>
      <c r="Z252" s="70"/>
      <c r="AA252" s="44"/>
      <c r="AB252" s="520" t="s">
        <v>614</v>
      </c>
      <c r="AC252" s="78">
        <f>S226*S230*(AC250/100)</f>
        <v>8.853732283464566E-2</v>
      </c>
      <c r="AD252" s="232" t="s">
        <v>615</v>
      </c>
      <c r="AE252" s="44"/>
      <c r="AF252" s="44"/>
      <c r="AG252" s="44"/>
      <c r="AH252" s="44"/>
      <c r="AI252" s="44"/>
      <c r="AJ252" s="44"/>
      <c r="AK252" s="44"/>
      <c r="AL252" s="94"/>
      <c r="AM252" s="44"/>
      <c r="AN252" s="44"/>
      <c r="AO252" s="44"/>
      <c r="AP252" s="44"/>
      <c r="AQ252" s="44"/>
      <c r="AR252" s="44"/>
      <c r="AS252" s="44"/>
      <c r="AT252" s="44"/>
      <c r="AU252" s="44"/>
      <c r="AV252" s="44"/>
      <c r="AW252" s="44"/>
      <c r="AX252" s="44"/>
      <c r="AY252"/>
      <c r="AZ252"/>
      <c r="BA252"/>
      <c r="BB252"/>
      <c r="BC252"/>
      <c r="BD252"/>
      <c r="BE252"/>
      <c r="BF252"/>
      <c r="BG252"/>
      <c r="BH252"/>
      <c r="BI252"/>
      <c r="BJ252"/>
    </row>
    <row r="253" spans="1:62" x14ac:dyDescent="0.25">
      <c r="A253" s="44"/>
      <c r="B253" s="44"/>
      <c r="C253" s="44"/>
      <c r="D253" s="825"/>
      <c r="E253" s="44"/>
      <c r="F253" s="44"/>
      <c r="G253" s="44"/>
      <c r="H253" s="44"/>
      <c r="I253" s="44"/>
      <c r="J253" s="44"/>
      <c r="K253" s="44"/>
      <c r="L253" s="44"/>
      <c r="M253" s="44"/>
      <c r="N253" s="44"/>
      <c r="O253" s="269"/>
      <c r="P253" s="54"/>
      <c r="Q253" s="55"/>
      <c r="R253" s="55"/>
      <c r="S253" s="55"/>
      <c r="T253" s="55"/>
      <c r="U253" s="56"/>
      <c r="V253" s="270"/>
      <c r="W253" s="269"/>
      <c r="X253" s="70"/>
      <c r="Y253" s="277"/>
      <c r="Z253" s="44"/>
      <c r="AA253" s="44"/>
      <c r="AB253" s="48"/>
      <c r="AC253" s="49"/>
      <c r="AD253" s="51"/>
      <c r="AE253" s="44"/>
      <c r="AF253" s="44"/>
      <c r="AG253" s="44"/>
      <c r="AH253" s="44"/>
      <c r="AI253" s="44"/>
      <c r="AJ253" s="44"/>
      <c r="AK253" s="44"/>
      <c r="AL253" s="94"/>
      <c r="AM253" s="44"/>
      <c r="AN253" s="44"/>
      <c r="AO253" s="44"/>
      <c r="AP253" s="44"/>
      <c r="AQ253" s="44"/>
      <c r="AR253" s="44"/>
      <c r="AS253" s="44"/>
      <c r="AT253" s="44"/>
      <c r="AU253" s="44"/>
      <c r="AV253" s="44"/>
      <c r="AW253" s="44"/>
      <c r="AX253" s="44"/>
      <c r="AY253"/>
      <c r="AZ253"/>
      <c r="BA253"/>
      <c r="BB253"/>
      <c r="BC253"/>
      <c r="BD253"/>
      <c r="BE253"/>
      <c r="BF253"/>
      <c r="BG253"/>
      <c r="BH253"/>
      <c r="BI253"/>
      <c r="BJ253"/>
    </row>
    <row r="254" spans="1:62" x14ac:dyDescent="0.25">
      <c r="A254" s="44"/>
      <c r="B254" s="44"/>
      <c r="C254" s="44"/>
      <c r="D254" s="825"/>
      <c r="E254" s="44"/>
      <c r="F254" s="44"/>
      <c r="G254" s="44"/>
      <c r="H254" s="44"/>
      <c r="I254" s="44"/>
      <c r="J254" s="44"/>
      <c r="K254" s="44"/>
      <c r="L254" s="44"/>
      <c r="M254" s="44"/>
      <c r="N254" s="44"/>
      <c r="O254" s="269"/>
      <c r="P254" s="70"/>
      <c r="Q254" s="70"/>
      <c r="R254" s="70"/>
      <c r="S254" s="94"/>
      <c r="T254" s="70"/>
      <c r="U254" s="70"/>
      <c r="V254" s="270"/>
      <c r="W254" s="70"/>
      <c r="X254" s="70"/>
      <c r="Y254" s="44"/>
      <c r="Z254" s="44"/>
      <c r="AA254" s="44"/>
      <c r="AB254" s="1433" t="s">
        <v>1736</v>
      </c>
      <c r="AC254" s="1488">
        <f>moist_ws</f>
        <v>85</v>
      </c>
      <c r="AD254" s="232" t="s">
        <v>285</v>
      </c>
      <c r="AE254" s="44"/>
      <c r="AF254" s="44"/>
      <c r="AG254" s="44"/>
      <c r="AH254" s="44"/>
      <c r="AI254" s="44"/>
      <c r="AJ254" s="44"/>
      <c r="AK254" s="44"/>
      <c r="AL254" s="94"/>
      <c r="AM254" s="44"/>
      <c r="AN254" s="44"/>
      <c r="AO254" s="44"/>
      <c r="AP254" s="44"/>
      <c r="AQ254" s="44"/>
      <c r="AR254" s="44"/>
      <c r="AS254" s="44"/>
      <c r="AT254" s="44"/>
      <c r="AU254" s="44"/>
      <c r="AV254" s="44"/>
      <c r="AW254" s="44"/>
      <c r="AX254" s="44"/>
      <c r="AY254"/>
      <c r="AZ254"/>
      <c r="BA254"/>
      <c r="BB254"/>
      <c r="BC254"/>
      <c r="BD254"/>
      <c r="BE254"/>
      <c r="BF254"/>
      <c r="BG254"/>
      <c r="BH254"/>
      <c r="BI254"/>
      <c r="BJ254"/>
    </row>
    <row r="255" spans="1:62" x14ac:dyDescent="0.25">
      <c r="A255" s="44"/>
      <c r="B255" s="44"/>
      <c r="C255" s="44"/>
      <c r="D255" s="825"/>
      <c r="E255" s="44"/>
      <c r="F255" s="44"/>
      <c r="G255" s="44"/>
      <c r="H255" s="44"/>
      <c r="I255" s="44"/>
      <c r="J255" s="44"/>
      <c r="K255" s="44"/>
      <c r="L255" s="44"/>
      <c r="M255" s="44"/>
      <c r="N255" s="44"/>
      <c r="O255" s="269"/>
      <c r="P255" s="70"/>
      <c r="Q255" s="70"/>
      <c r="R255" s="70"/>
      <c r="S255" s="94"/>
      <c r="T255" s="70"/>
      <c r="U255" s="70"/>
      <c r="V255" s="270"/>
      <c r="W255" s="70"/>
      <c r="X255" s="70"/>
      <c r="Y255" s="44"/>
      <c r="Z255" s="44"/>
      <c r="AA255" s="44"/>
      <c r="AB255" s="510"/>
      <c r="AC255" s="1439"/>
      <c r="AD255" s="232"/>
      <c r="AE255" s="44"/>
      <c r="AF255" s="44"/>
      <c r="AG255" s="44"/>
      <c r="AH255" s="44"/>
      <c r="AI255" s="44"/>
      <c r="AJ255" s="44"/>
      <c r="AK255" s="44"/>
      <c r="AL255" s="94"/>
      <c r="AM255" s="44"/>
      <c r="AN255" s="44"/>
      <c r="AO255" s="44"/>
      <c r="AP255" s="44"/>
      <c r="AQ255" s="44"/>
      <c r="AR255" s="44"/>
      <c r="AS255" s="44"/>
      <c r="AT255" s="44"/>
      <c r="AU255" s="44"/>
      <c r="AV255" s="44"/>
      <c r="AW255" s="44"/>
      <c r="AX255" s="44"/>
      <c r="AY255"/>
      <c r="AZ255"/>
      <c r="BA255"/>
      <c r="BB255"/>
      <c r="BC255"/>
      <c r="BD255"/>
      <c r="BE255"/>
      <c r="BF255"/>
      <c r="BG255"/>
      <c r="BH255"/>
      <c r="BI255"/>
      <c r="BJ255"/>
    </row>
    <row r="256" spans="1:62" x14ac:dyDescent="0.25">
      <c r="A256" s="44"/>
      <c r="B256" s="44"/>
      <c r="C256" s="44"/>
      <c r="D256" s="825"/>
      <c r="E256" s="44"/>
      <c r="F256" s="44"/>
      <c r="G256" s="44"/>
      <c r="H256" s="44"/>
      <c r="I256" s="44"/>
      <c r="J256" s="44"/>
      <c r="K256" s="44"/>
      <c r="L256" s="44"/>
      <c r="M256" s="44"/>
      <c r="N256" s="44"/>
      <c r="O256" s="269"/>
      <c r="P256" s="70"/>
      <c r="Q256" s="70"/>
      <c r="R256" s="70"/>
      <c r="S256" s="94"/>
      <c r="T256" s="70"/>
      <c r="U256" s="70"/>
      <c r="V256" s="270"/>
      <c r="W256" s="70"/>
      <c r="X256" s="70"/>
      <c r="Y256" s="44"/>
      <c r="Z256" s="44"/>
      <c r="AA256" s="44"/>
      <c r="AB256" s="1433" t="s">
        <v>1735</v>
      </c>
      <c r="AC256" s="521">
        <f>AC252*100/(100-AC254)</f>
        <v>0.59024881889763781</v>
      </c>
      <c r="AD256" s="1427" t="s">
        <v>1730</v>
      </c>
      <c r="AE256" s="44"/>
      <c r="AF256" s="44"/>
      <c r="AG256" s="44"/>
      <c r="AH256" s="44"/>
      <c r="AI256" s="44"/>
      <c r="AJ256" s="44"/>
      <c r="AK256" s="44"/>
      <c r="AL256" s="94"/>
      <c r="AM256" s="44"/>
      <c r="AN256" s="44"/>
      <c r="AO256" s="44"/>
      <c r="AP256" s="44"/>
      <c r="AQ256" s="44"/>
      <c r="AR256" s="44"/>
      <c r="AS256" s="44"/>
      <c r="AT256" s="44"/>
      <c r="AU256" s="44"/>
      <c r="AV256" s="44"/>
      <c r="AW256" s="44"/>
      <c r="AX256" s="44"/>
      <c r="AY256"/>
      <c r="AZ256"/>
      <c r="BA256"/>
      <c r="BB256"/>
      <c r="BC256"/>
      <c r="BD256"/>
      <c r="BE256"/>
      <c r="BF256"/>
      <c r="BG256"/>
      <c r="BH256"/>
      <c r="BI256"/>
      <c r="BJ256"/>
    </row>
    <row r="257" spans="1:62" ht="13.8" thickBot="1" x14ac:dyDescent="0.3">
      <c r="A257" s="44"/>
      <c r="B257" s="44"/>
      <c r="C257" s="44"/>
      <c r="D257" s="825"/>
      <c r="E257" s="44"/>
      <c r="F257" s="44"/>
      <c r="G257" s="44"/>
      <c r="H257" s="44"/>
      <c r="I257" s="44"/>
      <c r="J257" s="44"/>
      <c r="K257" s="44"/>
      <c r="L257" s="44"/>
      <c r="M257" s="44"/>
      <c r="N257" s="44"/>
      <c r="O257" s="269"/>
      <c r="P257" s="70"/>
      <c r="Q257" s="70"/>
      <c r="R257" s="70"/>
      <c r="S257" s="94"/>
      <c r="T257" s="70"/>
      <c r="U257" s="70"/>
      <c r="V257" s="270"/>
      <c r="W257" s="70"/>
      <c r="X257" s="70"/>
      <c r="Y257" s="44"/>
      <c r="Z257" s="44"/>
      <c r="AA257" s="44"/>
      <c r="AB257" s="54"/>
      <c r="AC257" s="55"/>
      <c r="AD257" s="56"/>
      <c r="AE257" s="44"/>
      <c r="AF257" s="44"/>
      <c r="AG257" s="44"/>
      <c r="AH257" s="44"/>
      <c r="AI257" s="44"/>
      <c r="AJ257" s="44"/>
      <c r="AK257" s="44"/>
      <c r="AL257" s="94"/>
      <c r="AM257" s="44"/>
      <c r="AN257" s="44"/>
      <c r="AO257" s="44"/>
      <c r="AP257" s="44"/>
      <c r="AQ257" s="44"/>
      <c r="AR257" s="44"/>
      <c r="AS257" s="44"/>
      <c r="AT257" s="44"/>
      <c r="AU257" s="44"/>
      <c r="AV257" s="44"/>
      <c r="AW257" s="44"/>
      <c r="AX257" s="44"/>
      <c r="AY257"/>
      <c r="AZ257"/>
      <c r="BA257"/>
      <c r="BB257"/>
      <c r="BC257"/>
      <c r="BD257"/>
      <c r="BE257"/>
      <c r="BF257"/>
      <c r="BG257"/>
      <c r="BH257"/>
      <c r="BI257"/>
      <c r="BJ257"/>
    </row>
    <row r="258" spans="1:62" x14ac:dyDescent="0.25">
      <c r="A258" s="44"/>
      <c r="B258" s="44"/>
      <c r="C258" s="44"/>
      <c r="D258" s="825"/>
      <c r="E258" s="44"/>
      <c r="F258" s="44"/>
      <c r="G258" s="44"/>
      <c r="H258" s="44"/>
      <c r="I258" s="44"/>
      <c r="J258" s="44"/>
      <c r="K258" s="44"/>
      <c r="L258" s="44"/>
      <c r="M258" s="44"/>
      <c r="N258" s="44"/>
      <c r="O258" s="269"/>
      <c r="P258" s="236"/>
      <c r="Q258" s="58"/>
      <c r="R258" s="58"/>
      <c r="S258" s="58"/>
      <c r="T258" s="58"/>
      <c r="U258" s="59"/>
      <c r="V258" s="270"/>
      <c r="W258" s="70"/>
      <c r="X258" s="70"/>
      <c r="Y258" s="44"/>
      <c r="Z258" s="827"/>
      <c r="AA258" s="44"/>
      <c r="AB258" s="44"/>
      <c r="AC258" s="73"/>
      <c r="AD258" s="44"/>
      <c r="AE258" s="44"/>
      <c r="AF258" s="44"/>
      <c r="AG258" s="44"/>
      <c r="AH258" s="44"/>
      <c r="AI258" s="44"/>
      <c r="AJ258" s="44"/>
      <c r="AK258" s="44"/>
      <c r="AL258" s="94"/>
      <c r="AM258" s="44"/>
      <c r="AN258" s="44"/>
      <c r="AO258" s="44"/>
      <c r="AP258" s="44"/>
      <c r="AQ258" s="44"/>
      <c r="AR258" s="44"/>
      <c r="AS258" s="44"/>
      <c r="AT258" s="44"/>
      <c r="AU258" s="44"/>
      <c r="AV258" s="44"/>
      <c r="AW258" s="44"/>
      <c r="AX258" s="44"/>
      <c r="AY258"/>
      <c r="AZ258"/>
      <c r="BA258"/>
      <c r="BB258"/>
      <c r="BC258"/>
      <c r="BD258"/>
      <c r="BE258"/>
      <c r="BF258"/>
      <c r="BG258"/>
      <c r="BH258"/>
      <c r="BI258"/>
      <c r="BJ258"/>
    </row>
    <row r="259" spans="1:62" x14ac:dyDescent="0.25">
      <c r="A259" s="44"/>
      <c r="B259" s="44"/>
      <c r="C259" s="44"/>
      <c r="D259" s="825"/>
      <c r="E259" s="44"/>
      <c r="F259" s="44"/>
      <c r="G259" s="44"/>
      <c r="H259" s="44"/>
      <c r="I259" s="44"/>
      <c r="J259" s="44"/>
      <c r="K259" s="44"/>
      <c r="L259" s="44"/>
      <c r="M259" s="44"/>
      <c r="N259" s="44"/>
      <c r="O259" s="269"/>
      <c r="P259" s="1586" t="s">
        <v>1996</v>
      </c>
      <c r="Q259" s="1587"/>
      <c r="R259" s="1587"/>
      <c r="S259" s="1587"/>
      <c r="T259" s="1587"/>
      <c r="U259" s="1588"/>
      <c r="V259" s="270"/>
      <c r="W259" s="70"/>
      <c r="X259" s="424"/>
      <c r="Y259" s="425"/>
      <c r="Z259" s="426"/>
      <c r="AA259" s="44"/>
      <c r="AB259" s="424"/>
      <c r="AC259" s="425"/>
      <c r="AD259" s="426"/>
      <c r="AE259" s="44"/>
      <c r="AF259" s="44"/>
      <c r="AG259" s="44"/>
      <c r="AH259" s="44"/>
      <c r="AI259" s="44"/>
      <c r="AJ259" s="44"/>
      <c r="AK259" s="44"/>
      <c r="AL259" s="94"/>
      <c r="AM259" s="44"/>
      <c r="AN259" s="44"/>
      <c r="AO259" s="44"/>
      <c r="AP259" s="44"/>
      <c r="AQ259" s="44"/>
      <c r="AR259" s="44"/>
      <c r="AS259" s="44"/>
      <c r="AT259" s="44"/>
      <c r="AU259" s="44"/>
      <c r="AV259" s="44"/>
      <c r="AW259" s="44"/>
      <c r="AX259" s="44"/>
      <c r="AY259"/>
      <c r="AZ259"/>
      <c r="BA259"/>
      <c r="BB259"/>
      <c r="BC259"/>
      <c r="BD259"/>
      <c r="BE259"/>
      <c r="BF259"/>
      <c r="BG259"/>
      <c r="BH259"/>
      <c r="BI259"/>
      <c r="BJ259"/>
    </row>
    <row r="260" spans="1:62" x14ac:dyDescent="0.25">
      <c r="A260" s="44"/>
      <c r="B260" s="44"/>
      <c r="C260" s="44"/>
      <c r="D260" s="825"/>
      <c r="E260" s="44"/>
      <c r="F260" s="44"/>
      <c r="G260" s="44"/>
      <c r="H260" s="44"/>
      <c r="I260" s="44"/>
      <c r="J260" s="44"/>
      <c r="K260" s="44"/>
      <c r="L260" s="44"/>
      <c r="M260" s="44"/>
      <c r="N260" s="44"/>
      <c r="O260" s="269"/>
      <c r="P260" s="60"/>
      <c r="Q260" s="61"/>
      <c r="R260" s="61"/>
      <c r="S260" s="61"/>
      <c r="T260" s="61"/>
      <c r="U260" s="261"/>
      <c r="V260" s="270"/>
      <c r="W260" s="269"/>
      <c r="X260" s="550" t="s">
        <v>1731</v>
      </c>
      <c r="Y260" s="435">
        <f>J173</f>
        <v>1.4783471074380177</v>
      </c>
      <c r="Z260" s="429" t="s">
        <v>1732</v>
      </c>
      <c r="AA260" s="541"/>
      <c r="AB260" s="550" t="s">
        <v>1734</v>
      </c>
      <c r="AC260" s="435">
        <f>AC256+Y260</f>
        <v>2.0685959263356555</v>
      </c>
      <c r="AD260" s="429" t="s">
        <v>1710</v>
      </c>
      <c r="AE260" s="44"/>
      <c r="AF260" s="44"/>
      <c r="AG260" s="44"/>
      <c r="AH260" s="44"/>
      <c r="AI260" s="44"/>
      <c r="AJ260" s="44"/>
      <c r="AK260" s="44"/>
      <c r="AL260" s="94"/>
      <c r="AM260" s="44"/>
      <c r="AN260" s="44"/>
      <c r="AO260" s="44"/>
      <c r="AP260" s="44"/>
      <c r="AQ260" s="44"/>
      <c r="AR260" s="44"/>
      <c r="AS260" s="44"/>
      <c r="AT260" s="44"/>
      <c r="AU260" s="44"/>
      <c r="AV260" s="44"/>
      <c r="AW260" s="44"/>
      <c r="AX260" s="44"/>
      <c r="AY260"/>
      <c r="AZ260"/>
      <c r="BA260"/>
      <c r="BB260"/>
      <c r="BC260"/>
      <c r="BD260"/>
      <c r="BE260"/>
      <c r="BF260"/>
      <c r="BG260"/>
      <c r="BH260"/>
      <c r="BI260"/>
      <c r="BJ260"/>
    </row>
    <row r="261" spans="1:62" x14ac:dyDescent="0.25">
      <c r="A261" s="44"/>
      <c r="B261" s="44"/>
      <c r="C261" s="44"/>
      <c r="D261" s="825"/>
      <c r="E261" s="44"/>
      <c r="F261" s="44"/>
      <c r="G261" s="44"/>
      <c r="H261" s="44"/>
      <c r="I261" s="44"/>
      <c r="J261" s="44"/>
      <c r="K261" s="44"/>
      <c r="L261" s="44"/>
      <c r="M261" s="44"/>
      <c r="N261" s="44"/>
      <c r="O261" s="269"/>
      <c r="P261" s="60"/>
      <c r="Q261" s="61"/>
      <c r="R261" s="1507" t="s">
        <v>1999</v>
      </c>
      <c r="S261" s="507">
        <f>util_elec</f>
        <v>150.4</v>
      </c>
      <c r="T261" s="219" t="s">
        <v>548</v>
      </c>
      <c r="U261" s="62"/>
      <c r="V261" s="270"/>
      <c r="W261" s="269"/>
      <c r="X261" s="427"/>
      <c r="Y261" s="428"/>
      <c r="Z261" s="429"/>
      <c r="AA261" s="44"/>
      <c r="AB261" s="427"/>
      <c r="AC261" s="428"/>
      <c r="AD261" s="429"/>
      <c r="AE261" s="44"/>
      <c r="AF261" s="44"/>
      <c r="AG261" s="44"/>
      <c r="AH261" s="44"/>
      <c r="AI261" s="44"/>
      <c r="AJ261" s="44"/>
      <c r="AK261" s="44"/>
      <c r="AL261" s="94"/>
      <c r="AM261" s="44"/>
      <c r="AN261" s="44"/>
      <c r="AO261" s="44"/>
      <c r="AP261" s="44"/>
      <c r="AQ261" s="44"/>
      <c r="AR261" s="44"/>
      <c r="AS261" s="44"/>
      <c r="AT261" s="44"/>
      <c r="AU261" s="44"/>
      <c r="AV261" s="44"/>
      <c r="AW261" s="44"/>
      <c r="AX261" s="44"/>
      <c r="AY261"/>
      <c r="AZ261"/>
      <c r="BA261"/>
      <c r="BB261"/>
      <c r="BC261"/>
      <c r="BD261"/>
      <c r="BE261"/>
      <c r="BF261"/>
      <c r="BG261"/>
      <c r="BH261"/>
      <c r="BI261"/>
      <c r="BJ261"/>
    </row>
    <row r="262" spans="1:62" ht="13.8" thickBot="1" x14ac:dyDescent="0.3">
      <c r="A262" s="44"/>
      <c r="B262" s="44"/>
      <c r="C262" s="44"/>
      <c r="D262" s="825"/>
      <c r="E262" s="44"/>
      <c r="F262" s="44"/>
      <c r="G262" s="44"/>
      <c r="H262" s="44"/>
      <c r="I262" s="44"/>
      <c r="J262" s="44"/>
      <c r="K262" s="44"/>
      <c r="L262" s="44"/>
      <c r="M262" s="44"/>
      <c r="N262" s="44"/>
      <c r="O262" s="269"/>
      <c r="P262" s="67"/>
      <c r="Q262" s="258"/>
      <c r="R262" s="259"/>
      <c r="S262" s="276"/>
      <c r="T262" s="68"/>
      <c r="U262" s="69"/>
      <c r="V262" s="270"/>
      <c r="W262" s="269"/>
      <c r="X262" s="550" t="s">
        <v>1733</v>
      </c>
      <c r="Y262" s="522">
        <f>J175</f>
        <v>87.9</v>
      </c>
      <c r="Z262" s="429" t="s">
        <v>285</v>
      </c>
      <c r="AA262" s="44"/>
      <c r="AB262" s="550" t="s">
        <v>616</v>
      </c>
      <c r="AC262" s="1487">
        <f>((AC256*AC254)+(Y260*Y262))/AC260</f>
        <v>87.072520088137608</v>
      </c>
      <c r="AD262" s="429" t="s">
        <v>285</v>
      </c>
      <c r="AE262" s="44"/>
      <c r="AF262" s="44"/>
      <c r="AG262" s="44"/>
      <c r="AH262" s="44"/>
      <c r="AI262" s="44"/>
      <c r="AJ262" s="44"/>
      <c r="AK262" s="44"/>
      <c r="AL262" s="94"/>
      <c r="AM262" s="44"/>
      <c r="AN262" s="44"/>
      <c r="AO262" s="44"/>
      <c r="AP262" s="44"/>
      <c r="AQ262" s="44"/>
      <c r="AR262" s="44"/>
      <c r="AS262" s="44"/>
      <c r="AT262" s="44"/>
      <c r="AU262" s="44"/>
      <c r="AV262" s="44"/>
      <c r="AW262" s="44"/>
      <c r="AX262" s="44"/>
      <c r="AY262"/>
      <c r="AZ262"/>
      <c r="BA262"/>
      <c r="BB262"/>
      <c r="BC262"/>
      <c r="BD262"/>
      <c r="BE262"/>
      <c r="BF262"/>
      <c r="BG262"/>
      <c r="BH262"/>
      <c r="BI262"/>
      <c r="BJ262"/>
    </row>
    <row r="263" spans="1:62" x14ac:dyDescent="0.25">
      <c r="A263" s="44"/>
      <c r="B263" s="44"/>
      <c r="C263" s="44"/>
      <c r="D263" s="825"/>
      <c r="E263" s="44"/>
      <c r="F263" s="44"/>
      <c r="G263" s="44"/>
      <c r="H263" s="44"/>
      <c r="I263" s="44"/>
      <c r="J263" s="44"/>
      <c r="K263" s="44"/>
      <c r="L263" s="44"/>
      <c r="M263" s="44"/>
      <c r="N263" s="44"/>
      <c r="O263" s="269"/>
      <c r="P263" s="70"/>
      <c r="Q263" s="70"/>
      <c r="R263" s="91"/>
      <c r="S263" s="70"/>
      <c r="T263" s="70"/>
      <c r="U263" s="70"/>
      <c r="V263" s="270"/>
      <c r="W263" s="269"/>
      <c r="X263" s="430"/>
      <c r="Y263" s="431"/>
      <c r="Z263" s="432"/>
      <c r="AA263" s="44"/>
      <c r="AB263" s="430"/>
      <c r="AC263" s="431"/>
      <c r="AD263" s="432"/>
      <c r="AE263" s="44"/>
      <c r="AF263" s="44"/>
      <c r="AG263" s="44"/>
      <c r="AH263" s="44"/>
      <c r="AI263" s="44"/>
      <c r="AJ263" s="44"/>
      <c r="AK263" s="44"/>
      <c r="AL263" s="94"/>
      <c r="AM263" s="44"/>
      <c r="AN263" s="44"/>
      <c r="AO263" s="44"/>
      <c r="AP263" s="44"/>
      <c r="AQ263" s="44"/>
      <c r="AR263" s="44"/>
      <c r="AS263" s="44"/>
      <c r="AT263" s="44"/>
      <c r="AU263" s="44"/>
      <c r="AV263" s="44"/>
      <c r="AW263" s="44"/>
      <c r="AX263" s="44"/>
      <c r="AY263"/>
      <c r="AZ263"/>
      <c r="BA263"/>
      <c r="BB263"/>
      <c r="BC263"/>
      <c r="BD263"/>
      <c r="BE263"/>
      <c r="BF263"/>
      <c r="BG263"/>
      <c r="BH263"/>
      <c r="BI263"/>
      <c r="BJ263"/>
    </row>
    <row r="264" spans="1:62" ht="13.8" thickBot="1" x14ac:dyDescent="0.3">
      <c r="A264" s="44"/>
      <c r="B264" s="44"/>
      <c r="C264" s="44"/>
      <c r="D264" s="825"/>
      <c r="E264" s="44"/>
      <c r="F264" s="44"/>
      <c r="G264" s="44"/>
      <c r="H264" s="44"/>
      <c r="I264" s="44"/>
      <c r="J264" s="44"/>
      <c r="K264" s="44"/>
      <c r="L264" s="44"/>
      <c r="M264" s="44"/>
      <c r="N264" s="44"/>
      <c r="O264" s="269"/>
      <c r="P264" s="70"/>
      <c r="Q264" s="70"/>
      <c r="R264" s="57"/>
      <c r="S264" s="70"/>
      <c r="T264" s="70"/>
      <c r="U264" s="70"/>
      <c r="V264" s="270"/>
      <c r="W264" s="269"/>
      <c r="X264" s="70"/>
      <c r="Y264" s="75"/>
      <c r="Z264" s="44"/>
      <c r="AA264" s="44"/>
      <c r="AB264" s="551"/>
      <c r="AC264" s="44"/>
      <c r="AD264" s="44"/>
      <c r="AE264" s="44"/>
      <c r="AF264" s="44"/>
      <c r="AG264" s="44"/>
      <c r="AH264" s="44"/>
      <c r="AI264" s="44"/>
      <c r="AJ264" s="44"/>
      <c r="AK264" s="44"/>
      <c r="AL264" s="94"/>
      <c r="AM264" s="44"/>
      <c r="AN264" s="44"/>
      <c r="AO264" s="44"/>
      <c r="AP264" s="44"/>
      <c r="AQ264" s="44"/>
      <c r="AR264" s="44"/>
      <c r="AS264" s="44"/>
      <c r="AT264" s="44"/>
      <c r="AU264" s="44"/>
      <c r="AV264" s="44"/>
      <c r="AW264" s="44"/>
      <c r="AX264" s="44"/>
      <c r="AY264"/>
      <c r="AZ264"/>
      <c r="BA264"/>
      <c r="BB264"/>
      <c r="BC264"/>
      <c r="BD264"/>
      <c r="BE264"/>
      <c r="BF264"/>
      <c r="BG264"/>
      <c r="BH264"/>
      <c r="BI264"/>
      <c r="BJ264"/>
    </row>
    <row r="265" spans="1:62" x14ac:dyDescent="0.25">
      <c r="A265" s="44"/>
      <c r="B265" s="44"/>
      <c r="C265" s="44"/>
      <c r="D265" s="825"/>
      <c r="E265" s="44"/>
      <c r="F265" s="44"/>
      <c r="G265" s="44"/>
      <c r="H265" s="44"/>
      <c r="I265" s="44"/>
      <c r="J265" s="44"/>
      <c r="K265" s="44"/>
      <c r="L265" s="44"/>
      <c r="M265" s="44"/>
      <c r="N265" s="44"/>
      <c r="O265" s="269"/>
      <c r="P265" s="70"/>
      <c r="Q265" s="70"/>
      <c r="R265" s="57"/>
      <c r="S265" s="70"/>
      <c r="T265" s="70"/>
      <c r="U265" s="70"/>
      <c r="V265" s="270"/>
      <c r="W265" s="269"/>
      <c r="X265" s="70"/>
      <c r="Y265" s="57"/>
      <c r="Z265" s="44"/>
      <c r="AA265" s="44"/>
      <c r="AB265" s="254"/>
      <c r="AC265" s="58"/>
      <c r="AD265" s="59"/>
      <c r="AE265" s="44"/>
      <c r="AF265" s="44"/>
      <c r="AG265" s="44"/>
      <c r="AH265" s="44"/>
      <c r="AI265" s="44"/>
      <c r="AJ265" s="44"/>
      <c r="AK265" s="44"/>
      <c r="AL265" s="94"/>
      <c r="AM265" s="44"/>
      <c r="AN265" s="44"/>
      <c r="AO265" s="44"/>
      <c r="AP265" s="44"/>
      <c r="AQ265" s="44"/>
      <c r="AR265" s="44"/>
      <c r="AS265" s="44"/>
      <c r="AT265" s="44"/>
      <c r="AU265" s="44"/>
      <c r="AV265" s="44"/>
      <c r="AW265" s="44"/>
      <c r="AX265" s="44"/>
      <c r="AY265"/>
      <c r="AZ265"/>
      <c r="BA265"/>
      <c r="BB265"/>
      <c r="BC265"/>
      <c r="BD265"/>
      <c r="BE265"/>
      <c r="BF265"/>
      <c r="BG265"/>
      <c r="BH265"/>
      <c r="BI265"/>
      <c r="BJ265"/>
    </row>
    <row r="266" spans="1:62" x14ac:dyDescent="0.25">
      <c r="A266" s="44"/>
      <c r="B266" s="44"/>
      <c r="C266" s="44"/>
      <c r="D266" s="825"/>
      <c r="E266" s="44"/>
      <c r="F266" s="44"/>
      <c r="G266" s="44"/>
      <c r="H266" s="44"/>
      <c r="I266" s="44"/>
      <c r="J266" s="44"/>
      <c r="K266" s="44"/>
      <c r="L266" s="44"/>
      <c r="M266" s="44"/>
      <c r="N266" s="44"/>
      <c r="O266" s="269"/>
      <c r="P266" s="70"/>
      <c r="Q266" s="70"/>
      <c r="R266" s="57"/>
      <c r="S266" s="70"/>
      <c r="T266" s="70"/>
      <c r="U266" s="70"/>
      <c r="V266" s="270"/>
      <c r="W266" s="269"/>
      <c r="X266" s="70"/>
      <c r="Y266" s="57"/>
      <c r="Z266" s="44"/>
      <c r="AA266" s="44"/>
      <c r="AB266" s="1586" t="s">
        <v>1936</v>
      </c>
      <c r="AC266" s="1587"/>
      <c r="AD266" s="1588"/>
      <c r="AE266" s="44"/>
      <c r="AF266" s="44"/>
      <c r="AG266" s="44"/>
      <c r="AH266" s="44"/>
      <c r="AI266" s="44"/>
      <c r="AJ266" s="44"/>
      <c r="AK266" s="44"/>
      <c r="AL266" s="94"/>
      <c r="AM266" s="44"/>
      <c r="AN266" s="44"/>
      <c r="AO266" s="44"/>
      <c r="AP266" s="44"/>
      <c r="AQ266" s="44"/>
      <c r="AR266" s="44"/>
      <c r="AS266" s="44"/>
      <c r="AT266" s="44"/>
      <c r="AU266" s="44"/>
      <c r="AV266" s="44"/>
      <c r="AW266" s="44"/>
      <c r="AX266" s="44"/>
      <c r="AY266"/>
      <c r="AZ266"/>
      <c r="BA266"/>
      <c r="BB266"/>
      <c r="BC266"/>
      <c r="BD266"/>
      <c r="BE266"/>
      <c r="BF266"/>
      <c r="BG266"/>
      <c r="BH266"/>
      <c r="BI266"/>
      <c r="BJ266"/>
    </row>
    <row r="267" spans="1:62" ht="13.8" thickBot="1" x14ac:dyDescent="0.3">
      <c r="A267" s="44"/>
      <c r="B267" s="44"/>
      <c r="C267" s="44"/>
      <c r="D267" s="825"/>
      <c r="E267" s="44"/>
      <c r="F267" s="44"/>
      <c r="G267" s="44"/>
      <c r="H267" s="44"/>
      <c r="I267" s="44"/>
      <c r="J267" s="44"/>
      <c r="K267" s="44"/>
      <c r="L267" s="44"/>
      <c r="M267" s="44"/>
      <c r="N267" s="44"/>
      <c r="O267" s="269"/>
      <c r="P267" s="70"/>
      <c r="Q267" s="70"/>
      <c r="R267" s="70"/>
      <c r="S267" s="94"/>
      <c r="T267" s="70"/>
      <c r="U267" s="70"/>
      <c r="V267" s="270"/>
      <c r="W267" s="269"/>
      <c r="X267" s="70"/>
      <c r="Y267" s="57"/>
      <c r="Z267" s="44"/>
      <c r="AA267" s="44"/>
      <c r="AB267" s="60"/>
      <c r="AC267" s="80"/>
      <c r="AD267" s="62"/>
      <c r="AE267" s="44"/>
      <c r="AF267" s="44"/>
      <c r="AG267" s="547"/>
      <c r="AH267" s="44"/>
      <c r="AI267" s="44"/>
      <c r="AJ267" s="44"/>
      <c r="AK267" s="44"/>
      <c r="AL267" s="94"/>
      <c r="AM267" s="44"/>
      <c r="AN267" s="44"/>
      <c r="AO267" s="44"/>
      <c r="AP267" s="44"/>
      <c r="AQ267" s="44"/>
      <c r="AR267" s="44"/>
      <c r="AS267" s="44"/>
      <c r="AT267" s="44"/>
      <c r="AU267" s="44"/>
      <c r="AV267" s="44"/>
      <c r="AW267" s="44"/>
      <c r="AX267" s="44"/>
      <c r="AY267"/>
      <c r="AZ267"/>
      <c r="BA267"/>
      <c r="BB267"/>
      <c r="BC267"/>
      <c r="BD267"/>
      <c r="BE267"/>
      <c r="BF267"/>
      <c r="BG267"/>
      <c r="BH267"/>
      <c r="BI267"/>
      <c r="BJ267"/>
    </row>
    <row r="268" spans="1:62" x14ac:dyDescent="0.25">
      <c r="A268" s="44"/>
      <c r="B268" s="44"/>
      <c r="C268" s="44"/>
      <c r="D268" s="825"/>
      <c r="E268" s="44"/>
      <c r="F268" s="44"/>
      <c r="G268" s="44"/>
      <c r="H268" s="44"/>
      <c r="I268" s="44"/>
      <c r="J268" s="44"/>
      <c r="K268" s="44"/>
      <c r="L268" s="44"/>
      <c r="M268" s="44"/>
      <c r="N268" s="44"/>
      <c r="O268" s="267"/>
      <c r="P268" s="267"/>
      <c r="Q268" s="267"/>
      <c r="R268" s="267"/>
      <c r="S268" s="272"/>
      <c r="T268" s="267"/>
      <c r="U268" s="267"/>
      <c r="V268" s="267"/>
      <c r="W268" s="70"/>
      <c r="X268" s="70"/>
      <c r="Y268" s="57"/>
      <c r="Z268" s="44"/>
      <c r="AA268" s="44"/>
      <c r="AB268" s="1508" t="s">
        <v>1937</v>
      </c>
      <c r="AC268" s="110">
        <f>((AC260*AC262/100)-(AC275*AC277/100))*1000*h_req_ws*steam_heat/S294</f>
        <v>0</v>
      </c>
      <c r="AD268" s="230" t="s">
        <v>437</v>
      </c>
      <c r="AE268" s="224"/>
      <c r="AF268" s="75"/>
      <c r="AG268" s="548" t="s">
        <v>287</v>
      </c>
      <c r="AH268" s="44"/>
      <c r="AI268" s="44"/>
      <c r="AJ268" s="44"/>
      <c r="AK268" s="44"/>
      <c r="AL268" s="94"/>
      <c r="AM268" s="44"/>
      <c r="AN268" s="44"/>
      <c r="AO268" s="44"/>
      <c r="AP268" s="44"/>
      <c r="AQ268" s="44"/>
      <c r="AR268" s="44"/>
      <c r="AS268" s="44"/>
      <c r="AT268" s="44"/>
      <c r="AU268" s="44"/>
      <c r="AV268" s="44"/>
      <c r="AW268" s="44"/>
      <c r="AX268" s="44"/>
      <c r="AY268"/>
      <c r="AZ268"/>
      <c r="BA268"/>
      <c r="BB268"/>
      <c r="BC268"/>
      <c r="BD268"/>
      <c r="BE268"/>
      <c r="BF268"/>
      <c r="BG268"/>
      <c r="BH268"/>
      <c r="BI268"/>
      <c r="BJ268"/>
    </row>
    <row r="269" spans="1:62" x14ac:dyDescent="0.25">
      <c r="A269" s="44"/>
      <c r="B269" s="44"/>
      <c r="C269" s="44"/>
      <c r="D269" s="825"/>
      <c r="E269" s="44"/>
      <c r="F269" s="44"/>
      <c r="G269" s="44"/>
      <c r="H269" s="44"/>
      <c r="I269" s="44"/>
      <c r="J269" s="44"/>
      <c r="K269" s="44"/>
      <c r="L269" s="44"/>
      <c r="M269" s="44"/>
      <c r="N269" s="44"/>
      <c r="O269" s="70"/>
      <c r="P269" s="70"/>
      <c r="Q269" s="70"/>
      <c r="R269" s="70"/>
      <c r="S269" s="94"/>
      <c r="T269" s="70"/>
      <c r="U269" s="70"/>
      <c r="V269" s="70"/>
      <c r="W269" s="70"/>
      <c r="X269" s="70"/>
      <c r="Y269" s="57"/>
      <c r="Z269" s="44"/>
      <c r="AA269" s="44"/>
      <c r="AB269" s="248"/>
      <c r="AC269" s="80"/>
      <c r="AD269" s="62"/>
      <c r="AE269" s="44"/>
      <c r="AF269" s="44"/>
      <c r="AG269" s="546"/>
      <c r="AH269" s="44"/>
      <c r="AI269" s="44"/>
      <c r="AJ269" s="44"/>
      <c r="AK269" s="44"/>
      <c r="AL269" s="94"/>
      <c r="AM269" s="44"/>
      <c r="AN269" s="44"/>
      <c r="AO269" s="44"/>
      <c r="AP269" s="44"/>
      <c r="AQ269" s="44"/>
      <c r="AR269" s="44"/>
      <c r="AS269" s="44"/>
      <c r="AT269" s="44"/>
      <c r="AU269" s="44"/>
      <c r="AV269" s="44"/>
      <c r="AW269" s="44"/>
      <c r="AX269" s="44"/>
      <c r="AY269"/>
      <c r="AZ269"/>
      <c r="BA269"/>
      <c r="BB269"/>
      <c r="BC269"/>
      <c r="BD269"/>
      <c r="BE269"/>
      <c r="BF269"/>
      <c r="BG269"/>
      <c r="BH269"/>
      <c r="BI269"/>
      <c r="BJ269"/>
    </row>
    <row r="270" spans="1:62" x14ac:dyDescent="0.25">
      <c r="A270" s="44"/>
      <c r="B270" s="44"/>
      <c r="C270" s="44"/>
      <c r="D270" s="825"/>
      <c r="E270" s="44"/>
      <c r="F270" s="44"/>
      <c r="G270" s="44"/>
      <c r="H270" s="44"/>
      <c r="I270" s="44"/>
      <c r="J270" s="44"/>
      <c r="K270" s="44"/>
      <c r="L270" s="44"/>
      <c r="M270" s="44"/>
      <c r="N270" s="44"/>
      <c r="O270" s="70"/>
      <c r="P270" s="70"/>
      <c r="Q270" s="70"/>
      <c r="R270" s="70"/>
      <c r="S270" s="94"/>
      <c r="T270" s="70"/>
      <c r="U270" s="70"/>
      <c r="V270" s="70"/>
      <c r="W270" s="70"/>
      <c r="X270" s="70"/>
      <c r="Y270" s="57"/>
      <c r="Z270" s="44"/>
      <c r="AA270" s="44"/>
      <c r="AB270" s="1508" t="s">
        <v>1938</v>
      </c>
      <c r="AC270" s="110">
        <f>((AC260*AC262/100)-(AC275*AC277/100))*1000*e_req_ws/S294</f>
        <v>115.12107818702619</v>
      </c>
      <c r="AD270" s="230" t="s">
        <v>548</v>
      </c>
      <c r="AE270" s="434"/>
      <c r="AF270" s="434"/>
      <c r="AG270" s="549"/>
      <c r="AH270" s="44"/>
      <c r="AI270" s="44"/>
      <c r="AJ270" s="44"/>
      <c r="AK270" s="44"/>
      <c r="AL270" s="94"/>
      <c r="AM270" s="44"/>
      <c r="AN270" s="44"/>
      <c r="AO270" s="44"/>
      <c r="AP270" s="44"/>
      <c r="AQ270" s="44"/>
      <c r="AR270" s="44"/>
      <c r="AS270" s="44"/>
      <c r="AT270" s="44"/>
      <c r="AU270" s="44"/>
      <c r="AV270" s="44"/>
      <c r="AW270" s="44"/>
      <c r="AX270" s="44"/>
      <c r="AY270"/>
      <c r="AZ270"/>
      <c r="BA270"/>
      <c r="BB270"/>
      <c r="BC270"/>
      <c r="BD270"/>
      <c r="BE270"/>
      <c r="BF270"/>
      <c r="BG270"/>
      <c r="BH270"/>
      <c r="BI270"/>
      <c r="BJ270"/>
    </row>
    <row r="271" spans="1:62" ht="13.8" thickBot="1" x14ac:dyDescent="0.3">
      <c r="A271" s="44"/>
      <c r="B271" s="44"/>
      <c r="C271" s="44"/>
      <c r="D271" s="825"/>
      <c r="E271" s="44"/>
      <c r="F271" s="44"/>
      <c r="G271" s="44"/>
      <c r="H271" s="44"/>
      <c r="I271" s="44"/>
      <c r="J271" s="44"/>
      <c r="K271" s="44"/>
      <c r="L271" s="44"/>
      <c r="M271" s="44"/>
      <c r="N271" s="44"/>
      <c r="O271" s="70"/>
      <c r="P271" s="70"/>
      <c r="Q271" s="70"/>
      <c r="R271" s="70"/>
      <c r="S271" s="94"/>
      <c r="T271" s="70"/>
      <c r="U271" s="70"/>
      <c r="V271" s="70"/>
      <c r="W271" s="70"/>
      <c r="X271" s="70"/>
      <c r="Y271" s="57"/>
      <c r="Z271" s="44"/>
      <c r="AA271" s="44"/>
      <c r="AB271" s="67"/>
      <c r="AC271" s="68"/>
      <c r="AD271" s="69"/>
      <c r="AE271" s="544"/>
      <c r="AF271" s="545"/>
      <c r="AG271" s="545"/>
      <c r="AH271" s="44"/>
      <c r="AI271" s="44"/>
      <c r="AJ271" s="44"/>
      <c r="AK271" s="44"/>
      <c r="AL271" s="94"/>
      <c r="AM271" s="44"/>
      <c r="AN271" s="44"/>
      <c r="AO271" s="44"/>
      <c r="AP271" s="44"/>
      <c r="AQ271" s="44"/>
      <c r="AR271" s="44"/>
      <c r="AS271" s="44"/>
      <c r="AT271" s="44"/>
      <c r="AU271" s="44"/>
      <c r="AV271" s="44"/>
      <c r="AW271" s="44"/>
      <c r="AX271" s="44"/>
      <c r="AY271"/>
      <c r="AZ271"/>
      <c r="BA271"/>
      <c r="BB271"/>
      <c r="BC271"/>
      <c r="BD271"/>
      <c r="BE271"/>
      <c r="BF271"/>
      <c r="BG271"/>
      <c r="BH271"/>
      <c r="BI271"/>
      <c r="BJ271"/>
    </row>
    <row r="272" spans="1:62" x14ac:dyDescent="0.25">
      <c r="A272" s="44"/>
      <c r="B272" s="44"/>
      <c r="C272" s="44"/>
      <c r="D272" s="825"/>
      <c r="E272" s="44"/>
      <c r="F272" s="44"/>
      <c r="G272" s="44"/>
      <c r="H272" s="44"/>
      <c r="I272" s="44"/>
      <c r="J272" s="44"/>
      <c r="K272" s="44"/>
      <c r="L272" s="44"/>
      <c r="M272" s="44"/>
      <c r="N272" s="44"/>
      <c r="O272" s="70"/>
      <c r="P272" s="70"/>
      <c r="Q272" s="70"/>
      <c r="R272" s="70"/>
      <c r="S272" s="94"/>
      <c r="T272" s="70"/>
      <c r="U272" s="70"/>
      <c r="V272" s="70"/>
      <c r="W272" s="70"/>
      <c r="X272" s="70"/>
      <c r="Y272" s="57"/>
      <c r="Z272" s="44"/>
      <c r="AA272" s="44"/>
      <c r="AB272" s="57"/>
      <c r="AC272" s="225"/>
      <c r="AD272" s="44"/>
      <c r="AE272" s="545"/>
      <c r="AF272" s="545"/>
      <c r="AG272" s="545"/>
      <c r="AH272" s="44"/>
      <c r="AI272" s="44"/>
      <c r="AJ272" s="44"/>
      <c r="AK272" s="44"/>
      <c r="AL272" s="94"/>
      <c r="AM272" s="44"/>
      <c r="AN272" s="44"/>
      <c r="AO272" s="44"/>
      <c r="AP272" s="44"/>
      <c r="AQ272" s="44"/>
      <c r="AR272" s="44"/>
      <c r="AS272" s="44"/>
      <c r="AT272" s="44"/>
      <c r="AU272" s="44"/>
      <c r="AV272" s="44"/>
      <c r="AW272" s="44"/>
      <c r="AX272" s="44"/>
      <c r="AY272"/>
      <c r="AZ272"/>
      <c r="BA272"/>
      <c r="BB272"/>
      <c r="BC272"/>
      <c r="BD272"/>
      <c r="BE272"/>
      <c r="BF272"/>
      <c r="BG272"/>
      <c r="BH272"/>
      <c r="BI272"/>
      <c r="BJ272"/>
    </row>
    <row r="273" spans="1:62" x14ac:dyDescent="0.25">
      <c r="A273" s="44"/>
      <c r="B273" s="44"/>
      <c r="C273" s="44"/>
      <c r="D273" s="825"/>
      <c r="E273" s="44"/>
      <c r="F273" s="44"/>
      <c r="G273" s="44"/>
      <c r="H273" s="44"/>
      <c r="I273" s="44"/>
      <c r="J273" s="44"/>
      <c r="K273" s="44"/>
      <c r="L273" s="44"/>
      <c r="M273" s="44"/>
      <c r="N273" s="44"/>
      <c r="O273" s="70"/>
      <c r="P273" s="70"/>
      <c r="Q273" s="70"/>
      <c r="R273" s="70"/>
      <c r="S273" s="94"/>
      <c r="T273" s="70"/>
      <c r="U273" s="70"/>
      <c r="V273" s="70"/>
      <c r="W273" s="70"/>
      <c r="X273" s="70"/>
      <c r="Y273" s="57"/>
      <c r="Z273" s="44"/>
      <c r="AA273" s="44"/>
      <c r="AB273" s="44"/>
      <c r="AC273" s="94"/>
      <c r="AD273" s="44"/>
      <c r="AE273" s="434"/>
      <c r="AF273" s="434"/>
      <c r="AG273" s="70"/>
      <c r="AH273" s="70"/>
      <c r="AI273" s="70"/>
      <c r="AJ273" s="70"/>
      <c r="AK273" s="70"/>
      <c r="AL273" s="94"/>
      <c r="AM273" s="44"/>
      <c r="AN273" s="44"/>
      <c r="AO273" s="44"/>
      <c r="AP273" s="44"/>
      <c r="AQ273" s="44"/>
      <c r="AR273" s="44"/>
      <c r="AS273" s="44"/>
      <c r="AT273" s="44"/>
      <c r="AU273" s="44"/>
      <c r="AV273" s="44"/>
      <c r="AW273" s="44"/>
      <c r="AX273" s="44"/>
      <c r="AY273"/>
      <c r="AZ273"/>
      <c r="BA273"/>
      <c r="BB273"/>
      <c r="BC273"/>
      <c r="BD273"/>
      <c r="BE273"/>
      <c r="BF273"/>
      <c r="BG273"/>
      <c r="BH273"/>
      <c r="BI273"/>
      <c r="BJ273"/>
    </row>
    <row r="274" spans="1:62" x14ac:dyDescent="0.25">
      <c r="A274" s="44"/>
      <c r="B274" s="44"/>
      <c r="C274" s="44"/>
      <c r="D274" s="825"/>
      <c r="E274" s="44"/>
      <c r="F274" s="44"/>
      <c r="G274" s="44"/>
      <c r="H274" s="44"/>
      <c r="I274" s="44"/>
      <c r="J274" s="44"/>
      <c r="K274" s="44"/>
      <c r="L274" s="44"/>
      <c r="M274" s="44"/>
      <c r="N274" s="44"/>
      <c r="O274" s="70"/>
      <c r="P274" s="70"/>
      <c r="Q274" s="70"/>
      <c r="R274" s="70"/>
      <c r="S274" s="94"/>
      <c r="T274" s="70"/>
      <c r="U274" s="70"/>
      <c r="V274" s="70"/>
      <c r="W274" s="70"/>
      <c r="X274" s="70"/>
      <c r="Y274" s="57"/>
      <c r="Z274" s="44"/>
      <c r="AA274" s="44"/>
      <c r="AB274" s="252"/>
      <c r="AC274" s="46"/>
      <c r="AD274" s="47"/>
      <c r="AE274" s="70"/>
      <c r="AF274" s="70"/>
      <c r="AG274" s="70"/>
      <c r="AH274" s="70"/>
      <c r="AI274" s="70"/>
      <c r="AJ274" s="70"/>
      <c r="AK274" s="70"/>
      <c r="AL274" s="94"/>
      <c r="AM274" s="44"/>
      <c r="AN274" s="44"/>
      <c r="AO274" s="44"/>
      <c r="AP274" s="44"/>
      <c r="AQ274" s="44"/>
      <c r="AR274" s="44"/>
      <c r="AS274" s="44"/>
      <c r="AT274" s="44"/>
      <c r="AU274" s="44"/>
      <c r="AV274" s="44"/>
      <c r="AW274" s="44"/>
      <c r="AX274" s="44"/>
      <c r="AY274"/>
      <c r="AZ274"/>
      <c r="BA274"/>
      <c r="BB274"/>
      <c r="BC274"/>
      <c r="BD274"/>
      <c r="BE274"/>
      <c r="BF274"/>
      <c r="BG274"/>
      <c r="BH274"/>
      <c r="BI274"/>
      <c r="BJ274"/>
    </row>
    <row r="275" spans="1:62" x14ac:dyDescent="0.25">
      <c r="A275" s="44"/>
      <c r="B275" s="44"/>
      <c r="C275" s="44"/>
      <c r="D275" s="825"/>
      <c r="E275" s="44"/>
      <c r="F275" s="44"/>
      <c r="G275" s="44"/>
      <c r="H275" s="44"/>
      <c r="I275" s="44"/>
      <c r="J275" s="44"/>
      <c r="K275" s="44"/>
      <c r="L275" s="44"/>
      <c r="M275" s="44"/>
      <c r="N275" s="44"/>
      <c r="O275" s="70"/>
      <c r="P275" s="70"/>
      <c r="Q275" s="70"/>
      <c r="R275" s="57"/>
      <c r="S275" s="70"/>
      <c r="T275" s="70"/>
      <c r="U275" s="70"/>
      <c r="V275" s="70"/>
      <c r="W275" s="70"/>
      <c r="X275" s="70"/>
      <c r="Y275" s="57"/>
      <c r="Z275" s="44"/>
      <c r="AA275" s="44"/>
      <c r="AB275" s="885" t="s">
        <v>1941</v>
      </c>
      <c r="AC275" s="78">
        <f>AC260*((100-AC262)/(100-AC277))</f>
        <v>0.60229126764559826</v>
      </c>
      <c r="AD275" s="1427" t="s">
        <v>1711</v>
      </c>
      <c r="AE275" s="74"/>
      <c r="AF275" s="74"/>
      <c r="AG275" s="74"/>
      <c r="AH275" s="74"/>
      <c r="AI275" s="74"/>
      <c r="AJ275" s="74"/>
      <c r="AK275" s="74"/>
      <c r="AL275" s="94"/>
      <c r="AM275" s="44"/>
      <c r="AN275" s="44"/>
      <c r="AO275" s="44"/>
      <c r="AP275" s="44"/>
      <c r="AQ275" s="44"/>
      <c r="AR275" s="44"/>
      <c r="AS275" s="44"/>
      <c r="AT275" s="44"/>
      <c r="AU275" s="44"/>
      <c r="AV275" s="44"/>
      <c r="AW275" s="44"/>
      <c r="AX275" s="44"/>
      <c r="AY275"/>
      <c r="AZ275"/>
      <c r="BA275"/>
      <c r="BB275"/>
      <c r="BC275"/>
      <c r="BD275"/>
      <c r="BE275"/>
      <c r="BF275"/>
      <c r="BG275"/>
      <c r="BH275"/>
      <c r="BI275"/>
      <c r="BJ275"/>
    </row>
    <row r="276" spans="1:62" x14ac:dyDescent="0.25">
      <c r="A276" s="44"/>
      <c r="B276" s="44"/>
      <c r="C276" s="44"/>
      <c r="D276" s="825"/>
      <c r="E276" s="44"/>
      <c r="F276" s="44"/>
      <c r="G276" s="44"/>
      <c r="H276" s="44"/>
      <c r="I276" s="44"/>
      <c r="J276" s="44"/>
      <c r="K276" s="44"/>
      <c r="L276" s="44"/>
      <c r="M276" s="44"/>
      <c r="N276" s="44"/>
      <c r="O276" s="70"/>
      <c r="P276" s="70"/>
      <c r="Q276" s="70"/>
      <c r="R276" s="57"/>
      <c r="S276" s="70"/>
      <c r="T276" s="70"/>
      <c r="U276" s="70"/>
      <c r="V276" s="70"/>
      <c r="W276" s="70"/>
      <c r="X276" s="70"/>
      <c r="Y276" s="57"/>
      <c r="Z276" s="44"/>
      <c r="AA276" s="44"/>
      <c r="AB276" s="76"/>
      <c r="AC276" s="49"/>
      <c r="AD276" s="51"/>
      <c r="AE276" s="70"/>
      <c r="AF276" s="70"/>
      <c r="AG276" s="70"/>
      <c r="AH276" s="70"/>
      <c r="AI276" s="70"/>
      <c r="AJ276" s="70"/>
      <c r="AK276" s="70"/>
      <c r="AL276" s="94"/>
      <c r="AM276" s="44"/>
      <c r="AN276" s="44"/>
      <c r="AO276" s="44"/>
      <c r="AP276" s="44"/>
      <c r="AQ276" s="44"/>
      <c r="AR276" s="44"/>
      <c r="AS276" s="44"/>
      <c r="AT276" s="44"/>
      <c r="AU276" s="44"/>
      <c r="AV276" s="44"/>
      <c r="AW276" s="44"/>
      <c r="AX276" s="44"/>
      <c r="AY276"/>
      <c r="AZ276"/>
      <c r="BA276"/>
      <c r="BB276"/>
      <c r="BC276"/>
      <c r="BD276"/>
      <c r="BE276"/>
      <c r="BF276"/>
      <c r="BG276"/>
      <c r="BH276"/>
      <c r="BI276"/>
      <c r="BJ276"/>
    </row>
    <row r="277" spans="1:62" x14ac:dyDescent="0.25">
      <c r="A277" s="44"/>
      <c r="B277" s="44"/>
      <c r="C277" s="44"/>
      <c r="D277" s="825"/>
      <c r="E277" s="44"/>
      <c r="F277" s="44"/>
      <c r="G277" s="44"/>
      <c r="H277" s="44"/>
      <c r="I277" s="44"/>
      <c r="J277" s="44"/>
      <c r="K277" s="44"/>
      <c r="L277" s="44"/>
      <c r="M277" s="44"/>
      <c r="N277" s="44"/>
      <c r="O277" s="70"/>
      <c r="P277" s="70"/>
      <c r="Q277" s="70"/>
      <c r="R277" s="57"/>
      <c r="S277" s="70"/>
      <c r="T277" s="70"/>
      <c r="U277" s="70"/>
      <c r="V277" s="70"/>
      <c r="W277" s="70"/>
      <c r="X277" s="70"/>
      <c r="Y277" s="57"/>
      <c r="Z277" s="44"/>
      <c r="AA277" s="44"/>
      <c r="AB277" s="885" t="s">
        <v>1942</v>
      </c>
      <c r="AC277" s="275">
        <f>moist_dry_feed</f>
        <v>55.6</v>
      </c>
      <c r="AD277" s="232" t="s">
        <v>285</v>
      </c>
      <c r="AE277" s="44"/>
      <c r="AF277" s="44"/>
      <c r="AG277" s="44"/>
      <c r="AH277" s="44"/>
      <c r="AI277" s="44"/>
      <c r="AJ277" s="44"/>
      <c r="AK277" s="44"/>
      <c r="AL277" s="94"/>
      <c r="AM277" s="44"/>
      <c r="AN277" s="44"/>
      <c r="AO277" s="44"/>
      <c r="AP277" s="44"/>
      <c r="AQ277" s="44"/>
      <c r="AR277" s="44"/>
      <c r="AS277" s="44"/>
      <c r="AT277" s="44"/>
      <c r="AU277" s="44"/>
      <c r="AV277" s="44"/>
      <c r="AW277" s="44"/>
      <c r="AX277" s="44"/>
      <c r="AY277"/>
      <c r="AZ277"/>
      <c r="BA277"/>
      <c r="BB277"/>
      <c r="BC277"/>
      <c r="BD277"/>
      <c r="BE277"/>
      <c r="BF277"/>
      <c r="BG277"/>
      <c r="BH277"/>
      <c r="BI277"/>
      <c r="BJ277"/>
    </row>
    <row r="278" spans="1:62" x14ac:dyDescent="0.25">
      <c r="A278" s="44"/>
      <c r="B278" s="44"/>
      <c r="C278" s="44"/>
      <c r="D278" s="825"/>
      <c r="E278" s="44"/>
      <c r="F278" s="44"/>
      <c r="G278" s="44"/>
      <c r="H278" s="44"/>
      <c r="I278" s="44"/>
      <c r="J278" s="44"/>
      <c r="K278" s="44"/>
      <c r="L278" s="44"/>
      <c r="M278" s="44"/>
      <c r="N278" s="44"/>
      <c r="O278" s="70"/>
      <c r="P278" s="70"/>
      <c r="Q278" s="70"/>
      <c r="R278" s="70"/>
      <c r="S278" s="94"/>
      <c r="T278" s="70"/>
      <c r="U278" s="70"/>
      <c r="V278" s="70"/>
      <c r="W278" s="70"/>
      <c r="X278" s="70"/>
      <c r="Y278" s="57"/>
      <c r="Z278" s="44"/>
      <c r="AA278" s="44"/>
      <c r="AB278" s="48"/>
      <c r="AC278" s="49"/>
      <c r="AD278" s="51"/>
      <c r="AE278" s="44"/>
      <c r="AF278" s="44"/>
      <c r="AG278" s="44"/>
      <c r="AH278" s="44"/>
      <c r="AI278" s="44"/>
      <c r="AJ278" s="44"/>
      <c r="AK278" s="44"/>
      <c r="AL278" s="94"/>
      <c r="AM278" s="44"/>
      <c r="AN278" s="44"/>
      <c r="AO278" s="44"/>
      <c r="AP278" s="44"/>
      <c r="AQ278" s="44"/>
      <c r="AR278" s="44"/>
      <c r="AS278" s="44"/>
      <c r="AT278" s="44"/>
      <c r="AU278" s="44"/>
      <c r="AV278" s="44"/>
      <c r="AW278" s="44"/>
      <c r="AX278" s="44"/>
      <c r="AY278"/>
      <c r="AZ278"/>
      <c r="BA278"/>
      <c r="BB278"/>
      <c r="BC278"/>
      <c r="BD278"/>
      <c r="BE278"/>
      <c r="BF278"/>
      <c r="BG278"/>
      <c r="BH278"/>
      <c r="BI278"/>
      <c r="BJ278"/>
    </row>
    <row r="279" spans="1:62" x14ac:dyDescent="0.25">
      <c r="A279" s="44"/>
      <c r="B279" s="44"/>
      <c r="C279" s="44"/>
      <c r="D279" s="825"/>
      <c r="E279" s="44"/>
      <c r="F279" s="44"/>
      <c r="G279" s="44"/>
      <c r="H279" s="44"/>
      <c r="I279" s="44"/>
      <c r="J279" s="44"/>
      <c r="K279" s="44"/>
      <c r="L279" s="44"/>
      <c r="M279" s="44"/>
      <c r="N279" s="44"/>
      <c r="O279" s="44"/>
      <c r="P279" s="44"/>
      <c r="Q279" s="44"/>
      <c r="R279" s="44"/>
      <c r="S279" s="94"/>
      <c r="T279" s="44"/>
      <c r="U279" s="44"/>
      <c r="V279" s="44"/>
      <c r="W279" s="70"/>
      <c r="X279" s="70"/>
      <c r="Y279" s="57"/>
      <c r="Z279" s="44"/>
      <c r="AA279" s="44"/>
      <c r="AB279" s="885" t="s">
        <v>1943</v>
      </c>
      <c r="AC279" s="275">
        <f>CV_ws</f>
        <v>6700</v>
      </c>
      <c r="AD279" s="232" t="s">
        <v>600</v>
      </c>
      <c r="AE279" s="44"/>
      <c r="AF279" s="44"/>
      <c r="AG279" s="44"/>
      <c r="AH279" s="44"/>
      <c r="AI279" s="44"/>
      <c r="AJ279" s="44"/>
      <c r="AK279" s="44"/>
      <c r="AL279" s="94"/>
      <c r="AM279" s="44"/>
      <c r="AN279" s="44"/>
      <c r="AO279" s="44"/>
      <c r="AP279" s="44"/>
      <c r="AQ279" s="44"/>
      <c r="AR279" s="44"/>
      <c r="AS279" s="44"/>
      <c r="AT279" s="44"/>
      <c r="AU279" s="44"/>
      <c r="AV279" s="44"/>
      <c r="AW279" s="44"/>
      <c r="AX279" s="44"/>
      <c r="AY279"/>
      <c r="AZ279"/>
      <c r="BA279"/>
      <c r="BB279"/>
      <c r="BC279"/>
      <c r="BD279"/>
      <c r="BE279"/>
      <c r="BF279"/>
      <c r="BG279"/>
      <c r="BH279"/>
      <c r="BI279"/>
      <c r="BJ279"/>
    </row>
    <row r="280" spans="1:62" x14ac:dyDescent="0.25">
      <c r="A280" s="44"/>
      <c r="B280" s="44"/>
      <c r="C280" s="44"/>
      <c r="D280" s="825"/>
      <c r="E280" s="44"/>
      <c r="F280" s="44"/>
      <c r="G280" s="44"/>
      <c r="H280" s="44"/>
      <c r="I280" s="44"/>
      <c r="J280" s="44"/>
      <c r="K280" s="44"/>
      <c r="L280" s="70"/>
      <c r="M280" s="70"/>
      <c r="N280" s="70"/>
      <c r="O280" s="44"/>
      <c r="P280" s="44"/>
      <c r="Q280" s="44"/>
      <c r="R280" s="44"/>
      <c r="S280" s="94"/>
      <c r="T280" s="44"/>
      <c r="U280" s="44"/>
      <c r="V280" s="44"/>
      <c r="W280" s="70"/>
      <c r="X280" s="70"/>
      <c r="Y280" s="57"/>
      <c r="Z280" s="44"/>
      <c r="AA280" s="44"/>
      <c r="AB280" s="48"/>
      <c r="AC280" s="49"/>
      <c r="AD280" s="51"/>
      <c r="AE280" s="44"/>
      <c r="AF280" s="44"/>
      <c r="AG280" s="44"/>
      <c r="AH280" s="44"/>
      <c r="AI280" s="44"/>
      <c r="AJ280" s="44"/>
      <c r="AK280" s="44"/>
      <c r="AL280" s="94"/>
      <c r="AM280" s="44"/>
      <c r="AN280" s="44"/>
      <c r="AO280" s="44"/>
      <c r="AP280" s="44"/>
      <c r="AQ280" s="44"/>
      <c r="AR280" s="44"/>
      <c r="AS280" s="44"/>
      <c r="AT280" s="44"/>
      <c r="AU280" s="44"/>
      <c r="AV280" s="44"/>
      <c r="AW280" s="44"/>
      <c r="AX280" s="44"/>
      <c r="AY280"/>
      <c r="AZ280"/>
      <c r="BA280"/>
      <c r="BB280"/>
      <c r="BC280"/>
      <c r="BD280"/>
      <c r="BE280"/>
      <c r="BF280"/>
      <c r="BG280"/>
      <c r="BH280"/>
      <c r="BI280"/>
      <c r="BJ280"/>
    </row>
    <row r="281" spans="1:62" x14ac:dyDescent="0.25">
      <c r="A281" s="44"/>
      <c r="B281" s="44"/>
      <c r="C281" s="44"/>
      <c r="D281" s="825"/>
      <c r="E281" s="44"/>
      <c r="F281" s="44"/>
      <c r="G281" s="44"/>
      <c r="H281" s="44"/>
      <c r="I281" s="44"/>
      <c r="J281" s="44"/>
      <c r="K281" s="44"/>
      <c r="L281" s="44"/>
      <c r="M281" s="44"/>
      <c r="N281" s="44"/>
      <c r="O281" s="44"/>
      <c r="P281" s="44"/>
      <c r="Q281" s="44"/>
      <c r="R281" s="44"/>
      <c r="S281" s="94"/>
      <c r="T281" s="44"/>
      <c r="U281" s="44"/>
      <c r="V281" s="44"/>
      <c r="W281" s="70"/>
      <c r="X281" s="70"/>
      <c r="Y281" s="57"/>
      <c r="Z281" s="44"/>
      <c r="AA281" s="44"/>
      <c r="AB281" s="885" t="s">
        <v>1944</v>
      </c>
      <c r="AC281" s="110">
        <f>(AC279*AC275)/S294</f>
        <v>90261.986397834</v>
      </c>
      <c r="AD281" s="235" t="s">
        <v>437</v>
      </c>
      <c r="AE281" s="44"/>
      <c r="AF281" s="44"/>
      <c r="AG281" s="44"/>
      <c r="AH281" s="44"/>
      <c r="AI281" s="44"/>
      <c r="AJ281" s="44"/>
      <c r="AK281" s="44"/>
      <c r="AL281" s="94"/>
      <c r="AM281" s="44"/>
      <c r="AN281" s="44"/>
      <c r="AO281" s="44"/>
      <c r="AP281" s="44"/>
      <c r="AQ281" s="44"/>
      <c r="AR281" s="44"/>
      <c r="AS281" s="44"/>
      <c r="AT281" s="44"/>
      <c r="AU281" s="44"/>
      <c r="AV281" s="44"/>
      <c r="AW281" s="44"/>
      <c r="AX281" s="44"/>
      <c r="AY281"/>
      <c r="AZ281"/>
      <c r="BA281"/>
      <c r="BB281"/>
      <c r="BC281"/>
      <c r="BD281"/>
      <c r="BE281"/>
      <c r="BF281"/>
      <c r="BG281"/>
      <c r="BH281"/>
      <c r="BI281"/>
      <c r="BJ281"/>
    </row>
    <row r="282" spans="1:62" x14ac:dyDescent="0.25">
      <c r="A282" s="44"/>
      <c r="B282" s="44"/>
      <c r="C282" s="44"/>
      <c r="D282" s="825"/>
      <c r="E282" s="44"/>
      <c r="F282" s="44"/>
      <c r="G282" s="44"/>
      <c r="H282" s="44"/>
      <c r="I282" s="44"/>
      <c r="J282" s="44"/>
      <c r="K282" s="44"/>
      <c r="L282" s="44"/>
      <c r="M282" s="44"/>
      <c r="N282" s="44"/>
      <c r="O282" s="44"/>
      <c r="P282" s="44"/>
      <c r="Q282" s="44"/>
      <c r="R282" s="44"/>
      <c r="S282" s="94"/>
      <c r="T282" s="44"/>
      <c r="U282" s="44"/>
      <c r="V282" s="44"/>
      <c r="W282" s="70"/>
      <c r="X282" s="70"/>
      <c r="Y282" s="57"/>
      <c r="Z282" s="44"/>
      <c r="AA282" s="44"/>
      <c r="AB282" s="54"/>
      <c r="AC282" s="55"/>
      <c r="AD282" s="56"/>
      <c r="AE282" s="44"/>
      <c r="AF282" s="44"/>
      <c r="AG282" s="44"/>
      <c r="AH282" s="44"/>
      <c r="AI282" s="44"/>
      <c r="AJ282" s="44"/>
      <c r="AK282" s="44"/>
      <c r="AL282" s="94"/>
      <c r="AM282" s="44"/>
      <c r="AN282" s="44"/>
      <c r="AO282" s="44"/>
      <c r="AP282" s="44"/>
      <c r="AQ282" s="44"/>
      <c r="AR282" s="44"/>
      <c r="AS282" s="44"/>
      <c r="AT282" s="44"/>
      <c r="AU282" s="44"/>
      <c r="AV282" s="44"/>
      <c r="AW282" s="44"/>
      <c r="AX282" s="44"/>
      <c r="AY282"/>
      <c r="AZ282"/>
      <c r="BA282"/>
      <c r="BB282"/>
      <c r="BC282"/>
      <c r="BD282"/>
      <c r="BE282"/>
      <c r="BF282"/>
      <c r="BG282"/>
      <c r="BH282"/>
      <c r="BI282"/>
      <c r="BJ282"/>
    </row>
    <row r="283" spans="1:62" x14ac:dyDescent="0.25">
      <c r="A283" s="44"/>
      <c r="B283" s="44"/>
      <c r="C283" s="44"/>
      <c r="D283" s="825"/>
      <c r="E283" s="44"/>
      <c r="F283" s="44"/>
      <c r="G283" s="70"/>
      <c r="H283" s="44"/>
      <c r="I283" s="44"/>
      <c r="J283" s="44"/>
      <c r="K283" s="44"/>
      <c r="L283" s="44"/>
      <c r="M283" s="44"/>
      <c r="N283" s="44"/>
      <c r="O283" s="44"/>
      <c r="P283" s="70"/>
      <c r="Q283" s="70"/>
      <c r="R283" s="57"/>
      <c r="S283" s="44"/>
      <c r="T283" s="44"/>
      <c r="U283" s="70" t="s">
        <v>159</v>
      </c>
      <c r="V283" s="44"/>
      <c r="W283" s="70"/>
      <c r="X283" s="70"/>
      <c r="Y283" s="543"/>
      <c r="Z283" s="44"/>
      <c r="AA283" s="44"/>
      <c r="AB283" s="70"/>
      <c r="AC283" s="70"/>
      <c r="AD283" s="44"/>
      <c r="AE283" s="44"/>
      <c r="AF283" s="44"/>
      <c r="AG283" s="44"/>
      <c r="AH283" s="70"/>
      <c r="AI283" s="44"/>
      <c r="AJ283" s="44"/>
      <c r="AK283" s="44"/>
      <c r="AL283" s="94"/>
      <c r="AM283" s="44"/>
      <c r="AN283" s="44"/>
      <c r="AO283" s="44"/>
      <c r="AP283" s="44"/>
      <c r="AQ283" s="44"/>
      <c r="AR283" s="44"/>
      <c r="AS283" s="44"/>
      <c r="AT283" s="44"/>
      <c r="AU283" s="44"/>
      <c r="AV283" s="44"/>
      <c r="AW283" s="44"/>
      <c r="AX283" s="44"/>
      <c r="AY283"/>
      <c r="AZ283"/>
      <c r="BA283"/>
      <c r="BB283"/>
      <c r="BC283"/>
      <c r="BD283"/>
      <c r="BE283"/>
      <c r="BF283"/>
      <c r="BG283"/>
      <c r="BH283"/>
      <c r="BI283"/>
      <c r="BJ283"/>
    </row>
    <row r="284" spans="1:62" x14ac:dyDescent="0.25">
      <c r="A284" s="44"/>
      <c r="B284" s="44"/>
      <c r="C284" s="44"/>
      <c r="D284" s="825"/>
      <c r="E284" s="44"/>
      <c r="F284" s="44"/>
      <c r="G284" s="44"/>
      <c r="H284" s="44"/>
      <c r="I284" s="44"/>
      <c r="J284" s="44"/>
      <c r="K284" s="44"/>
      <c r="L284" s="44"/>
      <c r="M284" s="44"/>
      <c r="N284" s="44"/>
      <c r="O284" s="44"/>
      <c r="P284" s="70"/>
      <c r="Q284" s="87"/>
      <c r="R284" s="87"/>
      <c r="S284" s="278"/>
      <c r="T284" s="74"/>
      <c r="U284" s="74"/>
      <c r="V284" s="74"/>
      <c r="W284" s="74"/>
      <c r="X284" s="74"/>
      <c r="Y284" s="517"/>
      <c r="Z284" s="74"/>
      <c r="AA284" s="74"/>
      <c r="AB284" s="74"/>
      <c r="AC284" s="92"/>
      <c r="AD284" s="70"/>
      <c r="AE284" s="70"/>
      <c r="AF284" s="44"/>
      <c r="AG284" s="44"/>
      <c r="AH284" s="44"/>
      <c r="AI284" s="70"/>
      <c r="AJ284" s="70"/>
      <c r="AK284" s="70"/>
      <c r="AL284" s="94"/>
      <c r="AM284" s="44"/>
      <c r="AN284" s="44"/>
      <c r="AO284" s="44"/>
      <c r="AP284" s="44"/>
      <c r="AQ284" s="44"/>
      <c r="AR284" s="44"/>
      <c r="AS284" s="44"/>
      <c r="AT284" s="44"/>
      <c r="AU284" s="44"/>
      <c r="AV284" s="44"/>
      <c r="AW284" s="44"/>
      <c r="AX284" s="44"/>
      <c r="AY284"/>
      <c r="AZ284"/>
      <c r="BA284"/>
      <c r="BB284"/>
      <c r="BC284"/>
      <c r="BD284"/>
      <c r="BE284"/>
      <c r="BF284"/>
      <c r="BG284"/>
      <c r="BH284"/>
      <c r="BI284"/>
      <c r="BJ284"/>
    </row>
    <row r="285" spans="1:62" x14ac:dyDescent="0.25">
      <c r="A285" s="44"/>
      <c r="B285" s="44"/>
      <c r="C285" s="44"/>
      <c r="D285" s="825"/>
      <c r="E285" s="44"/>
      <c r="F285" s="44"/>
      <c r="G285" s="44"/>
      <c r="H285" s="44"/>
      <c r="I285" s="44"/>
      <c r="J285" s="44"/>
      <c r="K285" s="44"/>
      <c r="L285" s="44"/>
      <c r="M285" s="44"/>
      <c r="N285" s="44"/>
      <c r="O285" s="44"/>
      <c r="P285" s="287"/>
      <c r="Q285" s="95"/>
      <c r="R285" s="95"/>
      <c r="S285" s="46"/>
      <c r="T285" s="46"/>
      <c r="U285" s="47"/>
      <c r="V285" s="44"/>
      <c r="W285" s="44"/>
      <c r="X285" s="70"/>
      <c r="Y285" s="57"/>
      <c r="Z285" s="44"/>
      <c r="AA285" s="287"/>
      <c r="AB285" s="46"/>
      <c r="AC285" s="46"/>
      <c r="AD285" s="47"/>
      <c r="AE285" s="70"/>
      <c r="AF285" s="44"/>
      <c r="AG285" s="44"/>
      <c r="AH285" s="44"/>
      <c r="AI285" s="44"/>
      <c r="AJ285" s="44"/>
      <c r="AK285" s="44"/>
      <c r="AL285" s="94"/>
      <c r="AM285" s="44"/>
      <c r="AN285" s="44"/>
      <c r="AO285" s="44"/>
      <c r="AP285" s="44"/>
      <c r="AQ285" s="44"/>
      <c r="AR285" s="44"/>
      <c r="AS285" s="44"/>
      <c r="AT285" s="44"/>
      <c r="AU285" s="44"/>
      <c r="AV285" s="44"/>
      <c r="AW285" s="44"/>
      <c r="AX285" s="44"/>
      <c r="AY285"/>
      <c r="AZ285"/>
      <c r="BA285"/>
      <c r="BB285"/>
      <c r="BC285"/>
      <c r="BD285"/>
      <c r="BE285"/>
      <c r="BF285"/>
      <c r="BG285"/>
      <c r="BH285"/>
      <c r="BI285"/>
      <c r="BJ285"/>
    </row>
    <row r="286" spans="1:62" x14ac:dyDescent="0.25">
      <c r="A286" s="44"/>
      <c r="B286" s="44"/>
      <c r="C286" s="44"/>
      <c r="D286" s="825"/>
      <c r="E286" s="44"/>
      <c r="F286" s="44"/>
      <c r="G286" s="44"/>
      <c r="H286" s="44"/>
      <c r="I286" s="44"/>
      <c r="J286" s="44"/>
      <c r="K286" s="44"/>
      <c r="L286" s="44"/>
      <c r="M286" s="44"/>
      <c r="N286" s="44"/>
      <c r="O286" s="44"/>
      <c r="P286" s="48"/>
      <c r="Q286" s="1458"/>
      <c r="R286" s="1460" t="s">
        <v>436</v>
      </c>
      <c r="S286" s="1444">
        <f>S250</f>
        <v>4.470709824E-2</v>
      </c>
      <c r="T286" s="223" t="s">
        <v>432</v>
      </c>
      <c r="U286" s="51"/>
      <c r="V286" s="44"/>
      <c r="W286" s="44"/>
      <c r="X286" s="70"/>
      <c r="Y286" s="57"/>
      <c r="Z286" s="44"/>
      <c r="AA286" s="1603" t="s">
        <v>1960</v>
      </c>
      <c r="AB286" s="1604"/>
      <c r="AC286" s="435">
        <f>S286*vinasse</f>
        <v>0.84496415673599989</v>
      </c>
      <c r="AD286" s="884" t="s">
        <v>1961</v>
      </c>
      <c r="AE286" s="70"/>
      <c r="AF286" s="44"/>
      <c r="AG286" s="44"/>
      <c r="AH286" s="44"/>
      <c r="AI286" s="44"/>
      <c r="AJ286" s="44"/>
      <c r="AK286" s="44"/>
      <c r="AL286" s="94"/>
      <c r="AM286" s="44"/>
      <c r="AN286" s="44"/>
      <c r="AO286" s="44"/>
      <c r="AP286" s="44"/>
      <c r="AQ286" s="44"/>
      <c r="AR286" s="44"/>
      <c r="AS286" s="44"/>
      <c r="AT286" s="44"/>
      <c r="AU286" s="44"/>
      <c r="AV286" s="44"/>
      <c r="AW286" s="44"/>
      <c r="AX286" s="44"/>
      <c r="AY286"/>
      <c r="AZ286"/>
      <c r="BA286"/>
      <c r="BB286"/>
      <c r="BC286"/>
      <c r="BD286"/>
      <c r="BE286"/>
      <c r="BF286"/>
      <c r="BG286"/>
      <c r="BH286"/>
      <c r="BI286"/>
      <c r="BJ286"/>
    </row>
    <row r="287" spans="1:62" x14ac:dyDescent="0.25">
      <c r="A287" s="44"/>
      <c r="B287" s="44"/>
      <c r="C287" s="44"/>
      <c r="D287" s="825"/>
      <c r="E287" s="44"/>
      <c r="F287" s="44"/>
      <c r="G287" s="44"/>
      <c r="H287" s="44"/>
      <c r="I287" s="44"/>
      <c r="J287" s="44"/>
      <c r="K287" s="44"/>
      <c r="L287" s="44"/>
      <c r="M287" s="44"/>
      <c r="N287" s="44"/>
      <c r="O287" s="44"/>
      <c r="P287" s="48"/>
      <c r="Q287" s="1458"/>
      <c r="R287" s="1458"/>
      <c r="S287" s="52"/>
      <c r="T287" s="49"/>
      <c r="U287" s="51"/>
      <c r="V287" s="44"/>
      <c r="W287" s="44"/>
      <c r="X287" s="70"/>
      <c r="Y287" s="57"/>
      <c r="Z287" s="44"/>
      <c r="AA287" s="531"/>
      <c r="AB287" s="526"/>
      <c r="AC287" s="526"/>
      <c r="AD287" s="51"/>
      <c r="AE287" s="70"/>
      <c r="AF287" s="44"/>
      <c r="AG287" s="44"/>
      <c r="AH287" s="44"/>
      <c r="AI287" s="44"/>
      <c r="AJ287" s="44"/>
      <c r="AK287" s="44"/>
      <c r="AL287" s="94"/>
      <c r="AM287" s="44"/>
      <c r="AN287" s="44"/>
      <c r="AO287" s="44"/>
      <c r="AP287" s="44"/>
      <c r="AQ287" s="44"/>
      <c r="AR287" s="44"/>
      <c r="AS287" s="44"/>
      <c r="AT287" s="44"/>
      <c r="AU287" s="44"/>
      <c r="AV287" s="44"/>
      <c r="AW287" s="44"/>
      <c r="AX287" s="44"/>
      <c r="AY287"/>
      <c r="AZ287"/>
      <c r="BA287"/>
      <c r="BB287"/>
      <c r="BC287"/>
      <c r="BD287"/>
      <c r="BE287"/>
      <c r="BF287"/>
      <c r="BG287"/>
      <c r="BH287"/>
      <c r="BI287"/>
      <c r="BJ287"/>
    </row>
    <row r="288" spans="1:62" x14ac:dyDescent="0.25">
      <c r="A288" s="44"/>
      <c r="B288" s="44"/>
      <c r="C288" s="44"/>
      <c r="D288" s="825"/>
      <c r="E288" s="44"/>
      <c r="F288" s="44"/>
      <c r="G288" s="44"/>
      <c r="H288" s="44"/>
      <c r="I288" s="44"/>
      <c r="J288" s="44"/>
      <c r="K288" s="44"/>
      <c r="L288" s="44"/>
      <c r="M288" s="44"/>
      <c r="N288" s="44"/>
      <c r="O288" s="44"/>
      <c r="P288" s="48"/>
      <c r="Q288" s="1458"/>
      <c r="R288" s="1457" t="s">
        <v>434</v>
      </c>
      <c r="S288" s="53">
        <f>price_be_sc</f>
        <v>494</v>
      </c>
      <c r="T288" s="223" t="s">
        <v>438</v>
      </c>
      <c r="U288" s="51"/>
      <c r="V288" s="44"/>
      <c r="W288" s="44"/>
      <c r="X288" s="70"/>
      <c r="Y288" s="57"/>
      <c r="Z288" s="44"/>
      <c r="AA288" s="911"/>
      <c r="AB288" s="533"/>
      <c r="AC288" s="549"/>
      <c r="AD288" s="549"/>
      <c r="AE288" s="44"/>
      <c r="AF288" s="44"/>
      <c r="AG288" s="44"/>
      <c r="AH288" s="44"/>
      <c r="AI288" s="44"/>
      <c r="AJ288" s="44"/>
      <c r="AK288" s="44"/>
      <c r="AL288" s="94"/>
      <c r="AM288" s="44"/>
      <c r="AN288" s="44"/>
      <c r="AO288" s="44"/>
      <c r="AP288" s="44"/>
      <c r="AQ288" s="44"/>
      <c r="AR288" s="44"/>
      <c r="AS288" s="44"/>
      <c r="AT288" s="44"/>
      <c r="AU288" s="44"/>
      <c r="AV288" s="44"/>
      <c r="AW288" s="44"/>
      <c r="AX288" s="44"/>
      <c r="AY288"/>
      <c r="AZ288"/>
      <c r="BA288"/>
      <c r="BB288"/>
      <c r="BC288"/>
      <c r="BD288"/>
      <c r="BE288"/>
      <c r="BF288"/>
      <c r="BG288"/>
      <c r="BH288"/>
      <c r="BI288"/>
      <c r="BJ288"/>
    </row>
    <row r="289" spans="1:62" x14ac:dyDescent="0.25">
      <c r="A289" s="44"/>
      <c r="B289" s="44"/>
      <c r="C289" s="44"/>
      <c r="D289" s="825"/>
      <c r="E289" s="44"/>
      <c r="F289" s="44"/>
      <c r="G289" s="44"/>
      <c r="H289" s="44"/>
      <c r="I289" s="44"/>
      <c r="J289" s="44"/>
      <c r="K289" s="44"/>
      <c r="L289" s="44"/>
      <c r="M289" s="44"/>
      <c r="N289" s="44"/>
      <c r="O289" s="44"/>
      <c r="P289" s="48"/>
      <c r="Q289" s="1458"/>
      <c r="R289" s="1458"/>
      <c r="S289" s="1458"/>
      <c r="T289" s="49"/>
      <c r="U289" s="51"/>
      <c r="V289" s="44"/>
      <c r="W289" s="44"/>
      <c r="X289" s="70"/>
      <c r="Y289" s="57"/>
      <c r="Z289" s="44"/>
      <c r="AA289" s="532"/>
      <c r="AB289" s="519"/>
      <c r="AC289" s="434"/>
      <c r="AD289" s="434"/>
      <c r="AE289" s="70"/>
      <c r="AF289" s="44"/>
      <c r="AG289" s="44"/>
      <c r="AH289" s="44"/>
      <c r="AI289" s="44"/>
      <c r="AJ289" s="44"/>
      <c r="AK289" s="44"/>
      <c r="AL289" s="94"/>
      <c r="AM289" s="44"/>
      <c r="AN289" s="44"/>
      <c r="AO289" s="44"/>
      <c r="AP289" s="44"/>
      <c r="AQ289" s="44"/>
      <c r="AR289" s="44"/>
      <c r="AS289" s="44"/>
      <c r="AT289" s="44"/>
      <c r="AU289" s="44"/>
      <c r="AV289" s="44"/>
      <c r="AW289" s="44"/>
      <c r="AX289" s="44"/>
      <c r="AY289"/>
      <c r="AZ289"/>
      <c r="BA289"/>
      <c r="BB289"/>
      <c r="BC289"/>
      <c r="BD289"/>
      <c r="BE289"/>
      <c r="BF289"/>
      <c r="BG289"/>
      <c r="BH289"/>
      <c r="BI289"/>
      <c r="BJ289"/>
    </row>
    <row r="290" spans="1:62" x14ac:dyDescent="0.25">
      <c r="A290" s="44"/>
      <c r="B290" s="44"/>
      <c r="C290" s="44"/>
      <c r="D290" s="825"/>
      <c r="E290" s="44"/>
      <c r="F290" s="44"/>
      <c r="G290" s="44"/>
      <c r="H290" s="44"/>
      <c r="I290" s="44"/>
      <c r="J290" s="44"/>
      <c r="K290" s="44"/>
      <c r="L290" s="44"/>
      <c r="M290" s="44"/>
      <c r="N290" s="44"/>
      <c r="O290" s="44"/>
      <c r="P290" s="48"/>
      <c r="Q290" s="1458"/>
      <c r="R290" s="1460" t="s">
        <v>435</v>
      </c>
      <c r="S290" s="416">
        <f>CV_be</f>
        <v>26700</v>
      </c>
      <c r="T290" s="223" t="s">
        <v>437</v>
      </c>
      <c r="U290" s="51"/>
      <c r="V290" s="44"/>
      <c r="W290" s="44"/>
      <c r="X290" s="70"/>
      <c r="Y290" s="57"/>
      <c r="Z290" s="44"/>
      <c r="AA290" s="532"/>
      <c r="AB290" s="519"/>
      <c r="AC290" s="434"/>
      <c r="AD290" s="434"/>
      <c r="AE290" s="44"/>
      <c r="AF290" s="44"/>
      <c r="AG290" s="44"/>
      <c r="AH290" s="44"/>
      <c r="AI290" s="44"/>
      <c r="AJ290" s="44"/>
      <c r="AK290" s="44"/>
      <c r="AL290" s="94"/>
      <c r="AM290" s="44"/>
      <c r="AN290" s="44"/>
      <c r="AO290" s="44"/>
      <c r="AP290" s="44"/>
      <c r="AQ290" s="44"/>
      <c r="AR290" s="44"/>
      <c r="AS290" s="44"/>
      <c r="AT290" s="44"/>
      <c r="AU290" s="44"/>
      <c r="AV290" s="44"/>
      <c r="AW290" s="44"/>
      <c r="AX290" s="44"/>
      <c r="AY290"/>
      <c r="AZ290"/>
      <c r="BA290"/>
      <c r="BB290"/>
      <c r="BC290"/>
      <c r="BD290"/>
      <c r="BE290"/>
      <c r="BF290"/>
      <c r="BG290"/>
      <c r="BH290"/>
      <c r="BI290"/>
      <c r="BJ290"/>
    </row>
    <row r="291" spans="1:62" x14ac:dyDescent="0.25">
      <c r="A291" s="44"/>
      <c r="B291" s="44"/>
      <c r="C291" s="44"/>
      <c r="D291" s="825"/>
      <c r="E291" s="44"/>
      <c r="F291" s="44"/>
      <c r="G291" s="44"/>
      <c r="H291" s="44"/>
      <c r="I291" s="44"/>
      <c r="J291" s="44"/>
      <c r="K291" s="44"/>
      <c r="L291" s="44"/>
      <c r="M291" s="44"/>
      <c r="N291" s="44"/>
      <c r="O291" s="44"/>
      <c r="P291" s="54"/>
      <c r="Q291" s="96"/>
      <c r="R291" s="96"/>
      <c r="S291" s="55"/>
      <c r="T291" s="55"/>
      <c r="U291" s="56"/>
      <c r="V291" s="44"/>
      <c r="W291" s="44"/>
      <c r="X291" s="70"/>
      <c r="Y291" s="57"/>
      <c r="Z291" s="44"/>
      <c r="AA291" s="532"/>
      <c r="AB291" s="519"/>
      <c r="AC291" s="434"/>
      <c r="AD291" s="434"/>
      <c r="AE291" s="44"/>
      <c r="AF291" s="44"/>
      <c r="AG291" s="44"/>
      <c r="AH291" s="44"/>
      <c r="AI291" s="44"/>
      <c r="AJ291" s="44"/>
      <c r="AK291" s="44"/>
      <c r="AL291" s="94"/>
      <c r="AM291" s="44"/>
      <c r="AN291" s="44"/>
      <c r="AO291" s="44"/>
      <c r="AP291" s="44"/>
      <c r="AQ291" s="44"/>
      <c r="AR291" s="44"/>
      <c r="AS291" s="44"/>
      <c r="AT291" s="44"/>
      <c r="AU291" s="44"/>
      <c r="AV291" s="44"/>
      <c r="AW291" s="44"/>
      <c r="AX291" s="44"/>
      <c r="AY291"/>
      <c r="AZ291"/>
      <c r="BA291"/>
      <c r="BB291"/>
      <c r="BC291"/>
      <c r="BD291"/>
      <c r="BE291"/>
      <c r="BF291"/>
      <c r="BG291"/>
      <c r="BH291"/>
      <c r="BI291"/>
      <c r="BJ291"/>
    </row>
    <row r="292" spans="1:62" x14ac:dyDescent="0.25">
      <c r="A292" s="44"/>
      <c r="B292" s="44"/>
      <c r="C292" s="44"/>
      <c r="D292" s="825"/>
      <c r="E292" s="44"/>
      <c r="F292" s="44"/>
      <c r="G292" s="44"/>
      <c r="H292" s="44"/>
      <c r="I292" s="44"/>
      <c r="J292" s="44"/>
      <c r="K292" s="44"/>
      <c r="L292" s="44"/>
      <c r="M292" s="44"/>
      <c r="N292" s="44"/>
      <c r="O292" s="44"/>
      <c r="P292" s="44"/>
      <c r="Q292" s="44"/>
      <c r="R292" s="44"/>
      <c r="S292" s="94"/>
      <c r="T292" s="44"/>
      <c r="U292" s="44"/>
      <c r="V292" s="44"/>
      <c r="W292" s="44"/>
      <c r="X292" s="70"/>
      <c r="Y292" s="57"/>
      <c r="Z292" s="44"/>
      <c r="AA292" s="532"/>
      <c r="AB292" s="519"/>
      <c r="AC292" s="434"/>
      <c r="AD292" s="44"/>
      <c r="AE292" s="44"/>
      <c r="AF292" s="44"/>
      <c r="AG292" s="44"/>
      <c r="AH292" s="44"/>
      <c r="AI292" s="44"/>
      <c r="AJ292" s="44"/>
      <c r="AK292" s="44"/>
      <c r="AL292" s="94"/>
      <c r="AM292" s="44"/>
      <c r="AN292" s="44"/>
      <c r="AO292" s="44"/>
      <c r="AP292" s="44"/>
      <c r="AQ292" s="44"/>
      <c r="AR292" s="44"/>
      <c r="AS292" s="44"/>
      <c r="AT292" s="44"/>
      <c r="AU292" s="44"/>
      <c r="AV292" s="44"/>
      <c r="AW292" s="44"/>
      <c r="AX292" s="44"/>
      <c r="AY292"/>
      <c r="AZ292"/>
      <c r="BA292"/>
      <c r="BB292"/>
      <c r="BC292"/>
      <c r="BD292"/>
      <c r="BE292"/>
      <c r="BF292"/>
      <c r="BG292"/>
      <c r="BH292"/>
      <c r="BI292"/>
      <c r="BJ292"/>
    </row>
    <row r="293" spans="1:62" x14ac:dyDescent="0.25">
      <c r="A293" s="44"/>
      <c r="B293" s="44"/>
      <c r="C293" s="44"/>
      <c r="D293" s="825"/>
      <c r="E293" s="44"/>
      <c r="F293" s="44"/>
      <c r="G293" s="44"/>
      <c r="H293" s="44"/>
      <c r="I293" s="44"/>
      <c r="J293" s="44"/>
      <c r="K293" s="44"/>
      <c r="L293" s="44"/>
      <c r="M293" s="44"/>
      <c r="N293" s="44"/>
      <c r="O293" s="44"/>
      <c r="P293" s="287"/>
      <c r="Q293" s="46"/>
      <c r="R293" s="46"/>
      <c r="S293" s="46"/>
      <c r="T293" s="46"/>
      <c r="U293" s="47"/>
      <c r="V293" s="44"/>
      <c r="W293" s="44"/>
      <c r="X293" s="70"/>
      <c r="Y293" s="57"/>
      <c r="Z293" s="44"/>
      <c r="AA293" s="532"/>
      <c r="AB293" s="519"/>
      <c r="AC293" s="434"/>
      <c r="AD293" s="44"/>
      <c r="AE293" s="44"/>
      <c r="AF293" s="44"/>
      <c r="AG293" s="44"/>
      <c r="AH293" s="44"/>
      <c r="AI293" s="44"/>
      <c r="AJ293" s="44"/>
      <c r="AK293" s="44"/>
      <c r="AL293" s="94"/>
      <c r="AM293" s="44"/>
      <c r="AN293" s="44"/>
      <c r="AO293" s="44"/>
      <c r="AP293" s="44"/>
      <c r="AQ293" s="44"/>
      <c r="AR293" s="44"/>
      <c r="AS293" s="44"/>
      <c r="AT293" s="44"/>
      <c r="AU293" s="44"/>
      <c r="AV293" s="44"/>
      <c r="AW293" s="44"/>
      <c r="AX293" s="44"/>
      <c r="AY293"/>
      <c r="AZ293"/>
      <c r="BA293"/>
      <c r="BB293"/>
      <c r="BC293"/>
      <c r="BD293"/>
      <c r="BE293"/>
      <c r="BF293"/>
      <c r="BG293"/>
      <c r="BH293"/>
      <c r="BI293"/>
      <c r="BJ293"/>
    </row>
    <row r="294" spans="1:62" x14ac:dyDescent="0.25">
      <c r="A294" s="44"/>
      <c r="B294" s="44"/>
      <c r="C294" s="44"/>
      <c r="D294" s="825"/>
      <c r="E294" s="44"/>
      <c r="F294" s="44"/>
      <c r="G294" s="44"/>
      <c r="H294" s="44"/>
      <c r="I294" s="44"/>
      <c r="J294" s="44"/>
      <c r="K294" s="44"/>
      <c r="L294" s="44"/>
      <c r="M294" s="44"/>
      <c r="N294" s="44"/>
      <c r="O294" s="44"/>
      <c r="P294" s="1460"/>
      <c r="Q294" s="1457"/>
      <c r="R294" s="1460" t="s">
        <v>554</v>
      </c>
      <c r="S294" s="1310">
        <f>S250</f>
        <v>4.470709824E-2</v>
      </c>
      <c r="T294" s="223" t="s">
        <v>432</v>
      </c>
      <c r="U294" s="51"/>
      <c r="V294" s="44"/>
      <c r="W294" s="44"/>
      <c r="X294" s="70"/>
      <c r="Y294" s="57"/>
      <c r="Z294" s="44"/>
      <c r="AA294" s="44"/>
      <c r="AB294" s="519"/>
      <c r="AC294" s="434"/>
      <c r="AD294" s="44"/>
      <c r="AE294" s="44"/>
      <c r="AF294" s="44"/>
      <c r="AG294" s="44"/>
      <c r="AH294" s="44"/>
      <c r="AI294" s="44"/>
      <c r="AJ294" s="44"/>
      <c r="AK294" s="44"/>
      <c r="AL294" s="94"/>
      <c r="AM294" s="44"/>
      <c r="AN294" s="44"/>
      <c r="AO294" s="44"/>
      <c r="AP294" s="44"/>
      <c r="AQ294" s="44"/>
      <c r="AR294" s="44"/>
      <c r="AS294" s="44"/>
      <c r="AT294" s="44"/>
      <c r="AU294" s="44"/>
      <c r="AV294" s="44"/>
      <c r="AW294" s="44"/>
      <c r="AX294" s="44"/>
      <c r="AY294"/>
      <c r="AZ294"/>
      <c r="BA294"/>
      <c r="BB294"/>
      <c r="BC294"/>
      <c r="BD294"/>
      <c r="BE294"/>
      <c r="BF294"/>
      <c r="BG294"/>
      <c r="BH294"/>
      <c r="BI294"/>
      <c r="BJ294"/>
    </row>
    <row r="295" spans="1:62" ht="13.8" thickBot="1" x14ac:dyDescent="0.3">
      <c r="A295" s="44"/>
      <c r="B295" s="44"/>
      <c r="C295" s="44"/>
      <c r="D295" s="825"/>
      <c r="E295" s="44"/>
      <c r="F295" s="44"/>
      <c r="G295" s="44"/>
      <c r="H295" s="44"/>
      <c r="I295" s="44"/>
      <c r="J295" s="44"/>
      <c r="K295" s="44"/>
      <c r="L295" s="44"/>
      <c r="M295" s="44"/>
      <c r="N295" s="44"/>
      <c r="O295" s="44"/>
      <c r="P295" s="54"/>
      <c r="Q295" s="55"/>
      <c r="R295" s="55"/>
      <c r="S295" s="55"/>
      <c r="T295" s="55"/>
      <c r="U295" s="56"/>
      <c r="V295" s="44"/>
      <c r="W295" s="44"/>
      <c r="X295" s="70"/>
      <c r="Y295" s="57"/>
      <c r="Z295" s="44"/>
      <c r="AA295" s="44"/>
      <c r="AB295" s="508"/>
      <c r="AC295" s="434"/>
      <c r="AD295" s="281"/>
      <c r="AE295" s="70"/>
      <c r="AF295" s="44"/>
      <c r="AG295" s="44"/>
      <c r="AH295" s="44"/>
      <c r="AI295" s="44"/>
      <c r="AJ295" s="44"/>
      <c r="AK295" s="44"/>
      <c r="AL295" s="94"/>
      <c r="AM295" s="44"/>
      <c r="AN295" s="44"/>
      <c r="AO295" s="44"/>
      <c r="AP295" s="44"/>
      <c r="AQ295" s="44"/>
      <c r="AR295" s="44"/>
      <c r="AS295" s="44"/>
      <c r="AT295" s="44"/>
      <c r="AU295" s="44"/>
      <c r="AV295" s="44"/>
      <c r="AW295" s="44"/>
      <c r="AX295" s="44"/>
      <c r="AY295"/>
      <c r="AZ295"/>
      <c r="BA295"/>
      <c r="BB295"/>
      <c r="BC295"/>
      <c r="BD295"/>
      <c r="BE295"/>
      <c r="BF295"/>
      <c r="BG295"/>
      <c r="BH295"/>
      <c r="BI295"/>
      <c r="BJ295"/>
    </row>
    <row r="296" spans="1:62" ht="13.8" thickBot="1" x14ac:dyDescent="0.3">
      <c r="A296" s="44"/>
      <c r="B296" s="44"/>
      <c r="C296" s="44"/>
      <c r="D296" s="825"/>
      <c r="E296" s="44"/>
      <c r="F296" s="44"/>
      <c r="G296" s="44"/>
      <c r="H296" s="44"/>
      <c r="I296" s="44"/>
      <c r="J296" s="44"/>
      <c r="K296" s="44"/>
      <c r="L296" s="44"/>
      <c r="M296" s="44"/>
      <c r="N296" s="44"/>
      <c r="O296" s="44"/>
      <c r="P296" s="44"/>
      <c r="Q296" s="44"/>
      <c r="R296" s="44"/>
      <c r="S296" s="73"/>
      <c r="T296" s="44"/>
      <c r="U296" s="44"/>
      <c r="V296" s="44"/>
      <c r="W296" s="44"/>
      <c r="X296" s="70"/>
      <c r="Y296" s="57"/>
      <c r="Z296" s="44"/>
      <c r="AA296" s="236"/>
      <c r="AB296" s="58"/>
      <c r="AC296" s="58"/>
      <c r="AD296" s="59"/>
      <c r="AE296" s="70"/>
      <c r="AF296" s="44"/>
      <c r="AG296" s="44"/>
      <c r="AH296" s="44"/>
      <c r="AI296" s="44"/>
      <c r="AJ296" s="44"/>
      <c r="AK296" s="44"/>
      <c r="AL296" s="94"/>
      <c r="AM296" s="44"/>
      <c r="AN296" s="44"/>
      <c r="AO296" s="44"/>
      <c r="AP296" s="44"/>
      <c r="AQ296" s="44"/>
      <c r="AR296" s="44"/>
      <c r="AS296" s="44"/>
      <c r="AT296" s="44"/>
      <c r="AU296" s="44"/>
      <c r="AV296" s="44"/>
      <c r="AW296" s="44"/>
      <c r="AX296" s="44"/>
      <c r="AY296"/>
      <c r="AZ296"/>
      <c r="BA296"/>
      <c r="BB296"/>
      <c r="BC296"/>
      <c r="BD296"/>
      <c r="BE296"/>
      <c r="BF296"/>
      <c r="BG296"/>
      <c r="BH296"/>
      <c r="BI296"/>
      <c r="BJ296"/>
    </row>
    <row r="297" spans="1:62" x14ac:dyDescent="0.25">
      <c r="A297" s="44"/>
      <c r="B297" s="44"/>
      <c r="C297" s="44"/>
      <c r="D297" s="825"/>
      <c r="E297" s="44"/>
      <c r="F297" s="44"/>
      <c r="G297" s="44"/>
      <c r="H297" s="44"/>
      <c r="I297" s="44"/>
      <c r="J297" s="44"/>
      <c r="K297" s="44"/>
      <c r="L297" s="44"/>
      <c r="M297" s="44"/>
      <c r="N297" s="44"/>
      <c r="O297" s="44"/>
      <c r="P297" s="566"/>
      <c r="Q297" s="58"/>
      <c r="R297" s="58"/>
      <c r="S297" s="58"/>
      <c r="T297" s="58"/>
      <c r="U297" s="59"/>
      <c r="V297" s="44"/>
      <c r="W297" s="44"/>
      <c r="X297" s="70"/>
      <c r="Y297" s="57"/>
      <c r="Z297" s="44"/>
      <c r="AA297" s="1583" t="s">
        <v>559</v>
      </c>
      <c r="AB297" s="1584"/>
      <c r="AC297" s="1584"/>
      <c r="AD297" s="1585"/>
      <c r="AE297" s="70"/>
      <c r="AF297" s="44"/>
      <c r="AG297" s="44"/>
      <c r="AH297" s="44"/>
      <c r="AI297" s="44"/>
      <c r="AJ297" s="44"/>
      <c r="AK297" s="44"/>
      <c r="AL297" s="94"/>
      <c r="AM297" s="44"/>
      <c r="AN297" s="44"/>
      <c r="AO297" s="44"/>
      <c r="AP297" s="44"/>
      <c r="AQ297" s="44"/>
      <c r="AR297" s="44"/>
      <c r="AS297" s="44"/>
      <c r="AT297" s="44"/>
      <c r="AU297" s="44"/>
      <c r="AV297" s="44"/>
      <c r="AW297" s="44"/>
      <c r="AX297" s="44"/>
      <c r="AY297"/>
      <c r="AZ297"/>
      <c r="BA297"/>
      <c r="BB297"/>
      <c r="BC297"/>
      <c r="BD297"/>
      <c r="BE297"/>
      <c r="BF297"/>
      <c r="BG297"/>
      <c r="BH297"/>
      <c r="BI297"/>
      <c r="BJ297"/>
    </row>
    <row r="298" spans="1:62" x14ac:dyDescent="0.25">
      <c r="A298" s="44"/>
      <c r="B298" s="44"/>
      <c r="C298" s="44"/>
      <c r="D298" s="825"/>
      <c r="E298" s="44"/>
      <c r="F298" s="44"/>
      <c r="G298" s="44"/>
      <c r="H298" s="44"/>
      <c r="I298" s="44"/>
      <c r="J298" s="44"/>
      <c r="K298" s="44"/>
      <c r="L298" s="44"/>
      <c r="M298" s="44"/>
      <c r="N298" s="44"/>
      <c r="O298" s="44"/>
      <c r="P298" s="1583" t="s">
        <v>168</v>
      </c>
      <c r="Q298" s="1584"/>
      <c r="R298" s="1584"/>
      <c r="S298" s="1584"/>
      <c r="T298" s="1584"/>
      <c r="U298" s="1585"/>
      <c r="V298" s="44"/>
      <c r="W298" s="44"/>
      <c r="X298" s="70"/>
      <c r="Y298" s="57"/>
      <c r="Z298" s="44"/>
      <c r="AA298" s="1583" t="s">
        <v>276</v>
      </c>
      <c r="AB298" s="1584"/>
      <c r="AC298" s="1584"/>
      <c r="AD298" s="1585"/>
      <c r="AE298" s="70"/>
      <c r="AF298" s="44"/>
      <c r="AG298" s="44"/>
      <c r="AH298" s="44"/>
      <c r="AI298" s="44"/>
      <c r="AJ298" s="44"/>
      <c r="AK298" s="44"/>
      <c r="AL298" s="94"/>
      <c r="AM298" s="44"/>
      <c r="AN298" s="44"/>
      <c r="AO298" s="44"/>
      <c r="AP298" s="44"/>
      <c r="AQ298" s="44"/>
      <c r="AR298" s="44"/>
      <c r="AS298" s="44"/>
      <c r="AT298" s="44"/>
      <c r="AU298" s="44"/>
      <c r="AV298" s="44"/>
      <c r="AW298" s="44"/>
      <c r="AX298" s="44"/>
      <c r="AY298"/>
      <c r="AZ298"/>
      <c r="BA298"/>
      <c r="BB298"/>
      <c r="BC298"/>
      <c r="BD298"/>
      <c r="BE298"/>
      <c r="BF298"/>
      <c r="BG298"/>
      <c r="BH298"/>
      <c r="BI298"/>
      <c r="BJ298"/>
    </row>
    <row r="299" spans="1:62" x14ac:dyDescent="0.25">
      <c r="A299" s="44"/>
      <c r="B299" s="44"/>
      <c r="C299" s="44"/>
      <c r="D299" s="825"/>
      <c r="E299" s="44"/>
      <c r="F299" s="44"/>
      <c r="G299" s="44"/>
      <c r="H299" s="44"/>
      <c r="I299" s="44"/>
      <c r="J299" s="44"/>
      <c r="K299" s="44"/>
      <c r="L299" s="44"/>
      <c r="M299" s="44"/>
      <c r="N299" s="44"/>
      <c r="O299" s="44"/>
      <c r="P299" s="1580" t="s">
        <v>162</v>
      </c>
      <c r="Q299" s="1581"/>
      <c r="R299" s="1581"/>
      <c r="S299" s="1581"/>
      <c r="T299" s="1581"/>
      <c r="U299" s="1582"/>
      <c r="V299" s="44"/>
      <c r="W299" s="44"/>
      <c r="X299" s="70"/>
      <c r="Y299" s="57"/>
      <c r="Z299" s="44"/>
      <c r="AA299" s="421"/>
      <c r="AB299" s="250"/>
      <c r="AC299" s="250"/>
      <c r="AD299" s="534"/>
      <c r="AE299" s="70"/>
      <c r="AF299" s="44"/>
      <c r="AG299" s="44"/>
      <c r="AH299" s="44"/>
      <c r="AI299" s="44"/>
      <c r="AJ299" s="44"/>
      <c r="AK299" s="44"/>
      <c r="AL299" s="94"/>
      <c r="AM299" s="44"/>
      <c r="AN299" s="44"/>
      <c r="AO299" s="44"/>
      <c r="AP299" s="44"/>
      <c r="AQ299" s="44"/>
      <c r="AR299" s="44"/>
      <c r="AS299" s="44"/>
      <c r="AT299" s="44"/>
      <c r="AU299" s="44"/>
      <c r="AV299" s="44"/>
      <c r="AW299" s="44"/>
      <c r="AX299" s="44"/>
      <c r="AY299"/>
      <c r="AZ299"/>
      <c r="BA299"/>
      <c r="BB299"/>
      <c r="BC299"/>
      <c r="BD299"/>
      <c r="BE299"/>
      <c r="BF299"/>
      <c r="BG299"/>
      <c r="BH299"/>
      <c r="BI299"/>
      <c r="BJ299"/>
    </row>
    <row r="300" spans="1:62" x14ac:dyDescent="0.25">
      <c r="A300" s="44"/>
      <c r="B300" s="44"/>
      <c r="C300" s="44"/>
      <c r="D300" s="825"/>
      <c r="E300" s="44"/>
      <c r="F300" s="44"/>
      <c r="G300" s="44"/>
      <c r="H300" s="44"/>
      <c r="I300" s="44"/>
      <c r="J300" s="44"/>
      <c r="K300" s="44"/>
      <c r="L300" s="44"/>
      <c r="M300" s="44"/>
      <c r="N300" s="44"/>
      <c r="O300" s="44"/>
      <c r="P300" s="60"/>
      <c r="Q300" s="1454"/>
      <c r="R300" s="1456"/>
      <c r="S300" s="1456"/>
      <c r="T300" s="1456"/>
      <c r="U300" s="62"/>
      <c r="V300" s="44"/>
      <c r="W300" s="44"/>
      <c r="X300" s="70"/>
      <c r="Y300" s="57"/>
      <c r="Z300" s="44"/>
      <c r="AA300" s="421"/>
      <c r="AB300" s="1499" t="s">
        <v>1962</v>
      </c>
      <c r="AC300" s="435">
        <f>AC286</f>
        <v>0.84496415673599989</v>
      </c>
      <c r="AD300" s="1509" t="s">
        <v>1963</v>
      </c>
      <c r="AE300" s="70"/>
      <c r="AF300" s="44"/>
      <c r="AG300" s="44"/>
      <c r="AH300" s="44"/>
      <c r="AI300" s="44"/>
      <c r="AJ300" s="44"/>
      <c r="AK300" s="44"/>
      <c r="AL300" s="94"/>
      <c r="AM300" s="44"/>
      <c r="AN300" s="44"/>
      <c r="AO300" s="44"/>
      <c r="AP300" s="44"/>
      <c r="AQ300" s="44"/>
      <c r="AR300" s="44"/>
      <c r="AS300" s="44"/>
      <c r="AT300" s="44"/>
      <c r="AU300" s="44"/>
      <c r="AV300" s="44"/>
      <c r="AW300" s="44"/>
      <c r="AX300" s="44"/>
      <c r="AY300"/>
      <c r="AZ300"/>
      <c r="BA300"/>
      <c r="BB300"/>
      <c r="BC300"/>
      <c r="BD300"/>
      <c r="BE300"/>
      <c r="BF300"/>
      <c r="BG300"/>
      <c r="BH300"/>
      <c r="BI300"/>
      <c r="BJ300"/>
    </row>
    <row r="301" spans="1:62" x14ac:dyDescent="0.25">
      <c r="A301" s="44"/>
      <c r="B301" s="44"/>
      <c r="C301" s="44"/>
      <c r="D301" s="825"/>
      <c r="E301" s="44"/>
      <c r="F301" s="44"/>
      <c r="G301" s="44"/>
      <c r="H301" s="44"/>
      <c r="I301" s="44"/>
      <c r="J301" s="44"/>
      <c r="K301" s="44"/>
      <c r="L301" s="44"/>
      <c r="M301" s="44"/>
      <c r="N301" s="44"/>
      <c r="O301" s="44"/>
      <c r="P301" s="421"/>
      <c r="Q301" s="250"/>
      <c r="R301" s="1455" t="s">
        <v>653</v>
      </c>
      <c r="S301" s="433">
        <f>tr_pl_dtb_1_truck</f>
        <v>44</v>
      </c>
      <c r="T301" s="250" t="s">
        <v>570</v>
      </c>
      <c r="U301" s="534"/>
      <c r="V301" s="44"/>
      <c r="W301" s="44"/>
      <c r="X301" s="70"/>
      <c r="Y301" s="57"/>
      <c r="Z301" s="44"/>
      <c r="AA301" s="421"/>
      <c r="AB301" s="250"/>
      <c r="AC301" s="250"/>
      <c r="AD301" s="534"/>
      <c r="AE301" s="70"/>
      <c r="AF301" s="44"/>
      <c r="AG301" s="44"/>
      <c r="AH301" s="44"/>
      <c r="AI301" s="44"/>
      <c r="AJ301" s="44"/>
      <c r="AK301" s="44"/>
      <c r="AL301" s="94"/>
      <c r="AM301" s="44"/>
      <c r="AN301" s="44"/>
      <c r="AO301" s="44"/>
      <c r="AP301" s="44"/>
      <c r="AQ301" s="44"/>
      <c r="AR301" s="44"/>
      <c r="AS301" s="44"/>
      <c r="AT301" s="44"/>
      <c r="AU301" s="44"/>
      <c r="AV301" s="44"/>
      <c r="AW301" s="44"/>
      <c r="AX301" s="44"/>
      <c r="AY301"/>
      <c r="AZ301"/>
      <c r="BA301"/>
      <c r="BB301"/>
      <c r="BC301"/>
      <c r="BD301"/>
      <c r="BE301"/>
      <c r="BF301"/>
      <c r="BG301"/>
      <c r="BH301"/>
      <c r="BI301"/>
      <c r="BJ301"/>
    </row>
    <row r="302" spans="1:62" ht="15.6" x14ac:dyDescent="0.35">
      <c r="A302" s="44"/>
      <c r="B302" s="44"/>
      <c r="C302" s="44"/>
      <c r="D302" s="825"/>
      <c r="E302" s="44"/>
      <c r="F302" s="44"/>
      <c r="G302" s="44"/>
      <c r="H302" s="44"/>
      <c r="I302" s="44"/>
      <c r="J302" s="44"/>
      <c r="K302" s="44"/>
      <c r="L302" s="44"/>
      <c r="M302" s="44"/>
      <c r="N302" s="44"/>
      <c r="O302" s="44"/>
      <c r="P302" s="421"/>
      <c r="Q302" s="250"/>
      <c r="R302" s="250"/>
      <c r="S302" s="250"/>
      <c r="T302" s="250"/>
      <c r="U302" s="534"/>
      <c r="V302" s="44"/>
      <c r="W302" s="44"/>
      <c r="X302" s="70"/>
      <c r="Y302" s="57"/>
      <c r="Z302" s="44"/>
      <c r="AA302" s="421"/>
      <c r="AB302" s="1499" t="s">
        <v>1964</v>
      </c>
      <c r="AC302" s="436">
        <f>vinasse_COD</f>
        <v>69000</v>
      </c>
      <c r="AD302" s="1509" t="s">
        <v>1965</v>
      </c>
      <c r="AE302" s="70"/>
      <c r="AF302" s="44"/>
      <c r="AG302" s="44"/>
      <c r="AH302" s="44"/>
      <c r="AI302" s="44"/>
      <c r="AJ302" s="44"/>
      <c r="AK302" s="44"/>
      <c r="AL302" s="94"/>
      <c r="AM302" s="44"/>
      <c r="AN302" s="44"/>
      <c r="AO302" s="44"/>
      <c r="AP302" s="44"/>
      <c r="AQ302" s="44"/>
      <c r="AR302" s="44"/>
      <c r="AS302" s="44"/>
      <c r="AT302" s="44"/>
      <c r="AU302" s="44"/>
      <c r="AV302" s="44"/>
      <c r="AW302" s="44"/>
      <c r="AX302" s="44"/>
      <c r="AY302"/>
      <c r="AZ302"/>
      <c r="BA302"/>
      <c r="BB302"/>
      <c r="BC302"/>
      <c r="BD302"/>
      <c r="BE302"/>
      <c r="BF302"/>
      <c r="BG302"/>
      <c r="BH302"/>
      <c r="BI302"/>
      <c r="BJ302"/>
    </row>
    <row r="303" spans="1:62" x14ac:dyDescent="0.25">
      <c r="A303" s="44"/>
      <c r="B303" s="44"/>
      <c r="C303" s="44"/>
      <c r="D303" s="825"/>
      <c r="E303" s="44"/>
      <c r="F303" s="44"/>
      <c r="G303" s="44"/>
      <c r="H303" s="44"/>
      <c r="I303" s="44"/>
      <c r="J303" s="44"/>
      <c r="K303" s="44"/>
      <c r="L303" s="44"/>
      <c r="M303" s="44"/>
      <c r="N303" s="44"/>
      <c r="O303" s="44"/>
      <c r="P303" s="421"/>
      <c r="Q303" s="1455"/>
      <c r="R303" s="1459" t="s">
        <v>707</v>
      </c>
      <c r="S303" s="65">
        <f>IF(tr_pl_dtb_1_mode="road",tr_pl_dtb_1_km,0)</f>
        <v>1200</v>
      </c>
      <c r="T303" s="226" t="s">
        <v>427</v>
      </c>
      <c r="U303" s="62"/>
      <c r="V303" s="44"/>
      <c r="W303" s="44"/>
      <c r="X303" s="70"/>
      <c r="Y303" s="57"/>
      <c r="Z303" s="44"/>
      <c r="AA303" s="421"/>
      <c r="AB303" s="527"/>
      <c r="AC303" s="527"/>
      <c r="AD303" s="535"/>
      <c r="AE303" s="70"/>
      <c r="AF303" s="44"/>
      <c r="AG303" s="44"/>
      <c r="AH303" s="44"/>
      <c r="AI303" s="44"/>
      <c r="AJ303" s="44"/>
      <c r="AK303" s="44"/>
      <c r="AL303" s="94"/>
      <c r="AM303" s="44"/>
      <c r="AN303" s="44"/>
      <c r="AO303" s="44"/>
      <c r="AP303" s="44"/>
      <c r="AQ303" s="44"/>
      <c r="AR303" s="44"/>
      <c r="AS303" s="44"/>
      <c r="AT303" s="44"/>
      <c r="AU303" s="44"/>
      <c r="AV303" s="44"/>
      <c r="AW303" s="44"/>
      <c r="AX303" s="44"/>
      <c r="AY303"/>
      <c r="AZ303"/>
      <c r="BA303"/>
      <c r="BB303"/>
      <c r="BC303"/>
      <c r="BD303"/>
      <c r="BE303"/>
      <c r="BF303"/>
      <c r="BG303"/>
      <c r="BH303"/>
      <c r="BI303"/>
      <c r="BJ303"/>
    </row>
    <row r="304" spans="1:62" x14ac:dyDescent="0.25">
      <c r="A304" s="44"/>
      <c r="B304" s="44"/>
      <c r="C304" s="44"/>
      <c r="D304" s="825"/>
      <c r="E304" s="44"/>
      <c r="F304" s="44"/>
      <c r="G304" s="44"/>
      <c r="H304" s="44"/>
      <c r="I304" s="44"/>
      <c r="J304" s="44"/>
      <c r="K304" s="44"/>
      <c r="L304" s="44"/>
      <c r="M304" s="44"/>
      <c r="N304" s="44"/>
      <c r="O304" s="44"/>
      <c r="P304" s="421"/>
      <c r="Q304" s="1455"/>
      <c r="R304" s="80"/>
      <c r="S304" s="82"/>
      <c r="T304" s="80"/>
      <c r="U304" s="62"/>
      <c r="V304" s="44"/>
      <c r="W304" s="44"/>
      <c r="X304" s="70"/>
      <c r="Y304" s="57"/>
      <c r="Z304" s="44"/>
      <c r="AA304" s="421"/>
      <c r="AB304" s="1499" t="s">
        <v>1967</v>
      </c>
      <c r="AC304" s="436">
        <f>total_solids</f>
        <v>63000</v>
      </c>
      <c r="AD304" s="1509" t="s">
        <v>1966</v>
      </c>
      <c r="AE304" s="70"/>
      <c r="AF304" s="44"/>
      <c r="AG304" s="44"/>
      <c r="AH304" s="44"/>
      <c r="AI304" s="44"/>
      <c r="AJ304" s="44"/>
      <c r="AK304" s="44"/>
      <c r="AL304" s="94"/>
      <c r="AM304" s="44"/>
      <c r="AN304" s="44"/>
      <c r="AO304" s="44"/>
      <c r="AP304" s="44"/>
      <c r="AQ304" s="44"/>
      <c r="AR304" s="44"/>
      <c r="AS304" s="44"/>
      <c r="AT304" s="44"/>
      <c r="AU304" s="44"/>
      <c r="AV304" s="44"/>
      <c r="AW304" s="44"/>
      <c r="AX304" s="44"/>
      <c r="AY304"/>
      <c r="AZ304"/>
      <c r="BA304"/>
      <c r="BB304"/>
      <c r="BC304"/>
      <c r="BD304"/>
      <c r="BE304"/>
      <c r="BF304"/>
      <c r="BG304"/>
      <c r="BH304"/>
      <c r="BI304"/>
      <c r="BJ304"/>
    </row>
    <row r="305" spans="1:62" x14ac:dyDescent="0.25">
      <c r="A305" s="44"/>
      <c r="B305" s="44"/>
      <c r="C305" s="44"/>
      <c r="D305" s="825"/>
      <c r="E305" s="44"/>
      <c r="F305" s="44"/>
      <c r="G305" s="44"/>
      <c r="H305" s="44"/>
      <c r="I305" s="44"/>
      <c r="J305" s="44"/>
      <c r="K305" s="44"/>
      <c r="L305" s="44"/>
      <c r="M305" s="44"/>
      <c r="N305" s="44"/>
      <c r="O305" s="44"/>
      <c r="P305" s="421"/>
      <c r="Q305" s="1455"/>
      <c r="R305" s="1459" t="s">
        <v>708</v>
      </c>
      <c r="S305" s="65">
        <f>IF(tr_pl_dtb_1_mode="rail",tr_pl_dtb_1_km,0)</f>
        <v>0</v>
      </c>
      <c r="T305" s="226" t="s">
        <v>427</v>
      </c>
      <c r="U305" s="62"/>
      <c r="V305" s="44"/>
      <c r="W305" s="44"/>
      <c r="X305" s="70"/>
      <c r="Y305" s="57"/>
      <c r="Z305" s="44"/>
      <c r="AA305" s="529"/>
      <c r="AB305" s="524"/>
      <c r="AC305" s="524"/>
      <c r="AD305" s="528"/>
      <c r="AE305" s="70"/>
      <c r="AF305" s="44"/>
      <c r="AG305" s="44"/>
      <c r="AH305" s="44"/>
      <c r="AI305" s="44"/>
      <c r="AJ305" s="44"/>
      <c r="AK305" s="44"/>
      <c r="AL305" s="94"/>
      <c r="AM305" s="44"/>
      <c r="AN305" s="44"/>
      <c r="AO305" s="44"/>
      <c r="AP305" s="44"/>
      <c r="AQ305" s="44"/>
      <c r="AR305" s="44"/>
      <c r="AS305" s="44"/>
      <c r="AT305" s="44"/>
      <c r="AU305" s="44"/>
      <c r="AV305" s="44"/>
      <c r="AW305" s="44"/>
      <c r="AX305" s="44"/>
      <c r="AY305"/>
      <c r="AZ305"/>
      <c r="BA305"/>
      <c r="BB305"/>
      <c r="BC305"/>
      <c r="BD305"/>
      <c r="BE305"/>
      <c r="BF305"/>
      <c r="BG305"/>
      <c r="BH305"/>
      <c r="BI305"/>
      <c r="BJ305"/>
    </row>
    <row r="306" spans="1:62" x14ac:dyDescent="0.25">
      <c r="A306" s="44"/>
      <c r="B306" s="44"/>
      <c r="C306" s="44"/>
      <c r="D306" s="825"/>
      <c r="E306" s="44"/>
      <c r="F306" s="44"/>
      <c r="G306" s="44"/>
      <c r="H306" s="44"/>
      <c r="I306" s="44"/>
      <c r="J306" s="44"/>
      <c r="K306" s="44"/>
      <c r="L306" s="44"/>
      <c r="M306" s="44"/>
      <c r="N306" s="44"/>
      <c r="O306" s="44"/>
      <c r="P306" s="421"/>
      <c r="Q306" s="1455"/>
      <c r="R306" s="80"/>
      <c r="S306" s="82"/>
      <c r="T306" s="80"/>
      <c r="U306" s="62"/>
      <c r="V306" s="44"/>
      <c r="W306" s="44"/>
      <c r="X306" s="70"/>
      <c r="Y306" s="57"/>
      <c r="Z306" s="44"/>
      <c r="AA306" s="529"/>
      <c r="AB306" s="1500" t="s">
        <v>605</v>
      </c>
      <c r="AC306" s="436">
        <f>wwt_elec*AC300/S294</f>
        <v>338.30999999999995</v>
      </c>
      <c r="AD306" s="536" t="s">
        <v>548</v>
      </c>
      <c r="AE306" s="70"/>
      <c r="AF306" s="44"/>
      <c r="AG306" s="44"/>
      <c r="AH306" s="44"/>
      <c r="AI306" s="44"/>
      <c r="AJ306" s="44"/>
      <c r="AK306" s="44"/>
      <c r="AL306" s="94"/>
      <c r="AM306" s="44"/>
      <c r="AN306" s="44"/>
      <c r="AO306" s="44"/>
      <c r="AP306" s="44"/>
      <c r="AQ306" s="44"/>
      <c r="AR306" s="44"/>
      <c r="AS306" s="44"/>
      <c r="AT306" s="44"/>
      <c r="AU306" s="44"/>
      <c r="AV306" s="44"/>
      <c r="AW306" s="44"/>
      <c r="AX306" s="44"/>
      <c r="AY306"/>
      <c r="AZ306"/>
      <c r="BA306"/>
      <c r="BB306"/>
      <c r="BC306"/>
      <c r="BD306"/>
      <c r="BE306"/>
      <c r="BF306"/>
      <c r="BG306"/>
      <c r="BH306"/>
      <c r="BI306"/>
      <c r="BJ306"/>
    </row>
    <row r="307" spans="1:62" x14ac:dyDescent="0.25">
      <c r="A307" s="44"/>
      <c r="B307" s="44"/>
      <c r="C307" s="44"/>
      <c r="D307" s="825"/>
      <c r="E307" s="44"/>
      <c r="F307" s="44"/>
      <c r="G307" s="44"/>
      <c r="H307" s="44"/>
      <c r="I307" s="44"/>
      <c r="J307" s="44"/>
      <c r="K307" s="44"/>
      <c r="L307" s="44"/>
      <c r="M307" s="44"/>
      <c r="N307" s="44"/>
      <c r="O307" s="44"/>
      <c r="P307" s="421"/>
      <c r="Q307" s="1455"/>
      <c r="R307" s="1459" t="s">
        <v>709</v>
      </c>
      <c r="S307" s="65">
        <f>IF(tr_pl_dtb_1_mode="barge",tr_pl_dtb_1_km,0)</f>
        <v>0</v>
      </c>
      <c r="T307" s="226" t="s">
        <v>427</v>
      </c>
      <c r="U307" s="62"/>
      <c r="V307" s="44"/>
      <c r="W307" s="44"/>
      <c r="X307" s="70"/>
      <c r="Y307" s="57"/>
      <c r="Z307" s="44"/>
      <c r="AA307" s="237"/>
      <c r="AB307" s="64"/>
      <c r="AC307" s="80"/>
      <c r="AD307" s="62"/>
      <c r="AE307" s="70"/>
      <c r="AF307" s="70"/>
      <c r="AG307" s="44"/>
      <c r="AH307" s="44"/>
      <c r="AI307" s="44"/>
      <c r="AJ307" s="44"/>
      <c r="AK307" s="44"/>
      <c r="AL307" s="94"/>
      <c r="AM307" s="44"/>
      <c r="AN307" s="44"/>
      <c r="AO307" s="44"/>
      <c r="AP307" s="44"/>
      <c r="AQ307" s="44"/>
      <c r="AR307" s="44"/>
      <c r="AS307" s="44"/>
      <c r="AT307" s="44"/>
      <c r="AU307" s="44"/>
      <c r="AV307" s="44"/>
      <c r="AW307" s="44"/>
      <c r="AX307" s="44"/>
      <c r="AY307"/>
      <c r="AZ307"/>
      <c r="BA307"/>
      <c r="BB307"/>
      <c r="BC307"/>
      <c r="BD307"/>
      <c r="BE307"/>
      <c r="BF307"/>
      <c r="BG307"/>
      <c r="BH307"/>
      <c r="BI307"/>
      <c r="BJ307"/>
    </row>
    <row r="308" spans="1:62" x14ac:dyDescent="0.25">
      <c r="A308" s="44"/>
      <c r="B308" s="44"/>
      <c r="C308" s="44"/>
      <c r="D308" s="825"/>
      <c r="E308" s="44"/>
      <c r="F308" s="44"/>
      <c r="G308" s="44"/>
      <c r="H308" s="44"/>
      <c r="I308" s="44"/>
      <c r="J308" s="44"/>
      <c r="K308" s="44"/>
      <c r="L308" s="44"/>
      <c r="M308" s="44"/>
      <c r="N308" s="44"/>
      <c r="O308" s="44"/>
      <c r="P308" s="421"/>
      <c r="Q308" s="1455"/>
      <c r="R308" s="80"/>
      <c r="S308" s="82"/>
      <c r="T308" s="80"/>
      <c r="U308" s="62"/>
      <c r="V308" s="44"/>
      <c r="W308" s="44"/>
      <c r="X308" s="70"/>
      <c r="Y308" s="57"/>
      <c r="Z308" s="44"/>
      <c r="AA308" s="60"/>
      <c r="AB308" s="1499" t="s">
        <v>1968</v>
      </c>
      <c r="AC308" s="233">
        <f>vinasse_loss</f>
        <v>0</v>
      </c>
      <c r="AD308" s="62" t="s">
        <v>37</v>
      </c>
      <c r="AE308" s="70"/>
      <c r="AF308" s="70"/>
      <c r="AG308" s="44"/>
      <c r="AH308" s="44"/>
      <c r="AI308" s="44"/>
      <c r="AJ308" s="44"/>
      <c r="AK308" s="44"/>
      <c r="AL308" s="94"/>
      <c r="AM308" s="44"/>
      <c r="AN308" s="44"/>
      <c r="AO308" s="44"/>
      <c r="AP308" s="44"/>
      <c r="AQ308" s="44"/>
      <c r="AR308" s="44"/>
      <c r="AS308" s="44"/>
      <c r="AT308" s="44"/>
      <c r="AU308" s="44"/>
      <c r="AV308" s="44"/>
      <c r="AW308" s="44"/>
      <c r="AX308" s="44"/>
      <c r="AY308"/>
      <c r="AZ308"/>
      <c r="BA308"/>
      <c r="BB308"/>
      <c r="BC308"/>
      <c r="BD308"/>
      <c r="BE308"/>
      <c r="BF308"/>
      <c r="BG308"/>
      <c r="BH308"/>
      <c r="BI308"/>
      <c r="BJ308"/>
    </row>
    <row r="309" spans="1:62" ht="13.8" thickBot="1" x14ac:dyDescent="0.3">
      <c r="A309" s="44"/>
      <c r="B309" s="44"/>
      <c r="C309" s="44"/>
      <c r="D309" s="825"/>
      <c r="E309" s="44"/>
      <c r="F309" s="44"/>
      <c r="G309" s="44"/>
      <c r="H309" s="44"/>
      <c r="I309" s="44"/>
      <c r="J309" s="44"/>
      <c r="K309" s="44"/>
      <c r="L309" s="44"/>
      <c r="M309" s="44"/>
      <c r="N309" s="44"/>
      <c r="O309" s="44"/>
      <c r="P309" s="421"/>
      <c r="Q309" s="1455"/>
      <c r="R309" s="1459" t="s">
        <v>710</v>
      </c>
      <c r="S309" s="65">
        <f>IF(tr_pl_dtb_1_mode="ship",tr_pl_dtb_1_km,0)</f>
        <v>0</v>
      </c>
      <c r="T309" s="226" t="s">
        <v>427</v>
      </c>
      <c r="U309" s="62"/>
      <c r="V309" s="44"/>
      <c r="W309" s="44"/>
      <c r="X309" s="70"/>
      <c r="Y309" s="57"/>
      <c r="Z309" s="44"/>
      <c r="AA309" s="244"/>
      <c r="AB309" s="245"/>
      <c r="AC309" s="282"/>
      <c r="AD309" s="69"/>
      <c r="AE309" s="70"/>
      <c r="AF309" s="44"/>
      <c r="AG309" s="44"/>
      <c r="AH309" s="44"/>
      <c r="AI309" s="44"/>
      <c r="AJ309" s="44"/>
      <c r="AK309" s="44"/>
      <c r="AL309" s="94"/>
      <c r="AM309" s="44"/>
      <c r="AN309" s="44"/>
      <c r="AO309" s="44"/>
      <c r="AP309" s="44"/>
      <c r="AQ309" s="44"/>
      <c r="AR309" s="44"/>
      <c r="AS309" s="44"/>
      <c r="AT309" s="44"/>
      <c r="AU309" s="44"/>
      <c r="AV309" s="44"/>
      <c r="AW309" s="44"/>
      <c r="AX309" s="44"/>
      <c r="AY309"/>
      <c r="AZ309"/>
      <c r="BA309"/>
      <c r="BB309"/>
      <c r="BC309"/>
      <c r="BD309"/>
      <c r="BE309"/>
      <c r="BF309"/>
      <c r="BG309"/>
      <c r="BH309"/>
      <c r="BI309"/>
      <c r="BJ309"/>
    </row>
    <row r="310" spans="1:62" x14ac:dyDescent="0.25">
      <c r="A310" s="44"/>
      <c r="B310" s="44"/>
      <c r="C310" s="44"/>
      <c r="D310" s="825"/>
      <c r="E310" s="44"/>
      <c r="F310" s="44"/>
      <c r="G310" s="44"/>
      <c r="H310" s="44"/>
      <c r="I310" s="44"/>
      <c r="J310" s="44"/>
      <c r="K310" s="44"/>
      <c r="L310" s="44"/>
      <c r="M310" s="44"/>
      <c r="N310" s="44"/>
      <c r="O310" s="44"/>
      <c r="P310" s="60"/>
      <c r="Q310" s="80"/>
      <c r="R310" s="23"/>
      <c r="S310" s="80"/>
      <c r="T310" s="23"/>
      <c r="U310" s="62"/>
      <c r="V310" s="44"/>
      <c r="W310" s="44"/>
      <c r="X310" s="70"/>
      <c r="Y310" s="57"/>
      <c r="Z310" s="44"/>
      <c r="AA310" s="70"/>
      <c r="AB310" s="44"/>
      <c r="AC310" s="225"/>
      <c r="AD310" s="44"/>
      <c r="AE310" s="70"/>
      <c r="AF310" s="44"/>
      <c r="AG310" s="44"/>
      <c r="AH310" s="44"/>
      <c r="AI310" s="44"/>
      <c r="AJ310" s="44"/>
      <c r="AK310" s="44"/>
      <c r="AL310" s="94"/>
      <c r="AM310" s="44"/>
      <c r="AN310" s="44"/>
      <c r="AO310" s="44"/>
      <c r="AP310" s="44"/>
      <c r="AQ310" s="44"/>
      <c r="AR310" s="44"/>
      <c r="AS310" s="44"/>
      <c r="AT310" s="44"/>
      <c r="AU310" s="44"/>
      <c r="AV310" s="44"/>
      <c r="AW310" s="44"/>
      <c r="AX310" s="44"/>
      <c r="AY310"/>
      <c r="AZ310"/>
      <c r="BA310"/>
      <c r="BB310"/>
      <c r="BC310"/>
      <c r="BD310"/>
      <c r="BE310"/>
      <c r="BF310"/>
      <c r="BG310"/>
      <c r="BH310"/>
      <c r="BI310"/>
      <c r="BJ310"/>
    </row>
    <row r="311" spans="1:62" x14ac:dyDescent="0.25">
      <c r="A311" s="44"/>
      <c r="B311" s="44"/>
      <c r="C311" s="44"/>
      <c r="D311" s="825"/>
      <c r="E311" s="44"/>
      <c r="F311" s="44"/>
      <c r="G311" s="44"/>
      <c r="H311" s="44"/>
      <c r="I311" s="44"/>
      <c r="J311" s="44"/>
      <c r="K311" s="44"/>
      <c r="L311" s="44"/>
      <c r="M311" s="44"/>
      <c r="N311" s="44"/>
      <c r="O311" s="44"/>
      <c r="P311" s="60"/>
      <c r="Q311" s="80"/>
      <c r="R311" s="1459" t="s">
        <v>358</v>
      </c>
      <c r="S311" s="81">
        <f>tr_pl_dtb_1_loss</f>
        <v>0</v>
      </c>
      <c r="T311" s="226" t="s">
        <v>285</v>
      </c>
      <c r="U311" s="62"/>
      <c r="V311" s="44"/>
      <c r="W311" s="44"/>
      <c r="X311" s="70"/>
      <c r="Y311" s="57"/>
      <c r="Z311" s="44"/>
      <c r="AA311" s="70"/>
      <c r="AB311" s="44"/>
      <c r="AC311" s="92"/>
      <c r="AD311" s="44"/>
      <c r="AE311" s="70"/>
      <c r="AF311" s="70"/>
      <c r="AG311" s="70"/>
      <c r="AH311" s="70"/>
      <c r="AI311" s="70"/>
      <c r="AJ311" s="70"/>
      <c r="AK311" s="70"/>
      <c r="AL311" s="94"/>
      <c r="AM311" s="44"/>
      <c r="AN311" s="44"/>
      <c r="AO311" s="44"/>
      <c r="AP311" s="44"/>
      <c r="AQ311" s="44"/>
      <c r="AR311" s="44"/>
      <c r="AS311" s="44"/>
      <c r="AT311" s="44"/>
      <c r="AU311" s="44"/>
      <c r="AV311" s="44"/>
      <c r="AW311" s="44"/>
      <c r="AX311" s="44"/>
      <c r="AY311"/>
      <c r="AZ311"/>
      <c r="BA311"/>
      <c r="BB311"/>
      <c r="BC311"/>
      <c r="BD311"/>
      <c r="BE311"/>
      <c r="BF311"/>
      <c r="BG311"/>
      <c r="BH311"/>
      <c r="BI311"/>
      <c r="BJ311"/>
    </row>
    <row r="312" spans="1:62" ht="13.8" thickBot="1" x14ac:dyDescent="0.3">
      <c r="A312" s="44"/>
      <c r="B312" s="44"/>
      <c r="C312" s="44"/>
      <c r="D312" s="825"/>
      <c r="E312" s="44"/>
      <c r="F312" s="44"/>
      <c r="G312" s="44"/>
      <c r="H312" s="44"/>
      <c r="I312" s="44"/>
      <c r="J312" s="44"/>
      <c r="K312" s="44"/>
      <c r="L312" s="44"/>
      <c r="M312" s="44"/>
      <c r="N312" s="44"/>
      <c r="O312" s="44"/>
      <c r="P312" s="67"/>
      <c r="Q312" s="84"/>
      <c r="R312" s="84"/>
      <c r="S312" s="85"/>
      <c r="T312" s="68"/>
      <c r="U312" s="69"/>
      <c r="V312" s="44"/>
      <c r="W312" s="44"/>
      <c r="X312" s="70"/>
      <c r="Y312" s="57"/>
      <c r="Z312" s="44"/>
      <c r="AA312" s="234"/>
      <c r="AB312" s="46"/>
      <c r="AC312" s="46"/>
      <c r="AD312" s="47"/>
      <c r="AE312" s="94"/>
      <c r="AF312" s="70"/>
      <c r="AG312" s="70"/>
      <c r="AH312" s="70"/>
      <c r="AI312" s="70"/>
      <c r="AJ312" s="70"/>
      <c r="AK312" s="70"/>
      <c r="AL312" s="94"/>
      <c r="AM312" s="44"/>
      <c r="AN312" s="44"/>
      <c r="AO312" s="44"/>
      <c r="AP312" s="44"/>
      <c r="AQ312" s="44"/>
      <c r="AR312" s="44"/>
      <c r="AS312" s="44"/>
      <c r="AT312" s="44"/>
      <c r="AU312" s="44"/>
      <c r="AV312" s="44"/>
      <c r="AW312" s="44"/>
      <c r="AX312" s="44"/>
      <c r="AY312"/>
      <c r="AZ312"/>
      <c r="BA312"/>
      <c r="BB312"/>
      <c r="BC312"/>
      <c r="BD312"/>
      <c r="BE312"/>
      <c r="BF312"/>
      <c r="BG312"/>
      <c r="BH312"/>
      <c r="BI312"/>
      <c r="BJ312"/>
    </row>
    <row r="313" spans="1:62" x14ac:dyDescent="0.25">
      <c r="A313" s="44"/>
      <c r="B313" s="44"/>
      <c r="C313" s="44"/>
      <c r="D313" s="825"/>
      <c r="E313" s="44"/>
      <c r="F313" s="44"/>
      <c r="G313" s="44"/>
      <c r="H313" s="44"/>
      <c r="I313" s="44"/>
      <c r="J313" s="44"/>
      <c r="K313" s="44"/>
      <c r="L313" s="44"/>
      <c r="M313" s="44"/>
      <c r="N313" s="44"/>
      <c r="O313" s="44"/>
      <c r="P313" s="44"/>
      <c r="Q313" s="70"/>
      <c r="R313" s="97"/>
      <c r="S313" s="70"/>
      <c r="T313" s="70"/>
      <c r="U313" s="44"/>
      <c r="V313" s="44"/>
      <c r="W313" s="44"/>
      <c r="X313" s="70"/>
      <c r="Y313" s="57"/>
      <c r="Z313" s="44"/>
      <c r="AA313" s="525"/>
      <c r="AB313" s="887" t="s">
        <v>1969</v>
      </c>
      <c r="AC313" s="537">
        <f>AC300*(100-AC308)/100</f>
        <v>0.84496415673599978</v>
      </c>
      <c r="AD313" s="1510" t="s">
        <v>1963</v>
      </c>
      <c r="AE313" s="94"/>
      <c r="AF313" s="70"/>
      <c r="AG313" s="70"/>
      <c r="AH313" s="70"/>
      <c r="AI313" s="70"/>
      <c r="AJ313" s="70"/>
      <c r="AK313" s="70"/>
      <c r="AL313" s="94"/>
      <c r="AM313" s="44"/>
      <c r="AN313" s="44"/>
      <c r="AO313" s="44"/>
      <c r="AP313" s="44"/>
      <c r="AQ313" s="44"/>
      <c r="AR313" s="44"/>
      <c r="AS313" s="44"/>
      <c r="AT313" s="44"/>
      <c r="AU313" s="44"/>
      <c r="AV313" s="44"/>
      <c r="AW313" s="44"/>
      <c r="AX313" s="44"/>
      <c r="AY313"/>
      <c r="AZ313"/>
      <c r="BA313"/>
      <c r="BB313"/>
      <c r="BC313"/>
      <c r="BD313"/>
      <c r="BE313"/>
      <c r="BF313"/>
      <c r="BG313"/>
      <c r="BH313"/>
      <c r="BI313"/>
      <c r="BJ313"/>
    </row>
    <row r="314" spans="1:62" x14ac:dyDescent="0.25">
      <c r="A314" s="44"/>
      <c r="B314" s="44"/>
      <c r="C314" s="44"/>
      <c r="D314" s="825"/>
      <c r="E314" s="44"/>
      <c r="F314" s="44"/>
      <c r="G314" s="44"/>
      <c r="H314" s="44"/>
      <c r="I314" s="44"/>
      <c r="J314" s="44"/>
      <c r="K314" s="44"/>
      <c r="L314" s="44"/>
      <c r="M314" s="44"/>
      <c r="N314" s="44"/>
      <c r="O314" s="44"/>
      <c r="P314" s="287"/>
      <c r="Q314" s="46"/>
      <c r="R314" s="46"/>
      <c r="S314" s="46"/>
      <c r="T314" s="46"/>
      <c r="U314" s="47"/>
      <c r="V314" s="44"/>
      <c r="W314" s="44"/>
      <c r="X314" s="70"/>
      <c r="Y314" s="57"/>
      <c r="Z314" s="44"/>
      <c r="AA314" s="525"/>
      <c r="AB314" s="284"/>
      <c r="AC314" s="284"/>
      <c r="AD314" s="308"/>
      <c r="AE314" s="94"/>
      <c r="AF314" s="70"/>
      <c r="AG314" s="70"/>
      <c r="AH314" s="70"/>
      <c r="AI314" s="70"/>
      <c r="AJ314" s="70"/>
      <c r="AK314" s="70"/>
      <c r="AL314" s="94"/>
      <c r="AM314" s="44"/>
      <c r="AN314" s="44"/>
      <c r="AO314" s="44"/>
      <c r="AP314" s="44"/>
      <c r="AQ314" s="44"/>
      <c r="AR314" s="44"/>
      <c r="AS314" s="44"/>
      <c r="AT314" s="44"/>
      <c r="AU314" s="44"/>
      <c r="AV314" s="44"/>
      <c r="AW314" s="44"/>
      <c r="AX314" s="44"/>
      <c r="AY314"/>
      <c r="AZ314"/>
      <c r="BA314"/>
      <c r="BB314"/>
      <c r="BC314"/>
      <c r="BD314"/>
      <c r="BE314"/>
      <c r="BF314"/>
      <c r="BG314"/>
      <c r="BH314"/>
      <c r="BI314"/>
      <c r="BJ314"/>
    </row>
    <row r="315" spans="1:62" ht="15.6" x14ac:dyDescent="0.25">
      <c r="A315" s="44"/>
      <c r="B315" s="44"/>
      <c r="C315" s="44"/>
      <c r="D315" s="825"/>
      <c r="E315" s="44"/>
      <c r="F315" s="44"/>
      <c r="G315" s="44"/>
      <c r="H315" s="44"/>
      <c r="I315" s="44"/>
      <c r="J315" s="44"/>
      <c r="K315" s="44"/>
      <c r="L315" s="44"/>
      <c r="M315" s="44"/>
      <c r="N315" s="44"/>
      <c r="O315" s="44"/>
      <c r="P315" s="1460"/>
      <c r="Q315" s="567"/>
      <c r="R315" s="1460" t="s">
        <v>680</v>
      </c>
      <c r="S315" s="1310">
        <f>IF((S303+S305+S307+S309)&gt;0,S294*(100-S311)/100,S294)</f>
        <v>4.470709824E-2</v>
      </c>
      <c r="T315" s="223" t="s">
        <v>432</v>
      </c>
      <c r="U315" s="51"/>
      <c r="V315" s="44"/>
      <c r="W315" s="44"/>
      <c r="X315" s="70"/>
      <c r="Y315" s="57"/>
      <c r="Z315" s="44"/>
      <c r="AA315" s="525"/>
      <c r="AB315" s="530" t="s">
        <v>606</v>
      </c>
      <c r="AC315" s="78">
        <f>biogas_gen*AC313*1000*AC304/1000000000</f>
        <v>21.293096749747196</v>
      </c>
      <c r="AD315" s="308" t="s">
        <v>617</v>
      </c>
      <c r="AE315" s="94"/>
      <c r="AF315" s="70"/>
      <c r="AG315" s="70"/>
      <c r="AH315" s="70"/>
      <c r="AI315" s="70"/>
      <c r="AJ315" s="70"/>
      <c r="AK315" s="70"/>
      <c r="AL315" s="94"/>
      <c r="AM315" s="44"/>
      <c r="AN315" s="44"/>
      <c r="AO315" s="44"/>
      <c r="AP315" s="44"/>
      <c r="AQ315" s="44"/>
      <c r="AR315" s="44"/>
      <c r="AS315" s="44"/>
      <c r="AT315" s="44"/>
      <c r="AU315" s="44"/>
      <c r="AV315" s="44"/>
      <c r="AW315" s="44"/>
      <c r="AX315" s="44"/>
      <c r="AY315"/>
      <c r="AZ315"/>
      <c r="BA315"/>
      <c r="BB315"/>
      <c r="BC315"/>
      <c r="BD315"/>
      <c r="BE315"/>
      <c r="BF315"/>
      <c r="BG315"/>
      <c r="BH315"/>
      <c r="BI315"/>
      <c r="BJ315"/>
    </row>
    <row r="316" spans="1:62" x14ac:dyDescent="0.25">
      <c r="A316" s="44"/>
      <c r="B316" s="44"/>
      <c r="C316" s="44"/>
      <c r="D316" s="825"/>
      <c r="E316" s="44"/>
      <c r="F316" s="44"/>
      <c r="G316" s="44"/>
      <c r="H316" s="44"/>
      <c r="I316" s="44"/>
      <c r="J316" s="44"/>
      <c r="K316" s="44"/>
      <c r="L316" s="44"/>
      <c r="M316" s="44"/>
      <c r="N316" s="44"/>
      <c r="O316" s="44"/>
      <c r="P316" s="54"/>
      <c r="Q316" s="55"/>
      <c r="R316" s="55"/>
      <c r="S316" s="55"/>
      <c r="T316" s="55"/>
      <c r="U316" s="56"/>
      <c r="V316" s="44"/>
      <c r="W316" s="44"/>
      <c r="X316" s="70"/>
      <c r="Y316" s="57"/>
      <c r="Z316" s="44"/>
      <c r="AA316" s="525"/>
      <c r="AB316" s="530"/>
      <c r="AC316" s="530"/>
      <c r="AD316" s="308"/>
      <c r="AE316" s="286"/>
      <c r="AF316" s="87"/>
      <c r="AG316" s="87"/>
      <c r="AH316" s="87"/>
      <c r="AI316" s="87"/>
      <c r="AJ316" s="87"/>
      <c r="AK316" s="87"/>
      <c r="AL316" s="94"/>
      <c r="AM316" s="44"/>
      <c r="AN316" s="44"/>
      <c r="AO316" s="44"/>
      <c r="AP316" s="44"/>
      <c r="AQ316" s="44"/>
      <c r="AR316" s="44"/>
      <c r="AS316" s="44"/>
      <c r="AT316" s="44"/>
      <c r="AU316" s="44"/>
      <c r="AV316" s="44"/>
      <c r="AW316" s="44"/>
      <c r="AX316" s="44"/>
      <c r="AY316"/>
      <c r="AZ316"/>
      <c r="BA316"/>
      <c r="BB316"/>
      <c r="BC316"/>
      <c r="BD316"/>
      <c r="BE316"/>
      <c r="BF316"/>
      <c r="BG316"/>
      <c r="BH316"/>
      <c r="BI316"/>
      <c r="BJ316"/>
    </row>
    <row r="317" spans="1:62" ht="13.8" thickBot="1" x14ac:dyDescent="0.3">
      <c r="A317" s="44"/>
      <c r="B317" s="44"/>
      <c r="C317" s="44"/>
      <c r="D317" s="825"/>
      <c r="E317" s="44"/>
      <c r="F317" s="44"/>
      <c r="G317" s="44"/>
      <c r="H317" s="44"/>
      <c r="I317" s="44"/>
      <c r="J317" s="44"/>
      <c r="K317" s="44"/>
      <c r="L317" s="44"/>
      <c r="M317" s="44"/>
      <c r="N317" s="44"/>
      <c r="O317" s="44"/>
      <c r="P317" s="70"/>
      <c r="Q317" s="70"/>
      <c r="R317" s="70"/>
      <c r="S317" s="98"/>
      <c r="T317" s="70"/>
      <c r="U317" s="70"/>
      <c r="V317" s="44"/>
      <c r="W317" s="44"/>
      <c r="X317" s="70"/>
      <c r="Y317" s="57"/>
      <c r="Z317" s="44"/>
      <c r="AA317" s="525"/>
      <c r="AB317" s="530" t="s">
        <v>607</v>
      </c>
      <c r="AC317" s="233">
        <f>biogas_ch4</f>
        <v>78.2</v>
      </c>
      <c r="AD317" s="308" t="s">
        <v>285</v>
      </c>
      <c r="AE317" s="73"/>
      <c r="AF317" s="74"/>
      <c r="AG317" s="74"/>
      <c r="AH317" s="74"/>
      <c r="AI317" s="74"/>
      <c r="AJ317" s="74"/>
      <c r="AK317" s="74"/>
      <c r="AL317" s="94"/>
      <c r="AM317" s="44"/>
      <c r="AN317" s="44"/>
      <c r="AO317" s="44"/>
      <c r="AP317" s="44"/>
      <c r="AQ317" s="44"/>
      <c r="AR317" s="44"/>
      <c r="AS317" s="44"/>
      <c r="AT317" s="44"/>
      <c r="AU317" s="44"/>
      <c r="AV317" s="44"/>
      <c r="AW317" s="44"/>
      <c r="AX317" s="44"/>
      <c r="AY317"/>
      <c r="AZ317"/>
      <c r="BA317"/>
      <c r="BB317"/>
      <c r="BC317"/>
      <c r="BD317"/>
      <c r="BE317"/>
      <c r="BF317"/>
      <c r="BG317"/>
      <c r="BH317"/>
      <c r="BI317"/>
      <c r="BJ317"/>
    </row>
    <row r="318" spans="1:62" x14ac:dyDescent="0.25">
      <c r="A318" s="44"/>
      <c r="B318" s="44"/>
      <c r="C318" s="44"/>
      <c r="D318" s="825"/>
      <c r="E318" s="44"/>
      <c r="F318" s="44"/>
      <c r="G318" s="44"/>
      <c r="H318" s="44"/>
      <c r="I318" s="44"/>
      <c r="J318" s="44"/>
      <c r="K318" s="44"/>
      <c r="L318" s="44"/>
      <c r="M318" s="44"/>
      <c r="N318" s="44"/>
      <c r="O318" s="44"/>
      <c r="P318" s="279"/>
      <c r="Q318" s="58"/>
      <c r="R318" s="58"/>
      <c r="S318" s="58"/>
      <c r="T318" s="58"/>
      <c r="U318" s="59"/>
      <c r="V318" s="44"/>
      <c r="W318" s="44"/>
      <c r="X318" s="70"/>
      <c r="Y318" s="57"/>
      <c r="Z318" s="44"/>
      <c r="AA318" s="525"/>
      <c r="AB318" s="530"/>
      <c r="AC318" s="530"/>
      <c r="AD318" s="308"/>
      <c r="AE318" s="94"/>
      <c r="AF318" s="70"/>
      <c r="AG318" s="70"/>
      <c r="AH318" s="70"/>
      <c r="AI318" s="70"/>
      <c r="AJ318" s="70"/>
      <c r="AK318" s="70"/>
      <c r="AL318" s="94"/>
      <c r="AM318" s="44"/>
      <c r="AN318" s="44"/>
      <c r="AO318" s="44"/>
      <c r="AP318" s="44"/>
      <c r="AQ318" s="44"/>
      <c r="AR318" s="44"/>
      <c r="AS318" s="44"/>
      <c r="AT318" s="44"/>
      <c r="AU318" s="44"/>
      <c r="AV318" s="44"/>
      <c r="AW318" s="44"/>
      <c r="AX318" s="44"/>
      <c r="AY318"/>
      <c r="AZ318"/>
      <c r="BA318"/>
      <c r="BB318"/>
      <c r="BC318"/>
      <c r="BD318"/>
      <c r="BE318"/>
      <c r="BF318"/>
      <c r="BG318"/>
      <c r="BH318"/>
      <c r="BI318"/>
      <c r="BJ318"/>
    </row>
    <row r="319" spans="1:62" ht="15.6" x14ac:dyDescent="0.25">
      <c r="A319" s="44"/>
      <c r="B319" s="44"/>
      <c r="C319" s="44"/>
      <c r="D319" s="825"/>
      <c r="E319" s="44"/>
      <c r="F319" s="44"/>
      <c r="G319" s="44"/>
      <c r="H319" s="44"/>
      <c r="I319" s="44"/>
      <c r="J319" s="44"/>
      <c r="K319" s="44"/>
      <c r="L319" s="44"/>
      <c r="M319" s="44"/>
      <c r="N319" s="44"/>
      <c r="O319" s="44"/>
      <c r="P319" s="1583" t="s">
        <v>169</v>
      </c>
      <c r="Q319" s="1584"/>
      <c r="R319" s="1584"/>
      <c r="S319" s="1584"/>
      <c r="T319" s="1584"/>
      <c r="U319" s="1585"/>
      <c r="V319" s="44"/>
      <c r="W319" s="44"/>
      <c r="X319" s="70"/>
      <c r="Y319" s="57"/>
      <c r="Z319" s="44"/>
      <c r="AA319" s="525"/>
      <c r="AB319" s="530" t="s">
        <v>611</v>
      </c>
      <c r="AC319" s="507">
        <f>CV_methane</f>
        <v>33.950000000000003</v>
      </c>
      <c r="AD319" s="308" t="s">
        <v>612</v>
      </c>
      <c r="AE319" s="94"/>
      <c r="AF319" s="70"/>
      <c r="AG319" s="70"/>
      <c r="AH319" s="70"/>
      <c r="AI319" s="70"/>
      <c r="AJ319" s="70"/>
      <c r="AK319" s="70"/>
      <c r="AL319" s="94"/>
      <c r="AM319" s="44"/>
      <c r="AN319" s="44"/>
      <c r="AO319" s="44"/>
      <c r="AP319" s="44"/>
      <c r="AQ319" s="44"/>
      <c r="AR319" s="44"/>
      <c r="AS319" s="44"/>
      <c r="AT319" s="44"/>
      <c r="AU319" s="44"/>
      <c r="AV319" s="44"/>
      <c r="AW319" s="44"/>
      <c r="AX319" s="44"/>
      <c r="AY319"/>
      <c r="AZ319"/>
      <c r="BA319"/>
      <c r="BB319"/>
      <c r="BC319"/>
      <c r="BD319"/>
      <c r="BE319"/>
      <c r="BF319"/>
      <c r="BG319"/>
      <c r="BH319"/>
      <c r="BI319"/>
      <c r="BJ319"/>
    </row>
    <row r="320" spans="1:62" x14ac:dyDescent="0.25">
      <c r="A320" s="44"/>
      <c r="B320" s="44"/>
      <c r="C320" s="44"/>
      <c r="D320" s="825"/>
      <c r="E320" s="44"/>
      <c r="F320" s="44"/>
      <c r="G320" s="44"/>
      <c r="H320" s="44"/>
      <c r="I320" s="44"/>
      <c r="J320" s="44"/>
      <c r="K320" s="44"/>
      <c r="L320" s="44"/>
      <c r="M320" s="44"/>
      <c r="N320" s="44"/>
      <c r="O320" s="44"/>
      <c r="P320" s="1580" t="s">
        <v>162</v>
      </c>
      <c r="Q320" s="1581"/>
      <c r="R320" s="1581"/>
      <c r="S320" s="1581"/>
      <c r="T320" s="1581"/>
      <c r="U320" s="1582"/>
      <c r="V320" s="44"/>
      <c r="W320" s="44"/>
      <c r="X320" s="70"/>
      <c r="Y320" s="57"/>
      <c r="Z320" s="44"/>
      <c r="AA320" s="525"/>
      <c r="AB320" s="530"/>
      <c r="AC320" s="530"/>
      <c r="AD320" s="308"/>
      <c r="AE320" s="94"/>
      <c r="AF320" s="70"/>
      <c r="AG320" s="70"/>
      <c r="AH320" s="70"/>
      <c r="AI320" s="70"/>
      <c r="AJ320" s="70"/>
      <c r="AK320" s="70"/>
      <c r="AL320" s="94"/>
      <c r="AM320" s="44"/>
      <c r="AN320" s="44"/>
      <c r="AO320" s="44"/>
      <c r="AP320" s="44"/>
      <c r="AQ320" s="44"/>
      <c r="AR320" s="44"/>
      <c r="AS320" s="44"/>
      <c r="AT320" s="44"/>
      <c r="AU320" s="44"/>
      <c r="AV320" s="44"/>
      <c r="AW320" s="44"/>
      <c r="AX320" s="44"/>
      <c r="AY320"/>
      <c r="AZ320"/>
      <c r="BA320"/>
      <c r="BB320"/>
      <c r="BC320"/>
      <c r="BD320"/>
      <c r="BE320"/>
      <c r="BF320"/>
      <c r="BG320"/>
      <c r="BH320"/>
      <c r="BI320"/>
      <c r="BJ320"/>
    </row>
    <row r="321" spans="1:62" ht="15.6" x14ac:dyDescent="0.25">
      <c r="A321" s="44"/>
      <c r="B321" s="44"/>
      <c r="C321" s="44"/>
      <c r="D321" s="825"/>
      <c r="E321" s="44"/>
      <c r="F321" s="44"/>
      <c r="G321" s="44"/>
      <c r="H321" s="44"/>
      <c r="I321" s="44"/>
      <c r="J321" s="44"/>
      <c r="K321" s="44"/>
      <c r="L321" s="44"/>
      <c r="M321" s="44"/>
      <c r="N321" s="44"/>
      <c r="O321" s="44"/>
      <c r="P321" s="60"/>
      <c r="Q321" s="1454"/>
      <c r="R321" s="1456"/>
      <c r="S321" s="1456"/>
      <c r="T321" s="1456"/>
      <c r="U321" s="62"/>
      <c r="V321" s="44"/>
      <c r="W321" s="44"/>
      <c r="X321" s="70"/>
      <c r="Y321" s="57"/>
      <c r="Z321" s="44"/>
      <c r="AA321" s="525"/>
      <c r="AB321" s="283" t="s">
        <v>613</v>
      </c>
      <c r="AC321" s="110">
        <f>AC319*(AC317/100)</f>
        <v>26.548900000000003</v>
      </c>
      <c r="AD321" s="308" t="s">
        <v>612</v>
      </c>
      <c r="AE321" s="94"/>
      <c r="AF321" s="70"/>
      <c r="AG321" s="70"/>
      <c r="AH321" s="70"/>
      <c r="AI321" s="70"/>
      <c r="AJ321" s="70"/>
      <c r="AK321" s="70"/>
      <c r="AL321" s="94"/>
      <c r="AM321" s="44"/>
      <c r="AN321" s="44"/>
      <c r="AO321" s="44"/>
      <c r="AP321" s="44"/>
      <c r="AQ321" s="44"/>
      <c r="AR321" s="44"/>
      <c r="AS321" s="44"/>
      <c r="AT321" s="44"/>
      <c r="AU321" s="44"/>
      <c r="AV321" s="44"/>
      <c r="AW321" s="44"/>
      <c r="AX321" s="44"/>
      <c r="AY321"/>
      <c r="AZ321"/>
      <c r="BA321"/>
      <c r="BB321"/>
      <c r="BC321"/>
      <c r="BD321"/>
      <c r="BE321"/>
      <c r="BF321"/>
      <c r="BG321"/>
      <c r="BH321"/>
      <c r="BI321"/>
      <c r="BJ321"/>
    </row>
    <row r="322" spans="1:62" x14ac:dyDescent="0.25">
      <c r="A322" s="44"/>
      <c r="B322" s="44"/>
      <c r="C322" s="44"/>
      <c r="D322" s="825"/>
      <c r="E322" s="44"/>
      <c r="F322" s="44"/>
      <c r="G322" s="44"/>
      <c r="H322" s="44"/>
      <c r="I322" s="44"/>
      <c r="J322" s="44"/>
      <c r="K322" s="44"/>
      <c r="L322" s="44"/>
      <c r="M322" s="44"/>
      <c r="N322" s="44"/>
      <c r="O322" s="44"/>
      <c r="P322" s="421"/>
      <c r="Q322" s="250"/>
      <c r="R322" s="1455" t="s">
        <v>653</v>
      </c>
      <c r="S322" s="433">
        <f>tr_pl_dtb_2_truck</f>
        <v>44</v>
      </c>
      <c r="T322" s="250" t="s">
        <v>570</v>
      </c>
      <c r="U322" s="534"/>
      <c r="V322" s="44"/>
      <c r="W322" s="44"/>
      <c r="X322" s="70"/>
      <c r="Y322" s="57"/>
      <c r="Z322" s="44"/>
      <c r="AA322" s="525"/>
      <c r="AB322" s="530"/>
      <c r="AC322" s="530"/>
      <c r="AD322" s="308"/>
      <c r="AE322" s="94"/>
      <c r="AF322" s="44"/>
      <c r="AG322" s="44"/>
      <c r="AH322" s="44"/>
      <c r="AI322" s="44"/>
      <c r="AJ322" s="44"/>
      <c r="AK322" s="44"/>
      <c r="AL322" s="94"/>
      <c r="AM322" s="44"/>
      <c r="AN322" s="44"/>
      <c r="AO322" s="44"/>
      <c r="AP322" s="44"/>
      <c r="AQ322" s="44"/>
      <c r="AR322" s="44"/>
      <c r="AS322" s="44"/>
      <c r="AT322" s="44"/>
      <c r="AU322" s="44"/>
      <c r="AV322" s="44"/>
      <c r="AW322" s="44"/>
      <c r="AX322" s="44"/>
      <c r="AY322"/>
      <c r="AZ322"/>
      <c r="BA322"/>
      <c r="BB322"/>
      <c r="BC322"/>
      <c r="BD322"/>
      <c r="BE322"/>
      <c r="BF322"/>
      <c r="BG322"/>
      <c r="BH322"/>
      <c r="BI322"/>
      <c r="BJ322"/>
    </row>
    <row r="323" spans="1:62" x14ac:dyDescent="0.25">
      <c r="A323" s="44"/>
      <c r="B323" s="44"/>
      <c r="C323" s="44"/>
      <c r="D323" s="825"/>
      <c r="E323" s="44"/>
      <c r="F323" s="44"/>
      <c r="G323" s="44"/>
      <c r="H323" s="44"/>
      <c r="I323" s="44"/>
      <c r="J323" s="44"/>
      <c r="K323" s="44"/>
      <c r="L323" s="44"/>
      <c r="M323" s="44"/>
      <c r="N323" s="44"/>
      <c r="O323" s="44"/>
      <c r="P323" s="421"/>
      <c r="Q323" s="250"/>
      <c r="R323" s="250"/>
      <c r="S323" s="250"/>
      <c r="T323" s="250"/>
      <c r="U323" s="534"/>
      <c r="V323" s="44"/>
      <c r="W323" s="44"/>
      <c r="X323" s="70"/>
      <c r="Y323" s="57"/>
      <c r="Z323" s="44"/>
      <c r="AA323" s="525"/>
      <c r="AB323" s="530" t="s">
        <v>621</v>
      </c>
      <c r="AC323" s="436">
        <f>(AC315*AC321)/S357</f>
        <v>12644.710091999999</v>
      </c>
      <c r="AD323" s="308" t="s">
        <v>437</v>
      </c>
      <c r="AE323" s="94"/>
      <c r="AF323" s="44"/>
      <c r="AG323" s="44"/>
      <c r="AH323" s="44"/>
      <c r="AI323" s="44"/>
      <c r="AJ323" s="44"/>
      <c r="AK323" s="44"/>
      <c r="AL323" s="94"/>
      <c r="AM323" s="44"/>
      <c r="AN323" s="44"/>
      <c r="AO323" s="44"/>
      <c r="AP323" s="44"/>
      <c r="AQ323" s="44"/>
      <c r="AR323" s="44"/>
      <c r="AS323" s="44"/>
      <c r="AT323" s="44"/>
      <c r="AU323" s="44"/>
      <c r="AV323" s="44"/>
      <c r="AW323" s="44"/>
      <c r="AX323" s="44"/>
      <c r="AY323"/>
      <c r="AZ323"/>
      <c r="BA323"/>
      <c r="BB323"/>
      <c r="BC323"/>
      <c r="BD323"/>
      <c r="BE323"/>
      <c r="BF323"/>
      <c r="BG323"/>
      <c r="BH323"/>
      <c r="BI323"/>
      <c r="BJ323"/>
    </row>
    <row r="324" spans="1:62" x14ac:dyDescent="0.25">
      <c r="A324" s="44"/>
      <c r="B324" s="44"/>
      <c r="C324" s="44"/>
      <c r="D324" s="825"/>
      <c r="E324" s="44"/>
      <c r="F324" s="44"/>
      <c r="G324" s="44"/>
      <c r="H324" s="44"/>
      <c r="I324" s="44"/>
      <c r="J324" s="44"/>
      <c r="K324" s="44"/>
      <c r="L324" s="44"/>
      <c r="M324" s="44"/>
      <c r="N324" s="44"/>
      <c r="O324" s="44"/>
      <c r="P324" s="421"/>
      <c r="Q324" s="1455"/>
      <c r="R324" s="1459" t="s">
        <v>430</v>
      </c>
      <c r="S324" s="65">
        <f>IF(tr_pl_dtb_2_mode="road",tr_pl_dtb_2_km,0)</f>
        <v>0</v>
      </c>
      <c r="T324" s="226" t="s">
        <v>427</v>
      </c>
      <c r="U324" s="62"/>
      <c r="V324" s="44"/>
      <c r="W324" s="44"/>
      <c r="X324" s="70"/>
      <c r="Y324" s="57"/>
      <c r="Z324" s="44"/>
      <c r="AA324" s="285"/>
      <c r="AB324" s="539"/>
      <c r="AC324" s="539"/>
      <c r="AD324" s="540"/>
      <c r="AE324" s="94"/>
      <c r="AF324" s="44"/>
      <c r="AG324" s="44"/>
      <c r="AH324" s="44"/>
      <c r="AI324" s="44"/>
      <c r="AJ324" s="44"/>
      <c r="AK324" s="44"/>
      <c r="AL324" s="94"/>
      <c r="AM324" s="44"/>
      <c r="AN324" s="44"/>
      <c r="AO324" s="44"/>
      <c r="AP324" s="44"/>
      <c r="AQ324" s="44"/>
      <c r="AR324" s="44"/>
      <c r="AS324" s="44"/>
      <c r="AT324" s="44"/>
      <c r="AU324" s="44"/>
      <c r="AV324" s="44"/>
      <c r="AW324" s="44"/>
      <c r="AX324" s="44"/>
      <c r="AY324"/>
      <c r="AZ324"/>
      <c r="BA324"/>
      <c r="BB324"/>
      <c r="BC324"/>
      <c r="BD324"/>
      <c r="BE324"/>
      <c r="BF324"/>
      <c r="BG324"/>
      <c r="BH324"/>
      <c r="BI324"/>
      <c r="BJ324"/>
    </row>
    <row r="325" spans="1:62" x14ac:dyDescent="0.25">
      <c r="A325" s="44"/>
      <c r="B325" s="44"/>
      <c r="C325" s="44"/>
      <c r="D325" s="825"/>
      <c r="E325" s="44"/>
      <c r="F325" s="44"/>
      <c r="G325" s="44"/>
      <c r="H325" s="44"/>
      <c r="I325" s="44"/>
      <c r="J325" s="44"/>
      <c r="K325" s="44"/>
      <c r="L325" s="44"/>
      <c r="M325" s="44"/>
      <c r="N325" s="44"/>
      <c r="O325" s="44"/>
      <c r="P325" s="421"/>
      <c r="Q325" s="1455"/>
      <c r="R325" s="80"/>
      <c r="S325" s="82"/>
      <c r="T325" s="80"/>
      <c r="U325" s="62"/>
      <c r="V325" s="44"/>
      <c r="W325" s="44"/>
      <c r="X325" s="70"/>
      <c r="Y325" s="57"/>
      <c r="Z325" s="44"/>
      <c r="AA325" s="44"/>
      <c r="AB325" s="44"/>
      <c r="AC325" s="44"/>
      <c r="AD325" s="44"/>
      <c r="AE325" s="44"/>
      <c r="AF325" s="70"/>
      <c r="AG325" s="44"/>
      <c r="AH325" s="44"/>
      <c r="AI325" s="44"/>
      <c r="AJ325" s="44"/>
      <c r="AK325" s="44"/>
      <c r="AL325" s="94"/>
      <c r="AM325" s="44"/>
      <c r="AN325" s="44"/>
      <c r="AO325" s="44"/>
      <c r="AP325" s="44"/>
      <c r="AQ325" s="44"/>
      <c r="AR325" s="44"/>
      <c r="AS325" s="44"/>
      <c r="AT325" s="44"/>
      <c r="AU325" s="44"/>
      <c r="AV325" s="44"/>
      <c r="AW325" s="44"/>
      <c r="AX325" s="44"/>
      <c r="AY325"/>
      <c r="AZ325"/>
      <c r="BA325"/>
      <c r="BB325"/>
      <c r="BC325"/>
      <c r="BD325"/>
      <c r="BE325"/>
      <c r="BF325"/>
      <c r="BG325"/>
      <c r="BH325"/>
      <c r="BI325"/>
      <c r="BJ325"/>
    </row>
    <row r="326" spans="1:62" x14ac:dyDescent="0.25">
      <c r="A326" s="44"/>
      <c r="B326" s="44"/>
      <c r="C326" s="44"/>
      <c r="D326" s="825"/>
      <c r="E326" s="44"/>
      <c r="F326" s="44"/>
      <c r="G326" s="44"/>
      <c r="H326" s="44"/>
      <c r="I326" s="44"/>
      <c r="J326" s="44"/>
      <c r="K326" s="44"/>
      <c r="L326" s="44"/>
      <c r="M326" s="44"/>
      <c r="N326" s="44"/>
      <c r="O326" s="44"/>
      <c r="P326" s="421"/>
      <c r="Q326" s="1455"/>
      <c r="R326" s="1459" t="s">
        <v>711</v>
      </c>
      <c r="S326" s="65">
        <f>IF(tr_pl_dtb_2_mode="rail",tr_pl_dtb_2_km,0)</f>
        <v>0</v>
      </c>
      <c r="T326" s="226" t="s">
        <v>427</v>
      </c>
      <c r="U326" s="62"/>
      <c r="V326" s="44"/>
      <c r="W326" s="44"/>
      <c r="X326" s="70"/>
      <c r="Y326" s="57"/>
      <c r="Z326" s="44"/>
      <c r="AA326" s="44"/>
      <c r="AB326" s="44"/>
      <c r="AC326" s="44"/>
      <c r="AD326" s="44"/>
      <c r="AE326" s="44"/>
      <c r="AF326" s="70"/>
      <c r="AG326" s="44"/>
      <c r="AH326" s="44"/>
      <c r="AI326" s="44"/>
      <c r="AJ326" s="44"/>
      <c r="AK326" s="44"/>
      <c r="AL326" s="94"/>
      <c r="AM326" s="44"/>
      <c r="AN326" s="44"/>
      <c r="AO326" s="44"/>
      <c r="AP326" s="44"/>
      <c r="AQ326" s="44"/>
      <c r="AR326" s="44"/>
      <c r="AS326" s="44"/>
      <c r="AT326" s="44"/>
      <c r="AU326" s="44"/>
      <c r="AV326" s="44"/>
      <c r="AW326" s="44"/>
      <c r="AX326" s="44"/>
      <c r="AY326"/>
      <c r="AZ326"/>
      <c r="BA326"/>
      <c r="BB326"/>
      <c r="BC326"/>
      <c r="BD326"/>
      <c r="BE326"/>
      <c r="BF326"/>
      <c r="BG326"/>
      <c r="BH326"/>
      <c r="BI326"/>
      <c r="BJ326"/>
    </row>
    <row r="327" spans="1:62" x14ac:dyDescent="0.25">
      <c r="A327" s="44"/>
      <c r="B327" s="44"/>
      <c r="C327" s="44"/>
      <c r="D327" s="825"/>
      <c r="E327" s="44"/>
      <c r="F327" s="44"/>
      <c r="G327" s="44"/>
      <c r="H327" s="44"/>
      <c r="I327" s="44"/>
      <c r="J327" s="44"/>
      <c r="K327" s="44"/>
      <c r="L327" s="44"/>
      <c r="M327" s="44"/>
      <c r="N327" s="44"/>
      <c r="O327" s="44"/>
      <c r="P327" s="421"/>
      <c r="Q327" s="1455"/>
      <c r="R327" s="80"/>
      <c r="S327" s="82"/>
      <c r="T327" s="80"/>
      <c r="U327" s="62"/>
      <c r="V327" s="44"/>
      <c r="W327" s="44"/>
      <c r="X327" s="70"/>
      <c r="Y327" s="57"/>
      <c r="Z327" s="44"/>
      <c r="AA327" s="44"/>
      <c r="AB327" s="44"/>
      <c r="AC327" s="44"/>
      <c r="AD327" s="44"/>
      <c r="AE327" s="44"/>
      <c r="AF327" s="70"/>
      <c r="AG327" s="44"/>
      <c r="AH327" s="44"/>
      <c r="AI327" s="44"/>
      <c r="AJ327" s="44"/>
      <c r="AK327" s="44"/>
      <c r="AL327" s="94"/>
      <c r="AM327" s="44"/>
      <c r="AN327" s="44"/>
      <c r="AO327" s="44"/>
      <c r="AP327" s="44"/>
      <c r="AQ327" s="44"/>
      <c r="AR327" s="44"/>
      <c r="AS327" s="44"/>
      <c r="AT327" s="44"/>
      <c r="AU327" s="44"/>
      <c r="AV327" s="44"/>
      <c r="AW327" s="44"/>
      <c r="AX327" s="44"/>
      <c r="AY327"/>
      <c r="AZ327"/>
      <c r="BA327"/>
      <c r="BB327"/>
      <c r="BC327"/>
      <c r="BD327"/>
      <c r="BE327"/>
      <c r="BF327"/>
      <c r="BG327"/>
      <c r="BH327"/>
      <c r="BI327"/>
      <c r="BJ327"/>
    </row>
    <row r="328" spans="1:62" x14ac:dyDescent="0.25">
      <c r="A328" s="44"/>
      <c r="B328" s="44"/>
      <c r="C328" s="44"/>
      <c r="D328" s="825"/>
      <c r="E328" s="44"/>
      <c r="F328" s="44"/>
      <c r="G328" s="44"/>
      <c r="H328" s="44"/>
      <c r="I328" s="44"/>
      <c r="J328" s="44"/>
      <c r="K328" s="44"/>
      <c r="L328" s="44"/>
      <c r="M328" s="44"/>
      <c r="N328" s="44"/>
      <c r="O328" s="44"/>
      <c r="P328" s="421"/>
      <c r="Q328" s="1455"/>
      <c r="R328" s="1459" t="s">
        <v>429</v>
      </c>
      <c r="S328" s="65">
        <f>IF(tr_pl_dtb_2_mode="barge",tr_pl_dtb_2_km,0)</f>
        <v>0</v>
      </c>
      <c r="T328" s="226" t="s">
        <v>427</v>
      </c>
      <c r="U328" s="62"/>
      <c r="V328" s="44"/>
      <c r="W328" s="44"/>
      <c r="X328" s="70"/>
      <c r="Y328" s="57"/>
      <c r="Z328" s="44"/>
      <c r="AA328" s="44"/>
      <c r="AB328" s="44"/>
      <c r="AC328" s="44"/>
      <c r="AD328" s="44"/>
      <c r="AE328" s="44"/>
      <c r="AF328" s="70"/>
      <c r="AG328" s="44"/>
      <c r="AH328" s="44"/>
      <c r="AI328" s="44"/>
      <c r="AJ328" s="44"/>
      <c r="AK328" s="44"/>
      <c r="AL328" s="94"/>
      <c r="AM328" s="44"/>
      <c r="AN328" s="44"/>
      <c r="AO328" s="44"/>
      <c r="AP328" s="44"/>
      <c r="AQ328" s="44"/>
      <c r="AR328" s="44"/>
      <c r="AS328" s="44"/>
      <c r="AT328" s="44"/>
      <c r="AU328" s="44"/>
      <c r="AV328" s="44"/>
      <c r="AW328" s="44"/>
      <c r="AX328" s="44"/>
      <c r="AY328"/>
      <c r="AZ328"/>
      <c r="BA328"/>
      <c r="BB328"/>
      <c r="BC328"/>
      <c r="BD328"/>
      <c r="BE328"/>
      <c r="BF328"/>
      <c r="BG328"/>
      <c r="BH328"/>
      <c r="BI328"/>
      <c r="BJ328"/>
    </row>
    <row r="329" spans="1:62" x14ac:dyDescent="0.25">
      <c r="A329" s="44"/>
      <c r="B329" s="44"/>
      <c r="C329" s="44"/>
      <c r="D329" s="825"/>
      <c r="E329" s="44"/>
      <c r="F329" s="44"/>
      <c r="G329" s="44"/>
      <c r="H329" s="44"/>
      <c r="I329" s="44"/>
      <c r="J329" s="44"/>
      <c r="K329" s="44"/>
      <c r="L329" s="44"/>
      <c r="M329" s="44"/>
      <c r="N329" s="44"/>
      <c r="O329" s="44"/>
      <c r="P329" s="421"/>
      <c r="Q329" s="1455"/>
      <c r="R329" s="80"/>
      <c r="S329" s="82"/>
      <c r="T329" s="80"/>
      <c r="U329" s="62"/>
      <c r="V329" s="44"/>
      <c r="W329" s="44"/>
      <c r="X329" s="70"/>
      <c r="Y329" s="57"/>
      <c r="Z329" s="44"/>
      <c r="AA329" s="44"/>
      <c r="AB329" s="44"/>
      <c r="AC329" s="44"/>
      <c r="AD329" s="44"/>
      <c r="AE329" s="44"/>
      <c r="AF329" s="70"/>
      <c r="AG329" s="44"/>
      <c r="AH329" s="44"/>
      <c r="AI329" s="44"/>
      <c r="AJ329" s="44"/>
      <c r="AK329" s="44"/>
      <c r="AL329" s="94"/>
      <c r="AM329" s="44"/>
      <c r="AN329" s="44"/>
      <c r="AO329" s="44"/>
      <c r="AP329" s="44"/>
      <c r="AQ329" s="44"/>
      <c r="AR329" s="44"/>
      <c r="AS329" s="44"/>
      <c r="AT329" s="44"/>
      <c r="AU329" s="44"/>
      <c r="AV329" s="44"/>
      <c r="AW329" s="44"/>
      <c r="AX329" s="44"/>
      <c r="AY329"/>
      <c r="AZ329"/>
      <c r="BA329"/>
      <c r="BB329"/>
      <c r="BC329"/>
      <c r="BD329"/>
      <c r="BE329"/>
      <c r="BF329"/>
      <c r="BG329"/>
      <c r="BH329"/>
      <c r="BI329"/>
      <c r="BJ329"/>
    </row>
    <row r="330" spans="1:62" x14ac:dyDescent="0.25">
      <c r="A330" s="44"/>
      <c r="B330" s="44"/>
      <c r="C330" s="44"/>
      <c r="D330" s="825"/>
      <c r="E330" s="44"/>
      <c r="F330" s="44"/>
      <c r="G330" s="44"/>
      <c r="H330" s="44"/>
      <c r="I330" s="44"/>
      <c r="J330" s="44"/>
      <c r="K330" s="44"/>
      <c r="L330" s="44"/>
      <c r="M330" s="44"/>
      <c r="N330" s="44"/>
      <c r="O330" s="44"/>
      <c r="P330" s="421"/>
      <c r="Q330" s="1455"/>
      <c r="R330" s="1459" t="s">
        <v>428</v>
      </c>
      <c r="S330" s="65">
        <f>IF(tr_pl_dtb_2_mode="ship",tr_pl_dtb_2_km,0)</f>
        <v>0</v>
      </c>
      <c r="T330" s="226" t="s">
        <v>427</v>
      </c>
      <c r="U330" s="62"/>
      <c r="V330" s="44"/>
      <c r="W330" s="44"/>
      <c r="X330" s="70"/>
      <c r="Y330" s="57"/>
      <c r="Z330" s="44"/>
      <c r="AA330" s="44"/>
      <c r="AB330" s="44"/>
      <c r="AC330" s="44"/>
      <c r="AD330" s="44"/>
      <c r="AE330" s="44"/>
      <c r="AF330" s="70"/>
      <c r="AG330" s="44"/>
      <c r="AH330" s="44"/>
      <c r="AI330" s="44"/>
      <c r="AJ330" s="44"/>
      <c r="AK330" s="44"/>
      <c r="AL330" s="94"/>
      <c r="AM330" s="44"/>
      <c r="AN330" s="44"/>
      <c r="AO330" s="44"/>
      <c r="AP330" s="44"/>
      <c r="AQ330" s="44"/>
      <c r="AR330" s="44"/>
      <c r="AS330" s="44"/>
      <c r="AT330" s="44"/>
      <c r="AU330" s="44"/>
      <c r="AV330" s="44"/>
      <c r="AW330" s="44"/>
      <c r="AX330" s="44"/>
      <c r="AY330"/>
      <c r="AZ330"/>
      <c r="BA330"/>
      <c r="BB330"/>
      <c r="BC330"/>
      <c r="BD330"/>
      <c r="BE330"/>
      <c r="BF330"/>
      <c r="BG330"/>
      <c r="BH330"/>
      <c r="BI330"/>
      <c r="BJ330"/>
    </row>
    <row r="331" spans="1:62" x14ac:dyDescent="0.25">
      <c r="A331" s="44"/>
      <c r="B331" s="44"/>
      <c r="C331" s="44"/>
      <c r="D331" s="825"/>
      <c r="E331" s="44"/>
      <c r="F331" s="44"/>
      <c r="G331" s="44"/>
      <c r="H331" s="44"/>
      <c r="I331" s="44"/>
      <c r="J331" s="44"/>
      <c r="K331" s="44"/>
      <c r="L331" s="44"/>
      <c r="M331" s="44"/>
      <c r="N331" s="44"/>
      <c r="O331" s="44"/>
      <c r="P331" s="60"/>
      <c r="Q331" s="80"/>
      <c r="R331" s="80"/>
      <c r="S331" s="80"/>
      <c r="T331" s="80"/>
      <c r="U331" s="62"/>
      <c r="V331" s="44"/>
      <c r="W331" s="44"/>
      <c r="X331" s="70"/>
      <c r="Y331" s="57"/>
      <c r="Z331" s="44"/>
      <c r="AA331" s="44"/>
      <c r="AB331" s="44"/>
      <c r="AC331" s="44"/>
      <c r="AD331" s="44"/>
      <c r="AE331" s="44"/>
      <c r="AF331" s="70"/>
      <c r="AG331" s="44"/>
      <c r="AH331" s="44"/>
      <c r="AI331" s="44"/>
      <c r="AJ331" s="44"/>
      <c r="AK331" s="44"/>
      <c r="AL331" s="94"/>
      <c r="AM331" s="44"/>
      <c r="AN331" s="44"/>
      <c r="AO331" s="44"/>
      <c r="AP331" s="44"/>
      <c r="AQ331" s="44"/>
      <c r="AR331" s="44"/>
      <c r="AS331" s="44"/>
      <c r="AT331" s="44"/>
      <c r="AU331" s="44"/>
      <c r="AV331" s="44"/>
      <c r="AW331" s="44"/>
      <c r="AX331" s="44"/>
      <c r="AY331"/>
      <c r="AZ331"/>
      <c r="BA331"/>
      <c r="BB331"/>
      <c r="BC331"/>
      <c r="BD331"/>
      <c r="BE331"/>
      <c r="BF331"/>
      <c r="BG331"/>
      <c r="BH331"/>
      <c r="BI331"/>
      <c r="BJ331"/>
    </row>
    <row r="332" spans="1:62" x14ac:dyDescent="0.25">
      <c r="A332" s="44"/>
      <c r="B332" s="44"/>
      <c r="C332" s="44"/>
      <c r="D332" s="825"/>
      <c r="E332" s="44"/>
      <c r="F332" s="44"/>
      <c r="G332" s="44"/>
      <c r="H332" s="44"/>
      <c r="I332" s="44"/>
      <c r="J332" s="44"/>
      <c r="K332" s="44"/>
      <c r="L332" s="44"/>
      <c r="M332" s="44"/>
      <c r="N332" s="44"/>
      <c r="O332" s="44"/>
      <c r="P332" s="60"/>
      <c r="Q332" s="80"/>
      <c r="R332" s="1459" t="s">
        <v>358</v>
      </c>
      <c r="S332" s="81">
        <f>tr_pl_dtb_2_loss</f>
        <v>0</v>
      </c>
      <c r="T332" s="226" t="s">
        <v>285</v>
      </c>
      <c r="U332" s="62"/>
      <c r="V332" s="44"/>
      <c r="W332" s="44"/>
      <c r="X332" s="70"/>
      <c r="Y332" s="57"/>
      <c r="Z332" s="44"/>
      <c r="AA332" s="44"/>
      <c r="AB332" s="44"/>
      <c r="AC332" s="44"/>
      <c r="AD332" s="44"/>
      <c r="AE332" s="70"/>
      <c r="AF332" s="70"/>
      <c r="AG332" s="44"/>
      <c r="AH332" s="44"/>
      <c r="AI332" s="44"/>
      <c r="AJ332" s="44"/>
      <c r="AK332" s="44"/>
      <c r="AL332" s="94"/>
      <c r="AM332" s="44"/>
      <c r="AN332" s="44"/>
      <c r="AO332" s="44"/>
      <c r="AP332" s="44"/>
      <c r="AQ332" s="44"/>
      <c r="AR332" s="44"/>
      <c r="AS332" s="44"/>
      <c r="AT332" s="44"/>
      <c r="AU332" s="44"/>
      <c r="AV332" s="44"/>
      <c r="AW332" s="44"/>
      <c r="AX332" s="44"/>
      <c r="AY332"/>
      <c r="AZ332"/>
      <c r="BA332"/>
      <c r="BB332"/>
      <c r="BC332"/>
      <c r="BD332"/>
      <c r="BE332"/>
      <c r="BF332"/>
      <c r="BG332"/>
      <c r="BH332"/>
      <c r="BI332"/>
      <c r="BJ332"/>
    </row>
    <row r="333" spans="1:62" ht="13.8" thickBot="1" x14ac:dyDescent="0.3">
      <c r="A333" s="44"/>
      <c r="B333" s="44"/>
      <c r="C333" s="44"/>
      <c r="D333" s="825"/>
      <c r="E333" s="44"/>
      <c r="F333" s="44"/>
      <c r="G333" s="44"/>
      <c r="H333" s="44"/>
      <c r="I333" s="44"/>
      <c r="J333" s="44"/>
      <c r="K333" s="44"/>
      <c r="L333" s="44"/>
      <c r="M333" s="44"/>
      <c r="N333" s="44"/>
      <c r="O333" s="44"/>
      <c r="P333" s="67"/>
      <c r="Q333" s="84"/>
      <c r="R333" s="84"/>
      <c r="S333" s="85"/>
      <c r="T333" s="68"/>
      <c r="U333" s="69"/>
      <c r="V333" s="44"/>
      <c r="W333" s="44"/>
      <c r="X333" s="70"/>
      <c r="Y333" s="57"/>
      <c r="Z333" s="44"/>
      <c r="AA333" s="44"/>
      <c r="AB333" s="44"/>
      <c r="AC333" s="44"/>
      <c r="AD333" s="44"/>
      <c r="AE333" s="70"/>
      <c r="AF333" s="70"/>
      <c r="AG333" s="44"/>
      <c r="AH333" s="44"/>
      <c r="AI333" s="44"/>
      <c r="AJ333" s="44"/>
      <c r="AK333" s="44"/>
      <c r="AL333" s="94"/>
      <c r="AM333" s="44"/>
      <c r="AN333" s="44"/>
      <c r="AO333" s="44"/>
      <c r="AP333" s="44"/>
      <c r="AQ333" s="44"/>
      <c r="AR333" s="44"/>
      <c r="AS333" s="44"/>
      <c r="AT333" s="44"/>
      <c r="AU333" s="44"/>
      <c r="AV333" s="44"/>
      <c r="AW333" s="44"/>
      <c r="AX333" s="44"/>
      <c r="AY333"/>
      <c r="AZ333"/>
      <c r="BA333"/>
      <c r="BB333"/>
      <c r="BC333"/>
      <c r="BD333"/>
      <c r="BE333"/>
      <c r="BF333"/>
      <c r="BG333"/>
      <c r="BH333"/>
      <c r="BI333"/>
      <c r="BJ333"/>
    </row>
    <row r="334" spans="1:62" x14ac:dyDescent="0.25">
      <c r="A334" s="44"/>
      <c r="B334" s="44"/>
      <c r="C334" s="44"/>
      <c r="D334" s="825"/>
      <c r="E334" s="44"/>
      <c r="F334" s="44"/>
      <c r="G334" s="44"/>
      <c r="H334" s="44"/>
      <c r="I334" s="44"/>
      <c r="J334" s="44"/>
      <c r="K334" s="44"/>
      <c r="L334" s="44"/>
      <c r="M334" s="44"/>
      <c r="N334" s="44"/>
      <c r="O334" s="44"/>
      <c r="P334" s="44"/>
      <c r="Q334" s="44"/>
      <c r="R334" s="97"/>
      <c r="S334" s="44"/>
      <c r="T334" s="44"/>
      <c r="U334" s="44"/>
      <c r="V334" s="44"/>
      <c r="W334" s="44"/>
      <c r="X334" s="70"/>
      <c r="Y334" s="57"/>
      <c r="Z334" s="44"/>
      <c r="AA334" s="44"/>
      <c r="AB334" s="44"/>
      <c r="AC334" s="44"/>
      <c r="AD334" s="44"/>
      <c r="AE334" s="70"/>
      <c r="AF334" s="70"/>
      <c r="AG334" s="44"/>
      <c r="AH334" s="44"/>
      <c r="AI334" s="44"/>
      <c r="AJ334" s="44"/>
      <c r="AK334" s="44"/>
      <c r="AL334" s="94"/>
      <c r="AM334" s="44"/>
      <c r="AN334" s="44"/>
      <c r="AO334" s="44"/>
      <c r="AP334" s="44"/>
      <c r="AQ334" s="44"/>
      <c r="AR334" s="44"/>
      <c r="AS334" s="44"/>
      <c r="AT334" s="44"/>
      <c r="AU334" s="44"/>
      <c r="AV334" s="44"/>
      <c r="AW334" s="44"/>
      <c r="AX334" s="44"/>
      <c r="AY334"/>
      <c r="AZ334"/>
      <c r="BA334"/>
      <c r="BB334"/>
      <c r="BC334"/>
      <c r="BD334"/>
      <c r="BE334"/>
      <c r="BF334"/>
      <c r="BG334"/>
      <c r="BH334"/>
      <c r="BI334"/>
      <c r="BJ334"/>
    </row>
    <row r="335" spans="1:62" x14ac:dyDescent="0.25">
      <c r="A335" s="44"/>
      <c r="B335" s="44"/>
      <c r="C335" s="44"/>
      <c r="D335" s="825"/>
      <c r="E335" s="44"/>
      <c r="F335" s="44"/>
      <c r="G335" s="44"/>
      <c r="H335" s="44"/>
      <c r="I335" s="44"/>
      <c r="J335" s="44"/>
      <c r="K335" s="44"/>
      <c r="L335" s="44"/>
      <c r="M335" s="44"/>
      <c r="N335" s="44"/>
      <c r="O335" s="44"/>
      <c r="P335" s="424"/>
      <c r="Q335" s="596"/>
      <c r="R335" s="596"/>
      <c r="S335" s="597"/>
      <c r="T335" s="425"/>
      <c r="U335" s="426"/>
      <c r="V335" s="44"/>
      <c r="W335" s="44"/>
      <c r="X335" s="70"/>
      <c r="Y335" s="57"/>
      <c r="Z335" s="44"/>
      <c r="AA335" s="44"/>
      <c r="AB335" s="44"/>
      <c r="AC335" s="44"/>
      <c r="AD335" s="44"/>
      <c r="AE335" s="70"/>
      <c r="AF335" s="70"/>
      <c r="AG335" s="44"/>
      <c r="AH335" s="44"/>
      <c r="AI335" s="44"/>
      <c r="AJ335" s="44"/>
      <c r="AK335" s="44"/>
      <c r="AL335" s="94"/>
      <c r="AM335" s="44"/>
      <c r="AN335" s="44"/>
      <c r="AO335" s="44"/>
      <c r="AP335" s="44"/>
      <c r="AQ335" s="44"/>
      <c r="AR335" s="44"/>
      <c r="AS335" s="44"/>
      <c r="AT335" s="44"/>
      <c r="AU335" s="44"/>
      <c r="AV335" s="44"/>
      <c r="AW335" s="44"/>
      <c r="AX335" s="44"/>
      <c r="AY335"/>
      <c r="AZ335"/>
      <c r="BA335"/>
      <c r="BB335"/>
      <c r="BC335"/>
      <c r="BD335"/>
      <c r="BE335"/>
      <c r="BF335"/>
      <c r="BG335"/>
      <c r="BH335"/>
      <c r="BI335"/>
      <c r="BJ335"/>
    </row>
    <row r="336" spans="1:62" x14ac:dyDescent="0.25">
      <c r="A336" s="44"/>
      <c r="B336" s="44"/>
      <c r="C336" s="44"/>
      <c r="D336" s="825"/>
      <c r="E336" s="44"/>
      <c r="F336" s="44"/>
      <c r="G336" s="44"/>
      <c r="H336" s="44"/>
      <c r="I336" s="44"/>
      <c r="J336" s="44"/>
      <c r="K336" s="44"/>
      <c r="L336" s="44"/>
      <c r="M336" s="44"/>
      <c r="N336" s="44"/>
      <c r="O336" s="44"/>
      <c r="P336" s="427"/>
      <c r="Q336" s="598"/>
      <c r="R336" s="601" t="s">
        <v>681</v>
      </c>
      <c r="S336" s="1468">
        <f>IF((S324+S326+S328+S330)&gt;0,S315*(100-S332)/100,S315)</f>
        <v>4.470709824E-2</v>
      </c>
      <c r="T336" s="428" t="s">
        <v>432</v>
      </c>
      <c r="U336" s="429"/>
      <c r="V336" s="44"/>
      <c r="W336" s="44"/>
      <c r="X336" s="70"/>
      <c r="Y336" s="57"/>
      <c r="Z336" s="44"/>
      <c r="AA336" s="44"/>
      <c r="AB336" s="44"/>
      <c r="AC336" s="44"/>
      <c r="AD336" s="44"/>
      <c r="AE336" s="70"/>
      <c r="AF336" s="70"/>
      <c r="AG336" s="44"/>
      <c r="AH336" s="44"/>
      <c r="AI336" s="44"/>
      <c r="AJ336" s="44"/>
      <c r="AK336" s="44"/>
      <c r="AL336" s="94"/>
      <c r="AM336" s="44"/>
      <c r="AN336" s="44"/>
      <c r="AO336" s="44"/>
      <c r="AP336" s="44"/>
      <c r="AQ336" s="44"/>
      <c r="AR336" s="44"/>
      <c r="AS336" s="44"/>
      <c r="AT336" s="44"/>
      <c r="AU336" s="44"/>
      <c r="AV336" s="44"/>
      <c r="AW336" s="44"/>
      <c r="AX336" s="44"/>
      <c r="AY336"/>
      <c r="AZ336"/>
      <c r="BA336"/>
      <c r="BB336"/>
      <c r="BC336"/>
      <c r="BD336"/>
      <c r="BE336"/>
      <c r="BF336"/>
      <c r="BG336"/>
      <c r="BH336"/>
      <c r="BI336"/>
      <c r="BJ336"/>
    </row>
    <row r="337" spans="1:62" x14ac:dyDescent="0.25">
      <c r="A337" s="44"/>
      <c r="B337" s="44"/>
      <c r="C337" s="44"/>
      <c r="D337" s="825"/>
      <c r="E337" s="44"/>
      <c r="F337" s="44"/>
      <c r="G337" s="44"/>
      <c r="H337" s="44"/>
      <c r="I337" s="44"/>
      <c r="J337" s="44"/>
      <c r="K337" s="44"/>
      <c r="L337" s="44"/>
      <c r="M337" s="44"/>
      <c r="N337" s="44"/>
      <c r="O337" s="44"/>
      <c r="P337" s="430"/>
      <c r="Q337" s="599"/>
      <c r="R337" s="599"/>
      <c r="S337" s="600"/>
      <c r="T337" s="431"/>
      <c r="U337" s="432"/>
      <c r="V337" s="44"/>
      <c r="W337" s="44"/>
      <c r="X337" s="70"/>
      <c r="Y337" s="57"/>
      <c r="Z337" s="44"/>
      <c r="AA337" s="44"/>
      <c r="AB337" s="44"/>
      <c r="AC337" s="44"/>
      <c r="AD337" s="44"/>
      <c r="AE337" s="70"/>
      <c r="AF337" s="70"/>
      <c r="AG337" s="44"/>
      <c r="AH337" s="44"/>
      <c r="AI337" s="44"/>
      <c r="AJ337" s="44"/>
      <c r="AK337" s="44"/>
      <c r="AL337" s="94"/>
      <c r="AM337" s="44"/>
      <c r="AN337" s="44"/>
      <c r="AO337" s="44"/>
      <c r="AP337" s="44"/>
      <c r="AQ337" s="44"/>
      <c r="AR337" s="44"/>
      <c r="AS337" s="44"/>
      <c r="AT337" s="44"/>
      <c r="AU337" s="44"/>
      <c r="AV337" s="44"/>
      <c r="AW337" s="44"/>
      <c r="AX337" s="44"/>
      <c r="AY337"/>
      <c r="AZ337"/>
      <c r="BA337"/>
      <c r="BB337"/>
      <c r="BC337"/>
      <c r="BD337"/>
      <c r="BE337"/>
      <c r="BF337"/>
      <c r="BG337"/>
      <c r="BH337"/>
      <c r="BI337"/>
      <c r="BJ337"/>
    </row>
    <row r="338" spans="1:62" ht="13.8" thickBot="1" x14ac:dyDescent="0.3">
      <c r="A338" s="44"/>
      <c r="B338" s="44"/>
      <c r="C338" s="44"/>
      <c r="D338" s="825"/>
      <c r="E338" s="44"/>
      <c r="F338" s="44"/>
      <c r="G338" s="44"/>
      <c r="H338" s="44"/>
      <c r="I338" s="44"/>
      <c r="J338" s="44"/>
      <c r="K338" s="44"/>
      <c r="L338" s="44"/>
      <c r="M338" s="44"/>
      <c r="N338" s="44"/>
      <c r="O338" s="44"/>
      <c r="P338" s="44"/>
      <c r="Q338" s="44"/>
      <c r="R338" s="75"/>
      <c r="S338" s="44"/>
      <c r="T338" s="44"/>
      <c r="U338" s="44"/>
      <c r="V338" s="44"/>
      <c r="W338" s="44"/>
      <c r="X338" s="70"/>
      <c r="Y338" s="57"/>
      <c r="Z338" s="44"/>
      <c r="AA338" s="44"/>
      <c r="AB338" s="44"/>
      <c r="AC338" s="44"/>
      <c r="AD338" s="44"/>
      <c r="AE338" s="70"/>
      <c r="AF338" s="70"/>
      <c r="AG338" s="44"/>
      <c r="AH338" s="44"/>
      <c r="AI338" s="44"/>
      <c r="AJ338" s="44"/>
      <c r="AK338" s="44"/>
      <c r="AL338" s="94"/>
      <c r="AM338" s="44"/>
      <c r="AN338" s="44"/>
      <c r="AO338" s="44"/>
      <c r="AP338" s="44"/>
      <c r="AQ338" s="44"/>
      <c r="AR338" s="44"/>
      <c r="AS338" s="44"/>
      <c r="AT338" s="44"/>
      <c r="AU338" s="44"/>
      <c r="AV338" s="44"/>
      <c r="AW338" s="44"/>
      <c r="AX338" s="44"/>
      <c r="AY338"/>
      <c r="AZ338"/>
      <c r="BA338"/>
      <c r="BB338"/>
      <c r="BC338"/>
      <c r="BD338"/>
      <c r="BE338"/>
      <c r="BF338"/>
      <c r="BG338"/>
      <c r="BH338"/>
      <c r="BI338"/>
      <c r="BJ338"/>
    </row>
    <row r="339" spans="1:62" x14ac:dyDescent="0.25">
      <c r="A339" s="44"/>
      <c r="B339" s="44"/>
      <c r="C339" s="44"/>
      <c r="D339" s="825"/>
      <c r="E339" s="44"/>
      <c r="F339" s="44"/>
      <c r="G339" s="44"/>
      <c r="H339" s="44"/>
      <c r="I339" s="44"/>
      <c r="J339" s="44"/>
      <c r="K339" s="44"/>
      <c r="L339" s="44"/>
      <c r="M339" s="44"/>
      <c r="N339" s="44"/>
      <c r="O339" s="44"/>
      <c r="P339" s="279"/>
      <c r="Q339" s="58"/>
      <c r="R339" s="58"/>
      <c r="S339" s="58"/>
      <c r="T339" s="58"/>
      <c r="U339" s="59"/>
      <c r="V339" s="44"/>
      <c r="W339" s="44"/>
      <c r="X339" s="70"/>
      <c r="Y339" s="57"/>
      <c r="Z339" s="44"/>
      <c r="AA339" s="44"/>
      <c r="AB339" s="44"/>
      <c r="AC339" s="44"/>
      <c r="AD339" s="44"/>
      <c r="AE339" s="70"/>
      <c r="AF339" s="70"/>
      <c r="AG339" s="44"/>
      <c r="AH339" s="44"/>
      <c r="AI339" s="44"/>
      <c r="AJ339" s="44"/>
      <c r="AK339" s="44"/>
      <c r="AL339" s="94"/>
      <c r="AM339" s="44"/>
      <c r="AN339" s="44"/>
      <c r="AO339" s="44"/>
      <c r="AP339" s="44"/>
      <c r="AQ339" s="44"/>
      <c r="AR339" s="44"/>
      <c r="AS339" s="44"/>
      <c r="AT339" s="44"/>
      <c r="AU339" s="44"/>
      <c r="AV339" s="44"/>
      <c r="AW339" s="44"/>
      <c r="AX339" s="44"/>
      <c r="AY339"/>
      <c r="AZ339"/>
      <c r="BA339"/>
      <c r="BB339"/>
      <c r="BC339"/>
      <c r="BD339"/>
      <c r="BE339"/>
      <c r="BF339"/>
      <c r="BG339"/>
      <c r="BH339"/>
      <c r="BI339"/>
      <c r="BJ339"/>
    </row>
    <row r="340" spans="1:62" x14ac:dyDescent="0.25">
      <c r="A340" s="44"/>
      <c r="B340" s="44"/>
      <c r="C340" s="44"/>
      <c r="D340" s="825"/>
      <c r="E340" s="44"/>
      <c r="F340" s="44"/>
      <c r="G340" s="44"/>
      <c r="H340" s="44"/>
      <c r="I340" s="44"/>
      <c r="J340" s="44"/>
      <c r="K340" s="44"/>
      <c r="L340" s="44"/>
      <c r="M340" s="44"/>
      <c r="N340" s="44"/>
      <c r="O340" s="44"/>
      <c r="P340" s="1583" t="s">
        <v>682</v>
      </c>
      <c r="Q340" s="1584"/>
      <c r="R340" s="1584"/>
      <c r="S340" s="1584"/>
      <c r="T340" s="1584"/>
      <c r="U340" s="1585"/>
      <c r="V340" s="44"/>
      <c r="W340" s="44"/>
      <c r="X340" s="70"/>
      <c r="Y340" s="57"/>
      <c r="Z340" s="44"/>
      <c r="AA340" s="44"/>
      <c r="AB340" s="44"/>
      <c r="AC340" s="44"/>
      <c r="AD340" s="44"/>
      <c r="AE340" s="70"/>
      <c r="AF340" s="70"/>
      <c r="AG340" s="44"/>
      <c r="AH340" s="44"/>
      <c r="AI340" s="44"/>
      <c r="AJ340" s="44"/>
      <c r="AK340" s="44"/>
      <c r="AL340" s="94"/>
      <c r="AM340" s="44"/>
      <c r="AN340" s="44"/>
      <c r="AO340" s="44"/>
      <c r="AP340" s="44"/>
      <c r="AQ340" s="44"/>
      <c r="AR340" s="44"/>
      <c r="AS340" s="44"/>
      <c r="AT340" s="44"/>
      <c r="AU340" s="44"/>
      <c r="AV340" s="44"/>
      <c r="AW340" s="44"/>
      <c r="AX340" s="44"/>
      <c r="AY340"/>
      <c r="AZ340"/>
      <c r="BA340"/>
      <c r="BB340"/>
      <c r="BC340"/>
      <c r="BD340"/>
      <c r="BE340"/>
      <c r="BF340"/>
      <c r="BG340"/>
      <c r="BH340"/>
      <c r="BI340"/>
      <c r="BJ340"/>
    </row>
    <row r="341" spans="1:62" x14ac:dyDescent="0.25">
      <c r="A341" s="44"/>
      <c r="B341" s="44"/>
      <c r="C341" s="44"/>
      <c r="D341" s="825"/>
      <c r="E341" s="44"/>
      <c r="F341" s="44"/>
      <c r="G341" s="44"/>
      <c r="H341" s="44"/>
      <c r="I341" s="44"/>
      <c r="J341" s="44"/>
      <c r="K341" s="44"/>
      <c r="L341" s="44"/>
      <c r="M341" s="44"/>
      <c r="N341" s="44"/>
      <c r="O341" s="44"/>
      <c r="P341" s="1580" t="s">
        <v>162</v>
      </c>
      <c r="Q341" s="1581"/>
      <c r="R341" s="1581"/>
      <c r="S341" s="1581"/>
      <c r="T341" s="1581"/>
      <c r="U341" s="1582"/>
      <c r="V341" s="44"/>
      <c r="W341" s="44"/>
      <c r="X341" s="70"/>
      <c r="Y341" s="57"/>
      <c r="Z341" s="44"/>
      <c r="AA341" s="44"/>
      <c r="AB341" s="44"/>
      <c r="AC341" s="44"/>
      <c r="AD341" s="44"/>
      <c r="AE341" s="70"/>
      <c r="AF341" s="70"/>
      <c r="AG341" s="44"/>
      <c r="AH341" s="44"/>
      <c r="AI341" s="44"/>
      <c r="AJ341" s="44"/>
      <c r="AK341" s="44"/>
      <c r="AL341" s="94"/>
      <c r="AM341" s="44"/>
      <c r="AN341" s="44"/>
      <c r="AO341" s="44"/>
      <c r="AP341" s="44"/>
      <c r="AQ341" s="44"/>
      <c r="AR341" s="44"/>
      <c r="AS341" s="44"/>
      <c r="AT341" s="44"/>
      <c r="AU341" s="44"/>
      <c r="AV341" s="44"/>
      <c r="AW341" s="44"/>
      <c r="AX341" s="44"/>
      <c r="AY341"/>
      <c r="AZ341"/>
      <c r="BA341"/>
      <c r="BB341"/>
      <c r="BC341"/>
      <c r="BD341"/>
      <c r="BE341"/>
      <c r="BF341"/>
      <c r="BG341"/>
      <c r="BH341"/>
      <c r="BI341"/>
      <c r="BJ341"/>
    </row>
    <row r="342" spans="1:62" x14ac:dyDescent="0.25">
      <c r="A342" s="44"/>
      <c r="B342" s="44"/>
      <c r="C342" s="44"/>
      <c r="D342" s="825"/>
      <c r="E342" s="44"/>
      <c r="F342" s="44"/>
      <c r="G342" s="44"/>
      <c r="H342" s="44"/>
      <c r="I342" s="44"/>
      <c r="J342" s="44"/>
      <c r="K342" s="44"/>
      <c r="L342" s="44"/>
      <c r="M342" s="44"/>
      <c r="N342" s="44"/>
      <c r="O342" s="44"/>
      <c r="P342" s="60"/>
      <c r="Q342" s="1454"/>
      <c r="R342" s="1456"/>
      <c r="S342" s="1456"/>
      <c r="T342" s="1456"/>
      <c r="U342" s="62"/>
      <c r="V342" s="44"/>
      <c r="W342" s="44"/>
      <c r="X342" s="70"/>
      <c r="Y342" s="57"/>
      <c r="Z342" s="44"/>
      <c r="AA342" s="44"/>
      <c r="AB342" s="44"/>
      <c r="AC342" s="44"/>
      <c r="AD342" s="44"/>
      <c r="AE342" s="70"/>
      <c r="AF342" s="70"/>
      <c r="AG342" s="44"/>
      <c r="AH342" s="44"/>
      <c r="AI342" s="44"/>
      <c r="AJ342" s="44"/>
      <c r="AK342" s="44"/>
      <c r="AL342" s="94"/>
      <c r="AM342" s="44"/>
      <c r="AN342" s="44"/>
      <c r="AO342" s="44"/>
      <c r="AP342" s="44"/>
      <c r="AQ342" s="44"/>
      <c r="AR342" s="44"/>
      <c r="AS342" s="44"/>
      <c r="AT342" s="44"/>
      <c r="AU342" s="44"/>
      <c r="AV342" s="44"/>
      <c r="AW342" s="44"/>
      <c r="AX342" s="44"/>
      <c r="AY342"/>
      <c r="AZ342"/>
      <c r="BA342"/>
      <c r="BB342"/>
      <c r="BC342"/>
      <c r="BD342"/>
      <c r="BE342"/>
      <c r="BF342"/>
      <c r="BG342"/>
      <c r="BH342"/>
      <c r="BI342"/>
      <c r="BJ342"/>
    </row>
    <row r="343" spans="1:62" x14ac:dyDescent="0.25">
      <c r="A343" s="44"/>
      <c r="B343" s="44"/>
      <c r="C343" s="44"/>
      <c r="D343" s="825"/>
      <c r="E343" s="44"/>
      <c r="F343" s="44"/>
      <c r="G343" s="44"/>
      <c r="H343" s="44"/>
      <c r="I343" s="44"/>
      <c r="J343" s="44"/>
      <c r="K343" s="44"/>
      <c r="L343" s="44"/>
      <c r="M343" s="44"/>
      <c r="N343" s="44"/>
      <c r="O343" s="44"/>
      <c r="P343" s="421"/>
      <c r="Q343" s="250"/>
      <c r="R343" s="1455" t="s">
        <v>653</v>
      </c>
      <c r="S343" s="433">
        <f>tr_pl_dtb_3_truck</f>
        <v>44</v>
      </c>
      <c r="T343" s="250" t="s">
        <v>570</v>
      </c>
      <c r="U343" s="534"/>
      <c r="V343" s="44"/>
      <c r="W343" s="44"/>
      <c r="X343" s="70"/>
      <c r="Y343" s="57"/>
      <c r="Z343" s="44"/>
      <c r="AA343" s="44"/>
      <c r="AB343" s="44"/>
      <c r="AC343" s="44"/>
      <c r="AD343" s="44"/>
      <c r="AE343" s="70"/>
      <c r="AF343" s="70"/>
      <c r="AG343" s="44"/>
      <c r="AH343" s="44"/>
      <c r="AI343" s="44"/>
      <c r="AJ343" s="44"/>
      <c r="AK343" s="44"/>
      <c r="AL343" s="94"/>
      <c r="AM343" s="44"/>
      <c r="AN343" s="44"/>
      <c r="AO343" s="44"/>
      <c r="AP343" s="44"/>
      <c r="AQ343" s="44"/>
      <c r="AR343" s="44"/>
      <c r="AS343" s="44"/>
      <c r="AT343" s="44"/>
      <c r="AU343" s="44"/>
      <c r="AV343" s="44"/>
      <c r="AW343" s="44"/>
      <c r="AX343" s="44"/>
      <c r="AY343"/>
      <c r="AZ343"/>
      <c r="BA343"/>
      <c r="BB343"/>
      <c r="BC343"/>
      <c r="BD343"/>
      <c r="BE343"/>
      <c r="BF343"/>
      <c r="BG343"/>
      <c r="BH343"/>
      <c r="BI343"/>
      <c r="BJ343"/>
    </row>
    <row r="344" spans="1:62" x14ac:dyDescent="0.25">
      <c r="A344" s="44"/>
      <c r="B344" s="44"/>
      <c r="C344" s="44"/>
      <c r="D344" s="825"/>
      <c r="E344" s="44"/>
      <c r="F344" s="44"/>
      <c r="G344" s="44"/>
      <c r="H344" s="44"/>
      <c r="I344" s="44"/>
      <c r="J344" s="44"/>
      <c r="K344" s="44"/>
      <c r="L344" s="44"/>
      <c r="M344" s="44"/>
      <c r="N344" s="44"/>
      <c r="O344" s="44"/>
      <c r="P344" s="421"/>
      <c r="Q344" s="250"/>
      <c r="R344" s="250"/>
      <c r="S344" s="250"/>
      <c r="T344" s="250"/>
      <c r="U344" s="534"/>
      <c r="V344" s="44"/>
      <c r="W344" s="44"/>
      <c r="X344" s="70"/>
      <c r="Y344" s="57"/>
      <c r="Z344" s="44"/>
      <c r="AA344" s="44"/>
      <c r="AB344" s="44"/>
      <c r="AC344" s="44"/>
      <c r="AD344" s="44"/>
      <c r="AE344" s="70"/>
      <c r="AF344" s="70"/>
      <c r="AG344" s="44"/>
      <c r="AH344" s="44"/>
      <c r="AI344" s="44"/>
      <c r="AJ344" s="44"/>
      <c r="AK344" s="44"/>
      <c r="AL344" s="94"/>
      <c r="AM344" s="44"/>
      <c r="AN344" s="44"/>
      <c r="AO344" s="44"/>
      <c r="AP344" s="44"/>
      <c r="AQ344" s="44"/>
      <c r="AR344" s="44"/>
      <c r="AS344" s="44"/>
      <c r="AT344" s="44"/>
      <c r="AU344" s="44"/>
      <c r="AV344" s="44"/>
      <c r="AW344" s="44"/>
      <c r="AX344" s="44"/>
      <c r="AY344"/>
      <c r="AZ344"/>
      <c r="BA344"/>
      <c r="BB344"/>
      <c r="BC344"/>
      <c r="BD344"/>
      <c r="BE344"/>
      <c r="BF344"/>
      <c r="BG344"/>
      <c r="BH344"/>
      <c r="BI344"/>
      <c r="BJ344"/>
    </row>
    <row r="345" spans="1:62" x14ac:dyDescent="0.25">
      <c r="A345" s="44"/>
      <c r="B345" s="44"/>
      <c r="C345" s="44"/>
      <c r="D345" s="825"/>
      <c r="E345" s="44"/>
      <c r="F345" s="44"/>
      <c r="G345" s="44"/>
      <c r="H345" s="44"/>
      <c r="I345" s="44"/>
      <c r="J345" s="44"/>
      <c r="K345" s="44"/>
      <c r="L345" s="44"/>
      <c r="M345" s="44"/>
      <c r="N345" s="44"/>
      <c r="O345" s="44"/>
      <c r="P345" s="421"/>
      <c r="Q345" s="1455"/>
      <c r="R345" s="1459" t="s">
        <v>430</v>
      </c>
      <c r="S345" s="65">
        <f>IF(tr_pl_dtb_3_mode="road",tr_pl_dtb_3_km,0)</f>
        <v>0</v>
      </c>
      <c r="T345" s="226" t="s">
        <v>427</v>
      </c>
      <c r="U345" s="62"/>
      <c r="V345" s="44"/>
      <c r="W345" s="44"/>
      <c r="X345" s="70"/>
      <c r="Y345" s="57"/>
      <c r="Z345" s="44"/>
      <c r="AA345" s="44"/>
      <c r="AB345" s="44"/>
      <c r="AC345" s="44"/>
      <c r="AD345" s="44"/>
      <c r="AE345" s="70"/>
      <c r="AF345" s="70"/>
      <c r="AG345" s="44"/>
      <c r="AH345" s="44"/>
      <c r="AI345" s="44"/>
      <c r="AJ345" s="44"/>
      <c r="AK345" s="44"/>
      <c r="AL345" s="94"/>
      <c r="AM345" s="44"/>
      <c r="AN345" s="44"/>
      <c r="AO345" s="44"/>
      <c r="AP345" s="44"/>
      <c r="AQ345" s="44"/>
      <c r="AR345" s="44"/>
      <c r="AS345" s="44"/>
      <c r="AT345" s="44"/>
      <c r="AU345" s="44"/>
      <c r="AV345" s="44"/>
      <c r="AW345" s="44"/>
      <c r="AX345" s="44"/>
      <c r="AY345"/>
      <c r="AZ345"/>
      <c r="BA345"/>
      <c r="BB345"/>
      <c r="BC345"/>
      <c r="BD345"/>
      <c r="BE345"/>
      <c r="BF345"/>
      <c r="BG345"/>
      <c r="BH345"/>
      <c r="BI345"/>
      <c r="BJ345"/>
    </row>
    <row r="346" spans="1:62" x14ac:dyDescent="0.25">
      <c r="A346" s="44"/>
      <c r="B346" s="44"/>
      <c r="C346" s="44"/>
      <c r="D346" s="825"/>
      <c r="E346" s="44"/>
      <c r="F346" s="44"/>
      <c r="G346" s="44"/>
      <c r="H346" s="44"/>
      <c r="I346" s="44"/>
      <c r="J346" s="44"/>
      <c r="K346" s="44"/>
      <c r="L346" s="44"/>
      <c r="M346" s="44"/>
      <c r="N346" s="44"/>
      <c r="O346" s="44"/>
      <c r="P346" s="421"/>
      <c r="Q346" s="1455"/>
      <c r="R346" s="80"/>
      <c r="S346" s="82"/>
      <c r="T346" s="80"/>
      <c r="U346" s="62"/>
      <c r="V346" s="44"/>
      <c r="W346" s="44"/>
      <c r="X346" s="70"/>
      <c r="Y346" s="57"/>
      <c r="Z346" s="44"/>
      <c r="AA346" s="44"/>
      <c r="AB346" s="44"/>
      <c r="AC346" s="44"/>
      <c r="AD346" s="44"/>
      <c r="AE346" s="70"/>
      <c r="AF346" s="70"/>
      <c r="AG346" s="44"/>
      <c r="AH346" s="44"/>
      <c r="AI346" s="44"/>
      <c r="AJ346" s="44"/>
      <c r="AK346" s="44"/>
      <c r="AL346" s="94"/>
      <c r="AM346" s="44"/>
      <c r="AN346" s="44"/>
      <c r="AO346" s="44"/>
      <c r="AP346" s="44"/>
      <c r="AQ346" s="44"/>
      <c r="AR346" s="44"/>
      <c r="AS346" s="44"/>
      <c r="AT346" s="44"/>
      <c r="AU346" s="44"/>
      <c r="AV346" s="44"/>
      <c r="AW346" s="44"/>
      <c r="AX346" s="44"/>
      <c r="AY346"/>
      <c r="AZ346"/>
      <c r="BA346"/>
      <c r="BB346"/>
      <c r="BC346"/>
      <c r="BD346"/>
      <c r="BE346"/>
      <c r="BF346"/>
      <c r="BG346"/>
      <c r="BH346"/>
      <c r="BI346"/>
      <c r="BJ346"/>
    </row>
    <row r="347" spans="1:62" x14ac:dyDescent="0.25">
      <c r="A347" s="44"/>
      <c r="B347" s="44"/>
      <c r="C347" s="44"/>
      <c r="D347" s="825"/>
      <c r="E347" s="44"/>
      <c r="F347" s="44"/>
      <c r="G347" s="44"/>
      <c r="H347" s="44"/>
      <c r="I347" s="44"/>
      <c r="J347" s="44"/>
      <c r="K347" s="44"/>
      <c r="L347" s="44"/>
      <c r="M347" s="44"/>
      <c r="N347" s="44"/>
      <c r="O347" s="44"/>
      <c r="P347" s="421"/>
      <c r="Q347" s="1455"/>
      <c r="R347" s="1459" t="s">
        <v>711</v>
      </c>
      <c r="S347" s="65">
        <f>IF(tr_pl_dtb_3_mode="rail",tr_pl_dtb_3_km,0)</f>
        <v>0</v>
      </c>
      <c r="T347" s="226" t="s">
        <v>427</v>
      </c>
      <c r="U347" s="62"/>
      <c r="V347" s="44"/>
      <c r="W347" s="44"/>
      <c r="X347" s="70"/>
      <c r="Y347" s="57"/>
      <c r="Z347" s="44"/>
      <c r="AA347" s="44"/>
      <c r="AB347" s="44"/>
      <c r="AC347" s="44"/>
      <c r="AD347" s="44"/>
      <c r="AE347" s="70"/>
      <c r="AF347" s="70"/>
      <c r="AG347" s="44"/>
      <c r="AH347" s="44"/>
      <c r="AI347" s="44"/>
      <c r="AJ347" s="44"/>
      <c r="AK347" s="44"/>
      <c r="AL347" s="94"/>
      <c r="AM347" s="44"/>
      <c r="AN347" s="44"/>
      <c r="AO347" s="44"/>
      <c r="AP347" s="44"/>
      <c r="AQ347" s="44"/>
      <c r="AR347" s="44"/>
      <c r="AS347" s="44"/>
      <c r="AT347" s="44"/>
      <c r="AU347" s="44"/>
      <c r="AV347" s="44"/>
      <c r="AW347" s="44"/>
      <c r="AX347" s="44"/>
      <c r="AY347"/>
      <c r="AZ347"/>
      <c r="BA347"/>
      <c r="BB347"/>
      <c r="BC347"/>
      <c r="BD347"/>
      <c r="BE347"/>
      <c r="BF347"/>
      <c r="BG347"/>
      <c r="BH347"/>
      <c r="BI347"/>
      <c r="BJ347"/>
    </row>
    <row r="348" spans="1:62" x14ac:dyDescent="0.25">
      <c r="A348" s="44"/>
      <c r="B348" s="44"/>
      <c r="C348" s="44"/>
      <c r="D348" s="825"/>
      <c r="E348" s="44"/>
      <c r="F348" s="44"/>
      <c r="G348" s="44"/>
      <c r="H348" s="44"/>
      <c r="I348" s="44"/>
      <c r="J348" s="44"/>
      <c r="K348" s="44"/>
      <c r="L348" s="44"/>
      <c r="M348" s="44"/>
      <c r="N348" s="44"/>
      <c r="O348" s="44"/>
      <c r="P348" s="421"/>
      <c r="Q348" s="1455"/>
      <c r="R348" s="80"/>
      <c r="S348" s="82"/>
      <c r="T348" s="80"/>
      <c r="U348" s="62"/>
      <c r="V348" s="44"/>
      <c r="W348" s="44"/>
      <c r="X348" s="70"/>
      <c r="Y348" s="57"/>
      <c r="Z348" s="44"/>
      <c r="AA348" s="44"/>
      <c r="AB348" s="44"/>
      <c r="AC348" s="44"/>
      <c r="AD348" s="44"/>
      <c r="AE348" s="70"/>
      <c r="AF348" s="70"/>
      <c r="AG348" s="44"/>
      <c r="AH348" s="44"/>
      <c r="AI348" s="44"/>
      <c r="AJ348" s="44"/>
      <c r="AK348" s="44"/>
      <c r="AL348" s="94"/>
      <c r="AM348" s="44"/>
      <c r="AN348" s="44"/>
      <c r="AO348" s="44"/>
      <c r="AP348" s="44"/>
      <c r="AQ348" s="44"/>
      <c r="AR348" s="44"/>
      <c r="AS348" s="44"/>
      <c r="AT348" s="44"/>
      <c r="AU348" s="44"/>
      <c r="AV348" s="44"/>
      <c r="AW348" s="44"/>
      <c r="AX348" s="44"/>
      <c r="AY348"/>
      <c r="AZ348"/>
      <c r="BA348"/>
      <c r="BB348"/>
      <c r="BC348"/>
      <c r="BD348"/>
      <c r="BE348"/>
      <c r="BF348"/>
      <c r="BG348"/>
      <c r="BH348"/>
      <c r="BI348"/>
      <c r="BJ348"/>
    </row>
    <row r="349" spans="1:62" x14ac:dyDescent="0.25">
      <c r="A349" s="44"/>
      <c r="B349" s="44"/>
      <c r="C349" s="44"/>
      <c r="D349" s="825"/>
      <c r="E349" s="44"/>
      <c r="F349" s="44"/>
      <c r="G349" s="44"/>
      <c r="H349" s="44"/>
      <c r="I349" s="44"/>
      <c r="J349" s="44"/>
      <c r="K349" s="44"/>
      <c r="L349" s="44"/>
      <c r="M349" s="44"/>
      <c r="N349" s="44"/>
      <c r="O349" s="44"/>
      <c r="P349" s="421"/>
      <c r="Q349" s="1455"/>
      <c r="R349" s="1459" t="s">
        <v>429</v>
      </c>
      <c r="S349" s="65">
        <f>IF(tr_pl_dtb_3_mode="barge",tr_pl_dtb_3_km,0)</f>
        <v>0</v>
      </c>
      <c r="T349" s="226" t="s">
        <v>427</v>
      </c>
      <c r="U349" s="62"/>
      <c r="V349" s="44"/>
      <c r="W349" s="44"/>
      <c r="X349" s="70"/>
      <c r="Y349" s="57"/>
      <c r="Z349" s="44"/>
      <c r="AA349" s="44"/>
      <c r="AB349" s="44"/>
      <c r="AC349" s="44"/>
      <c r="AD349" s="44"/>
      <c r="AE349" s="70"/>
      <c r="AF349" s="70"/>
      <c r="AG349" s="44"/>
      <c r="AH349" s="44"/>
      <c r="AI349" s="44"/>
      <c r="AJ349" s="44"/>
      <c r="AK349" s="44"/>
      <c r="AL349" s="94"/>
      <c r="AM349" s="44"/>
      <c r="AN349" s="44"/>
      <c r="AO349" s="44"/>
      <c r="AP349" s="44"/>
      <c r="AQ349" s="44"/>
      <c r="AR349" s="44"/>
      <c r="AS349" s="44"/>
      <c r="AT349" s="44"/>
      <c r="AU349" s="44"/>
      <c r="AV349" s="44"/>
      <c r="AW349" s="44"/>
      <c r="AX349" s="44"/>
      <c r="AY349"/>
      <c r="AZ349"/>
      <c r="BA349"/>
      <c r="BB349"/>
      <c r="BC349"/>
      <c r="BD349"/>
      <c r="BE349"/>
      <c r="BF349"/>
      <c r="BG349"/>
      <c r="BH349"/>
      <c r="BI349"/>
      <c r="BJ349"/>
    </row>
    <row r="350" spans="1:62" x14ac:dyDescent="0.25">
      <c r="A350" s="44"/>
      <c r="B350" s="44"/>
      <c r="C350" s="44"/>
      <c r="D350" s="825"/>
      <c r="E350" s="44"/>
      <c r="F350" s="44"/>
      <c r="G350" s="44"/>
      <c r="H350" s="44"/>
      <c r="I350" s="44"/>
      <c r="J350" s="44"/>
      <c r="K350" s="44"/>
      <c r="L350" s="44"/>
      <c r="M350" s="44"/>
      <c r="N350" s="44"/>
      <c r="O350" s="44"/>
      <c r="P350" s="421"/>
      <c r="Q350" s="1455"/>
      <c r="R350" s="80"/>
      <c r="S350" s="82"/>
      <c r="T350" s="80"/>
      <c r="U350" s="62"/>
      <c r="V350" s="44"/>
      <c r="W350" s="44"/>
      <c r="X350" s="70"/>
      <c r="Y350" s="57"/>
      <c r="Z350" s="44"/>
      <c r="AA350" s="44"/>
      <c r="AB350" s="44"/>
      <c r="AC350" s="44"/>
      <c r="AD350" s="44"/>
      <c r="AE350" s="70"/>
      <c r="AF350" s="70"/>
      <c r="AG350" s="44"/>
      <c r="AH350" s="44"/>
      <c r="AI350" s="44"/>
      <c r="AJ350" s="44"/>
      <c r="AK350" s="44"/>
      <c r="AL350" s="94"/>
      <c r="AM350" s="44"/>
      <c r="AN350" s="44"/>
      <c r="AO350" s="44"/>
      <c r="AP350" s="44"/>
      <c r="AQ350" s="44"/>
      <c r="AR350" s="44"/>
      <c r="AS350" s="44"/>
      <c r="AT350" s="44"/>
      <c r="AU350" s="44"/>
      <c r="AV350" s="44"/>
      <c r="AW350" s="44"/>
      <c r="AX350" s="44"/>
      <c r="AY350"/>
      <c r="AZ350"/>
      <c r="BA350"/>
      <c r="BB350"/>
      <c r="BC350"/>
      <c r="BD350"/>
      <c r="BE350"/>
      <c r="BF350"/>
      <c r="BG350"/>
      <c r="BH350"/>
      <c r="BI350"/>
      <c r="BJ350"/>
    </row>
    <row r="351" spans="1:62" x14ac:dyDescent="0.25">
      <c r="A351" s="44"/>
      <c r="B351" s="44"/>
      <c r="C351" s="44"/>
      <c r="D351" s="825"/>
      <c r="E351" s="44"/>
      <c r="F351" s="44"/>
      <c r="G351" s="44"/>
      <c r="H351" s="44"/>
      <c r="I351" s="44"/>
      <c r="J351" s="44"/>
      <c r="K351" s="44"/>
      <c r="L351" s="44"/>
      <c r="M351" s="44"/>
      <c r="N351" s="44"/>
      <c r="O351" s="44"/>
      <c r="P351" s="421"/>
      <c r="Q351" s="1455"/>
      <c r="R351" s="1459" t="s">
        <v>428</v>
      </c>
      <c r="S351" s="65">
        <f>IF(tr_pl_dtb_3_mode="ship",tr_pl_dtb_3_km,0)</f>
        <v>0</v>
      </c>
      <c r="T351" s="226" t="s">
        <v>427</v>
      </c>
      <c r="U351" s="62"/>
      <c r="V351" s="44"/>
      <c r="W351" s="44"/>
      <c r="X351" s="70"/>
      <c r="Y351" s="57"/>
      <c r="Z351" s="44"/>
      <c r="AA351" s="44"/>
      <c r="AB351" s="44"/>
      <c r="AC351" s="44"/>
      <c r="AD351" s="44"/>
      <c r="AE351" s="70"/>
      <c r="AF351" s="70"/>
      <c r="AG351" s="44"/>
      <c r="AH351" s="44"/>
      <c r="AI351" s="44"/>
      <c r="AJ351" s="44"/>
      <c r="AK351" s="44"/>
      <c r="AL351" s="94"/>
      <c r="AM351" s="44"/>
      <c r="AN351" s="44"/>
      <c r="AO351" s="44"/>
      <c r="AP351" s="44"/>
      <c r="AQ351" s="44"/>
      <c r="AR351" s="44"/>
      <c r="AS351" s="44"/>
      <c r="AT351" s="44"/>
      <c r="AU351" s="44"/>
      <c r="AV351" s="44"/>
      <c r="AW351" s="44"/>
      <c r="AX351" s="44"/>
      <c r="AY351"/>
      <c r="AZ351"/>
      <c r="BA351"/>
      <c r="BB351"/>
      <c r="BC351"/>
      <c r="BD351"/>
      <c r="BE351"/>
      <c r="BF351"/>
      <c r="BG351"/>
      <c r="BH351"/>
      <c r="BI351"/>
      <c r="BJ351"/>
    </row>
    <row r="352" spans="1:62" x14ac:dyDescent="0.25">
      <c r="A352" s="44"/>
      <c r="B352" s="44"/>
      <c r="C352" s="44"/>
      <c r="D352" s="825"/>
      <c r="E352" s="44"/>
      <c r="F352" s="44"/>
      <c r="G352" s="44"/>
      <c r="H352" s="44"/>
      <c r="I352" s="44"/>
      <c r="J352" s="44"/>
      <c r="K352" s="44"/>
      <c r="L352" s="44"/>
      <c r="M352" s="44"/>
      <c r="N352" s="44"/>
      <c r="O352" s="44"/>
      <c r="P352" s="60"/>
      <c r="Q352" s="80"/>
      <c r="R352" s="80"/>
      <c r="S352" s="80"/>
      <c r="T352" s="80"/>
      <c r="U352" s="62"/>
      <c r="V352" s="44"/>
      <c r="W352" s="44"/>
      <c r="X352" s="70"/>
      <c r="Y352" s="57"/>
      <c r="Z352" s="44"/>
      <c r="AA352" s="44"/>
      <c r="AB352" s="44"/>
      <c r="AC352" s="44"/>
      <c r="AD352" s="44"/>
      <c r="AE352" s="70"/>
      <c r="AF352" s="70"/>
      <c r="AG352" s="44"/>
      <c r="AH352" s="44"/>
      <c r="AI352" s="44"/>
      <c r="AJ352" s="44"/>
      <c r="AK352" s="44"/>
      <c r="AL352" s="94"/>
      <c r="AM352" s="44"/>
      <c r="AN352" s="44"/>
      <c r="AO352" s="44"/>
      <c r="AP352" s="44"/>
      <c r="AQ352" s="44"/>
      <c r="AR352" s="44"/>
      <c r="AS352" s="44"/>
      <c r="AT352" s="44"/>
      <c r="AU352" s="44"/>
      <c r="AV352" s="44"/>
      <c r="AW352" s="44"/>
      <c r="AX352" s="44"/>
      <c r="AY352"/>
      <c r="AZ352"/>
      <c r="BA352"/>
      <c r="BB352"/>
      <c r="BC352"/>
      <c r="BD352"/>
      <c r="BE352"/>
      <c r="BF352"/>
      <c r="BG352"/>
      <c r="BH352"/>
      <c r="BI352"/>
      <c r="BJ352"/>
    </row>
    <row r="353" spans="1:62" x14ac:dyDescent="0.25">
      <c r="A353" s="44"/>
      <c r="B353" s="44"/>
      <c r="C353" s="44"/>
      <c r="D353" s="825"/>
      <c r="E353" s="44"/>
      <c r="F353" s="44"/>
      <c r="G353" s="44"/>
      <c r="H353" s="44"/>
      <c r="I353" s="44"/>
      <c r="J353" s="44"/>
      <c r="K353" s="44"/>
      <c r="L353" s="44"/>
      <c r="M353" s="44"/>
      <c r="N353" s="44"/>
      <c r="O353" s="44"/>
      <c r="P353" s="60"/>
      <c r="Q353" s="80"/>
      <c r="R353" s="1459" t="s">
        <v>358</v>
      </c>
      <c r="S353" s="81">
        <f>tr_pl_dtb_3_loss</f>
        <v>0</v>
      </c>
      <c r="T353" s="226" t="s">
        <v>285</v>
      </c>
      <c r="U353" s="62"/>
      <c r="V353" s="44"/>
      <c r="W353" s="44"/>
      <c r="X353" s="70"/>
      <c r="Y353" s="57"/>
      <c r="Z353" s="44"/>
      <c r="AA353" s="44"/>
      <c r="AB353" s="44"/>
      <c r="AC353" s="44"/>
      <c r="AD353" s="44"/>
      <c r="AE353" s="70"/>
      <c r="AF353" s="70"/>
      <c r="AG353" s="44"/>
      <c r="AH353" s="44"/>
      <c r="AI353" s="44"/>
      <c r="AJ353" s="44"/>
      <c r="AK353" s="44"/>
      <c r="AL353" s="94"/>
      <c r="AM353" s="44"/>
      <c r="AN353" s="44"/>
      <c r="AO353" s="44"/>
      <c r="AP353" s="44"/>
      <c r="AQ353" s="44"/>
      <c r="AR353" s="44"/>
      <c r="AS353" s="44"/>
      <c r="AT353" s="44"/>
      <c r="AU353" s="44"/>
      <c r="AV353" s="44"/>
      <c r="AW353" s="44"/>
      <c r="AX353" s="44"/>
      <c r="AY353"/>
      <c r="AZ353"/>
      <c r="BA353"/>
      <c r="BB353"/>
      <c r="BC353"/>
      <c r="BD353"/>
      <c r="BE353"/>
      <c r="BF353"/>
      <c r="BG353"/>
      <c r="BH353"/>
      <c r="BI353"/>
      <c r="BJ353"/>
    </row>
    <row r="354" spans="1:62" ht="13.8" thickBot="1" x14ac:dyDescent="0.3">
      <c r="A354" s="44"/>
      <c r="B354" s="44"/>
      <c r="C354" s="44"/>
      <c r="D354" s="825"/>
      <c r="E354" s="44"/>
      <c r="F354" s="44"/>
      <c r="G354" s="44"/>
      <c r="H354" s="44"/>
      <c r="I354" s="44"/>
      <c r="J354" s="44"/>
      <c r="K354" s="44"/>
      <c r="L354" s="44"/>
      <c r="M354" s="44"/>
      <c r="N354" s="44"/>
      <c r="O354" s="44"/>
      <c r="P354" s="67"/>
      <c r="Q354" s="84"/>
      <c r="R354" s="84"/>
      <c r="S354" s="85"/>
      <c r="T354" s="68"/>
      <c r="U354" s="69"/>
      <c r="V354" s="44"/>
      <c r="W354" s="44"/>
      <c r="X354" s="70"/>
      <c r="Y354" s="57"/>
      <c r="Z354" s="44"/>
      <c r="AA354" s="44"/>
      <c r="AB354" s="44"/>
      <c r="AC354" s="44"/>
      <c r="AD354" s="44"/>
      <c r="AE354" s="70"/>
      <c r="AF354" s="70"/>
      <c r="AG354" s="44"/>
      <c r="AH354" s="44"/>
      <c r="AI354" s="44"/>
      <c r="AJ354" s="44"/>
      <c r="AK354" s="44"/>
      <c r="AL354" s="94"/>
      <c r="AM354" s="44"/>
      <c r="AN354" s="44"/>
      <c r="AO354" s="44"/>
      <c r="AP354" s="44"/>
      <c r="AQ354" s="44"/>
      <c r="AR354" s="44"/>
      <c r="AS354" s="44"/>
      <c r="AT354" s="44"/>
      <c r="AU354" s="44"/>
      <c r="AV354" s="44"/>
      <c r="AW354" s="44"/>
      <c r="AX354" s="44"/>
      <c r="AY354"/>
      <c r="AZ354"/>
      <c r="BA354"/>
      <c r="BB354"/>
      <c r="BC354"/>
      <c r="BD354"/>
      <c r="BE354"/>
      <c r="BF354"/>
      <c r="BG354"/>
      <c r="BH354"/>
      <c r="BI354"/>
      <c r="BJ354"/>
    </row>
    <row r="355" spans="1:62" x14ac:dyDescent="0.25">
      <c r="A355" s="44"/>
      <c r="B355" s="44"/>
      <c r="C355" s="44"/>
      <c r="D355" s="825"/>
      <c r="E355" s="44"/>
      <c r="F355" s="44"/>
      <c r="G355" s="44"/>
      <c r="H355" s="44"/>
      <c r="I355" s="44"/>
      <c r="J355" s="44"/>
      <c r="K355" s="44"/>
      <c r="L355" s="44"/>
      <c r="M355" s="44"/>
      <c r="N355" s="44"/>
      <c r="O355" s="44"/>
      <c r="P355" s="44"/>
      <c r="Q355" s="44"/>
      <c r="R355" s="57"/>
      <c r="S355" s="44"/>
      <c r="T355" s="44"/>
      <c r="U355" s="44"/>
      <c r="V355" s="44"/>
      <c r="W355" s="44"/>
      <c r="X355" s="70"/>
      <c r="Y355" s="57"/>
      <c r="Z355" s="44"/>
      <c r="AA355" s="44"/>
      <c r="AB355" s="44"/>
      <c r="AC355" s="44"/>
      <c r="AD355" s="44"/>
      <c r="AE355" s="70"/>
      <c r="AF355" s="70"/>
      <c r="AG355" s="44"/>
      <c r="AH355" s="44"/>
      <c r="AI355" s="44"/>
      <c r="AJ355" s="44"/>
      <c r="AK355" s="44"/>
      <c r="AL355" s="94"/>
      <c r="AM355" s="44"/>
      <c r="AN355" s="44"/>
      <c r="AO355" s="44"/>
      <c r="AP355" s="44"/>
      <c r="AQ355" s="44"/>
      <c r="AR355" s="44"/>
      <c r="AS355" s="44"/>
      <c r="AT355" s="44"/>
      <c r="AU355" s="44"/>
      <c r="AV355" s="44"/>
      <c r="AW355" s="44"/>
      <c r="AX355" s="44"/>
      <c r="AY355"/>
      <c r="AZ355"/>
      <c r="BA355"/>
      <c r="BB355"/>
      <c r="BC355"/>
      <c r="BD355"/>
      <c r="BE355"/>
      <c r="BF355"/>
      <c r="BG355"/>
      <c r="BH355"/>
      <c r="BI355"/>
      <c r="BJ355"/>
    </row>
    <row r="356" spans="1:62" x14ac:dyDescent="0.25">
      <c r="A356" s="44"/>
      <c r="B356" s="44"/>
      <c r="C356" s="44"/>
      <c r="D356" s="825"/>
      <c r="E356" s="44"/>
      <c r="F356" s="44"/>
      <c r="G356" s="44"/>
      <c r="H356" s="44"/>
      <c r="I356" s="44"/>
      <c r="J356" s="44"/>
      <c r="K356" s="44"/>
      <c r="L356" s="44"/>
      <c r="M356" s="44"/>
      <c r="N356" s="44"/>
      <c r="O356" s="44"/>
      <c r="P356" s="287"/>
      <c r="Q356" s="46"/>
      <c r="R356" s="46"/>
      <c r="S356" s="46"/>
      <c r="T356" s="46"/>
      <c r="U356" s="47"/>
      <c r="V356" s="44"/>
      <c r="W356" s="44"/>
      <c r="X356" s="70"/>
      <c r="Y356" s="57"/>
      <c r="Z356" s="44"/>
      <c r="AA356" s="44"/>
      <c r="AB356" s="44"/>
      <c r="AC356" s="44"/>
      <c r="AD356" s="44"/>
      <c r="AE356" s="70"/>
      <c r="AF356" s="70"/>
      <c r="AG356" s="44"/>
      <c r="AH356" s="44"/>
      <c r="AI356" s="44"/>
      <c r="AJ356" s="44"/>
      <c r="AK356" s="44"/>
      <c r="AL356" s="94"/>
      <c r="AM356" s="44"/>
      <c r="AN356" s="44"/>
      <c r="AO356" s="44"/>
      <c r="AP356" s="44"/>
      <c r="AQ356" s="44"/>
      <c r="AR356" s="44"/>
      <c r="AS356" s="44"/>
      <c r="AT356" s="44"/>
      <c r="AU356" s="44"/>
      <c r="AV356" s="44"/>
      <c r="AW356" s="44"/>
      <c r="AX356" s="44"/>
      <c r="AY356"/>
      <c r="AZ356"/>
      <c r="BA356"/>
      <c r="BB356"/>
      <c r="BC356"/>
      <c r="BD356"/>
      <c r="BE356"/>
      <c r="BF356"/>
      <c r="BG356"/>
      <c r="BH356"/>
      <c r="BI356"/>
      <c r="BJ356"/>
    </row>
    <row r="357" spans="1:62" x14ac:dyDescent="0.25">
      <c r="A357" s="44"/>
      <c r="B357" s="44"/>
      <c r="C357" s="44"/>
      <c r="D357" s="825"/>
      <c r="E357" s="44"/>
      <c r="F357" s="44"/>
      <c r="G357" s="44"/>
      <c r="H357" s="44"/>
      <c r="I357" s="44"/>
      <c r="J357" s="44"/>
      <c r="K357" s="44"/>
      <c r="L357" s="44"/>
      <c r="M357" s="44"/>
      <c r="N357" s="44"/>
      <c r="O357" s="44"/>
      <c r="P357" s="422"/>
      <c r="Q357" s="423"/>
      <c r="R357" s="1460" t="s">
        <v>433</v>
      </c>
      <c r="S357" s="1444">
        <f>IF((S345+S347+S349+S351)&gt;0,S336*(100-S353)/100,S336)</f>
        <v>4.470709824E-2</v>
      </c>
      <c r="T357" s="223" t="s">
        <v>432</v>
      </c>
      <c r="U357" s="51" t="s">
        <v>159</v>
      </c>
      <c r="V357" s="44"/>
      <c r="W357" s="44"/>
      <c r="X357" s="70"/>
      <c r="Y357" s="57"/>
      <c r="Z357" s="44"/>
      <c r="AA357" s="44"/>
      <c r="AB357" s="44"/>
      <c r="AC357" s="44"/>
      <c r="AD357" s="44"/>
      <c r="AE357" s="70"/>
      <c r="AF357" s="70"/>
      <c r="AG357" s="44"/>
      <c r="AH357" s="44"/>
      <c r="AI357" s="44"/>
      <c r="AJ357" s="44"/>
      <c r="AK357" s="44"/>
      <c r="AL357" s="94"/>
      <c r="AM357" s="44"/>
      <c r="AN357" s="44"/>
      <c r="AO357" s="44"/>
      <c r="AP357" s="44"/>
      <c r="AQ357" s="44"/>
      <c r="AR357" s="44"/>
      <c r="AS357" s="44"/>
      <c r="AT357" s="44"/>
      <c r="AU357" s="44"/>
      <c r="AV357" s="44"/>
      <c r="AW357" s="44"/>
      <c r="AX357" s="44"/>
      <c r="AY357"/>
      <c r="AZ357"/>
      <c r="BA357"/>
      <c r="BB357"/>
      <c r="BC357"/>
      <c r="BD357"/>
      <c r="BE357"/>
      <c r="BF357"/>
      <c r="BG357"/>
      <c r="BH357"/>
      <c r="BI357"/>
      <c r="BJ357"/>
    </row>
    <row r="358" spans="1:62" x14ac:dyDescent="0.25">
      <c r="A358" s="44"/>
      <c r="B358" s="44"/>
      <c r="C358" s="44"/>
      <c r="D358" s="825"/>
      <c r="E358" s="44"/>
      <c r="F358" s="44"/>
      <c r="G358" s="44"/>
      <c r="H358" s="44"/>
      <c r="I358" s="44"/>
      <c r="J358" s="44"/>
      <c r="K358" s="44"/>
      <c r="L358" s="44"/>
      <c r="M358" s="44"/>
      <c r="N358" s="44"/>
      <c r="O358" s="44"/>
      <c r="P358" s="54"/>
      <c r="Q358" s="55"/>
      <c r="R358" s="55"/>
      <c r="S358" s="55"/>
      <c r="T358" s="55"/>
      <c r="U358" s="56"/>
      <c r="V358" s="44"/>
      <c r="W358" s="44"/>
      <c r="X358" s="70"/>
      <c r="Y358" s="57"/>
      <c r="Z358" s="44"/>
      <c r="AA358" s="44"/>
      <c r="AB358" s="44"/>
      <c r="AC358" s="44"/>
      <c r="AD358" s="44"/>
      <c r="AE358" s="70"/>
      <c r="AF358" s="70"/>
      <c r="AG358" s="44"/>
      <c r="AH358" s="44"/>
      <c r="AI358" s="44"/>
      <c r="AJ358" s="44"/>
      <c r="AK358" s="44"/>
      <c r="AL358" s="94"/>
      <c r="AM358" s="44"/>
      <c r="AN358" s="44"/>
      <c r="AO358" s="44"/>
      <c r="AP358" s="44"/>
      <c r="AQ358" s="44"/>
      <c r="AR358" s="44"/>
      <c r="AS358" s="44"/>
      <c r="AT358" s="44"/>
      <c r="AU358" s="44"/>
      <c r="AV358" s="44"/>
      <c r="AW358" s="44"/>
      <c r="AX358" s="44"/>
      <c r="AY358"/>
      <c r="AZ358"/>
      <c r="BA358"/>
      <c r="BB358"/>
      <c r="BC358"/>
      <c r="BD358"/>
      <c r="BE358"/>
      <c r="BF358"/>
      <c r="BG358"/>
      <c r="BH358"/>
      <c r="BI358"/>
      <c r="BJ358"/>
    </row>
    <row r="359" spans="1:62" x14ac:dyDescent="0.25">
      <c r="A359" s="44"/>
      <c r="B359" s="44"/>
      <c r="C359" s="44"/>
      <c r="D359" s="825"/>
      <c r="E359" s="44"/>
      <c r="F359" s="44"/>
      <c r="G359" s="44"/>
      <c r="H359" s="44"/>
      <c r="I359" s="44"/>
      <c r="J359" s="44"/>
      <c r="K359" s="44"/>
      <c r="L359" s="44"/>
      <c r="M359" s="44"/>
      <c r="N359" s="44"/>
      <c r="O359" s="44"/>
      <c r="P359" s="44"/>
      <c r="Q359" s="44"/>
      <c r="R359" s="44"/>
      <c r="S359" s="44"/>
      <c r="T359" s="44"/>
      <c r="U359" s="44"/>
      <c r="V359" s="70"/>
      <c r="W359" s="70"/>
      <c r="X359" s="70"/>
      <c r="Y359" s="57"/>
      <c r="Z359" s="44"/>
      <c r="AA359" s="44"/>
      <c r="AB359" s="44"/>
      <c r="AC359" s="70"/>
      <c r="AD359" s="70"/>
      <c r="AE359" s="44"/>
      <c r="AF359" s="44"/>
      <c r="AG359" s="44"/>
      <c r="AH359" s="44"/>
      <c r="AI359" s="44"/>
      <c r="AJ359" s="44"/>
      <c r="AK359" s="44"/>
      <c r="AL359" s="94"/>
      <c r="AM359" s="44"/>
      <c r="AN359" s="44"/>
      <c r="AO359" s="44"/>
      <c r="AP359" s="44"/>
      <c r="AQ359" s="44"/>
      <c r="AR359" s="44"/>
      <c r="AS359" s="44"/>
      <c r="AT359" s="44"/>
      <c r="AU359" s="44"/>
      <c r="AV359" s="44"/>
      <c r="AW359" s="44"/>
      <c r="AX359" s="44"/>
      <c r="AY359"/>
      <c r="AZ359"/>
      <c r="BA359"/>
      <c r="BB359"/>
      <c r="BC359"/>
      <c r="BD359"/>
      <c r="BE359"/>
      <c r="BF359"/>
      <c r="BG359"/>
      <c r="BH359"/>
      <c r="BI359"/>
      <c r="BJ359"/>
    </row>
    <row r="360" spans="1:62" x14ac:dyDescent="0.25">
      <c r="A360" s="44"/>
      <c r="B360" s="44"/>
      <c r="C360" s="44"/>
      <c r="D360" s="825"/>
      <c r="E360" s="44"/>
      <c r="F360" s="44"/>
      <c r="G360" s="44"/>
      <c r="H360" s="44"/>
      <c r="I360" s="44"/>
      <c r="J360" s="44"/>
      <c r="K360" s="44"/>
      <c r="L360" s="44"/>
      <c r="M360" s="44"/>
      <c r="N360" s="44"/>
      <c r="O360" s="44"/>
      <c r="P360" s="44"/>
      <c r="Q360" s="44"/>
      <c r="R360" s="44"/>
      <c r="S360" s="44"/>
      <c r="T360" s="44"/>
      <c r="U360" s="44"/>
      <c r="V360" s="70"/>
      <c r="W360" s="70"/>
      <c r="X360" s="70"/>
      <c r="Y360" s="57"/>
      <c r="Z360" s="44"/>
      <c r="AA360" s="44"/>
      <c r="AB360" s="44"/>
      <c r="AC360" s="70"/>
      <c r="AD360" s="70"/>
      <c r="AE360" s="44"/>
      <c r="AF360" s="44"/>
      <c r="AG360" s="44"/>
      <c r="AH360" s="44"/>
      <c r="AI360" s="44"/>
      <c r="AJ360" s="44"/>
      <c r="AK360" s="44"/>
      <c r="AL360" s="94"/>
      <c r="AM360" s="44"/>
      <c r="AN360" s="44"/>
      <c r="AO360" s="44"/>
      <c r="AP360" s="44"/>
      <c r="AQ360" s="44"/>
      <c r="AR360" s="44"/>
      <c r="AS360" s="44"/>
      <c r="AT360" s="44"/>
      <c r="AU360" s="44"/>
      <c r="AV360" s="44"/>
      <c r="AW360" s="44"/>
      <c r="AX360" s="44"/>
      <c r="AY360"/>
      <c r="AZ360"/>
      <c r="BA360"/>
      <c r="BB360"/>
      <c r="BC360"/>
      <c r="BD360"/>
      <c r="BE360"/>
      <c r="BF360"/>
      <c r="BG360"/>
      <c r="BH360"/>
      <c r="BI360"/>
      <c r="BJ360"/>
    </row>
    <row r="361" spans="1:62" x14ac:dyDescent="0.25">
      <c r="A361" s="44"/>
      <c r="B361" s="44"/>
      <c r="C361" s="44"/>
      <c r="D361" s="825"/>
      <c r="E361" s="87"/>
      <c r="F361" s="87"/>
      <c r="G361" s="87"/>
      <c r="H361" s="87"/>
      <c r="I361" s="87"/>
      <c r="J361" s="87"/>
      <c r="K361" s="87"/>
      <c r="L361" s="87"/>
      <c r="M361" s="87"/>
      <c r="N361" s="87"/>
      <c r="O361" s="87"/>
      <c r="P361" s="87"/>
      <c r="Q361" s="87"/>
      <c r="R361" s="87"/>
      <c r="S361" s="87"/>
      <c r="T361" s="87"/>
      <c r="U361" s="87"/>
      <c r="V361" s="87"/>
      <c r="W361" s="87"/>
      <c r="X361" s="87"/>
      <c r="Y361" s="543"/>
      <c r="Z361" s="87"/>
      <c r="AA361" s="87"/>
      <c r="AB361" s="87"/>
      <c r="AC361" s="87"/>
      <c r="AD361" s="87"/>
      <c r="AE361" s="87"/>
      <c r="AF361" s="87"/>
      <c r="AG361" s="87"/>
      <c r="AH361" s="87"/>
      <c r="AI361" s="87"/>
      <c r="AJ361" s="87"/>
      <c r="AK361" s="87"/>
      <c r="AL361" s="94"/>
      <c r="AM361" s="44"/>
      <c r="AN361" s="44"/>
      <c r="AO361" s="44"/>
      <c r="AP361" s="44"/>
      <c r="AQ361" s="44"/>
      <c r="AR361" s="44"/>
      <c r="AS361" s="44"/>
      <c r="AT361" s="44"/>
      <c r="AU361" s="44"/>
      <c r="AV361" s="44"/>
      <c r="AW361" s="44"/>
      <c r="AX361" s="44"/>
      <c r="AY361"/>
      <c r="AZ361"/>
      <c r="BA361"/>
      <c r="BB361"/>
      <c r="BC361"/>
      <c r="BD361"/>
      <c r="BE361"/>
      <c r="BF361"/>
      <c r="BG361"/>
      <c r="BH361"/>
      <c r="BI361"/>
      <c r="BJ361"/>
    </row>
    <row r="362" spans="1:62" x14ac:dyDescent="0.25">
      <c r="A362" s="44"/>
      <c r="B362" s="44"/>
      <c r="C362" s="57"/>
      <c r="D362" s="44"/>
      <c r="E362" s="44"/>
      <c r="F362" s="44"/>
      <c r="G362" s="44"/>
      <c r="H362" s="44"/>
      <c r="I362" s="44"/>
      <c r="J362" s="44"/>
      <c r="K362" s="44"/>
      <c r="L362" s="44"/>
      <c r="M362" s="44"/>
      <c r="N362" s="44"/>
      <c r="O362" s="44"/>
      <c r="P362" s="44"/>
      <c r="Q362" s="44"/>
      <c r="R362" s="44"/>
      <c r="S362" s="44"/>
      <c r="T362" s="44"/>
      <c r="U362" s="44"/>
      <c r="V362" s="44"/>
      <c r="W362" s="70"/>
      <c r="X362" s="70"/>
      <c r="Y362" s="516"/>
      <c r="Z362" s="44"/>
      <c r="AA362" s="44"/>
      <c r="AB362" s="44"/>
      <c r="AC362" s="44"/>
      <c r="AD362" s="70"/>
      <c r="AE362" s="44"/>
      <c r="AF362" s="44"/>
      <c r="AG362" s="44"/>
      <c r="AH362" s="44"/>
      <c r="AI362" s="44"/>
      <c r="AJ362" s="44"/>
      <c r="AK362" s="44"/>
      <c r="AL362" s="44"/>
      <c r="AM362" s="44"/>
      <c r="AN362" s="44"/>
      <c r="AO362" s="44"/>
      <c r="AP362" s="44"/>
      <c r="AQ362" s="44"/>
      <c r="AR362" s="44"/>
      <c r="AS362" s="44"/>
      <c r="AT362" s="44"/>
      <c r="AU362" s="44"/>
      <c r="AV362" s="44"/>
      <c r="AW362" s="44"/>
      <c r="AX362" s="44"/>
      <c r="AY362"/>
      <c r="AZ362"/>
      <c r="BA362"/>
      <c r="BB362"/>
      <c r="BC362"/>
      <c r="BD362"/>
      <c r="BE362"/>
      <c r="BF362"/>
      <c r="BG362"/>
      <c r="BH362"/>
      <c r="BI362"/>
      <c r="BJ362"/>
    </row>
    <row r="363" spans="1:62" x14ac:dyDescent="0.25">
      <c r="A363" s="44"/>
      <c r="B363" s="44"/>
      <c r="C363" s="57"/>
      <c r="D363" s="87"/>
      <c r="E363" s="87"/>
      <c r="F363" s="87"/>
      <c r="G363" s="87"/>
      <c r="H363" s="87"/>
      <c r="I363" s="87"/>
      <c r="J363" s="87"/>
      <c r="K363" s="87"/>
      <c r="L363" s="87"/>
      <c r="M363" s="87"/>
      <c r="N363" s="87"/>
      <c r="O363" s="87"/>
      <c r="P363" s="87"/>
      <c r="Q363" s="87"/>
      <c r="R363" s="87"/>
      <c r="S363" s="87"/>
      <c r="T363" s="87"/>
      <c r="U363" s="87"/>
      <c r="V363" s="87"/>
      <c r="W363" s="87"/>
      <c r="X363" s="87"/>
      <c r="Y363" s="88"/>
      <c r="Z363" s="70"/>
      <c r="AA363" s="70"/>
      <c r="AB363" s="70"/>
      <c r="AC363" s="70"/>
      <c r="AD363" s="70"/>
      <c r="AE363" s="44"/>
      <c r="AF363" s="44"/>
      <c r="AG363" s="44"/>
      <c r="AH363" s="44"/>
      <c r="AI363" s="44"/>
      <c r="AJ363" s="44"/>
      <c r="AK363" s="44"/>
      <c r="AL363" s="44"/>
      <c r="AM363" s="44"/>
      <c r="AN363" s="44"/>
      <c r="AO363" s="44"/>
      <c r="AP363" s="44"/>
      <c r="AQ363" s="44"/>
      <c r="AR363" s="44"/>
      <c r="AS363" s="44"/>
      <c r="AT363" s="44"/>
      <c r="AU363" s="44"/>
      <c r="AV363" s="44"/>
      <c r="AW363" s="44"/>
      <c r="AX363" s="44"/>
      <c r="AY363"/>
      <c r="AZ363"/>
      <c r="BA363"/>
      <c r="BB363"/>
      <c r="BC363"/>
      <c r="BD363"/>
      <c r="BE363"/>
      <c r="BF363"/>
      <c r="BG363"/>
      <c r="BH363"/>
      <c r="BI363"/>
      <c r="BJ363"/>
    </row>
    <row r="364" spans="1:62" x14ac:dyDescent="0.25">
      <c r="A364" s="44"/>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c r="AZ364"/>
      <c r="BA364"/>
      <c r="BB364"/>
      <c r="BC364"/>
      <c r="BD364"/>
      <c r="BE364"/>
      <c r="BF364"/>
      <c r="BG364"/>
      <c r="BH364"/>
      <c r="BI364"/>
      <c r="BJ364"/>
    </row>
    <row r="365" spans="1:62" x14ac:dyDescent="0.25">
      <c r="A365" s="44"/>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c r="AZ365"/>
      <c r="BA365"/>
      <c r="BB365"/>
      <c r="BC365"/>
      <c r="BD365"/>
      <c r="BE365"/>
      <c r="BF365"/>
      <c r="BG365"/>
      <c r="BH365"/>
      <c r="BI365"/>
      <c r="BJ365"/>
    </row>
    <row r="366" spans="1:62" x14ac:dyDescent="0.25">
      <c r="A366" s="44"/>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c r="AZ366"/>
      <c r="BA366"/>
      <c r="BB366"/>
      <c r="BC366"/>
      <c r="BD366"/>
      <c r="BE366"/>
      <c r="BF366"/>
      <c r="BG366"/>
      <c r="BH366"/>
      <c r="BI366"/>
      <c r="BJ366"/>
    </row>
    <row r="367" spans="1:62" x14ac:dyDescent="0.25">
      <c r="A367" s="44"/>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c r="AZ367"/>
      <c r="BA367"/>
      <c r="BB367"/>
      <c r="BC367"/>
      <c r="BD367"/>
      <c r="BE367"/>
      <c r="BF367"/>
      <c r="BG367"/>
      <c r="BH367"/>
      <c r="BI367"/>
      <c r="BJ367"/>
    </row>
    <row r="368" spans="1:62" x14ac:dyDescent="0.25">
      <c r="A368" s="44"/>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c r="AZ368"/>
      <c r="BA368"/>
      <c r="BB368"/>
      <c r="BC368"/>
      <c r="BD368"/>
      <c r="BE368"/>
      <c r="BF368"/>
      <c r="BG368"/>
      <c r="BH368"/>
      <c r="BI368"/>
      <c r="BJ368"/>
    </row>
    <row r="369" spans="1:62" x14ac:dyDescent="0.25">
      <c r="A369" s="44"/>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c r="AZ369"/>
      <c r="BA369"/>
      <c r="BB369"/>
      <c r="BC369"/>
      <c r="BD369"/>
      <c r="BE369"/>
      <c r="BF369"/>
      <c r="BG369"/>
      <c r="BH369"/>
      <c r="BI369"/>
      <c r="BJ369"/>
    </row>
    <row r="370" spans="1:62" x14ac:dyDescent="0.25">
      <c r="A370" s="44"/>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c r="AZ370"/>
      <c r="BA370"/>
      <c r="BB370"/>
      <c r="BC370"/>
      <c r="BD370"/>
      <c r="BE370"/>
      <c r="BF370"/>
      <c r="BG370"/>
      <c r="BH370"/>
      <c r="BI370"/>
      <c r="BJ370"/>
    </row>
    <row r="371" spans="1:62" x14ac:dyDescent="0.25">
      <c r="A371" s="44"/>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c r="AZ371"/>
      <c r="BA371"/>
      <c r="BB371"/>
      <c r="BC371"/>
      <c r="BD371"/>
      <c r="BE371"/>
      <c r="BF371"/>
      <c r="BG371"/>
      <c r="BH371"/>
      <c r="BI371"/>
      <c r="BJ371"/>
    </row>
    <row r="372" spans="1:62" x14ac:dyDescent="0.25">
      <c r="A372" s="44"/>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c r="AZ372"/>
      <c r="BA372"/>
      <c r="BB372"/>
      <c r="BC372"/>
      <c r="BD372"/>
      <c r="BE372"/>
      <c r="BF372"/>
      <c r="BG372"/>
      <c r="BH372"/>
      <c r="BI372"/>
      <c r="BJ372"/>
    </row>
    <row r="373" spans="1:62" x14ac:dyDescent="0.25">
      <c r="A373" s="44"/>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c r="AZ373"/>
      <c r="BA373"/>
      <c r="BB373"/>
      <c r="BC373"/>
      <c r="BD373"/>
      <c r="BE373"/>
      <c r="BF373"/>
      <c r="BG373"/>
      <c r="BH373"/>
      <c r="BI373"/>
      <c r="BJ373"/>
    </row>
    <row r="374" spans="1:62" x14ac:dyDescent="0.25">
      <c r="A374" s="44"/>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c r="AZ374"/>
      <c r="BA374"/>
      <c r="BB374"/>
      <c r="BC374"/>
      <c r="BD374"/>
      <c r="BE374"/>
      <c r="BF374"/>
      <c r="BG374"/>
      <c r="BH374"/>
      <c r="BI374"/>
      <c r="BJ374"/>
    </row>
    <row r="375" spans="1:62" x14ac:dyDescent="0.25">
      <c r="A375" s="44"/>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c r="AZ375"/>
      <c r="BA375"/>
      <c r="BB375"/>
      <c r="BC375"/>
      <c r="BD375"/>
      <c r="BE375"/>
      <c r="BF375"/>
      <c r="BG375"/>
      <c r="BH375"/>
      <c r="BI375"/>
      <c r="BJ375"/>
    </row>
    <row r="376" spans="1:62" x14ac:dyDescent="0.25">
      <c r="A376" s="44"/>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c r="AZ376"/>
      <c r="BA376"/>
      <c r="BB376"/>
      <c r="BC376"/>
      <c r="BD376"/>
      <c r="BE376"/>
      <c r="BF376"/>
      <c r="BG376"/>
      <c r="BH376"/>
      <c r="BI376"/>
      <c r="BJ376"/>
    </row>
    <row r="377" spans="1:62" x14ac:dyDescent="0.25">
      <c r="A377" s="44"/>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c r="AZ377"/>
      <c r="BA377"/>
      <c r="BB377"/>
      <c r="BC377"/>
      <c r="BD377"/>
      <c r="BE377"/>
      <c r="BF377"/>
      <c r="BG377"/>
      <c r="BH377"/>
      <c r="BI377"/>
      <c r="BJ377"/>
    </row>
    <row r="378" spans="1:62" x14ac:dyDescent="0.25">
      <c r="A378" s="44"/>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c r="AZ378"/>
      <c r="BA378"/>
      <c r="BB378"/>
      <c r="BC378"/>
      <c r="BD378"/>
      <c r="BE378"/>
      <c r="BF378"/>
      <c r="BG378"/>
      <c r="BH378"/>
      <c r="BI378"/>
      <c r="BJ378"/>
    </row>
    <row r="379" spans="1:62" x14ac:dyDescent="0.25">
      <c r="A379" s="44"/>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c r="AZ379"/>
      <c r="BA379"/>
      <c r="BB379"/>
      <c r="BC379"/>
      <c r="BD379"/>
      <c r="BE379"/>
      <c r="BF379"/>
      <c r="BG379"/>
      <c r="BH379"/>
      <c r="BI379"/>
      <c r="BJ379"/>
    </row>
    <row r="380" spans="1:62" x14ac:dyDescent="0.25">
      <c r="A380" s="44"/>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c r="AZ380"/>
      <c r="BA380"/>
      <c r="BB380"/>
      <c r="BC380"/>
      <c r="BD380"/>
      <c r="BE380"/>
      <c r="BF380"/>
      <c r="BG380"/>
      <c r="BH380"/>
      <c r="BI380"/>
      <c r="BJ380"/>
    </row>
    <row r="381" spans="1:62" x14ac:dyDescent="0.25">
      <c r="A381" s="44"/>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c r="AZ381"/>
      <c r="BA381"/>
      <c r="BB381"/>
      <c r="BC381"/>
      <c r="BD381"/>
      <c r="BE381"/>
      <c r="BF381"/>
      <c r="BG381"/>
      <c r="BH381"/>
      <c r="BI381"/>
      <c r="BJ381"/>
    </row>
    <row r="382" spans="1:62" x14ac:dyDescent="0.25">
      <c r="A382" s="44"/>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c r="AZ382"/>
      <c r="BA382"/>
      <c r="BB382"/>
      <c r="BC382"/>
      <c r="BD382"/>
      <c r="BE382"/>
      <c r="BF382"/>
      <c r="BG382"/>
      <c r="BH382"/>
      <c r="BI382"/>
      <c r="BJ382"/>
    </row>
    <row r="383" spans="1:62" x14ac:dyDescent="0.25">
      <c r="A383" s="44"/>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c r="AZ383"/>
      <c r="BA383"/>
      <c r="BB383"/>
      <c r="BC383"/>
      <c r="BD383"/>
      <c r="BE383"/>
      <c r="BF383"/>
      <c r="BG383"/>
      <c r="BH383"/>
      <c r="BI383"/>
      <c r="BJ383"/>
    </row>
    <row r="384" spans="1:62" x14ac:dyDescent="0.25">
      <c r="A384" s="44"/>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c r="AZ384"/>
      <c r="BA384"/>
      <c r="BB384"/>
      <c r="BC384"/>
      <c r="BD384"/>
      <c r="BE384"/>
      <c r="BF384"/>
      <c r="BG384"/>
      <c r="BH384"/>
      <c r="BI384"/>
      <c r="BJ384"/>
    </row>
    <row r="385" spans="1:62" x14ac:dyDescent="0.25">
      <c r="A385" s="44"/>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c r="AZ385"/>
      <c r="BA385"/>
      <c r="BB385"/>
      <c r="BC385"/>
      <c r="BD385"/>
      <c r="BE385"/>
      <c r="BF385"/>
      <c r="BG385"/>
      <c r="BH385"/>
      <c r="BI385"/>
      <c r="BJ385"/>
    </row>
    <row r="386" spans="1:62" x14ac:dyDescent="0.25">
      <c r="A386" s="44"/>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c r="AZ386"/>
      <c r="BA386"/>
      <c r="BB386"/>
      <c r="BC386"/>
      <c r="BD386"/>
      <c r="BE386"/>
      <c r="BF386"/>
      <c r="BG386"/>
      <c r="BH386"/>
      <c r="BI386"/>
      <c r="BJ386"/>
    </row>
    <row r="387" spans="1:62" x14ac:dyDescent="0.25">
      <c r="A387" s="44"/>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c r="AZ387"/>
      <c r="BA387"/>
      <c r="BB387"/>
      <c r="BC387"/>
      <c r="BD387"/>
      <c r="BE387"/>
      <c r="BF387"/>
      <c r="BG387"/>
      <c r="BH387"/>
      <c r="BI387"/>
      <c r="BJ387"/>
    </row>
    <row r="388" spans="1:62" x14ac:dyDescent="0.25">
      <c r="A388" s="44"/>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c r="AZ388"/>
      <c r="BA388"/>
      <c r="BB388"/>
      <c r="BC388"/>
      <c r="BD388"/>
      <c r="BE388"/>
      <c r="BF388"/>
      <c r="BG388"/>
      <c r="BH388"/>
      <c r="BI388"/>
      <c r="BJ388"/>
    </row>
    <row r="389" spans="1:62" x14ac:dyDescent="0.25">
      <c r="A389" s="44"/>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c r="AZ389"/>
      <c r="BA389"/>
      <c r="BB389"/>
      <c r="BC389"/>
      <c r="BD389"/>
      <c r="BE389"/>
      <c r="BF389"/>
      <c r="BG389"/>
      <c r="BH389"/>
      <c r="BI389"/>
      <c r="BJ389"/>
    </row>
    <row r="390" spans="1:62" x14ac:dyDescent="0.25">
      <c r="A390" s="44"/>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c r="AZ390"/>
      <c r="BA390"/>
      <c r="BB390"/>
      <c r="BC390"/>
      <c r="BD390"/>
      <c r="BE390"/>
      <c r="BF390"/>
      <c r="BG390"/>
      <c r="BH390"/>
      <c r="BI390"/>
      <c r="BJ390"/>
    </row>
    <row r="391" spans="1:62" x14ac:dyDescent="0.25">
      <c r="A391" s="44"/>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c r="AZ391"/>
      <c r="BA391"/>
      <c r="BB391"/>
      <c r="BC391"/>
      <c r="BD391"/>
      <c r="BE391"/>
      <c r="BF391"/>
      <c r="BG391"/>
      <c r="BH391"/>
      <c r="BI391"/>
      <c r="BJ391"/>
    </row>
    <row r="392" spans="1:62" x14ac:dyDescent="0.25">
      <c r="A392" s="44"/>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c r="AZ392"/>
      <c r="BA392"/>
      <c r="BB392"/>
      <c r="BC392"/>
      <c r="BD392"/>
      <c r="BE392"/>
      <c r="BF392"/>
      <c r="BG392"/>
      <c r="BH392"/>
      <c r="BI392"/>
      <c r="BJ392"/>
    </row>
    <row r="393" spans="1:62" x14ac:dyDescent="0.25">
      <c r="A393" s="44"/>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c r="AZ393"/>
      <c r="BA393"/>
      <c r="BB393"/>
      <c r="BC393"/>
      <c r="BD393"/>
      <c r="BE393"/>
      <c r="BF393"/>
      <c r="BG393"/>
      <c r="BH393"/>
      <c r="BI393"/>
      <c r="BJ393"/>
    </row>
    <row r="394" spans="1:62" x14ac:dyDescent="0.25">
      <c r="A394" s="44"/>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c r="AZ394"/>
      <c r="BA394"/>
      <c r="BB394"/>
      <c r="BC394"/>
      <c r="BD394"/>
      <c r="BE394"/>
      <c r="BF394"/>
      <c r="BG394"/>
      <c r="BH394"/>
      <c r="BI394"/>
      <c r="BJ394"/>
    </row>
    <row r="395" spans="1:62" x14ac:dyDescent="0.25">
      <c r="A395" s="44"/>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c r="AZ395"/>
      <c r="BA395"/>
      <c r="BB395"/>
      <c r="BC395"/>
      <c r="BD395"/>
      <c r="BE395"/>
      <c r="BF395"/>
      <c r="BG395"/>
      <c r="BH395"/>
      <c r="BI395"/>
      <c r="BJ395"/>
    </row>
    <row r="396" spans="1:62" x14ac:dyDescent="0.25">
      <c r="A396" s="44"/>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c r="AZ396"/>
      <c r="BA396"/>
      <c r="BB396"/>
      <c r="BC396"/>
      <c r="BD396"/>
      <c r="BE396"/>
      <c r="BF396"/>
      <c r="BG396"/>
      <c r="BH396"/>
      <c r="BI396"/>
      <c r="BJ396"/>
    </row>
    <row r="397" spans="1:62" x14ac:dyDescent="0.25">
      <c r="A397" s="44"/>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c r="AZ397"/>
      <c r="BA397"/>
      <c r="BB397"/>
      <c r="BC397"/>
      <c r="BD397"/>
      <c r="BE397"/>
      <c r="BF397"/>
      <c r="BG397"/>
      <c r="BH397"/>
      <c r="BI397"/>
      <c r="BJ397"/>
    </row>
    <row r="398" spans="1:62" x14ac:dyDescent="0.25">
      <c r="A398" s="44"/>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c r="AZ398"/>
      <c r="BA398"/>
      <c r="BB398"/>
      <c r="BC398"/>
      <c r="BD398"/>
      <c r="BE398"/>
      <c r="BF398"/>
      <c r="BG398"/>
      <c r="BH398"/>
      <c r="BI398"/>
      <c r="BJ398"/>
    </row>
    <row r="399" spans="1:62" x14ac:dyDescent="0.25">
      <c r="A399" s="44"/>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c r="AZ399"/>
      <c r="BA399"/>
      <c r="BB399"/>
      <c r="BC399"/>
      <c r="BD399"/>
      <c r="BE399"/>
      <c r="BF399"/>
      <c r="BG399"/>
      <c r="BH399"/>
      <c r="BI399"/>
      <c r="BJ399"/>
    </row>
    <row r="400" spans="1:62" x14ac:dyDescent="0.25">
      <c r="A400" s="44"/>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c r="AZ400"/>
      <c r="BA400"/>
      <c r="BB400"/>
      <c r="BC400"/>
      <c r="BD400"/>
      <c r="BE400"/>
      <c r="BF400"/>
      <c r="BG400"/>
      <c r="BH400"/>
      <c r="BI400"/>
      <c r="BJ400"/>
    </row>
    <row r="401" spans="1:62" x14ac:dyDescent="0.25">
      <c r="A401" s="44"/>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c r="AZ401"/>
      <c r="BA401"/>
      <c r="BB401"/>
      <c r="BC401"/>
      <c r="BD401"/>
      <c r="BE401"/>
      <c r="BF401"/>
      <c r="BG401"/>
      <c r="BH401"/>
      <c r="BI401"/>
      <c r="BJ401"/>
    </row>
    <row r="402" spans="1:62" x14ac:dyDescent="0.25">
      <c r="A402" s="44"/>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c r="AZ402"/>
      <c r="BA402"/>
      <c r="BB402"/>
      <c r="BC402"/>
      <c r="BD402"/>
      <c r="BE402"/>
      <c r="BF402"/>
      <c r="BG402"/>
      <c r="BH402"/>
      <c r="BI402"/>
      <c r="BJ402"/>
    </row>
    <row r="403" spans="1:62" x14ac:dyDescent="0.25">
      <c r="A403" s="44"/>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c r="AZ403"/>
      <c r="BA403"/>
      <c r="BB403"/>
      <c r="BC403"/>
      <c r="BD403"/>
      <c r="BE403"/>
      <c r="BF403"/>
      <c r="BG403"/>
      <c r="BH403"/>
      <c r="BI403"/>
      <c r="BJ403"/>
    </row>
    <row r="404" spans="1:62" x14ac:dyDescent="0.25">
      <c r="A404" s="44"/>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c r="AZ404"/>
      <c r="BA404"/>
      <c r="BB404"/>
      <c r="BC404"/>
      <c r="BD404"/>
      <c r="BE404"/>
      <c r="BF404"/>
      <c r="BG404"/>
      <c r="BH404"/>
      <c r="BI404"/>
      <c r="BJ404"/>
    </row>
    <row r="405" spans="1:62" x14ac:dyDescent="0.25">
      <c r="A405" s="44"/>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c r="AZ405"/>
      <c r="BA405"/>
      <c r="BB405"/>
      <c r="BC405"/>
      <c r="BD405"/>
      <c r="BE405"/>
      <c r="BF405"/>
      <c r="BG405"/>
      <c r="BH405"/>
      <c r="BI405"/>
      <c r="BJ405"/>
    </row>
    <row r="406" spans="1:62" x14ac:dyDescent="0.25">
      <c r="A406" s="44"/>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c r="AZ406"/>
      <c r="BA406"/>
      <c r="BB406"/>
      <c r="BC406"/>
      <c r="BD406"/>
      <c r="BE406"/>
      <c r="BF406"/>
      <c r="BG406"/>
      <c r="BH406"/>
      <c r="BI406"/>
      <c r="BJ406"/>
    </row>
    <row r="407" spans="1:62" x14ac:dyDescent="0.25">
      <c r="A407" s="44"/>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c r="AZ407"/>
      <c r="BA407"/>
      <c r="BB407"/>
      <c r="BC407"/>
      <c r="BD407"/>
      <c r="BE407"/>
      <c r="BF407"/>
      <c r="BG407"/>
      <c r="BH407"/>
      <c r="BI407"/>
      <c r="BJ407"/>
    </row>
    <row r="408" spans="1:62" x14ac:dyDescent="0.25">
      <c r="A408" s="44"/>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c r="AZ408"/>
      <c r="BA408"/>
      <c r="BB408"/>
      <c r="BC408"/>
      <c r="BD408"/>
      <c r="BE408"/>
      <c r="BF408"/>
      <c r="BG408"/>
      <c r="BH408"/>
      <c r="BI408"/>
      <c r="BJ408"/>
    </row>
    <row r="409" spans="1:62" x14ac:dyDescent="0.25">
      <c r="A409" s="44"/>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c r="AZ409"/>
      <c r="BA409"/>
      <c r="BB409"/>
      <c r="BC409"/>
      <c r="BD409"/>
      <c r="BE409"/>
      <c r="BF409"/>
      <c r="BG409"/>
      <c r="BH409"/>
      <c r="BI409"/>
      <c r="BJ409"/>
    </row>
    <row r="410" spans="1:62" x14ac:dyDescent="0.25">
      <c r="A410" s="44"/>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c r="AZ410"/>
      <c r="BA410"/>
      <c r="BB410"/>
      <c r="BC410"/>
      <c r="BD410"/>
      <c r="BE410"/>
      <c r="BF410"/>
      <c r="BG410"/>
      <c r="BH410"/>
      <c r="BI410"/>
      <c r="BJ410"/>
    </row>
    <row r="411" spans="1:62" x14ac:dyDescent="0.25">
      <c r="A411" s="44"/>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c r="AZ411"/>
      <c r="BA411"/>
      <c r="BB411"/>
      <c r="BC411"/>
      <c r="BD411"/>
      <c r="BE411"/>
      <c r="BF411"/>
      <c r="BG411"/>
      <c r="BH411"/>
      <c r="BI411"/>
      <c r="BJ411"/>
    </row>
    <row r="412" spans="1:62" x14ac:dyDescent="0.25">
      <c r="A412" s="44"/>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c r="AZ412"/>
      <c r="BA412"/>
      <c r="BB412"/>
      <c r="BC412"/>
      <c r="BD412"/>
      <c r="BE412"/>
      <c r="BF412"/>
      <c r="BG412"/>
      <c r="BH412"/>
      <c r="BI412"/>
      <c r="BJ412"/>
    </row>
    <row r="413" spans="1:62" x14ac:dyDescent="0.25">
      <c r="A413" s="44"/>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c r="AZ413"/>
      <c r="BA413"/>
      <c r="BB413"/>
      <c r="BC413"/>
      <c r="BD413"/>
      <c r="BE413"/>
      <c r="BF413"/>
      <c r="BG413"/>
      <c r="BH413"/>
      <c r="BI413"/>
      <c r="BJ413"/>
    </row>
    <row r="414" spans="1:62" x14ac:dyDescent="0.25">
      <c r="A414" s="44"/>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c r="AZ414"/>
      <c r="BA414"/>
      <c r="BB414"/>
      <c r="BC414"/>
      <c r="BD414"/>
      <c r="BE414"/>
      <c r="BF414"/>
      <c r="BG414"/>
      <c r="BH414"/>
      <c r="BI414"/>
      <c r="BJ414"/>
    </row>
    <row r="415" spans="1:62" x14ac:dyDescent="0.25">
      <c r="A415" s="44"/>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c r="AZ415"/>
      <c r="BA415"/>
      <c r="BB415"/>
      <c r="BC415"/>
      <c r="BD415"/>
      <c r="BE415"/>
      <c r="BF415"/>
      <c r="BG415"/>
      <c r="BH415"/>
      <c r="BI415"/>
      <c r="BJ415"/>
    </row>
    <row r="416" spans="1:62" x14ac:dyDescent="0.25">
      <c r="A416" s="44"/>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c r="AZ416"/>
      <c r="BA416"/>
      <c r="BB416"/>
      <c r="BC416"/>
      <c r="BD416"/>
      <c r="BE416"/>
      <c r="BF416"/>
      <c r="BG416"/>
      <c r="BH416"/>
      <c r="BI416"/>
      <c r="BJ416"/>
    </row>
    <row r="417" spans="1:62" x14ac:dyDescent="0.25">
      <c r="A417" s="44"/>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c r="AZ417"/>
      <c r="BA417"/>
      <c r="BB417"/>
      <c r="BC417"/>
      <c r="BD417"/>
      <c r="BE417"/>
      <c r="BF417"/>
      <c r="BG417"/>
      <c r="BH417"/>
      <c r="BI417"/>
      <c r="BJ417"/>
    </row>
    <row r="418" spans="1:62" x14ac:dyDescent="0.25">
      <c r="A418" s="44"/>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c r="AZ418"/>
      <c r="BA418"/>
      <c r="BB418"/>
      <c r="BC418"/>
      <c r="BD418"/>
      <c r="BE418"/>
      <c r="BF418"/>
      <c r="BG418"/>
      <c r="BH418"/>
      <c r="BI418"/>
      <c r="BJ418"/>
    </row>
    <row r="419" spans="1:62" x14ac:dyDescent="0.25">
      <c r="A419" s="44"/>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c r="AZ419"/>
      <c r="BA419"/>
      <c r="BB419"/>
      <c r="BC419"/>
      <c r="BD419"/>
      <c r="BE419"/>
      <c r="BF419"/>
      <c r="BG419"/>
      <c r="BH419"/>
      <c r="BI419"/>
      <c r="BJ419"/>
    </row>
    <row r="420" spans="1:62" x14ac:dyDescent="0.25">
      <c r="A420" s="44"/>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c r="AZ420"/>
      <c r="BA420"/>
      <c r="BB420"/>
      <c r="BC420"/>
      <c r="BD420"/>
      <c r="BE420"/>
      <c r="BF420"/>
      <c r="BG420"/>
      <c r="BH420"/>
      <c r="BI420"/>
      <c r="BJ420"/>
    </row>
    <row r="421" spans="1:62" x14ac:dyDescent="0.25">
      <c r="A421" s="44"/>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c r="AZ421"/>
      <c r="BA421"/>
      <c r="BB421"/>
      <c r="BC421"/>
      <c r="BD421"/>
      <c r="BE421"/>
      <c r="BF421"/>
      <c r="BG421"/>
      <c r="BH421"/>
      <c r="BI421"/>
      <c r="BJ421"/>
    </row>
    <row r="422" spans="1:62" x14ac:dyDescent="0.25">
      <c r="A422" s="44"/>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c r="AZ422"/>
      <c r="BA422"/>
      <c r="BB422"/>
      <c r="BC422"/>
      <c r="BD422"/>
      <c r="BE422"/>
      <c r="BF422"/>
      <c r="BG422"/>
      <c r="BH422"/>
      <c r="BI422"/>
      <c r="BJ422"/>
    </row>
    <row r="423" spans="1:62" x14ac:dyDescent="0.25">
      <c r="A423" s="44"/>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c r="AZ423"/>
      <c r="BA423"/>
      <c r="BB423"/>
      <c r="BC423"/>
      <c r="BD423"/>
      <c r="BE423"/>
      <c r="BF423"/>
      <c r="BG423"/>
      <c r="BH423"/>
      <c r="BI423"/>
      <c r="BJ423"/>
    </row>
    <row r="424" spans="1:62" x14ac:dyDescent="0.25">
      <c r="A424" s="44"/>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c r="AZ424"/>
      <c r="BA424"/>
      <c r="BB424"/>
      <c r="BC424"/>
      <c r="BD424"/>
      <c r="BE424"/>
      <c r="BF424"/>
      <c r="BG424"/>
      <c r="BH424"/>
      <c r="BI424"/>
      <c r="BJ424"/>
    </row>
    <row r="425" spans="1:62" x14ac:dyDescent="0.25">
      <c r="A425" s="44"/>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c r="AZ425"/>
      <c r="BA425"/>
      <c r="BB425"/>
      <c r="BC425"/>
      <c r="BD425"/>
      <c r="BE425"/>
      <c r="BF425"/>
      <c r="BG425"/>
      <c r="BH425"/>
      <c r="BI425"/>
      <c r="BJ425"/>
    </row>
    <row r="426" spans="1:62" x14ac:dyDescent="0.25">
      <c r="A426" s="44"/>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c r="AZ426"/>
      <c r="BA426"/>
      <c r="BB426"/>
      <c r="BC426"/>
      <c r="BD426"/>
      <c r="BE426"/>
      <c r="BF426"/>
      <c r="BG426"/>
      <c r="BH426"/>
      <c r="BI426"/>
      <c r="BJ426"/>
    </row>
    <row r="427" spans="1:62" x14ac:dyDescent="0.25">
      <c r="A427" s="44"/>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c r="AZ427"/>
      <c r="BA427"/>
      <c r="BB427"/>
      <c r="BC427"/>
      <c r="BD427"/>
      <c r="BE427"/>
      <c r="BF427"/>
      <c r="BG427"/>
      <c r="BH427"/>
      <c r="BI427"/>
      <c r="BJ427"/>
    </row>
    <row r="428" spans="1:62" x14ac:dyDescent="0.25">
      <c r="A428" s="44"/>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c r="AZ428"/>
      <c r="BA428"/>
      <c r="BB428"/>
      <c r="BC428"/>
      <c r="BD428"/>
      <c r="BE428"/>
      <c r="BF428"/>
      <c r="BG428"/>
      <c r="BH428"/>
      <c r="BI428"/>
      <c r="BJ428"/>
    </row>
    <row r="429" spans="1:62" x14ac:dyDescent="0.25">
      <c r="A429" s="44"/>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c r="AZ429"/>
      <c r="BA429"/>
      <c r="BB429"/>
      <c r="BC429"/>
      <c r="BD429"/>
      <c r="BE429"/>
      <c r="BF429"/>
      <c r="BG429"/>
      <c r="BH429"/>
      <c r="BI429"/>
      <c r="BJ429"/>
    </row>
    <row r="430" spans="1:62" x14ac:dyDescent="0.25">
      <c r="A430" s="44"/>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c r="AZ430"/>
      <c r="BA430"/>
      <c r="BB430"/>
      <c r="BC430"/>
      <c r="BD430"/>
      <c r="BE430"/>
      <c r="BF430"/>
      <c r="BG430"/>
      <c r="BH430"/>
      <c r="BI430"/>
      <c r="BJ430"/>
    </row>
    <row r="431" spans="1:62" x14ac:dyDescent="0.25">
      <c r="A431" s="44"/>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c r="AZ431"/>
      <c r="BA431"/>
      <c r="BB431"/>
      <c r="BC431"/>
      <c r="BD431"/>
      <c r="BE431"/>
      <c r="BF431"/>
      <c r="BG431"/>
      <c r="BH431"/>
      <c r="BI431"/>
      <c r="BJ431"/>
    </row>
    <row r="432" spans="1:62" x14ac:dyDescent="0.25">
      <c r="A432" s="44"/>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c r="AZ432"/>
      <c r="BA432"/>
      <c r="BB432"/>
      <c r="BC432"/>
      <c r="BD432"/>
      <c r="BE432"/>
      <c r="BF432"/>
      <c r="BG432"/>
      <c r="BH432"/>
      <c r="BI432"/>
      <c r="BJ432"/>
    </row>
    <row r="433" spans="1:62" x14ac:dyDescent="0.25">
      <c r="A433" s="44"/>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c r="AZ433"/>
      <c r="BA433"/>
      <c r="BB433"/>
      <c r="BC433"/>
      <c r="BD433"/>
      <c r="BE433"/>
      <c r="BF433"/>
      <c r="BG433"/>
      <c r="BH433"/>
      <c r="BI433"/>
      <c r="BJ433"/>
    </row>
    <row r="434" spans="1:62" x14ac:dyDescent="0.25">
      <c r="A434" s="44"/>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c r="AZ434"/>
      <c r="BA434"/>
      <c r="BB434"/>
      <c r="BC434"/>
      <c r="BD434"/>
      <c r="BE434"/>
      <c r="BF434"/>
      <c r="BG434"/>
      <c r="BH434"/>
      <c r="BI434"/>
      <c r="BJ434"/>
    </row>
    <row r="435" spans="1:62" x14ac:dyDescent="0.25">
      <c r="A435" s="44"/>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c r="AZ435"/>
      <c r="BA435"/>
      <c r="BB435"/>
      <c r="BC435"/>
      <c r="BD435"/>
      <c r="BE435"/>
      <c r="BF435"/>
      <c r="BG435"/>
      <c r="BH435"/>
      <c r="BI435"/>
      <c r="BJ435"/>
    </row>
    <row r="436" spans="1:62" x14ac:dyDescent="0.25">
      <c r="A436" s="44"/>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c r="AZ436"/>
      <c r="BA436"/>
      <c r="BB436"/>
      <c r="BC436"/>
      <c r="BD436"/>
      <c r="BE436"/>
      <c r="BF436"/>
      <c r="BG436"/>
      <c r="BH436"/>
      <c r="BI436"/>
      <c r="BJ436"/>
    </row>
    <row r="437" spans="1:62" x14ac:dyDescent="0.25">
      <c r="A437" s="44"/>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c r="AZ437"/>
      <c r="BA437"/>
      <c r="BB437"/>
      <c r="BC437"/>
      <c r="BD437"/>
      <c r="BE437"/>
      <c r="BF437"/>
      <c r="BG437"/>
      <c r="BH437"/>
      <c r="BI437"/>
      <c r="BJ437"/>
    </row>
    <row r="438" spans="1:62" x14ac:dyDescent="0.25">
      <c r="A438" s="44"/>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c r="AZ438"/>
      <c r="BA438"/>
      <c r="BB438"/>
      <c r="BC438"/>
      <c r="BD438"/>
      <c r="BE438"/>
      <c r="BF438"/>
      <c r="BG438"/>
      <c r="BH438"/>
      <c r="BI438"/>
      <c r="BJ438"/>
    </row>
    <row r="439" spans="1:62" x14ac:dyDescent="0.25">
      <c r="A439" s="44"/>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c r="AZ439"/>
      <c r="BA439"/>
      <c r="BB439"/>
      <c r="BC439"/>
      <c r="BD439"/>
      <c r="BE439"/>
      <c r="BF439"/>
      <c r="BG439"/>
      <c r="BH439"/>
      <c r="BI439"/>
      <c r="BJ439"/>
    </row>
    <row r="440" spans="1:62" x14ac:dyDescent="0.25">
      <c r="A440" s="44"/>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c r="AZ440"/>
      <c r="BA440"/>
      <c r="BB440"/>
      <c r="BC440"/>
      <c r="BD440"/>
      <c r="BE440"/>
      <c r="BF440"/>
      <c r="BG440"/>
      <c r="BH440"/>
      <c r="BI440"/>
      <c r="BJ440"/>
    </row>
    <row r="441" spans="1:62" x14ac:dyDescent="0.25">
      <c r="A441" s="44"/>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c r="AZ441"/>
      <c r="BA441"/>
      <c r="BB441"/>
      <c r="BC441"/>
      <c r="BD441"/>
      <c r="BE441"/>
      <c r="BF441"/>
      <c r="BG441"/>
      <c r="BH441"/>
      <c r="BI441"/>
      <c r="BJ441"/>
    </row>
    <row r="442" spans="1:62" x14ac:dyDescent="0.25">
      <c r="A442" s="44"/>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c r="AZ442"/>
      <c r="BA442"/>
      <c r="BB442"/>
      <c r="BC442"/>
      <c r="BD442"/>
      <c r="BE442"/>
      <c r="BF442"/>
      <c r="BG442"/>
      <c r="BH442"/>
      <c r="BI442"/>
      <c r="BJ442"/>
    </row>
    <row r="443" spans="1:62" x14ac:dyDescent="0.25">
      <c r="A443" s="44"/>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c r="AZ443"/>
      <c r="BA443"/>
      <c r="BB443"/>
      <c r="BC443"/>
      <c r="BD443"/>
      <c r="BE443"/>
      <c r="BF443"/>
      <c r="BG443"/>
      <c r="BH443"/>
      <c r="BI443"/>
      <c r="BJ443"/>
    </row>
    <row r="444" spans="1:62" x14ac:dyDescent="0.25">
      <c r="A444" s="44"/>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c r="AZ444"/>
      <c r="BA444"/>
      <c r="BB444"/>
      <c r="BC444"/>
      <c r="BD444"/>
      <c r="BE444"/>
      <c r="BF444"/>
      <c r="BG444"/>
      <c r="BH444"/>
      <c r="BI444"/>
      <c r="BJ444"/>
    </row>
    <row r="445" spans="1:62" x14ac:dyDescent="0.25">
      <c r="A445" s="44"/>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c r="AZ445"/>
      <c r="BA445"/>
      <c r="BB445"/>
      <c r="BC445"/>
      <c r="BD445"/>
      <c r="BE445"/>
      <c r="BF445"/>
      <c r="BG445"/>
      <c r="BH445"/>
      <c r="BI445"/>
      <c r="BJ445"/>
    </row>
    <row r="446" spans="1:62" x14ac:dyDescent="0.25">
      <c r="A446" s="44"/>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c r="AZ446"/>
      <c r="BA446"/>
      <c r="BB446"/>
      <c r="BC446"/>
      <c r="BD446"/>
      <c r="BE446"/>
      <c r="BF446"/>
      <c r="BG446"/>
      <c r="BH446"/>
      <c r="BI446"/>
      <c r="BJ446"/>
    </row>
    <row r="447" spans="1:62" x14ac:dyDescent="0.25">
      <c r="A447" s="44"/>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c r="AZ447"/>
      <c r="BA447"/>
      <c r="BB447"/>
      <c r="BC447"/>
      <c r="BD447"/>
      <c r="BE447"/>
      <c r="BF447"/>
      <c r="BG447"/>
      <c r="BH447"/>
      <c r="BI447"/>
      <c r="BJ447"/>
    </row>
    <row r="448" spans="1:62" x14ac:dyDescent="0.25">
      <c r="A448" s="44"/>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c r="AZ448"/>
      <c r="BA448"/>
      <c r="BB448"/>
      <c r="BC448"/>
      <c r="BD448"/>
      <c r="BE448"/>
      <c r="BF448"/>
      <c r="BG448"/>
      <c r="BH448"/>
      <c r="BI448"/>
      <c r="BJ448"/>
    </row>
    <row r="449" spans="1:62" x14ac:dyDescent="0.25">
      <c r="A449" s="44"/>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c r="AZ449"/>
      <c r="BA449"/>
      <c r="BB449"/>
      <c r="BC449"/>
      <c r="BD449"/>
      <c r="BE449"/>
      <c r="BF449"/>
      <c r="BG449"/>
      <c r="BH449"/>
      <c r="BI449"/>
      <c r="BJ449"/>
    </row>
    <row r="450" spans="1:62" x14ac:dyDescent="0.25">
      <c r="A450" s="44"/>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c r="AZ450"/>
      <c r="BA450"/>
      <c r="BB450"/>
      <c r="BC450"/>
      <c r="BD450"/>
      <c r="BE450"/>
      <c r="BF450"/>
      <c r="BG450"/>
      <c r="BH450"/>
      <c r="BI450"/>
      <c r="BJ450"/>
    </row>
    <row r="451" spans="1:62" x14ac:dyDescent="0.25">
      <c r="A451" s="44"/>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c r="AZ451"/>
      <c r="BA451"/>
      <c r="BB451"/>
      <c r="BC451"/>
      <c r="BD451"/>
      <c r="BE451"/>
      <c r="BF451"/>
      <c r="BG451"/>
      <c r="BH451"/>
      <c r="BI451"/>
      <c r="BJ451"/>
    </row>
    <row r="452" spans="1:62" x14ac:dyDescent="0.25">
      <c r="A452" s="44"/>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c r="AZ452"/>
      <c r="BA452"/>
      <c r="BB452"/>
      <c r="BC452"/>
      <c r="BD452"/>
      <c r="BE452"/>
      <c r="BF452"/>
      <c r="BG452"/>
      <c r="BH452"/>
      <c r="BI452"/>
      <c r="BJ452"/>
    </row>
    <row r="453" spans="1:62" x14ac:dyDescent="0.25">
      <c r="A453" s="44"/>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c r="AZ453"/>
      <c r="BA453"/>
      <c r="BB453"/>
      <c r="BC453"/>
      <c r="BD453"/>
      <c r="BE453"/>
      <c r="BF453"/>
      <c r="BG453"/>
      <c r="BH453"/>
      <c r="BI453"/>
      <c r="BJ453"/>
    </row>
    <row r="454" spans="1:62" x14ac:dyDescent="0.25">
      <c r="A454" s="44"/>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c r="AZ454"/>
      <c r="BA454"/>
      <c r="BB454"/>
      <c r="BC454"/>
      <c r="BD454"/>
      <c r="BE454"/>
      <c r="BF454"/>
      <c r="BG454"/>
      <c r="BH454"/>
      <c r="BI454"/>
      <c r="BJ454"/>
    </row>
    <row r="455" spans="1:62" x14ac:dyDescent="0.25">
      <c r="A455" s="44"/>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c r="AZ455"/>
      <c r="BA455"/>
      <c r="BB455"/>
      <c r="BC455"/>
      <c r="BD455"/>
      <c r="BE455"/>
      <c r="BF455"/>
      <c r="BG455"/>
      <c r="BH455"/>
      <c r="BI455"/>
      <c r="BJ455"/>
    </row>
    <row r="456" spans="1:62" x14ac:dyDescent="0.25">
      <c r="A456" s="44"/>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c r="AZ456"/>
      <c r="BA456"/>
      <c r="BB456"/>
      <c r="BC456"/>
      <c r="BD456"/>
      <c r="BE456"/>
      <c r="BF456"/>
      <c r="BG456"/>
      <c r="BH456"/>
      <c r="BI456"/>
      <c r="BJ456"/>
    </row>
    <row r="457" spans="1:62" x14ac:dyDescent="0.25">
      <c r="A457" s="44"/>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c r="AZ457"/>
      <c r="BA457"/>
      <c r="BB457"/>
      <c r="BC457"/>
      <c r="BD457"/>
      <c r="BE457"/>
      <c r="BF457"/>
      <c r="BG457"/>
      <c r="BH457"/>
      <c r="BI457"/>
      <c r="BJ457"/>
    </row>
    <row r="458" spans="1:62" x14ac:dyDescent="0.25">
      <c r="A458" s="44"/>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c r="AZ458"/>
      <c r="BA458"/>
      <c r="BB458"/>
      <c r="BC458"/>
      <c r="BD458"/>
      <c r="BE458"/>
      <c r="BF458"/>
      <c r="BG458"/>
      <c r="BH458"/>
      <c r="BI458"/>
      <c r="BJ458"/>
    </row>
    <row r="459" spans="1:62" x14ac:dyDescent="0.25">
      <c r="A459" s="44"/>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c r="AZ459"/>
      <c r="BA459"/>
      <c r="BB459"/>
      <c r="BC459"/>
      <c r="BD459"/>
      <c r="BE459"/>
      <c r="BF459"/>
      <c r="BG459"/>
      <c r="BH459"/>
      <c r="BI459"/>
      <c r="BJ459"/>
    </row>
    <row r="460" spans="1:62" x14ac:dyDescent="0.25">
      <c r="A460" s="44"/>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c r="AZ460"/>
      <c r="BA460"/>
      <c r="BB460"/>
      <c r="BC460"/>
      <c r="BD460"/>
      <c r="BE460"/>
      <c r="BF460"/>
      <c r="BG460"/>
      <c r="BH460"/>
      <c r="BI460"/>
      <c r="BJ460"/>
    </row>
    <row r="461" spans="1:62" x14ac:dyDescent="0.25">
      <c r="A461" s="44"/>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c r="AZ461"/>
      <c r="BA461"/>
      <c r="BB461"/>
      <c r="BC461"/>
      <c r="BD461"/>
      <c r="BE461"/>
      <c r="BF461"/>
      <c r="BG461"/>
      <c r="BH461"/>
      <c r="BI461"/>
      <c r="BJ461"/>
    </row>
    <row r="462" spans="1:62" x14ac:dyDescent="0.25">
      <c r="A462" s="44"/>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c r="AZ462"/>
      <c r="BA462"/>
      <c r="BB462"/>
      <c r="BC462"/>
      <c r="BD462"/>
      <c r="BE462"/>
      <c r="BF462"/>
      <c r="BG462"/>
      <c r="BH462"/>
      <c r="BI462"/>
      <c r="BJ462"/>
    </row>
    <row r="463" spans="1:62" x14ac:dyDescent="0.25">
      <c r="A463" s="44"/>
      <c r="B463" s="44"/>
      <c r="C463" s="44"/>
      <c r="D463" s="44"/>
      <c r="E463" s="44"/>
      <c r="F463" s="44"/>
      <c r="G463" s="44"/>
      <c r="H463" s="44"/>
      <c r="I463" s="44"/>
      <c r="J463" s="44"/>
      <c r="K463" s="44"/>
      <c r="L463" s="44"/>
      <c r="M463" s="44"/>
      <c r="N463" s="44"/>
      <c r="O463" s="44"/>
      <c r="P463" s="44"/>
      <c r="Q463" s="44"/>
      <c r="R463" s="44"/>
      <c r="S463" s="44"/>
      <c r="T463" s="44"/>
      <c r="U463" s="44"/>
      <c r="V463" s="44"/>
      <c r="W463" s="44"/>
      <c r="X463" s="44"/>
      <c r="Y463" s="44"/>
      <c r="Z463" s="44"/>
      <c r="AA463" s="44"/>
      <c r="AB463" s="44"/>
      <c r="AC463" s="44"/>
      <c r="AD463" s="44"/>
      <c r="AE463" s="44"/>
      <c r="AF463" s="44"/>
      <c r="AG463" s="44"/>
      <c r="AH463" s="44"/>
      <c r="AI463" s="44"/>
      <c r="AJ463" s="44"/>
      <c r="AK463" s="44"/>
      <c r="AL463" s="44"/>
      <c r="AM463" s="44"/>
      <c r="AN463" s="44"/>
      <c r="AO463" s="44"/>
      <c r="AP463" s="44"/>
      <c r="AQ463" s="44"/>
      <c r="AR463" s="44"/>
      <c r="AS463" s="44"/>
      <c r="AT463" s="44"/>
      <c r="AU463" s="44"/>
      <c r="AV463" s="44"/>
      <c r="AW463" s="44"/>
      <c r="AX463" s="44"/>
      <c r="AY463"/>
      <c r="AZ463"/>
      <c r="BA463"/>
      <c r="BB463"/>
      <c r="BC463"/>
      <c r="BD463"/>
      <c r="BE463"/>
      <c r="BF463"/>
      <c r="BG463"/>
      <c r="BH463"/>
      <c r="BI463"/>
      <c r="BJ463"/>
    </row>
    <row r="464" spans="1:62" x14ac:dyDescent="0.25">
      <c r="A464" s="44"/>
      <c r="B464" s="44"/>
      <c r="C464" s="44"/>
      <c r="D464" s="44"/>
      <c r="E464" s="44"/>
      <c r="F464" s="44"/>
      <c r="G464" s="44"/>
      <c r="H464" s="44"/>
      <c r="I464" s="44"/>
      <c r="J464" s="44"/>
      <c r="K464" s="44"/>
      <c r="L464" s="44"/>
      <c r="M464" s="44"/>
      <c r="N464" s="44"/>
      <c r="O464" s="44"/>
      <c r="P464" s="44"/>
      <c r="Q464" s="44"/>
      <c r="R464" s="44"/>
      <c r="S464" s="44"/>
      <c r="T464" s="44"/>
      <c r="U464" s="44"/>
      <c r="V464" s="44"/>
      <c r="W464" s="44"/>
      <c r="X464" s="44"/>
      <c r="Y464" s="44"/>
      <c r="Z464" s="44"/>
      <c r="AA464" s="44"/>
      <c r="AB464" s="44"/>
      <c r="AC464" s="44"/>
      <c r="AD464" s="44"/>
      <c r="AE464" s="44"/>
      <c r="AF464" s="44"/>
      <c r="AG464" s="44"/>
      <c r="AH464" s="44"/>
      <c r="AI464" s="44"/>
      <c r="AJ464" s="44"/>
      <c r="AK464" s="44"/>
      <c r="AL464" s="44"/>
      <c r="AM464" s="44"/>
      <c r="AN464" s="44"/>
      <c r="AO464" s="44"/>
      <c r="AP464" s="44"/>
      <c r="AQ464" s="44"/>
      <c r="AR464" s="44"/>
      <c r="AS464" s="44"/>
      <c r="AT464" s="44"/>
      <c r="AU464" s="44"/>
      <c r="AV464" s="44"/>
      <c r="AW464" s="44"/>
      <c r="AX464" s="44"/>
      <c r="AY464"/>
      <c r="AZ464"/>
      <c r="BA464"/>
      <c r="BB464"/>
      <c r="BC464"/>
      <c r="BD464"/>
      <c r="BE464"/>
      <c r="BF464"/>
      <c r="BG464"/>
      <c r="BH464"/>
      <c r="BI464"/>
      <c r="BJ464"/>
    </row>
    <row r="465" spans="1:62" x14ac:dyDescent="0.25">
      <c r="A465" s="44"/>
      <c r="B465" s="44"/>
      <c r="C465" s="44"/>
      <c r="D465" s="44"/>
      <c r="E465" s="44"/>
      <c r="F465" s="44"/>
      <c r="G465" s="44"/>
      <c r="H465" s="44"/>
      <c r="I465" s="44"/>
      <c r="J465" s="44"/>
      <c r="K465" s="44"/>
      <c r="L465" s="44"/>
      <c r="M465" s="44"/>
      <c r="N465" s="44"/>
      <c r="O465" s="44"/>
      <c r="P465" s="44"/>
      <c r="Q465" s="44"/>
      <c r="R465" s="44"/>
      <c r="S465" s="44"/>
      <c r="T465" s="44"/>
      <c r="U465" s="44"/>
      <c r="V465" s="44"/>
      <c r="W465" s="44"/>
      <c r="X465" s="44"/>
      <c r="Y465" s="44"/>
      <c r="Z465" s="44"/>
      <c r="AA465" s="44"/>
      <c r="AB465" s="44"/>
      <c r="AC465" s="44"/>
      <c r="AD465" s="44"/>
      <c r="AE465" s="44"/>
      <c r="AF465" s="44"/>
      <c r="AG465" s="44"/>
      <c r="AH465" s="44"/>
      <c r="AI465" s="44"/>
      <c r="AJ465" s="44"/>
      <c r="AK465" s="44"/>
      <c r="AL465" s="44"/>
      <c r="AM465" s="44"/>
      <c r="AN465" s="44"/>
      <c r="AO465" s="44"/>
      <c r="AP465" s="44"/>
      <c r="AQ465" s="44"/>
      <c r="AR465" s="44"/>
      <c r="AS465" s="44"/>
      <c r="AT465" s="44"/>
      <c r="AU465" s="44"/>
      <c r="AV465" s="44"/>
      <c r="AW465" s="44"/>
      <c r="AX465" s="44"/>
      <c r="AY465"/>
      <c r="AZ465"/>
      <c r="BA465"/>
      <c r="BB465"/>
      <c r="BC465"/>
      <c r="BD465"/>
      <c r="BE465"/>
      <c r="BF465"/>
      <c r="BG465"/>
      <c r="BH465"/>
      <c r="BI465"/>
      <c r="BJ465"/>
    </row>
    <row r="466" spans="1:62" x14ac:dyDescent="0.25">
      <c r="A466" s="44"/>
      <c r="B466" s="44"/>
      <c r="C466" s="44"/>
      <c r="D466" s="44"/>
      <c r="E466" s="44"/>
      <c r="F466" s="44"/>
      <c r="G466" s="44"/>
      <c r="H466" s="44"/>
      <c r="I466" s="44"/>
      <c r="J466" s="44"/>
      <c r="K466" s="44"/>
      <c r="L466" s="44"/>
      <c r="M466" s="44"/>
      <c r="N466" s="44"/>
      <c r="O466" s="44"/>
      <c r="P466" s="44"/>
      <c r="Q466" s="44"/>
      <c r="R466" s="44"/>
      <c r="S466" s="44"/>
      <c r="T466" s="44"/>
      <c r="U466" s="44"/>
      <c r="V466" s="44"/>
      <c r="W466" s="44"/>
      <c r="X466" s="44"/>
      <c r="Y466" s="44"/>
      <c r="Z466" s="44"/>
      <c r="AA466" s="44"/>
      <c r="AB466" s="44"/>
      <c r="AC466" s="44"/>
      <c r="AD466" s="44"/>
      <c r="AE466" s="44"/>
      <c r="AF466" s="44"/>
      <c r="AG466" s="44"/>
      <c r="AH466" s="44"/>
      <c r="AI466" s="44"/>
      <c r="AJ466" s="44"/>
      <c r="AK466" s="44"/>
      <c r="AL466" s="44"/>
      <c r="AM466" s="44"/>
      <c r="AN466" s="44"/>
      <c r="AO466" s="44"/>
      <c r="AP466" s="44"/>
      <c r="AQ466" s="44"/>
      <c r="AR466" s="44"/>
      <c r="AS466" s="44"/>
      <c r="AT466" s="44"/>
      <c r="AU466" s="44"/>
      <c r="AV466" s="44"/>
      <c r="AW466" s="44"/>
      <c r="AX466" s="44"/>
      <c r="AY466"/>
      <c r="AZ466"/>
      <c r="BA466"/>
      <c r="BB466"/>
      <c r="BC466"/>
      <c r="BD466"/>
      <c r="BE466"/>
      <c r="BF466"/>
      <c r="BG466"/>
      <c r="BH466"/>
      <c r="BI466"/>
      <c r="BJ466"/>
    </row>
    <row r="467" spans="1:62" x14ac:dyDescent="0.25">
      <c r="A467" s="44"/>
      <c r="B467" s="44"/>
      <c r="C467" s="44"/>
      <c r="D467" s="44"/>
      <c r="E467" s="44"/>
      <c r="F467" s="44"/>
      <c r="G467" s="44"/>
      <c r="H467" s="44"/>
      <c r="I467" s="44"/>
      <c r="J467" s="44"/>
      <c r="K467" s="44"/>
      <c r="L467" s="44"/>
      <c r="M467" s="44"/>
      <c r="N467" s="44"/>
      <c r="O467" s="44"/>
      <c r="P467" s="44"/>
      <c r="Q467" s="44"/>
      <c r="R467" s="44"/>
      <c r="S467" s="44"/>
      <c r="T467" s="44"/>
      <c r="U467" s="44"/>
      <c r="V467" s="44"/>
      <c r="W467" s="44"/>
      <c r="X467" s="44"/>
      <c r="Y467" s="44"/>
      <c r="Z467" s="44"/>
      <c r="AA467" s="44"/>
      <c r="AB467" s="44"/>
      <c r="AC467" s="44"/>
      <c r="AD467" s="44"/>
      <c r="AE467" s="44"/>
      <c r="AF467" s="44"/>
      <c r="AG467" s="44"/>
      <c r="AH467" s="44"/>
      <c r="AI467" s="44"/>
      <c r="AJ467" s="44"/>
      <c r="AK467" s="44"/>
      <c r="AL467" s="44"/>
      <c r="AM467" s="44"/>
      <c r="AN467" s="44"/>
      <c r="AO467" s="44"/>
      <c r="AP467" s="44"/>
      <c r="AQ467" s="44"/>
      <c r="AR467" s="44"/>
      <c r="AS467" s="44"/>
      <c r="AT467" s="44"/>
      <c r="AU467" s="44"/>
      <c r="AV467" s="44"/>
      <c r="AW467" s="44"/>
      <c r="AX467" s="44"/>
      <c r="AY467"/>
      <c r="AZ467"/>
      <c r="BA467"/>
      <c r="BB467"/>
      <c r="BC467"/>
      <c r="BD467"/>
      <c r="BE467"/>
      <c r="BF467"/>
      <c r="BG467"/>
      <c r="BH467"/>
      <c r="BI467"/>
      <c r="BJ467"/>
    </row>
    <row r="468" spans="1:62" x14ac:dyDescent="0.25">
      <c r="A468" s="44"/>
      <c r="B468" s="44"/>
      <c r="C468" s="44"/>
      <c r="D468" s="44"/>
      <c r="E468" s="44"/>
      <c r="F468" s="44"/>
      <c r="G468" s="44"/>
      <c r="H468" s="44"/>
      <c r="I468" s="44"/>
      <c r="J468" s="44"/>
      <c r="K468" s="44"/>
      <c r="L468" s="44"/>
      <c r="M468" s="44"/>
      <c r="N468" s="44"/>
      <c r="O468" s="44"/>
      <c r="P468" s="44"/>
      <c r="Q468" s="44"/>
      <c r="R468" s="44"/>
      <c r="S468" s="44"/>
      <c r="T468" s="44"/>
      <c r="U468" s="44"/>
      <c r="V468" s="44"/>
      <c r="W468" s="44"/>
      <c r="X468" s="44"/>
      <c r="Y468" s="44"/>
      <c r="Z468" s="44"/>
      <c r="AA468" s="44"/>
      <c r="AB468" s="44"/>
      <c r="AC468" s="44"/>
      <c r="AD468" s="44"/>
      <c r="AE468" s="44"/>
      <c r="AF468" s="44"/>
      <c r="AG468" s="44"/>
      <c r="AH468" s="44"/>
      <c r="AI468" s="44"/>
      <c r="AJ468" s="44"/>
      <c r="AK468" s="44"/>
      <c r="AL468" s="44"/>
      <c r="AM468" s="44"/>
      <c r="AN468" s="44"/>
      <c r="AO468" s="44"/>
      <c r="AP468" s="44"/>
      <c r="AQ468" s="44"/>
      <c r="AR468" s="44"/>
      <c r="AS468" s="44"/>
      <c r="AT468" s="44"/>
      <c r="AU468" s="44"/>
      <c r="AV468" s="44"/>
      <c r="AW468" s="44"/>
      <c r="AX468" s="44"/>
      <c r="AY468"/>
      <c r="AZ468"/>
      <c r="BA468"/>
      <c r="BB468"/>
      <c r="BC468"/>
      <c r="BD468"/>
      <c r="BE468"/>
      <c r="BF468"/>
      <c r="BG468"/>
      <c r="BH468"/>
      <c r="BI468"/>
      <c r="BJ468"/>
    </row>
    <row r="469" spans="1:62" x14ac:dyDescent="0.25">
      <c r="A469" s="44"/>
      <c r="B469" s="44"/>
      <c r="C469" s="44"/>
      <c r="D469" s="44"/>
      <c r="E469" s="44"/>
      <c r="F469" s="44"/>
      <c r="G469" s="44"/>
      <c r="H469" s="44"/>
      <c r="I469" s="44"/>
      <c r="J469" s="44"/>
      <c r="K469" s="44"/>
      <c r="L469" s="44"/>
      <c r="M469" s="44"/>
      <c r="N469" s="44"/>
      <c r="O469" s="44"/>
      <c r="P469" s="44"/>
      <c r="Q469" s="44"/>
      <c r="R469" s="44"/>
      <c r="S469" s="44"/>
      <c r="T469" s="44"/>
      <c r="U469" s="44"/>
      <c r="V469" s="44"/>
      <c r="W469" s="44"/>
      <c r="X469" s="44"/>
      <c r="Y469" s="44"/>
      <c r="Z469" s="44"/>
      <c r="AA469" s="44"/>
      <c r="AB469" s="44"/>
      <c r="AC469" s="44"/>
      <c r="AD469" s="44"/>
      <c r="AE469" s="44"/>
      <c r="AF469" s="44"/>
      <c r="AG469" s="44"/>
      <c r="AH469" s="44"/>
      <c r="AI469" s="44"/>
      <c r="AJ469" s="44"/>
      <c r="AK469" s="44"/>
      <c r="AL469" s="44"/>
      <c r="AM469" s="44"/>
      <c r="AN469" s="44"/>
      <c r="AO469" s="44"/>
      <c r="AP469" s="44"/>
      <c r="AQ469" s="44"/>
      <c r="AR469" s="44"/>
      <c r="AS469" s="44"/>
      <c r="AT469" s="44"/>
      <c r="AU469" s="44"/>
      <c r="AV469" s="44"/>
      <c r="AW469" s="44"/>
      <c r="AX469" s="44"/>
      <c r="AY469"/>
      <c r="AZ469"/>
      <c r="BA469"/>
      <c r="BB469"/>
      <c r="BC469"/>
      <c r="BD469"/>
      <c r="BE469"/>
      <c r="BF469"/>
      <c r="BG469"/>
      <c r="BH469"/>
      <c r="BI469"/>
      <c r="BJ469"/>
    </row>
    <row r="470" spans="1:62" x14ac:dyDescent="0.25">
      <c r="A470" s="44"/>
      <c r="B470" s="44"/>
      <c r="C470" s="44"/>
      <c r="D470" s="44"/>
      <c r="E470" s="44"/>
      <c r="F470" s="44"/>
      <c r="G470" s="44"/>
      <c r="H470" s="44"/>
      <c r="I470" s="44"/>
      <c r="J470" s="44"/>
      <c r="K470" s="44"/>
      <c r="L470" s="44"/>
      <c r="M470" s="44"/>
      <c r="N470" s="44"/>
      <c r="O470" s="44"/>
      <c r="P470" s="44"/>
      <c r="Q470" s="44"/>
      <c r="R470" s="44"/>
      <c r="S470" s="44"/>
      <c r="T470" s="44"/>
      <c r="U470" s="44"/>
      <c r="V470" s="44"/>
      <c r="W470" s="44"/>
      <c r="X470" s="44"/>
      <c r="Y470" s="44"/>
      <c r="Z470" s="44"/>
      <c r="AA470" s="44"/>
      <c r="AB470" s="44"/>
      <c r="AC470" s="44"/>
      <c r="AD470" s="44"/>
      <c r="AE470" s="44"/>
      <c r="AF470" s="44"/>
      <c r="AG470" s="44"/>
      <c r="AH470" s="44"/>
      <c r="AI470" s="44"/>
      <c r="AJ470" s="44"/>
      <c r="AK470" s="44"/>
      <c r="AL470" s="44"/>
      <c r="AM470" s="44"/>
      <c r="AN470" s="44"/>
      <c r="AO470" s="44"/>
      <c r="AP470" s="44"/>
      <c r="AQ470" s="44"/>
      <c r="AR470" s="44"/>
      <c r="AS470" s="44"/>
      <c r="AT470" s="44"/>
      <c r="AU470" s="44"/>
      <c r="AV470" s="44"/>
      <c r="AW470" s="44"/>
      <c r="AX470" s="44"/>
      <c r="AY470"/>
      <c r="AZ470"/>
      <c r="BA470"/>
      <c r="BB470"/>
      <c r="BC470"/>
      <c r="BD470"/>
      <c r="BE470"/>
      <c r="BF470"/>
      <c r="BG470"/>
      <c r="BH470"/>
      <c r="BI470"/>
      <c r="BJ470"/>
    </row>
    <row r="471" spans="1:62" x14ac:dyDescent="0.25">
      <c r="A471" s="44"/>
      <c r="B471" s="44"/>
      <c r="C471" s="44"/>
      <c r="D471" s="44"/>
      <c r="E471" s="44"/>
      <c r="F471" s="44"/>
      <c r="G471" s="44"/>
      <c r="H471" s="44"/>
      <c r="I471" s="44"/>
      <c r="J471" s="44"/>
      <c r="K471" s="44"/>
      <c r="L471" s="44"/>
      <c r="M471" s="44"/>
      <c r="N471" s="44"/>
      <c r="O471" s="44"/>
      <c r="P471" s="44"/>
      <c r="Q471" s="44"/>
      <c r="R471" s="44"/>
      <c r="S471" s="44"/>
      <c r="T471" s="44"/>
      <c r="U471" s="44"/>
      <c r="V471" s="44"/>
      <c r="W471" s="44"/>
      <c r="X471" s="44"/>
      <c r="Y471" s="44"/>
      <c r="Z471" s="44"/>
      <c r="AA471" s="44"/>
      <c r="AB471" s="44"/>
      <c r="AC471" s="44"/>
      <c r="AD471" s="44"/>
      <c r="AE471" s="44"/>
      <c r="AF471" s="44"/>
      <c r="AG471" s="44"/>
      <c r="AH471" s="44"/>
      <c r="AI471" s="44"/>
      <c r="AJ471" s="44"/>
      <c r="AK471" s="44"/>
      <c r="AL471" s="44"/>
      <c r="AM471" s="44"/>
      <c r="AN471" s="44"/>
      <c r="AO471" s="44"/>
      <c r="AP471" s="44"/>
      <c r="AQ471" s="44"/>
      <c r="AR471" s="44"/>
      <c r="AS471" s="44"/>
      <c r="AT471" s="44"/>
      <c r="AU471" s="44"/>
      <c r="AV471" s="44"/>
      <c r="AW471" s="44"/>
      <c r="AX471" s="44"/>
      <c r="AY471"/>
      <c r="AZ471"/>
      <c r="BA471"/>
      <c r="BB471"/>
      <c r="BC471"/>
      <c r="BD471"/>
      <c r="BE471"/>
      <c r="BF471"/>
      <c r="BG471"/>
      <c r="BH471"/>
      <c r="BI471"/>
      <c r="BJ471"/>
    </row>
    <row r="472" spans="1:62" x14ac:dyDescent="0.25">
      <c r="A472" s="44"/>
      <c r="B472" s="44"/>
      <c r="C472" s="44"/>
      <c r="D472" s="44"/>
      <c r="E472" s="44"/>
      <c r="F472" s="44"/>
      <c r="G472" s="44"/>
      <c r="H472" s="44"/>
      <c r="I472" s="44"/>
      <c r="J472" s="44"/>
      <c r="K472" s="44"/>
      <c r="L472" s="44"/>
      <c r="M472" s="44"/>
      <c r="N472" s="44"/>
      <c r="O472" s="44"/>
      <c r="P472" s="44"/>
      <c r="Q472" s="44"/>
      <c r="R472" s="44"/>
      <c r="S472" s="44"/>
      <c r="T472" s="44"/>
      <c r="U472" s="44"/>
      <c r="V472" s="44"/>
      <c r="W472" s="44"/>
      <c r="X472" s="44"/>
      <c r="Y472" s="44"/>
      <c r="Z472" s="44"/>
      <c r="AA472" s="44"/>
      <c r="AB472" s="44"/>
      <c r="AC472" s="44"/>
      <c r="AD472" s="44"/>
      <c r="AE472" s="44"/>
      <c r="AF472" s="44"/>
      <c r="AG472" s="44"/>
      <c r="AH472" s="44"/>
      <c r="AI472" s="44"/>
      <c r="AJ472" s="44"/>
      <c r="AK472" s="44"/>
      <c r="AL472" s="44"/>
      <c r="AM472" s="44"/>
      <c r="AN472" s="44"/>
      <c r="AO472" s="44"/>
      <c r="AP472" s="44"/>
      <c r="AQ472" s="44"/>
      <c r="AR472" s="44"/>
      <c r="AS472" s="44"/>
      <c r="AT472" s="44"/>
      <c r="AU472" s="44"/>
      <c r="AV472" s="44"/>
      <c r="AW472" s="44"/>
      <c r="AX472" s="44"/>
      <c r="AY472"/>
      <c r="AZ472"/>
      <c r="BA472"/>
      <c r="BB472"/>
      <c r="BC472"/>
      <c r="BD472"/>
      <c r="BE472"/>
      <c r="BF472"/>
      <c r="BG472"/>
      <c r="BH472"/>
      <c r="BI472"/>
      <c r="BJ472"/>
    </row>
    <row r="473" spans="1:62" x14ac:dyDescent="0.25">
      <c r="A473" s="44"/>
      <c r="B473" s="44"/>
      <c r="C473" s="44"/>
      <c r="D473" s="44"/>
      <c r="E473" s="44"/>
      <c r="F473" s="44"/>
      <c r="G473" s="44"/>
      <c r="H473" s="44"/>
      <c r="I473" s="44"/>
      <c r="J473" s="44"/>
      <c r="K473" s="44"/>
      <c r="L473" s="44"/>
      <c r="M473" s="44"/>
      <c r="N473" s="44"/>
      <c r="O473" s="44"/>
      <c r="P473" s="44"/>
      <c r="Q473" s="44"/>
      <c r="R473" s="44"/>
      <c r="S473" s="44"/>
      <c r="T473" s="44"/>
      <c r="U473" s="44"/>
      <c r="V473" s="44"/>
      <c r="W473" s="44"/>
      <c r="X473" s="44"/>
      <c r="Y473" s="44"/>
      <c r="Z473" s="44"/>
      <c r="AA473" s="44"/>
      <c r="AB473" s="44"/>
      <c r="AC473" s="44"/>
      <c r="AD473" s="44"/>
      <c r="AE473" s="44"/>
      <c r="AF473" s="44"/>
      <c r="AG473" s="44"/>
      <c r="AH473" s="44"/>
      <c r="AI473" s="44"/>
      <c r="AJ473" s="44"/>
      <c r="AK473" s="44"/>
      <c r="AL473" s="44"/>
      <c r="AM473" s="44"/>
      <c r="AN473" s="44"/>
      <c r="AO473" s="44"/>
      <c r="AP473" s="44"/>
      <c r="AQ473" s="44"/>
      <c r="AR473" s="44"/>
      <c r="AS473" s="44"/>
      <c r="AT473" s="44"/>
      <c r="AU473" s="44"/>
      <c r="AV473" s="44"/>
      <c r="AW473" s="44"/>
      <c r="AX473" s="44"/>
      <c r="AY473"/>
      <c r="AZ473"/>
      <c r="BA473"/>
      <c r="BB473"/>
      <c r="BC473"/>
      <c r="BD473"/>
      <c r="BE473"/>
      <c r="BF473"/>
      <c r="BG473"/>
      <c r="BH473"/>
      <c r="BI473"/>
      <c r="BJ473"/>
    </row>
    <row r="474" spans="1:62" x14ac:dyDescent="0.25">
      <c r="A474" s="44"/>
      <c r="B474" s="44"/>
      <c r="C474" s="44"/>
      <c r="D474" s="44"/>
      <c r="E474" s="44"/>
      <c r="F474" s="44"/>
      <c r="G474" s="44"/>
      <c r="H474" s="44"/>
      <c r="I474" s="44"/>
      <c r="J474" s="44"/>
      <c r="K474" s="44"/>
      <c r="L474" s="44"/>
      <c r="M474" s="44"/>
      <c r="N474" s="44"/>
      <c r="O474" s="44"/>
      <c r="P474" s="44"/>
      <c r="Q474" s="44"/>
      <c r="R474" s="44"/>
      <c r="S474" s="44"/>
      <c r="T474" s="44"/>
      <c r="U474" s="44"/>
      <c r="V474" s="44"/>
      <c r="W474" s="44"/>
      <c r="X474" s="44"/>
      <c r="Y474" s="44"/>
      <c r="Z474" s="44"/>
      <c r="AA474" s="44"/>
      <c r="AB474" s="44"/>
      <c r="AC474" s="44"/>
      <c r="AD474" s="44"/>
      <c r="AE474" s="44"/>
      <c r="AF474" s="44"/>
      <c r="AG474" s="44"/>
      <c r="AH474" s="44"/>
      <c r="AI474" s="44"/>
      <c r="AJ474" s="44"/>
      <c r="AK474" s="44"/>
      <c r="AL474" s="44"/>
      <c r="AM474" s="44"/>
      <c r="AN474" s="44"/>
      <c r="AO474" s="44"/>
      <c r="AP474" s="44"/>
      <c r="AQ474" s="44"/>
      <c r="AR474" s="44"/>
      <c r="AS474" s="44"/>
      <c r="AT474" s="44"/>
      <c r="AU474" s="44"/>
      <c r="AV474" s="44"/>
      <c r="AW474" s="44"/>
      <c r="AX474" s="44"/>
      <c r="AY474"/>
      <c r="AZ474"/>
      <c r="BA474"/>
      <c r="BB474"/>
      <c r="BC474"/>
      <c r="BD474"/>
      <c r="BE474"/>
      <c r="BF474"/>
      <c r="BG474"/>
      <c r="BH474"/>
      <c r="BI474"/>
      <c r="BJ474"/>
    </row>
    <row r="475" spans="1:62" x14ac:dyDescent="0.25">
      <c r="A475" s="44"/>
      <c r="B475" s="44"/>
      <c r="C475" s="44"/>
      <c r="D475" s="44"/>
      <c r="E475" s="44"/>
      <c r="F475" s="44"/>
      <c r="G475" s="44"/>
      <c r="H475" s="44"/>
      <c r="I475" s="44"/>
      <c r="J475" s="44"/>
      <c r="K475" s="44"/>
      <c r="L475" s="44"/>
      <c r="M475" s="44"/>
      <c r="N475" s="44"/>
      <c r="O475" s="44"/>
      <c r="P475" s="44"/>
      <c r="Q475" s="44"/>
      <c r="R475" s="44"/>
      <c r="S475" s="44"/>
      <c r="T475" s="44"/>
      <c r="U475" s="44"/>
      <c r="V475" s="44"/>
      <c r="W475" s="44"/>
      <c r="X475" s="44"/>
      <c r="Y475" s="44"/>
      <c r="Z475" s="44"/>
      <c r="AA475" s="44"/>
      <c r="AB475" s="44"/>
      <c r="AC475" s="44"/>
      <c r="AD475" s="44"/>
      <c r="AE475" s="44"/>
      <c r="AF475" s="44"/>
      <c r="AG475" s="44"/>
      <c r="AH475" s="44"/>
      <c r="AI475" s="44"/>
      <c r="AJ475" s="44"/>
      <c r="AK475" s="44"/>
      <c r="AL475" s="44"/>
      <c r="AM475" s="44"/>
      <c r="AN475" s="44"/>
      <c r="AO475" s="44"/>
      <c r="AP475" s="44"/>
      <c r="AQ475" s="44"/>
      <c r="AR475" s="44"/>
      <c r="AS475" s="44"/>
      <c r="AT475" s="44"/>
      <c r="AU475" s="44"/>
      <c r="AV475" s="44"/>
      <c r="AW475" s="44"/>
      <c r="AX475" s="44"/>
      <c r="AY475"/>
      <c r="AZ475"/>
      <c r="BA475"/>
      <c r="BB475"/>
      <c r="BC475"/>
      <c r="BD475"/>
      <c r="BE475"/>
      <c r="BF475"/>
      <c r="BG475"/>
      <c r="BH475"/>
      <c r="BI475"/>
      <c r="BJ475"/>
    </row>
    <row r="476" spans="1:62" x14ac:dyDescent="0.25">
      <c r="A476" s="44"/>
      <c r="B476" s="44"/>
      <c r="C476" s="44"/>
      <c r="D476" s="44"/>
      <c r="E476" s="44"/>
      <c r="F476" s="44"/>
      <c r="G476" s="44"/>
      <c r="H476" s="44"/>
      <c r="I476" s="44"/>
      <c r="J476" s="44"/>
      <c r="K476" s="44"/>
      <c r="L476" s="44"/>
      <c r="M476" s="44"/>
      <c r="N476" s="44"/>
      <c r="O476" s="44"/>
      <c r="P476" s="44"/>
      <c r="Q476" s="44"/>
      <c r="R476" s="44"/>
      <c r="S476" s="44"/>
      <c r="T476" s="44"/>
      <c r="U476" s="44"/>
      <c r="V476" s="44"/>
      <c r="W476" s="44"/>
      <c r="X476" s="44"/>
      <c r="Y476" s="44"/>
      <c r="Z476" s="44"/>
      <c r="AA476" s="44"/>
      <c r="AB476" s="44"/>
      <c r="AC476" s="44"/>
      <c r="AD476" s="44"/>
      <c r="AE476" s="44"/>
      <c r="AF476" s="44"/>
      <c r="AG476" s="44"/>
      <c r="AH476" s="44"/>
      <c r="AI476" s="44"/>
      <c r="AJ476" s="44"/>
      <c r="AK476" s="44"/>
      <c r="AL476" s="44"/>
      <c r="AM476" s="44"/>
      <c r="AN476" s="44"/>
      <c r="AO476" s="44"/>
      <c r="AP476" s="44"/>
      <c r="AQ476" s="44"/>
      <c r="AR476" s="44"/>
      <c r="AS476" s="44"/>
      <c r="AT476" s="44"/>
      <c r="AU476" s="44"/>
      <c r="AV476" s="44"/>
      <c r="AW476" s="44"/>
      <c r="AX476" s="44"/>
      <c r="AY476"/>
      <c r="AZ476"/>
      <c r="BA476"/>
      <c r="BB476"/>
      <c r="BC476"/>
      <c r="BD476"/>
      <c r="BE476"/>
      <c r="BF476"/>
      <c r="BG476"/>
      <c r="BH476"/>
      <c r="BI476"/>
      <c r="BJ476"/>
    </row>
    <row r="477" spans="1:62" x14ac:dyDescent="0.25">
      <c r="A477" s="44"/>
      <c r="B477" s="44"/>
      <c r="C477" s="44"/>
      <c r="D477" s="44"/>
      <c r="E477" s="44"/>
      <c r="F477" s="44"/>
      <c r="G477" s="44"/>
      <c r="H477" s="44"/>
      <c r="I477" s="44"/>
      <c r="J477" s="44"/>
      <c r="K477" s="44"/>
      <c r="L477" s="44"/>
      <c r="M477" s="44"/>
      <c r="N477" s="44"/>
      <c r="O477" s="44"/>
      <c r="P477" s="44"/>
      <c r="Q477" s="44"/>
      <c r="R477" s="44"/>
      <c r="S477" s="44"/>
      <c r="T477" s="44"/>
      <c r="U477" s="44"/>
      <c r="V477" s="44"/>
      <c r="W477" s="44"/>
      <c r="X477" s="44"/>
      <c r="Y477" s="44"/>
      <c r="Z477" s="44"/>
      <c r="AA477" s="44"/>
      <c r="AB477" s="44"/>
      <c r="AC477" s="44"/>
      <c r="AD477" s="44"/>
      <c r="AE477" s="44"/>
      <c r="AF477" s="44"/>
      <c r="AG477" s="44"/>
      <c r="AH477" s="44"/>
      <c r="AI477" s="44"/>
      <c r="AJ477" s="44"/>
      <c r="AK477" s="44"/>
      <c r="AL477" s="44"/>
      <c r="AM477" s="44"/>
      <c r="AN477" s="44"/>
      <c r="AO477" s="44"/>
      <c r="AP477" s="44"/>
      <c r="AQ477" s="44"/>
      <c r="AR477" s="44"/>
      <c r="AS477" s="44"/>
      <c r="AT477" s="44"/>
      <c r="AU477" s="44"/>
      <c r="AV477" s="44"/>
      <c r="AW477" s="44"/>
      <c r="AX477" s="44"/>
      <c r="AY477"/>
      <c r="AZ477"/>
      <c r="BA477"/>
      <c r="BB477"/>
      <c r="BC477"/>
      <c r="BD477"/>
      <c r="BE477"/>
      <c r="BF477"/>
      <c r="BG477"/>
      <c r="BH477"/>
      <c r="BI477"/>
      <c r="BJ477"/>
    </row>
    <row r="478" spans="1:62" x14ac:dyDescent="0.25">
      <c r="A478" s="44"/>
      <c r="B478" s="44"/>
      <c r="C478" s="44"/>
      <c r="D478" s="44"/>
      <c r="E478" s="44"/>
      <c r="F478" s="44"/>
      <c r="G478" s="44"/>
      <c r="H478" s="44"/>
      <c r="I478" s="44"/>
      <c r="J478" s="44"/>
      <c r="K478" s="44"/>
      <c r="L478" s="44"/>
      <c r="M478" s="44"/>
      <c r="N478" s="44"/>
      <c r="O478" s="44"/>
      <c r="P478" s="44"/>
      <c r="Q478" s="44"/>
      <c r="R478" s="44"/>
      <c r="S478" s="44"/>
      <c r="T478" s="44"/>
      <c r="U478" s="44"/>
      <c r="V478" s="44"/>
      <c r="W478" s="44"/>
      <c r="X478" s="44"/>
      <c r="Y478" s="44"/>
      <c r="Z478" s="44"/>
      <c r="AA478" s="44"/>
      <c r="AB478" s="44"/>
      <c r="AC478" s="44"/>
      <c r="AD478" s="44"/>
      <c r="AE478" s="44"/>
      <c r="AF478" s="44"/>
      <c r="AG478" s="44"/>
      <c r="AH478" s="44"/>
      <c r="AI478" s="44"/>
      <c r="AJ478" s="44"/>
      <c r="AK478" s="44"/>
      <c r="AL478" s="44"/>
      <c r="AM478" s="44"/>
      <c r="AN478" s="44"/>
      <c r="AO478" s="44"/>
      <c r="AP478" s="44"/>
      <c r="AQ478" s="44"/>
      <c r="AR478" s="44"/>
      <c r="AS478" s="44"/>
      <c r="AT478" s="44"/>
      <c r="AU478" s="44"/>
      <c r="AV478" s="44"/>
      <c r="AW478" s="44"/>
      <c r="AX478" s="44"/>
      <c r="AY478"/>
      <c r="AZ478"/>
      <c r="BA478"/>
      <c r="BB478"/>
      <c r="BC478"/>
      <c r="BD478"/>
      <c r="BE478"/>
      <c r="BF478"/>
      <c r="BG478"/>
      <c r="BH478"/>
      <c r="BI478"/>
      <c r="BJ478"/>
    </row>
    <row r="479" spans="1:62" x14ac:dyDescent="0.25">
      <c r="A479" s="44"/>
      <c r="B479" s="44"/>
      <c r="C479" s="44"/>
      <c r="D479" s="44"/>
      <c r="E479" s="44"/>
      <c r="F479" s="44"/>
      <c r="G479" s="44"/>
      <c r="H479" s="44"/>
      <c r="I479" s="44"/>
      <c r="J479" s="44"/>
      <c r="K479" s="44"/>
      <c r="L479" s="44"/>
      <c r="M479" s="44"/>
      <c r="N479" s="44"/>
      <c r="O479" s="44"/>
      <c r="P479" s="44"/>
      <c r="Q479" s="44"/>
      <c r="R479" s="44"/>
      <c r="S479" s="44"/>
      <c r="T479" s="44"/>
      <c r="U479" s="44"/>
      <c r="V479" s="44"/>
      <c r="W479" s="44"/>
      <c r="X479" s="44"/>
      <c r="Y479" s="44"/>
      <c r="Z479" s="44"/>
      <c r="AA479" s="44"/>
      <c r="AB479" s="44"/>
      <c r="AC479" s="44"/>
      <c r="AD479" s="44"/>
      <c r="AE479" s="44"/>
      <c r="AF479" s="44"/>
      <c r="AG479" s="44"/>
      <c r="AH479" s="44"/>
      <c r="AI479" s="44"/>
      <c r="AJ479" s="44"/>
      <c r="AK479" s="44"/>
      <c r="AL479" s="44"/>
      <c r="AM479" s="44"/>
      <c r="AN479" s="44"/>
      <c r="AO479" s="44"/>
      <c r="AP479" s="44"/>
      <c r="AQ479" s="44"/>
      <c r="AR479" s="44"/>
      <c r="AS479" s="44"/>
      <c r="AT479" s="44"/>
      <c r="AU479" s="44"/>
      <c r="AV479" s="44"/>
      <c r="AW479" s="44"/>
      <c r="AX479" s="44"/>
      <c r="AY479"/>
      <c r="AZ479"/>
      <c r="BA479"/>
      <c r="BB479"/>
      <c r="BC479"/>
      <c r="BD479"/>
      <c r="BE479"/>
      <c r="BF479"/>
      <c r="BG479"/>
      <c r="BH479"/>
      <c r="BI479"/>
      <c r="BJ479"/>
    </row>
    <row r="480" spans="1:62" x14ac:dyDescent="0.25">
      <c r="A480" s="44"/>
      <c r="B480" s="44"/>
      <c r="C480" s="44"/>
      <c r="D480" s="44"/>
      <c r="E480" s="44"/>
      <c r="F480" s="44"/>
      <c r="G480" s="44"/>
      <c r="H480" s="44"/>
      <c r="I480" s="44"/>
      <c r="J480" s="44"/>
      <c r="K480" s="44"/>
      <c r="L480" s="44"/>
      <c r="M480" s="44"/>
      <c r="N480" s="44"/>
      <c r="O480" s="44"/>
      <c r="P480" s="44"/>
      <c r="Q480" s="44"/>
      <c r="R480" s="44"/>
      <c r="S480" s="44"/>
      <c r="T480" s="44"/>
      <c r="U480" s="44"/>
      <c r="V480" s="44"/>
      <c r="W480" s="44"/>
      <c r="X480" s="44"/>
      <c r="Y480" s="44"/>
      <c r="Z480" s="44"/>
      <c r="AA480" s="44"/>
      <c r="AB480" s="44"/>
      <c r="AC480" s="44"/>
      <c r="AD480" s="44"/>
      <c r="AE480" s="44"/>
      <c r="AF480" s="44"/>
      <c r="AG480" s="44"/>
      <c r="AH480" s="44"/>
      <c r="AI480" s="44"/>
      <c r="AJ480" s="44"/>
      <c r="AK480" s="44"/>
      <c r="AL480" s="44"/>
      <c r="AM480" s="44"/>
      <c r="AN480" s="44"/>
      <c r="AO480" s="44"/>
      <c r="AP480" s="44"/>
      <c r="AQ480" s="44"/>
      <c r="AR480" s="44"/>
      <c r="AS480" s="44"/>
      <c r="AT480" s="44"/>
      <c r="AU480" s="44"/>
      <c r="AV480" s="44"/>
      <c r="AW480" s="44"/>
      <c r="AX480" s="44"/>
      <c r="AY480"/>
      <c r="AZ480"/>
      <c r="BA480"/>
      <c r="BB480"/>
      <c r="BC480"/>
      <c r="BD480"/>
      <c r="BE480"/>
      <c r="BF480"/>
      <c r="BG480"/>
      <c r="BH480"/>
      <c r="BI480"/>
      <c r="BJ480"/>
    </row>
    <row r="481" spans="1:62" x14ac:dyDescent="0.25">
      <c r="A481" s="44"/>
      <c r="B481" s="44"/>
      <c r="C481" s="44"/>
      <c r="D481" s="44"/>
      <c r="E481" s="44"/>
      <c r="F481" s="44"/>
      <c r="G481" s="44"/>
      <c r="H481" s="44"/>
      <c r="I481" s="44"/>
      <c r="J481" s="44"/>
      <c r="K481" s="44"/>
      <c r="L481" s="44"/>
      <c r="M481" s="44"/>
      <c r="N481" s="44"/>
      <c r="O481" s="44"/>
      <c r="P481" s="44"/>
      <c r="Q481" s="44"/>
      <c r="R481" s="44"/>
      <c r="S481" s="44"/>
      <c r="T481" s="44"/>
      <c r="U481" s="44"/>
      <c r="V481" s="44"/>
      <c r="W481" s="44"/>
      <c r="X481" s="44"/>
      <c r="Y481" s="44"/>
      <c r="Z481" s="44"/>
      <c r="AA481" s="44"/>
      <c r="AB481" s="44"/>
      <c r="AC481" s="44"/>
      <c r="AD481" s="44"/>
      <c r="AE481" s="44"/>
      <c r="AF481" s="44"/>
      <c r="AG481" s="44"/>
      <c r="AH481" s="44"/>
      <c r="AI481" s="44"/>
      <c r="AJ481" s="44"/>
      <c r="AK481" s="44"/>
      <c r="AL481" s="44"/>
      <c r="AM481" s="44"/>
      <c r="AN481" s="44"/>
      <c r="AO481" s="44"/>
      <c r="AP481" s="44"/>
      <c r="AQ481" s="44"/>
      <c r="AR481" s="44"/>
      <c r="AS481" s="44"/>
      <c r="AT481" s="44"/>
      <c r="AU481" s="44"/>
      <c r="AV481" s="44"/>
      <c r="AW481" s="44"/>
      <c r="AX481" s="44"/>
      <c r="AY481"/>
      <c r="AZ481"/>
      <c r="BA481"/>
      <c r="BB481"/>
      <c r="BC481"/>
      <c r="BD481"/>
      <c r="BE481"/>
      <c r="BF481"/>
      <c r="BG481"/>
      <c r="BH481"/>
      <c r="BI481"/>
      <c r="BJ481"/>
    </row>
    <row r="482" spans="1:62" x14ac:dyDescent="0.25">
      <c r="A482" s="44"/>
      <c r="B482" s="44"/>
      <c r="C482" s="44"/>
      <c r="D482" s="44"/>
      <c r="E482" s="44"/>
      <c r="F482" s="44"/>
      <c r="G482" s="44"/>
      <c r="H482" s="44"/>
      <c r="I482" s="44"/>
      <c r="J482" s="44"/>
      <c r="K482" s="44"/>
      <c r="L482" s="44"/>
      <c r="M482" s="44"/>
      <c r="N482" s="44"/>
      <c r="O482" s="44"/>
      <c r="P482" s="44"/>
      <c r="Q482" s="44"/>
      <c r="R482" s="44"/>
      <c r="S482" s="44"/>
      <c r="T482" s="44"/>
      <c r="U482" s="44"/>
      <c r="V482" s="44"/>
      <c r="W482" s="44"/>
      <c r="X482" s="44"/>
      <c r="Y482" s="44"/>
      <c r="Z482" s="44"/>
      <c r="AA482" s="44"/>
      <c r="AB482" s="44"/>
      <c r="AC482" s="44"/>
      <c r="AD482" s="44"/>
      <c r="AE482" s="44"/>
      <c r="AF482" s="44"/>
      <c r="AG482" s="44"/>
      <c r="AH482" s="44"/>
      <c r="AI482" s="44"/>
      <c r="AJ482" s="44"/>
      <c r="AK482" s="44"/>
      <c r="AL482" s="44"/>
      <c r="AM482" s="44"/>
      <c r="AN482" s="44"/>
      <c r="AO482" s="44"/>
      <c r="AP482" s="44"/>
      <c r="AQ482" s="44"/>
      <c r="AR482" s="44"/>
      <c r="AS482" s="44"/>
      <c r="AT482" s="44"/>
      <c r="AU482" s="44"/>
      <c r="AV482" s="44"/>
      <c r="AW482" s="44"/>
      <c r="AX482" s="44"/>
      <c r="AY482"/>
      <c r="AZ482"/>
      <c r="BA482"/>
      <c r="BB482"/>
      <c r="BC482"/>
      <c r="BD482"/>
      <c r="BE482"/>
      <c r="BF482"/>
      <c r="BG482"/>
      <c r="BH482"/>
      <c r="BI482"/>
      <c r="BJ482"/>
    </row>
    <row r="483" spans="1:62" x14ac:dyDescent="0.25">
      <c r="A483" s="44"/>
      <c r="B483" s="44"/>
      <c r="C483" s="44"/>
      <c r="D483" s="44"/>
      <c r="E483" s="44"/>
      <c r="F483" s="44"/>
      <c r="G483" s="44"/>
      <c r="H483" s="44"/>
      <c r="I483" s="44"/>
      <c r="J483" s="44"/>
      <c r="K483" s="44"/>
      <c r="L483" s="44"/>
      <c r="M483" s="44"/>
      <c r="N483" s="44"/>
      <c r="O483" s="44"/>
      <c r="P483" s="44"/>
      <c r="Q483" s="44"/>
      <c r="R483" s="44"/>
      <c r="S483" s="44"/>
      <c r="T483" s="44"/>
      <c r="U483" s="44"/>
      <c r="V483" s="44"/>
      <c r="W483" s="44"/>
      <c r="X483" s="44"/>
      <c r="Y483" s="44"/>
      <c r="Z483" s="44"/>
      <c r="AA483" s="44"/>
      <c r="AB483" s="44"/>
      <c r="AC483" s="44"/>
      <c r="AD483" s="44"/>
      <c r="AE483" s="44"/>
      <c r="AF483" s="44"/>
      <c r="AG483" s="44"/>
      <c r="AH483" s="44"/>
      <c r="AI483" s="44"/>
      <c r="AJ483" s="44"/>
      <c r="AK483" s="44"/>
      <c r="AL483" s="44"/>
      <c r="AM483" s="44"/>
      <c r="AN483" s="44"/>
      <c r="AO483" s="44"/>
      <c r="AP483" s="44"/>
      <c r="AQ483" s="44"/>
      <c r="AR483" s="44"/>
      <c r="AS483" s="44"/>
      <c r="AT483" s="44"/>
      <c r="AU483" s="44"/>
      <c r="AV483" s="44"/>
      <c r="AW483" s="44"/>
      <c r="AX483" s="44"/>
      <c r="AY483"/>
      <c r="AZ483"/>
      <c r="BA483"/>
      <c r="BB483"/>
      <c r="BC483"/>
      <c r="BD483"/>
      <c r="BE483"/>
      <c r="BF483"/>
      <c r="BG483"/>
      <c r="BH483"/>
      <c r="BI483"/>
      <c r="BJ483"/>
    </row>
    <row r="484" spans="1:62" x14ac:dyDescent="0.25">
      <c r="A484" s="44"/>
      <c r="B484" s="44"/>
      <c r="C484" s="44"/>
      <c r="D484" s="44"/>
      <c r="E484" s="44"/>
      <c r="F484" s="44"/>
      <c r="G484" s="44"/>
      <c r="H484" s="44"/>
      <c r="I484" s="44"/>
      <c r="J484" s="44"/>
      <c r="K484" s="44"/>
      <c r="L484" s="44"/>
      <c r="M484" s="44"/>
      <c r="N484" s="44"/>
      <c r="O484" s="44"/>
      <c r="P484" s="44"/>
      <c r="Q484" s="44"/>
      <c r="R484" s="44"/>
      <c r="S484" s="44"/>
      <c r="T484" s="44"/>
      <c r="U484" s="44"/>
      <c r="V484" s="44"/>
      <c r="W484" s="44"/>
      <c r="X484" s="44"/>
      <c r="Y484" s="44"/>
      <c r="Z484" s="44"/>
      <c r="AA484" s="44"/>
      <c r="AB484" s="44"/>
      <c r="AC484" s="44"/>
      <c r="AD484" s="44"/>
      <c r="AE484" s="44"/>
      <c r="AF484" s="44"/>
      <c r="AG484" s="44"/>
      <c r="AH484" s="44"/>
      <c r="AI484" s="44"/>
      <c r="AJ484" s="44"/>
      <c r="AK484" s="44"/>
      <c r="AL484" s="44"/>
      <c r="AM484" s="44"/>
      <c r="AN484" s="44"/>
      <c r="AO484" s="44"/>
      <c r="AP484" s="44"/>
      <c r="AQ484" s="44"/>
      <c r="AR484" s="44"/>
      <c r="AS484" s="44"/>
      <c r="AT484" s="44"/>
      <c r="AU484" s="44"/>
      <c r="AV484" s="44"/>
      <c r="AW484" s="44"/>
      <c r="AX484" s="44"/>
      <c r="AY484"/>
      <c r="AZ484"/>
      <c r="BA484"/>
      <c r="BB484"/>
      <c r="BC484"/>
      <c r="BD484"/>
      <c r="BE484"/>
      <c r="BF484"/>
      <c r="BG484"/>
      <c r="BH484"/>
      <c r="BI484"/>
      <c r="BJ484"/>
    </row>
    <row r="485" spans="1:62" x14ac:dyDescent="0.25">
      <c r="A485" s="44"/>
      <c r="B485" s="44"/>
      <c r="C485" s="44"/>
      <c r="D485" s="44"/>
      <c r="E485" s="44"/>
      <c r="F485" s="44"/>
      <c r="G485" s="44"/>
      <c r="H485" s="44"/>
      <c r="I485" s="44"/>
      <c r="J485" s="44"/>
      <c r="K485" s="44"/>
      <c r="L485" s="44"/>
      <c r="M485" s="44"/>
      <c r="N485" s="44"/>
      <c r="O485" s="44"/>
      <c r="P485" s="44"/>
      <c r="Q485" s="44"/>
      <c r="R485" s="44"/>
      <c r="S485" s="44"/>
      <c r="T485" s="44"/>
      <c r="U485" s="44"/>
      <c r="V485" s="44"/>
      <c r="W485" s="44"/>
      <c r="X485" s="44"/>
      <c r="Y485" s="44"/>
      <c r="Z485" s="44"/>
      <c r="AA485" s="44"/>
      <c r="AB485" s="44"/>
      <c r="AC485" s="44"/>
      <c r="AD485" s="44"/>
      <c r="AE485" s="44"/>
      <c r="AF485" s="44"/>
      <c r="AG485" s="44"/>
      <c r="AH485" s="44"/>
      <c r="AI485" s="44"/>
      <c r="AJ485" s="44"/>
      <c r="AK485" s="44"/>
      <c r="AL485" s="44"/>
      <c r="AM485" s="44"/>
      <c r="AN485" s="44"/>
      <c r="AO485" s="44"/>
      <c r="AP485" s="44"/>
      <c r="AQ485" s="44"/>
      <c r="AR485" s="44"/>
      <c r="AS485" s="44"/>
      <c r="AT485" s="44"/>
      <c r="AU485" s="44"/>
      <c r="AV485" s="44"/>
      <c r="AW485" s="44"/>
      <c r="AX485" s="44"/>
      <c r="AY485"/>
      <c r="AZ485"/>
      <c r="BA485"/>
      <c r="BB485"/>
      <c r="BC485"/>
      <c r="BD485"/>
      <c r="BE485"/>
      <c r="BF485"/>
      <c r="BG485"/>
      <c r="BH485"/>
      <c r="BI485"/>
      <c r="BJ485"/>
    </row>
    <row r="486" spans="1:62" x14ac:dyDescent="0.25">
      <c r="A486" s="44"/>
      <c r="B486" s="44"/>
      <c r="C486" s="44"/>
      <c r="D486" s="44"/>
      <c r="E486" s="44"/>
      <c r="F486" s="44"/>
      <c r="G486" s="44"/>
      <c r="H486" s="44"/>
      <c r="I486" s="44"/>
      <c r="J486" s="44"/>
      <c r="K486" s="44"/>
      <c r="L486" s="44"/>
      <c r="M486" s="44"/>
      <c r="N486" s="44"/>
      <c r="O486" s="44"/>
      <c r="P486" s="44"/>
      <c r="Q486" s="44"/>
      <c r="R486" s="44"/>
      <c r="S486" s="44"/>
      <c r="T486" s="44"/>
      <c r="U486" s="44"/>
      <c r="V486" s="44"/>
      <c r="W486" s="44"/>
      <c r="X486" s="44"/>
      <c r="Y486" s="44"/>
      <c r="Z486" s="44"/>
      <c r="AA486" s="44"/>
      <c r="AB486" s="44"/>
      <c r="AC486" s="44"/>
      <c r="AD486" s="44"/>
      <c r="AE486" s="44"/>
      <c r="AF486" s="44"/>
      <c r="AG486" s="44"/>
      <c r="AH486" s="44"/>
      <c r="AI486" s="44"/>
      <c r="AJ486" s="44"/>
      <c r="AK486" s="44"/>
      <c r="AL486" s="44"/>
      <c r="AM486" s="44"/>
      <c r="AN486" s="44"/>
      <c r="AO486" s="44"/>
      <c r="AP486" s="44"/>
      <c r="AQ486" s="44"/>
      <c r="AR486" s="44"/>
      <c r="AS486" s="44"/>
      <c r="AT486" s="44"/>
      <c r="AU486" s="44"/>
      <c r="AV486" s="44"/>
      <c r="AW486" s="44"/>
      <c r="AX486" s="44"/>
      <c r="AY486"/>
      <c r="AZ486"/>
      <c r="BA486"/>
      <c r="BB486"/>
      <c r="BC486"/>
      <c r="BD486"/>
      <c r="BE486"/>
      <c r="BF486"/>
      <c r="BG486"/>
      <c r="BH486"/>
      <c r="BI486"/>
      <c r="BJ486"/>
    </row>
    <row r="487" spans="1:62" x14ac:dyDescent="0.25">
      <c r="A487" s="44"/>
      <c r="B487" s="44"/>
      <c r="C487" s="44"/>
      <c r="D487" s="44"/>
      <c r="E487" s="44"/>
      <c r="F487" s="44"/>
      <c r="G487" s="44"/>
      <c r="H487" s="44"/>
      <c r="I487" s="44"/>
      <c r="J487" s="44"/>
      <c r="K487" s="44"/>
      <c r="L487" s="44"/>
      <c r="M487" s="44"/>
      <c r="N487" s="44"/>
      <c r="O487" s="44"/>
      <c r="P487" s="44"/>
      <c r="Q487" s="44"/>
      <c r="R487" s="44"/>
      <c r="S487" s="44"/>
      <c r="T487" s="44"/>
      <c r="U487" s="44"/>
      <c r="V487" s="44"/>
      <c r="W487" s="44"/>
      <c r="X487" s="44"/>
      <c r="Y487" s="44"/>
      <c r="Z487" s="44"/>
      <c r="AA487" s="44"/>
      <c r="AB487" s="44"/>
      <c r="AC487" s="44"/>
      <c r="AD487" s="44"/>
      <c r="AE487" s="44"/>
      <c r="AF487" s="44"/>
      <c r="AG487" s="44"/>
      <c r="AH487" s="44"/>
      <c r="AI487" s="44"/>
      <c r="AJ487" s="44"/>
      <c r="AK487" s="44"/>
      <c r="AL487" s="44"/>
      <c r="AM487" s="44"/>
      <c r="AN487" s="44"/>
      <c r="AO487" s="44"/>
      <c r="AP487" s="44"/>
      <c r="AQ487" s="44"/>
      <c r="AR487" s="44"/>
      <c r="AS487" s="44"/>
      <c r="AT487" s="44"/>
      <c r="AU487" s="44"/>
      <c r="AV487" s="44"/>
      <c r="AW487" s="44"/>
      <c r="AX487" s="44"/>
      <c r="AY487"/>
      <c r="AZ487"/>
      <c r="BA487"/>
      <c r="BB487"/>
      <c r="BC487"/>
      <c r="BD487"/>
      <c r="BE487"/>
      <c r="BF487"/>
      <c r="BG487"/>
      <c r="BH487"/>
      <c r="BI487"/>
      <c r="BJ487"/>
    </row>
    <row r="488" spans="1:62" x14ac:dyDescent="0.25">
      <c r="A488" s="44"/>
      <c r="B488" s="44"/>
      <c r="C488" s="44"/>
      <c r="D488" s="44"/>
      <c r="E488" s="44"/>
      <c r="F488" s="44"/>
      <c r="G488" s="44"/>
      <c r="H488" s="44"/>
      <c r="I488" s="44"/>
      <c r="J488" s="44"/>
      <c r="K488" s="44"/>
      <c r="L488" s="44"/>
      <c r="M488" s="44"/>
      <c r="N488" s="44"/>
      <c r="O488" s="44"/>
      <c r="P488" s="44"/>
      <c r="Q488" s="44"/>
      <c r="R488" s="44"/>
      <c r="S488" s="44"/>
      <c r="T488" s="44"/>
      <c r="U488" s="44"/>
      <c r="V488" s="44"/>
      <c r="W488" s="44"/>
      <c r="X488" s="44"/>
      <c r="Y488" s="44"/>
      <c r="Z488" s="44"/>
      <c r="AA488" s="44"/>
      <c r="AB488" s="44"/>
      <c r="AC488" s="44"/>
      <c r="AD488" s="44"/>
      <c r="AE488" s="44"/>
      <c r="AF488" s="44"/>
      <c r="AG488" s="44"/>
      <c r="AH488" s="44"/>
      <c r="AI488" s="44"/>
      <c r="AJ488" s="44"/>
      <c r="AK488" s="44"/>
      <c r="AL488" s="44"/>
      <c r="AM488" s="44"/>
      <c r="AN488" s="44"/>
      <c r="AO488" s="44"/>
      <c r="AP488" s="44"/>
      <c r="AQ488" s="44"/>
      <c r="AR488" s="44"/>
      <c r="AS488" s="44"/>
      <c r="AT488" s="44"/>
      <c r="AU488" s="44"/>
      <c r="AV488" s="44"/>
      <c r="AW488" s="44"/>
      <c r="AX488" s="44"/>
      <c r="AY488"/>
      <c r="AZ488"/>
      <c r="BA488"/>
      <c r="BB488"/>
      <c r="BC488"/>
      <c r="BD488"/>
      <c r="BE488"/>
      <c r="BF488"/>
      <c r="BG488"/>
      <c r="BH488"/>
      <c r="BI488"/>
      <c r="BJ488"/>
    </row>
    <row r="489" spans="1:62" x14ac:dyDescent="0.25">
      <c r="A489" s="44"/>
      <c r="B489" s="44"/>
      <c r="C489" s="44"/>
      <c r="D489" s="44"/>
      <c r="E489" s="44"/>
      <c r="F489" s="44"/>
      <c r="G489" s="44"/>
      <c r="H489" s="44"/>
      <c r="I489" s="44"/>
      <c r="J489" s="44"/>
      <c r="K489" s="44"/>
      <c r="L489" s="44"/>
      <c r="M489" s="44"/>
      <c r="N489" s="44"/>
      <c r="O489" s="44"/>
      <c r="P489" s="44"/>
      <c r="Q489" s="44"/>
      <c r="R489" s="44"/>
      <c r="S489" s="44"/>
      <c r="T489" s="44"/>
      <c r="U489" s="44"/>
      <c r="V489" s="44"/>
      <c r="W489" s="44"/>
      <c r="X489" s="44"/>
      <c r="Y489" s="44"/>
      <c r="Z489" s="44"/>
      <c r="AA489" s="44"/>
      <c r="AB489" s="44"/>
      <c r="AC489" s="44"/>
      <c r="AD489" s="44"/>
      <c r="AE489" s="44"/>
      <c r="AF489" s="44"/>
      <c r="AG489" s="44"/>
      <c r="AH489" s="44"/>
      <c r="AI489" s="44"/>
      <c r="AJ489" s="44"/>
      <c r="AK489" s="44"/>
      <c r="AL489" s="44"/>
      <c r="AM489" s="44"/>
      <c r="AN489" s="44"/>
      <c r="AO489" s="44"/>
      <c r="AP489" s="44"/>
      <c r="AQ489" s="44"/>
      <c r="AR489" s="44"/>
      <c r="AS489" s="44"/>
      <c r="AT489" s="44"/>
      <c r="AU489" s="44"/>
      <c r="AV489" s="44"/>
      <c r="AW489" s="44"/>
      <c r="AX489" s="44"/>
      <c r="AY489"/>
      <c r="AZ489"/>
      <c r="BA489"/>
      <c r="BB489"/>
      <c r="BC489"/>
      <c r="BD489"/>
      <c r="BE489"/>
      <c r="BF489"/>
      <c r="BG489"/>
      <c r="BH489"/>
      <c r="BI489"/>
      <c r="BJ489"/>
    </row>
    <row r="490" spans="1:62" x14ac:dyDescent="0.25">
      <c r="A490" s="44"/>
      <c r="B490" s="44"/>
      <c r="C490" s="44"/>
      <c r="D490" s="44"/>
      <c r="E490" s="44"/>
      <c r="F490" s="44"/>
      <c r="G490" s="44"/>
      <c r="H490" s="44"/>
      <c r="I490" s="44"/>
      <c r="J490" s="44"/>
      <c r="K490" s="44"/>
      <c r="L490" s="44"/>
      <c r="M490" s="44"/>
      <c r="N490" s="44"/>
      <c r="O490" s="44"/>
      <c r="P490" s="44"/>
      <c r="Q490" s="44"/>
      <c r="R490" s="44"/>
      <c r="S490" s="44"/>
      <c r="T490" s="44"/>
      <c r="U490" s="44"/>
      <c r="V490" s="44"/>
      <c r="W490" s="44"/>
      <c r="X490" s="44"/>
      <c r="Y490" s="44"/>
      <c r="Z490" s="44"/>
      <c r="AA490" s="44"/>
      <c r="AB490" s="44"/>
      <c r="AC490" s="44"/>
      <c r="AD490" s="44"/>
      <c r="AE490" s="44"/>
      <c r="AF490" s="44"/>
      <c r="AG490" s="44"/>
      <c r="AH490" s="44"/>
      <c r="AI490" s="44"/>
      <c r="AJ490" s="44"/>
      <c r="AK490" s="44"/>
      <c r="AL490" s="44"/>
      <c r="AM490" s="44"/>
      <c r="AN490" s="44"/>
      <c r="AO490" s="44"/>
      <c r="AP490" s="44"/>
      <c r="AQ490" s="44"/>
      <c r="AR490" s="44"/>
      <c r="AS490" s="44"/>
      <c r="AT490" s="44"/>
      <c r="AU490" s="44"/>
      <c r="AV490" s="44"/>
      <c r="AW490" s="44"/>
      <c r="AX490" s="44"/>
      <c r="AY490"/>
      <c r="AZ490"/>
      <c r="BA490"/>
      <c r="BB490"/>
      <c r="BC490"/>
      <c r="BD490"/>
      <c r="BE490"/>
      <c r="BF490"/>
      <c r="BG490"/>
      <c r="BH490"/>
      <c r="BI490"/>
      <c r="BJ490"/>
    </row>
    <row r="491" spans="1:62" x14ac:dyDescent="0.25">
      <c r="A491" s="44"/>
      <c r="B491" s="44"/>
      <c r="C491" s="44"/>
      <c r="D491" s="44"/>
      <c r="E491" s="44"/>
      <c r="F491" s="44"/>
      <c r="G491" s="44"/>
      <c r="H491" s="44"/>
      <c r="I491" s="44"/>
      <c r="J491" s="44"/>
      <c r="K491" s="44"/>
      <c r="L491" s="44"/>
      <c r="M491" s="44"/>
      <c r="N491" s="44"/>
      <c r="O491" s="44"/>
      <c r="P491" s="44"/>
      <c r="Q491" s="44"/>
      <c r="R491" s="44"/>
      <c r="S491" s="44"/>
      <c r="T491" s="44"/>
      <c r="U491" s="44"/>
      <c r="V491" s="44"/>
      <c r="W491" s="44"/>
      <c r="X491" s="44"/>
      <c r="Y491" s="44"/>
      <c r="Z491" s="44"/>
      <c r="AA491" s="44"/>
      <c r="AB491" s="44"/>
      <c r="AC491" s="44"/>
      <c r="AD491" s="44"/>
      <c r="AE491" s="44"/>
      <c r="AF491" s="44"/>
      <c r="AG491" s="44"/>
      <c r="AH491" s="44"/>
      <c r="AI491" s="44"/>
      <c r="AJ491" s="44"/>
      <c r="AK491" s="44"/>
      <c r="AL491" s="44"/>
      <c r="AM491" s="44"/>
      <c r="AN491" s="44"/>
      <c r="AO491" s="44"/>
      <c r="AP491" s="44"/>
      <c r="AQ491" s="44"/>
      <c r="AR491" s="44"/>
      <c r="AS491" s="44"/>
      <c r="AT491" s="44"/>
      <c r="AU491" s="44"/>
      <c r="AV491" s="44"/>
      <c r="AW491" s="44"/>
      <c r="AX491" s="44"/>
      <c r="AY491"/>
      <c r="AZ491"/>
      <c r="BA491"/>
      <c r="BB491"/>
      <c r="BC491"/>
      <c r="BD491"/>
      <c r="BE491"/>
      <c r="BF491"/>
      <c r="BG491"/>
      <c r="BH491"/>
      <c r="BI491"/>
      <c r="BJ491"/>
    </row>
    <row r="492" spans="1:62" x14ac:dyDescent="0.25">
      <c r="A492" s="44"/>
      <c r="B492" s="44"/>
      <c r="C492" s="44"/>
      <c r="D492" s="44"/>
      <c r="E492" s="44"/>
      <c r="F492" s="44"/>
      <c r="G492" s="44"/>
      <c r="H492" s="44"/>
      <c r="I492" s="44"/>
      <c r="J492" s="44"/>
      <c r="K492" s="44"/>
      <c r="L492" s="44"/>
      <c r="M492" s="44"/>
      <c r="N492" s="44"/>
      <c r="O492" s="44"/>
      <c r="P492" s="44"/>
      <c r="Q492" s="44"/>
      <c r="R492" s="44"/>
      <c r="S492" s="44"/>
      <c r="T492" s="44"/>
      <c r="U492" s="44"/>
      <c r="V492" s="44"/>
      <c r="W492" s="44"/>
      <c r="X492" s="44"/>
      <c r="Y492" s="44"/>
      <c r="Z492" s="44"/>
      <c r="AA492" s="44"/>
      <c r="AB492" s="44"/>
      <c r="AC492" s="44"/>
      <c r="AD492" s="44"/>
      <c r="AE492" s="44"/>
      <c r="AF492" s="44"/>
      <c r="AG492" s="44"/>
      <c r="AH492" s="44"/>
      <c r="AI492" s="44"/>
      <c r="AJ492" s="44"/>
      <c r="AK492" s="44"/>
      <c r="AL492" s="44"/>
      <c r="AM492" s="44"/>
      <c r="AN492" s="44"/>
      <c r="AO492" s="44"/>
      <c r="AP492" s="44"/>
      <c r="AQ492" s="44"/>
      <c r="AR492" s="44"/>
      <c r="AS492" s="44"/>
      <c r="AT492" s="44"/>
      <c r="AU492" s="44"/>
      <c r="AV492" s="44"/>
      <c r="AW492" s="44"/>
      <c r="AX492" s="44"/>
      <c r="AY492"/>
      <c r="AZ492"/>
      <c r="BA492"/>
      <c r="BB492"/>
      <c r="BC492"/>
      <c r="BD492"/>
      <c r="BE492"/>
      <c r="BF492"/>
      <c r="BG492"/>
      <c r="BH492"/>
      <c r="BI492"/>
      <c r="BJ492"/>
    </row>
    <row r="493" spans="1:62" x14ac:dyDescent="0.25">
      <c r="A493" s="44"/>
      <c r="B493" s="44"/>
      <c r="C493" s="44"/>
      <c r="D493" s="44"/>
      <c r="E493" s="44"/>
      <c r="F493" s="44"/>
      <c r="G493" s="44"/>
      <c r="H493" s="44"/>
      <c r="I493" s="44"/>
      <c r="J493" s="44"/>
      <c r="K493" s="44"/>
      <c r="L493" s="44"/>
      <c r="M493" s="44"/>
      <c r="N493" s="44"/>
      <c r="O493" s="44"/>
      <c r="P493" s="44"/>
      <c r="Q493" s="44"/>
      <c r="R493" s="44"/>
      <c r="S493" s="44"/>
      <c r="T493" s="44"/>
      <c r="U493" s="44"/>
      <c r="V493" s="44"/>
      <c r="W493" s="44"/>
      <c r="X493" s="44"/>
      <c r="Y493" s="44"/>
      <c r="Z493" s="44"/>
      <c r="AA493" s="44"/>
      <c r="AB493" s="44"/>
      <c r="AC493" s="44"/>
      <c r="AD493" s="44"/>
      <c r="AE493" s="44"/>
      <c r="AF493" s="44"/>
      <c r="AG493" s="44"/>
      <c r="AH493" s="44"/>
      <c r="AI493" s="44"/>
      <c r="AJ493" s="44"/>
      <c r="AK493" s="44"/>
      <c r="AL493" s="44"/>
      <c r="AM493" s="44"/>
      <c r="AN493" s="44"/>
      <c r="AO493" s="44"/>
      <c r="AP493" s="44"/>
      <c r="AQ493" s="44"/>
      <c r="AR493" s="44"/>
      <c r="AS493" s="44"/>
      <c r="AT493" s="44"/>
      <c r="AU493" s="44"/>
      <c r="AV493" s="44"/>
      <c r="AW493" s="44"/>
      <c r="AX493" s="44"/>
      <c r="AY493"/>
      <c r="AZ493"/>
      <c r="BA493"/>
      <c r="BB493"/>
      <c r="BC493"/>
      <c r="BD493"/>
      <c r="BE493"/>
      <c r="BF493"/>
      <c r="BG493"/>
      <c r="BH493"/>
      <c r="BI493"/>
      <c r="BJ493"/>
    </row>
    <row r="494" spans="1:62" x14ac:dyDescent="0.25">
      <c r="A494" s="44"/>
      <c r="B494" s="44"/>
      <c r="C494" s="44"/>
      <c r="D494" s="44"/>
      <c r="E494" s="44"/>
      <c r="F494" s="44"/>
      <c r="G494" s="44"/>
      <c r="H494" s="44"/>
      <c r="I494" s="44"/>
      <c r="J494" s="44"/>
      <c r="K494" s="44"/>
      <c r="L494" s="44"/>
      <c r="M494" s="44"/>
      <c r="N494" s="44"/>
      <c r="O494" s="44"/>
      <c r="P494" s="44"/>
      <c r="Q494" s="44"/>
      <c r="R494" s="44"/>
      <c r="S494" s="44"/>
      <c r="T494" s="44"/>
      <c r="U494" s="44"/>
      <c r="V494" s="44"/>
      <c r="W494" s="44"/>
      <c r="X494" s="44"/>
      <c r="Y494" s="44"/>
      <c r="Z494" s="44"/>
      <c r="AA494" s="44"/>
      <c r="AB494" s="44"/>
      <c r="AC494" s="44"/>
      <c r="AD494" s="44"/>
      <c r="AE494" s="44"/>
      <c r="AF494" s="44"/>
      <c r="AG494" s="44"/>
      <c r="AH494" s="44"/>
      <c r="AI494" s="44"/>
      <c r="AJ494" s="44"/>
      <c r="AK494" s="44"/>
      <c r="AL494" s="44"/>
      <c r="AM494" s="44"/>
      <c r="AN494" s="44"/>
      <c r="AO494" s="44"/>
      <c r="AP494" s="44"/>
      <c r="AQ494" s="44"/>
      <c r="AR494" s="44"/>
      <c r="AS494" s="44"/>
      <c r="AT494" s="44"/>
      <c r="AU494" s="44"/>
      <c r="AV494" s="44"/>
      <c r="AW494" s="44"/>
      <c r="AX494" s="44"/>
      <c r="AY494"/>
      <c r="AZ494"/>
      <c r="BA494"/>
      <c r="BB494"/>
      <c r="BC494"/>
      <c r="BD494"/>
      <c r="BE494"/>
      <c r="BF494"/>
      <c r="BG494"/>
      <c r="BH494"/>
      <c r="BI494"/>
      <c r="BJ494"/>
    </row>
    <row r="495" spans="1:62" x14ac:dyDescent="0.25">
      <c r="A495" s="44"/>
      <c r="B495" s="44"/>
      <c r="C495" s="44"/>
      <c r="D495" s="44"/>
      <c r="E495" s="44"/>
      <c r="F495" s="44"/>
      <c r="G495" s="44"/>
      <c r="H495" s="44"/>
      <c r="I495" s="44"/>
      <c r="J495" s="44"/>
      <c r="K495" s="44"/>
      <c r="L495" s="44"/>
      <c r="M495" s="44"/>
      <c r="N495" s="44"/>
      <c r="O495" s="44"/>
      <c r="P495" s="44"/>
      <c r="Q495" s="44"/>
      <c r="R495" s="44"/>
      <c r="S495" s="44"/>
      <c r="T495" s="44"/>
      <c r="U495" s="44"/>
      <c r="V495" s="44"/>
      <c r="W495" s="44"/>
      <c r="X495" s="44"/>
      <c r="Y495" s="44"/>
      <c r="Z495" s="44"/>
      <c r="AA495" s="44"/>
      <c r="AB495" s="44"/>
      <c r="AC495" s="44"/>
      <c r="AD495" s="44"/>
      <c r="AE495" s="44"/>
      <c r="AF495" s="44"/>
      <c r="AG495" s="44"/>
      <c r="AH495" s="44"/>
      <c r="AI495" s="44"/>
      <c r="AJ495" s="44"/>
      <c r="AK495" s="44"/>
      <c r="AL495" s="44"/>
      <c r="AM495" s="44"/>
      <c r="AN495" s="44"/>
      <c r="AO495" s="44"/>
      <c r="AP495" s="44"/>
      <c r="AQ495" s="44"/>
      <c r="AR495" s="44"/>
      <c r="AS495" s="44"/>
      <c r="AT495" s="44"/>
      <c r="AU495" s="44"/>
      <c r="AV495" s="44"/>
      <c r="AW495" s="44"/>
      <c r="AX495" s="44"/>
      <c r="AY495"/>
      <c r="AZ495"/>
      <c r="BA495"/>
      <c r="BB495"/>
      <c r="BC495"/>
      <c r="BD495"/>
      <c r="BE495"/>
      <c r="BF495"/>
      <c r="BG495"/>
      <c r="BH495"/>
      <c r="BI495"/>
      <c r="BJ495"/>
    </row>
    <row r="496" spans="1:62" x14ac:dyDescent="0.25">
      <c r="A496" s="44"/>
      <c r="B496" s="44"/>
      <c r="C496" s="44"/>
      <c r="D496" s="44"/>
      <c r="E496" s="44"/>
      <c r="F496" s="44"/>
      <c r="G496" s="44"/>
      <c r="H496" s="44"/>
      <c r="I496" s="44"/>
      <c r="J496" s="44"/>
      <c r="K496" s="44"/>
      <c r="L496" s="44"/>
      <c r="M496" s="44"/>
      <c r="N496" s="44"/>
      <c r="O496" s="44"/>
      <c r="P496" s="44"/>
      <c r="Q496" s="44"/>
      <c r="R496" s="44"/>
      <c r="S496" s="44"/>
      <c r="T496" s="44"/>
      <c r="U496" s="44"/>
      <c r="V496" s="44"/>
      <c r="W496" s="44"/>
      <c r="X496" s="44"/>
      <c r="Y496" s="44"/>
      <c r="Z496" s="44"/>
      <c r="AA496" s="44"/>
      <c r="AB496" s="44"/>
      <c r="AC496" s="44"/>
      <c r="AD496" s="44"/>
      <c r="AE496" s="44"/>
      <c r="AF496" s="44"/>
      <c r="AG496" s="44"/>
      <c r="AH496" s="44"/>
      <c r="AI496" s="44"/>
      <c r="AJ496" s="44"/>
      <c r="AK496" s="44"/>
      <c r="AL496" s="44"/>
      <c r="AM496" s="44"/>
      <c r="AN496" s="44"/>
      <c r="AO496" s="44"/>
      <c r="AP496" s="44"/>
      <c r="AQ496" s="44"/>
      <c r="AR496" s="44"/>
      <c r="AS496" s="44"/>
      <c r="AT496" s="44"/>
      <c r="AU496" s="44"/>
      <c r="AV496" s="44"/>
      <c r="AW496" s="44"/>
      <c r="AX496" s="44"/>
      <c r="AY496"/>
      <c r="AZ496"/>
      <c r="BA496"/>
      <c r="BB496"/>
      <c r="BC496"/>
      <c r="BD496"/>
      <c r="BE496"/>
      <c r="BF496"/>
      <c r="BG496"/>
      <c r="BH496"/>
      <c r="BI496"/>
      <c r="BJ496"/>
    </row>
    <row r="497" spans="1:50" x14ac:dyDescent="0.25">
      <c r="A497" s="44"/>
      <c r="B497" s="44"/>
      <c r="C497" s="44"/>
      <c r="D497" s="44"/>
      <c r="E497" s="44"/>
      <c r="F497" s="44"/>
      <c r="G497" s="44"/>
      <c r="H497" s="44"/>
      <c r="I497" s="44"/>
      <c r="J497" s="44"/>
      <c r="K497" s="44"/>
      <c r="L497" s="44"/>
      <c r="M497" s="44"/>
      <c r="N497" s="44"/>
      <c r="O497" s="44"/>
      <c r="P497" s="44"/>
      <c r="Q497" s="44"/>
      <c r="R497" s="44"/>
      <c r="S497" s="44"/>
      <c r="T497" s="44"/>
      <c r="U497" s="44"/>
      <c r="V497" s="44"/>
      <c r="W497" s="44"/>
      <c r="X497" s="44"/>
      <c r="Y497" s="44"/>
      <c r="Z497" s="44"/>
      <c r="AA497" s="44"/>
      <c r="AB497" s="44"/>
      <c r="AC497" s="44"/>
      <c r="AD497" s="44"/>
      <c r="AE497" s="44"/>
      <c r="AF497" s="44"/>
      <c r="AG497" s="44"/>
      <c r="AH497" s="44"/>
      <c r="AI497" s="44"/>
      <c r="AJ497" s="44"/>
      <c r="AK497" s="44"/>
      <c r="AL497" s="44"/>
      <c r="AM497" s="44"/>
      <c r="AN497" s="44"/>
      <c r="AO497" s="44"/>
      <c r="AP497" s="44"/>
      <c r="AQ497" s="44"/>
      <c r="AR497" s="44"/>
      <c r="AS497" s="44"/>
      <c r="AT497" s="44"/>
      <c r="AU497" s="44"/>
      <c r="AV497" s="44"/>
      <c r="AW497" s="44"/>
      <c r="AX497" s="44"/>
    </row>
    <row r="498" spans="1:50" x14ac:dyDescent="0.25">
      <c r="A498" s="44"/>
      <c r="B498" s="44"/>
      <c r="C498" s="44"/>
      <c r="D498" s="44"/>
      <c r="E498" s="44"/>
      <c r="F498" s="44"/>
      <c r="G498" s="44"/>
      <c r="H498" s="44"/>
      <c r="I498" s="44"/>
      <c r="J498" s="44"/>
      <c r="K498" s="44"/>
      <c r="L498" s="44"/>
      <c r="M498" s="44"/>
      <c r="N498" s="44"/>
      <c r="O498" s="44"/>
      <c r="P498" s="44"/>
      <c r="Q498" s="44"/>
      <c r="R498" s="44"/>
      <c r="S498" s="44"/>
      <c r="T498" s="44"/>
      <c r="U498" s="44"/>
      <c r="V498" s="44"/>
      <c r="W498" s="44"/>
      <c r="X498" s="44"/>
      <c r="Y498" s="44"/>
      <c r="Z498" s="44"/>
      <c r="AA498" s="44"/>
      <c r="AB498" s="44"/>
      <c r="AC498" s="44"/>
      <c r="AD498" s="44"/>
      <c r="AE498" s="44"/>
      <c r="AF498" s="44"/>
      <c r="AG498" s="44"/>
      <c r="AH498" s="44"/>
      <c r="AI498" s="44"/>
      <c r="AJ498" s="44"/>
      <c r="AK498" s="44"/>
      <c r="AL498" s="44"/>
      <c r="AM498" s="44"/>
      <c r="AN498" s="44"/>
      <c r="AO498" s="44"/>
      <c r="AP498" s="44"/>
      <c r="AQ498" s="44"/>
      <c r="AR498" s="44"/>
      <c r="AS498" s="44"/>
      <c r="AT498" s="44"/>
      <c r="AU498" s="44"/>
      <c r="AV498" s="44"/>
      <c r="AW498" s="44"/>
      <c r="AX498" s="44"/>
    </row>
    <row r="499" spans="1:50" x14ac:dyDescent="0.25">
      <c r="A499" s="44"/>
      <c r="B499" s="44"/>
      <c r="C499" s="44"/>
      <c r="D499" s="44"/>
      <c r="E499" s="44"/>
      <c r="F499" s="44"/>
      <c r="G499" s="44"/>
      <c r="H499" s="44"/>
      <c r="I499" s="44"/>
      <c r="J499" s="44"/>
      <c r="K499" s="44"/>
      <c r="L499" s="44"/>
      <c r="M499" s="44"/>
      <c r="N499" s="44"/>
      <c r="O499" s="44"/>
      <c r="P499" s="44"/>
      <c r="Q499" s="44"/>
      <c r="R499" s="44"/>
      <c r="S499" s="44"/>
      <c r="T499" s="44"/>
      <c r="U499" s="44"/>
      <c r="V499" s="44"/>
      <c r="W499" s="44"/>
      <c r="X499" s="44"/>
      <c r="Y499" s="44"/>
      <c r="Z499" s="44"/>
      <c r="AA499" s="44"/>
      <c r="AB499" s="44"/>
      <c r="AC499" s="44"/>
      <c r="AD499" s="44"/>
      <c r="AE499" s="44"/>
      <c r="AF499" s="44"/>
      <c r="AG499" s="44"/>
      <c r="AH499" s="44"/>
      <c r="AI499" s="44"/>
      <c r="AJ499" s="44"/>
      <c r="AK499" s="44"/>
      <c r="AL499" s="44"/>
      <c r="AM499" s="44"/>
      <c r="AN499" s="44"/>
      <c r="AO499" s="44"/>
      <c r="AP499" s="44"/>
      <c r="AQ499" s="44"/>
      <c r="AR499" s="44"/>
      <c r="AS499" s="44"/>
      <c r="AT499" s="44"/>
      <c r="AU499" s="44"/>
      <c r="AV499" s="44"/>
      <c r="AW499" s="44"/>
      <c r="AX499" s="44"/>
    </row>
    <row r="500" spans="1:50" x14ac:dyDescent="0.25">
      <c r="A500" s="44"/>
      <c r="B500" s="44"/>
      <c r="C500" s="44"/>
      <c r="D500" s="44"/>
      <c r="E500" s="44"/>
      <c r="F500" s="44"/>
      <c r="G500" s="44"/>
      <c r="H500" s="44"/>
      <c r="I500" s="44"/>
      <c r="J500" s="44"/>
      <c r="K500" s="44"/>
      <c r="L500" s="44"/>
      <c r="M500" s="44"/>
      <c r="N500" s="44"/>
      <c r="O500" s="44"/>
      <c r="P500" s="44"/>
      <c r="Q500" s="44"/>
      <c r="R500" s="44"/>
      <c r="S500" s="44"/>
      <c r="T500" s="44"/>
      <c r="U500" s="44"/>
      <c r="V500" s="44"/>
      <c r="W500" s="44"/>
      <c r="X500" s="44"/>
      <c r="Y500" s="44"/>
      <c r="Z500" s="44"/>
      <c r="AA500" s="44"/>
      <c r="AB500" s="44"/>
      <c r="AC500" s="44"/>
      <c r="AD500" s="44"/>
      <c r="AE500" s="44"/>
      <c r="AF500" s="44"/>
      <c r="AG500" s="44"/>
      <c r="AH500" s="44"/>
      <c r="AI500" s="44"/>
      <c r="AJ500" s="44"/>
      <c r="AK500" s="44"/>
      <c r="AL500" s="44"/>
      <c r="AM500" s="44"/>
      <c r="AN500" s="44"/>
      <c r="AO500" s="44"/>
      <c r="AP500" s="44"/>
      <c r="AQ500" s="44"/>
      <c r="AR500" s="44"/>
      <c r="AS500" s="44"/>
      <c r="AT500" s="44"/>
      <c r="AU500" s="44"/>
      <c r="AV500" s="44"/>
      <c r="AW500" s="44"/>
      <c r="AX500" s="44"/>
    </row>
    <row r="501" spans="1:50" x14ac:dyDescent="0.25">
      <c r="A501" s="44"/>
      <c r="B501" s="44"/>
      <c r="C501" s="44"/>
      <c r="D501" s="44"/>
      <c r="E501" s="44"/>
      <c r="F501" s="44"/>
      <c r="G501" s="44"/>
      <c r="H501" s="44"/>
      <c r="I501" s="44"/>
      <c r="J501" s="44"/>
      <c r="K501" s="44"/>
      <c r="L501" s="44"/>
      <c r="M501" s="44"/>
      <c r="N501" s="44"/>
      <c r="O501" s="44"/>
      <c r="P501" s="44"/>
      <c r="Q501" s="44"/>
      <c r="R501" s="44"/>
      <c r="S501" s="44"/>
      <c r="T501" s="44"/>
      <c r="U501" s="44"/>
      <c r="V501" s="44"/>
      <c r="W501" s="44"/>
      <c r="X501" s="44"/>
      <c r="Y501" s="44"/>
      <c r="Z501" s="44"/>
      <c r="AA501" s="44"/>
      <c r="AB501" s="44"/>
      <c r="AC501" s="44"/>
      <c r="AD501" s="44"/>
      <c r="AE501" s="44"/>
      <c r="AF501" s="44"/>
      <c r="AG501" s="44"/>
      <c r="AH501" s="44"/>
      <c r="AI501" s="44"/>
      <c r="AJ501" s="44"/>
      <c r="AK501" s="44"/>
      <c r="AL501" s="44"/>
      <c r="AM501" s="44"/>
      <c r="AN501" s="44"/>
      <c r="AO501" s="44"/>
      <c r="AP501" s="44"/>
      <c r="AQ501" s="44"/>
      <c r="AR501" s="44"/>
      <c r="AS501" s="44"/>
      <c r="AT501" s="44"/>
      <c r="AU501" s="44"/>
      <c r="AV501" s="44"/>
      <c r="AW501" s="44"/>
      <c r="AX501" s="44"/>
    </row>
    <row r="502" spans="1:50" x14ac:dyDescent="0.25">
      <c r="A502" s="44"/>
      <c r="B502" s="44"/>
      <c r="C502" s="44"/>
      <c r="D502" s="44"/>
      <c r="E502" s="44"/>
      <c r="F502" s="44"/>
      <c r="G502" s="44"/>
      <c r="H502" s="44"/>
      <c r="I502" s="44"/>
      <c r="J502" s="44"/>
      <c r="K502" s="44"/>
      <c r="L502" s="44"/>
      <c r="M502" s="44"/>
      <c r="N502" s="44"/>
      <c r="O502" s="44"/>
      <c r="P502" s="44"/>
      <c r="Q502" s="44"/>
      <c r="R502" s="44"/>
      <c r="S502" s="44"/>
      <c r="T502" s="44"/>
      <c r="U502" s="44"/>
      <c r="V502" s="44"/>
      <c r="W502" s="44"/>
      <c r="X502" s="44"/>
      <c r="Y502" s="44"/>
      <c r="Z502" s="44"/>
      <c r="AA502" s="44"/>
      <c r="AB502" s="44"/>
      <c r="AC502" s="44"/>
      <c r="AD502" s="44"/>
      <c r="AE502" s="44"/>
      <c r="AF502" s="44"/>
      <c r="AG502" s="44"/>
      <c r="AH502" s="44"/>
      <c r="AI502" s="44"/>
      <c r="AJ502" s="44"/>
      <c r="AK502" s="44"/>
      <c r="AL502" s="44"/>
      <c r="AM502" s="44"/>
      <c r="AN502" s="44"/>
      <c r="AO502" s="44"/>
      <c r="AP502" s="44"/>
      <c r="AQ502" s="44"/>
      <c r="AR502" s="44"/>
      <c r="AS502" s="44"/>
      <c r="AT502" s="44"/>
      <c r="AU502" s="44"/>
      <c r="AV502" s="44"/>
      <c r="AW502" s="44"/>
      <c r="AX502" s="44"/>
    </row>
    <row r="503" spans="1:50" x14ac:dyDescent="0.25">
      <c r="A503" s="44"/>
      <c r="B503" s="44"/>
      <c r="C503" s="44"/>
      <c r="D503" s="44"/>
      <c r="E503" s="44"/>
      <c r="F503" s="44"/>
      <c r="G503" s="44"/>
      <c r="H503" s="44"/>
      <c r="I503" s="44"/>
      <c r="J503" s="44"/>
      <c r="K503" s="44"/>
      <c r="L503" s="44"/>
      <c r="M503" s="44"/>
      <c r="N503" s="44"/>
      <c r="O503" s="44"/>
      <c r="P503" s="44"/>
      <c r="Q503" s="44"/>
      <c r="R503" s="44"/>
      <c r="S503" s="44"/>
      <c r="T503" s="44"/>
      <c r="U503" s="44"/>
      <c r="V503" s="44"/>
      <c r="W503" s="44"/>
      <c r="X503" s="44"/>
      <c r="Y503" s="44"/>
      <c r="Z503" s="44"/>
      <c r="AA503" s="44"/>
      <c r="AB503" s="44"/>
      <c r="AC503" s="44"/>
      <c r="AD503" s="44"/>
      <c r="AE503" s="44"/>
      <c r="AF503" s="44"/>
      <c r="AG503" s="44"/>
      <c r="AH503" s="44"/>
      <c r="AI503" s="44"/>
      <c r="AJ503" s="44"/>
      <c r="AK503" s="44"/>
      <c r="AL503" s="44"/>
      <c r="AM503" s="44"/>
      <c r="AN503" s="44"/>
      <c r="AO503" s="44"/>
      <c r="AP503" s="44"/>
      <c r="AQ503" s="44"/>
      <c r="AR503" s="44"/>
      <c r="AS503" s="44"/>
      <c r="AT503" s="44"/>
      <c r="AU503" s="44"/>
      <c r="AV503" s="44"/>
      <c r="AW503" s="44"/>
      <c r="AX503" s="44"/>
    </row>
    <row r="504" spans="1:50" x14ac:dyDescent="0.25">
      <c r="A504" s="44"/>
      <c r="B504" s="44"/>
      <c r="C504" s="44"/>
      <c r="D504" s="44"/>
      <c r="E504" s="44"/>
      <c r="F504" s="44"/>
      <c r="G504" s="44"/>
      <c r="H504" s="44"/>
      <c r="I504" s="44"/>
      <c r="J504" s="44"/>
      <c r="K504" s="44"/>
      <c r="L504" s="44"/>
      <c r="M504" s="44"/>
      <c r="N504" s="44"/>
      <c r="O504" s="44"/>
      <c r="P504" s="44"/>
      <c r="Q504" s="44"/>
      <c r="R504" s="44"/>
      <c r="S504" s="44"/>
      <c r="T504" s="44"/>
      <c r="U504" s="44"/>
      <c r="V504" s="44"/>
      <c r="W504" s="44"/>
      <c r="X504" s="44"/>
      <c r="Y504" s="44"/>
      <c r="Z504" s="44"/>
      <c r="AA504" s="44"/>
      <c r="AB504" s="44"/>
      <c r="AC504" s="44"/>
      <c r="AD504" s="44"/>
      <c r="AE504" s="44"/>
      <c r="AF504" s="44"/>
      <c r="AG504" s="44"/>
      <c r="AH504" s="44"/>
      <c r="AI504" s="44"/>
      <c r="AJ504" s="44"/>
      <c r="AK504" s="44"/>
      <c r="AL504" s="44"/>
      <c r="AM504" s="44"/>
      <c r="AN504" s="44"/>
      <c r="AO504" s="44"/>
      <c r="AP504" s="44"/>
      <c r="AQ504" s="44"/>
      <c r="AR504" s="44"/>
      <c r="AS504" s="44"/>
      <c r="AT504" s="44"/>
      <c r="AU504" s="44"/>
      <c r="AV504" s="44"/>
      <c r="AW504" s="44"/>
      <c r="AX504" s="44"/>
    </row>
    <row r="505" spans="1:50" x14ac:dyDescent="0.25">
      <c r="A505" s="44"/>
      <c r="B505" s="44"/>
      <c r="C505" s="44"/>
      <c r="D505" s="44"/>
      <c r="E505" s="44"/>
      <c r="F505" s="44"/>
      <c r="G505" s="44"/>
      <c r="H505" s="44"/>
      <c r="I505" s="44"/>
      <c r="J505" s="44"/>
      <c r="K505" s="44"/>
      <c r="L505" s="44"/>
      <c r="M505" s="44"/>
      <c r="N505" s="44"/>
      <c r="O505" s="44"/>
      <c r="P505" s="44"/>
      <c r="Q505" s="44"/>
      <c r="R505" s="44"/>
      <c r="S505" s="44"/>
      <c r="T505" s="44"/>
      <c r="U505" s="44"/>
      <c r="V505" s="44"/>
      <c r="W505" s="44"/>
      <c r="X505" s="44"/>
      <c r="Y505" s="44"/>
      <c r="Z505" s="44"/>
      <c r="AA505" s="44"/>
      <c r="AB505" s="44"/>
      <c r="AC505" s="44"/>
      <c r="AD505" s="44"/>
      <c r="AE505" s="44"/>
      <c r="AF505" s="44"/>
      <c r="AG505" s="44"/>
      <c r="AH505" s="44"/>
      <c r="AI505" s="44"/>
      <c r="AJ505" s="44"/>
      <c r="AK505" s="44"/>
      <c r="AL505" s="44"/>
      <c r="AM505" s="44"/>
      <c r="AN505" s="44"/>
      <c r="AO505" s="44"/>
      <c r="AP505" s="44"/>
      <c r="AQ505" s="44"/>
      <c r="AR505" s="44"/>
      <c r="AS505" s="44"/>
      <c r="AT505" s="44"/>
      <c r="AU505" s="44"/>
      <c r="AV505" s="44"/>
      <c r="AW505" s="44"/>
      <c r="AX505" s="44"/>
    </row>
    <row r="506" spans="1:50" x14ac:dyDescent="0.25">
      <c r="A506" s="44"/>
      <c r="B506" s="44"/>
      <c r="C506" s="44"/>
      <c r="D506" s="44"/>
      <c r="E506" s="44"/>
      <c r="F506" s="44"/>
      <c r="G506" s="44"/>
      <c r="H506" s="44"/>
      <c r="I506" s="44"/>
      <c r="J506" s="44"/>
      <c r="K506" s="44"/>
      <c r="L506" s="44"/>
      <c r="M506" s="44"/>
      <c r="N506" s="44"/>
      <c r="O506" s="44"/>
      <c r="P506" s="44"/>
      <c r="Q506" s="44"/>
      <c r="R506" s="44"/>
      <c r="S506" s="44"/>
      <c r="T506" s="44"/>
      <c r="U506" s="44"/>
      <c r="V506" s="44"/>
      <c r="W506" s="44"/>
      <c r="X506" s="44"/>
      <c r="Y506" s="44"/>
      <c r="Z506" s="44"/>
      <c r="AA506" s="44"/>
      <c r="AB506" s="44"/>
      <c r="AC506" s="44"/>
      <c r="AD506" s="44"/>
      <c r="AE506" s="44"/>
      <c r="AF506" s="44"/>
      <c r="AG506" s="44"/>
      <c r="AH506" s="44"/>
      <c r="AI506" s="44"/>
      <c r="AJ506" s="44"/>
      <c r="AK506" s="44"/>
      <c r="AL506" s="44"/>
      <c r="AM506" s="44"/>
      <c r="AN506" s="44"/>
      <c r="AO506" s="44"/>
      <c r="AP506" s="44"/>
      <c r="AQ506" s="44"/>
      <c r="AR506" s="44"/>
      <c r="AS506" s="44"/>
      <c r="AT506" s="44"/>
      <c r="AU506" s="44"/>
      <c r="AV506" s="44"/>
      <c r="AW506" s="44"/>
      <c r="AX506" s="44"/>
    </row>
    <row r="507" spans="1:50" x14ac:dyDescent="0.25">
      <c r="A507" s="44"/>
      <c r="B507" s="44"/>
      <c r="C507" s="44"/>
      <c r="D507" s="44"/>
      <c r="E507" s="44"/>
      <c r="F507" s="44"/>
      <c r="G507" s="44"/>
      <c r="H507" s="44"/>
      <c r="I507" s="44"/>
      <c r="J507" s="44"/>
      <c r="K507" s="44"/>
      <c r="L507" s="44"/>
      <c r="M507" s="44"/>
      <c r="N507" s="44"/>
      <c r="O507" s="44"/>
      <c r="P507" s="44"/>
      <c r="Q507" s="44"/>
      <c r="R507" s="44"/>
      <c r="S507" s="44"/>
      <c r="T507" s="44"/>
      <c r="U507" s="44"/>
      <c r="V507" s="44"/>
      <c r="W507" s="44"/>
      <c r="X507" s="44"/>
      <c r="Y507" s="44"/>
      <c r="Z507" s="44"/>
      <c r="AA507" s="44"/>
      <c r="AB507" s="44"/>
      <c r="AC507" s="44"/>
      <c r="AD507" s="44"/>
      <c r="AE507" s="44"/>
      <c r="AF507" s="44"/>
      <c r="AG507" s="44"/>
      <c r="AH507" s="44"/>
      <c r="AI507" s="44"/>
      <c r="AJ507" s="44"/>
      <c r="AK507" s="44"/>
      <c r="AL507" s="44"/>
      <c r="AM507" s="44"/>
      <c r="AN507" s="44"/>
      <c r="AO507" s="44"/>
      <c r="AP507" s="44"/>
      <c r="AQ507" s="44"/>
      <c r="AR507" s="44"/>
      <c r="AS507" s="44"/>
      <c r="AT507" s="44"/>
      <c r="AU507" s="44"/>
      <c r="AV507" s="44"/>
      <c r="AW507" s="44"/>
      <c r="AX507" s="44"/>
    </row>
    <row r="508" spans="1:50" x14ac:dyDescent="0.25">
      <c r="A508" s="44"/>
      <c r="B508" s="44"/>
      <c r="C508" s="44"/>
      <c r="D508" s="44"/>
      <c r="E508" s="44"/>
      <c r="F508" s="44"/>
      <c r="G508" s="44"/>
      <c r="H508" s="44"/>
      <c r="I508" s="44"/>
      <c r="J508" s="44"/>
      <c r="K508" s="44"/>
      <c r="L508" s="44"/>
      <c r="M508" s="44"/>
      <c r="N508" s="44"/>
      <c r="O508" s="44"/>
      <c r="P508" s="44"/>
      <c r="Q508" s="44"/>
      <c r="R508" s="44"/>
      <c r="S508" s="44"/>
      <c r="T508" s="44"/>
      <c r="U508" s="44"/>
      <c r="V508" s="44"/>
      <c r="W508" s="44"/>
      <c r="X508" s="44"/>
      <c r="Y508" s="44"/>
      <c r="Z508" s="44"/>
      <c r="AA508" s="44"/>
      <c r="AB508" s="44"/>
      <c r="AC508" s="44"/>
      <c r="AD508" s="44"/>
      <c r="AE508" s="44"/>
      <c r="AF508" s="44"/>
      <c r="AG508" s="44"/>
      <c r="AH508" s="44"/>
      <c r="AI508" s="44"/>
      <c r="AJ508" s="44"/>
      <c r="AK508" s="44"/>
      <c r="AL508" s="44"/>
      <c r="AM508" s="44"/>
      <c r="AN508" s="44"/>
      <c r="AO508" s="44"/>
      <c r="AP508" s="44"/>
      <c r="AQ508" s="44"/>
      <c r="AR508" s="44"/>
      <c r="AS508" s="44"/>
      <c r="AT508" s="44"/>
      <c r="AU508" s="44"/>
      <c r="AV508" s="44"/>
      <c r="AW508" s="44"/>
      <c r="AX508" s="44"/>
    </row>
    <row r="509" spans="1:50" x14ac:dyDescent="0.25">
      <c r="A509" s="44"/>
      <c r="B509" s="44"/>
      <c r="C509" s="44"/>
      <c r="D509" s="44"/>
      <c r="E509" s="44"/>
      <c r="F509" s="44"/>
      <c r="G509" s="44"/>
      <c r="H509" s="44"/>
      <c r="I509" s="44"/>
      <c r="J509" s="44"/>
      <c r="K509" s="44"/>
      <c r="L509" s="44"/>
      <c r="M509" s="44"/>
      <c r="N509" s="44"/>
      <c r="O509" s="44"/>
      <c r="P509" s="44"/>
      <c r="Q509" s="44"/>
      <c r="R509" s="44"/>
      <c r="S509" s="44"/>
      <c r="T509" s="44"/>
      <c r="U509" s="44"/>
      <c r="V509" s="44"/>
      <c r="W509" s="44"/>
      <c r="X509" s="44"/>
      <c r="Y509" s="44"/>
      <c r="Z509" s="44"/>
      <c r="AA509" s="44"/>
      <c r="AB509" s="44"/>
      <c r="AC509" s="44"/>
      <c r="AD509" s="44"/>
      <c r="AE509" s="44"/>
      <c r="AF509" s="44"/>
      <c r="AG509" s="44"/>
      <c r="AH509" s="44"/>
      <c r="AI509" s="44"/>
      <c r="AJ509" s="44"/>
      <c r="AK509" s="44"/>
      <c r="AL509" s="44"/>
      <c r="AM509" s="44"/>
      <c r="AN509" s="44"/>
      <c r="AO509" s="44"/>
      <c r="AP509" s="44"/>
      <c r="AQ509" s="44"/>
      <c r="AR509" s="44"/>
      <c r="AS509" s="44"/>
      <c r="AT509" s="44"/>
      <c r="AU509" s="44"/>
      <c r="AV509" s="44"/>
      <c r="AW509" s="44"/>
      <c r="AX509" s="44"/>
    </row>
    <row r="510" spans="1:50" x14ac:dyDescent="0.25">
      <c r="A510" s="44"/>
      <c r="B510" s="44"/>
      <c r="C510" s="44"/>
      <c r="D510" s="44"/>
      <c r="E510" s="44"/>
      <c r="F510" s="44"/>
      <c r="G510" s="44"/>
      <c r="H510" s="44"/>
      <c r="I510" s="44"/>
      <c r="J510" s="44"/>
      <c r="K510" s="44"/>
      <c r="L510" s="44"/>
      <c r="M510" s="44"/>
      <c r="N510" s="44"/>
      <c r="O510" s="44"/>
      <c r="P510" s="44"/>
      <c r="Q510" s="44"/>
      <c r="R510" s="44"/>
      <c r="S510" s="44"/>
      <c r="T510" s="44"/>
      <c r="U510" s="44"/>
      <c r="V510" s="44"/>
      <c r="W510" s="44"/>
      <c r="X510" s="44"/>
      <c r="Y510" s="44"/>
      <c r="Z510" s="44"/>
      <c r="AA510" s="44"/>
      <c r="AB510" s="44"/>
      <c r="AC510" s="44"/>
      <c r="AD510" s="44"/>
      <c r="AE510" s="44"/>
      <c r="AF510" s="44"/>
      <c r="AG510" s="44"/>
      <c r="AH510" s="44"/>
      <c r="AI510" s="44"/>
      <c r="AJ510" s="44"/>
      <c r="AK510" s="44"/>
      <c r="AL510" s="44"/>
      <c r="AM510" s="44"/>
      <c r="AN510" s="44"/>
      <c r="AO510" s="44"/>
      <c r="AP510" s="44"/>
      <c r="AQ510" s="44"/>
      <c r="AR510" s="44"/>
      <c r="AS510" s="44"/>
      <c r="AT510" s="44"/>
      <c r="AU510" s="44"/>
      <c r="AV510" s="44"/>
      <c r="AW510" s="44"/>
      <c r="AX510" s="44"/>
    </row>
    <row r="511" spans="1:50" x14ac:dyDescent="0.25">
      <c r="A511" s="44"/>
      <c r="B511" s="44"/>
      <c r="C511" s="44"/>
      <c r="D511" s="44"/>
      <c r="E511" s="44"/>
      <c r="F511" s="44"/>
      <c r="G511" s="44"/>
      <c r="H511" s="44"/>
      <c r="I511" s="44"/>
      <c r="J511" s="44"/>
      <c r="K511" s="44"/>
      <c r="L511" s="44"/>
      <c r="M511" s="44"/>
      <c r="N511" s="44"/>
      <c r="O511" s="44"/>
      <c r="P511" s="44"/>
      <c r="Q511" s="44"/>
      <c r="R511" s="44"/>
      <c r="S511" s="44"/>
      <c r="T511" s="44"/>
      <c r="U511" s="44"/>
      <c r="V511" s="44"/>
      <c r="W511" s="44"/>
      <c r="X511" s="44"/>
      <c r="Y511" s="44"/>
      <c r="Z511" s="44"/>
      <c r="AA511" s="44"/>
      <c r="AB511" s="44"/>
      <c r="AC511" s="44"/>
      <c r="AD511" s="44"/>
      <c r="AE511" s="44"/>
      <c r="AF511" s="44"/>
      <c r="AG511" s="44"/>
      <c r="AH511" s="44"/>
      <c r="AI511" s="44"/>
      <c r="AJ511" s="44"/>
      <c r="AK511" s="44"/>
      <c r="AL511" s="44"/>
      <c r="AM511" s="44"/>
      <c r="AN511" s="44"/>
      <c r="AO511" s="44"/>
      <c r="AP511" s="44"/>
      <c r="AQ511" s="44"/>
      <c r="AR511" s="44"/>
      <c r="AS511" s="44"/>
      <c r="AT511" s="44"/>
      <c r="AU511" s="44"/>
      <c r="AV511" s="44"/>
      <c r="AW511" s="44"/>
      <c r="AX511" s="44"/>
    </row>
    <row r="512" spans="1:50" x14ac:dyDescent="0.25">
      <c r="A512" s="44"/>
      <c r="B512" s="44"/>
      <c r="C512" s="44"/>
      <c r="D512" s="44"/>
      <c r="E512" s="44"/>
      <c r="F512" s="44"/>
      <c r="G512" s="44"/>
      <c r="H512" s="44"/>
      <c r="I512" s="44"/>
      <c r="J512" s="44"/>
      <c r="K512" s="44"/>
      <c r="L512" s="44"/>
      <c r="M512" s="44"/>
      <c r="N512" s="44"/>
      <c r="O512" s="44"/>
      <c r="P512" s="44"/>
      <c r="Q512" s="44"/>
      <c r="R512" s="44"/>
      <c r="S512" s="44"/>
      <c r="T512" s="44"/>
      <c r="U512" s="44"/>
      <c r="V512" s="44"/>
      <c r="W512" s="44"/>
      <c r="X512" s="44"/>
      <c r="Y512" s="44"/>
      <c r="Z512" s="44"/>
      <c r="AA512" s="44"/>
      <c r="AB512" s="44"/>
      <c r="AC512" s="44"/>
      <c r="AD512" s="44"/>
      <c r="AE512" s="44"/>
      <c r="AF512" s="44"/>
      <c r="AG512" s="44"/>
      <c r="AH512" s="44"/>
      <c r="AI512" s="44"/>
      <c r="AJ512" s="44"/>
      <c r="AK512" s="44"/>
      <c r="AL512" s="44"/>
      <c r="AM512" s="44"/>
      <c r="AN512" s="44"/>
      <c r="AO512" s="44"/>
      <c r="AP512" s="44"/>
      <c r="AQ512" s="44"/>
      <c r="AR512" s="44"/>
      <c r="AS512" s="44"/>
      <c r="AT512" s="44"/>
      <c r="AU512" s="44"/>
      <c r="AV512" s="44"/>
      <c r="AW512" s="44"/>
      <c r="AX512" s="44"/>
    </row>
    <row r="513" spans="1:50" x14ac:dyDescent="0.25">
      <c r="A513" s="44"/>
      <c r="B513" s="44"/>
      <c r="C513" s="44"/>
      <c r="D513" s="44"/>
      <c r="E513" s="44"/>
      <c r="F513" s="44"/>
      <c r="G513" s="44"/>
      <c r="H513" s="44"/>
      <c r="I513" s="44"/>
      <c r="J513" s="44"/>
      <c r="K513" s="44"/>
      <c r="L513" s="44"/>
      <c r="M513" s="44"/>
      <c r="N513" s="44"/>
      <c r="O513" s="44"/>
      <c r="P513" s="44"/>
      <c r="Q513" s="44"/>
      <c r="R513" s="44"/>
      <c r="S513" s="44"/>
      <c r="T513" s="44"/>
      <c r="U513" s="44"/>
      <c r="V513" s="44"/>
      <c r="W513" s="44"/>
      <c r="X513" s="44"/>
      <c r="Y513" s="44"/>
      <c r="Z513" s="44"/>
      <c r="AA513" s="44"/>
      <c r="AB513" s="44"/>
      <c r="AC513" s="44"/>
      <c r="AD513" s="44"/>
      <c r="AE513" s="44"/>
      <c r="AF513" s="44"/>
      <c r="AG513" s="44"/>
      <c r="AH513" s="44"/>
      <c r="AI513" s="44"/>
      <c r="AJ513" s="44"/>
      <c r="AK513" s="44"/>
      <c r="AL513" s="44"/>
      <c r="AM513" s="44"/>
      <c r="AN513" s="44"/>
      <c r="AO513" s="44"/>
      <c r="AP513" s="44"/>
      <c r="AQ513" s="44"/>
      <c r="AR513" s="44"/>
      <c r="AS513" s="44"/>
      <c r="AT513" s="44"/>
      <c r="AU513" s="44"/>
      <c r="AV513" s="44"/>
      <c r="AW513" s="44"/>
      <c r="AX513" s="44"/>
    </row>
    <row r="514" spans="1:50" x14ac:dyDescent="0.25">
      <c r="A514" s="44"/>
      <c r="B514" s="44"/>
      <c r="C514" s="44"/>
      <c r="D514" s="44"/>
      <c r="E514" s="44"/>
      <c r="F514" s="44"/>
      <c r="G514" s="44"/>
      <c r="H514" s="44"/>
      <c r="I514" s="44"/>
      <c r="J514" s="44"/>
      <c r="K514" s="44"/>
      <c r="L514" s="44"/>
      <c r="M514" s="44"/>
      <c r="N514" s="44"/>
      <c r="O514" s="44"/>
      <c r="P514" s="44"/>
      <c r="Q514" s="44"/>
      <c r="R514" s="44"/>
      <c r="S514" s="44"/>
      <c r="T514" s="44"/>
      <c r="U514" s="44"/>
      <c r="V514" s="44"/>
      <c r="W514" s="44"/>
      <c r="X514" s="44"/>
      <c r="Y514" s="44"/>
      <c r="Z514" s="44"/>
      <c r="AA514" s="44"/>
      <c r="AB514" s="44"/>
      <c r="AC514" s="44"/>
      <c r="AD514" s="44"/>
      <c r="AE514" s="44"/>
      <c r="AF514" s="44"/>
      <c r="AG514" s="44"/>
      <c r="AH514" s="44"/>
      <c r="AI514" s="44"/>
      <c r="AJ514" s="44"/>
      <c r="AK514" s="44"/>
      <c r="AL514" s="44"/>
      <c r="AM514" s="44"/>
      <c r="AN514" s="44"/>
      <c r="AO514" s="44"/>
      <c r="AP514" s="44"/>
      <c r="AQ514" s="44"/>
      <c r="AR514" s="44"/>
      <c r="AS514" s="44"/>
      <c r="AT514" s="44"/>
      <c r="AU514" s="44"/>
      <c r="AV514" s="44"/>
      <c r="AW514" s="44"/>
      <c r="AX514" s="44"/>
    </row>
    <row r="515" spans="1:50" x14ac:dyDescent="0.25">
      <c r="A515" s="44"/>
      <c r="B515" s="44"/>
      <c r="C515" s="44"/>
      <c r="D515" s="44"/>
      <c r="E515" s="44"/>
      <c r="F515" s="44"/>
      <c r="G515" s="44"/>
      <c r="H515" s="44"/>
      <c r="I515" s="44"/>
      <c r="J515" s="44"/>
      <c r="K515" s="44"/>
      <c r="L515" s="44"/>
      <c r="M515" s="44"/>
      <c r="N515" s="44"/>
      <c r="O515" s="44"/>
      <c r="P515" s="44"/>
      <c r="Q515" s="44"/>
      <c r="R515" s="44"/>
      <c r="S515" s="44"/>
      <c r="T515" s="44"/>
      <c r="U515" s="44"/>
      <c r="V515" s="44"/>
      <c r="W515" s="44"/>
      <c r="X515" s="44"/>
      <c r="Y515" s="44"/>
      <c r="Z515" s="44"/>
      <c r="AA515" s="44"/>
      <c r="AB515" s="44"/>
      <c r="AC515" s="44"/>
      <c r="AD515" s="44"/>
      <c r="AE515" s="44"/>
      <c r="AF515" s="44"/>
      <c r="AG515" s="44"/>
      <c r="AH515" s="44"/>
      <c r="AI515" s="44"/>
      <c r="AJ515" s="44"/>
      <c r="AK515" s="44"/>
      <c r="AL515" s="44"/>
      <c r="AM515" s="44"/>
      <c r="AN515" s="44"/>
      <c r="AO515" s="44"/>
      <c r="AP515" s="44"/>
      <c r="AQ515" s="44"/>
      <c r="AR515" s="44"/>
      <c r="AS515" s="44"/>
      <c r="AT515" s="44"/>
      <c r="AU515" s="44"/>
      <c r="AV515" s="44"/>
      <c r="AW515" s="44"/>
      <c r="AX515" s="44"/>
    </row>
    <row r="516" spans="1:50" x14ac:dyDescent="0.25">
      <c r="A516" s="44"/>
      <c r="B516" s="44"/>
      <c r="C516" s="44"/>
      <c r="D516" s="44"/>
      <c r="E516" s="44"/>
      <c r="F516" s="44"/>
      <c r="G516" s="44"/>
      <c r="H516" s="44"/>
      <c r="I516" s="44"/>
      <c r="J516" s="44"/>
      <c r="K516" s="44"/>
      <c r="L516" s="44"/>
      <c r="M516" s="44"/>
      <c r="N516" s="44"/>
      <c r="O516" s="44"/>
      <c r="P516" s="44"/>
      <c r="Q516" s="44"/>
      <c r="R516" s="44"/>
      <c r="S516" s="44"/>
      <c r="T516" s="44"/>
      <c r="U516" s="44"/>
      <c r="V516" s="44"/>
      <c r="W516" s="44"/>
      <c r="X516" s="44"/>
      <c r="Y516" s="44"/>
      <c r="Z516" s="44"/>
      <c r="AA516" s="44"/>
      <c r="AB516" s="44"/>
      <c r="AC516" s="44"/>
      <c r="AD516" s="44"/>
      <c r="AE516" s="44"/>
      <c r="AF516" s="44"/>
      <c r="AG516" s="44"/>
      <c r="AH516" s="44"/>
      <c r="AI516" s="44"/>
      <c r="AJ516" s="44"/>
      <c r="AK516" s="44"/>
      <c r="AL516" s="44"/>
      <c r="AM516" s="44"/>
      <c r="AN516" s="44"/>
      <c r="AO516" s="44"/>
      <c r="AP516" s="44"/>
      <c r="AQ516" s="44"/>
      <c r="AR516" s="44"/>
      <c r="AS516" s="44"/>
      <c r="AT516" s="44"/>
      <c r="AU516" s="44"/>
      <c r="AV516" s="44"/>
      <c r="AW516" s="44"/>
      <c r="AX516" s="44"/>
    </row>
    <row r="517" spans="1:50" x14ac:dyDescent="0.25">
      <c r="A517" s="44"/>
      <c r="B517" s="44"/>
      <c r="C517" s="44"/>
      <c r="D517" s="44"/>
      <c r="E517" s="44"/>
      <c r="F517" s="44"/>
      <c r="G517" s="44"/>
      <c r="H517" s="44"/>
      <c r="I517" s="44"/>
      <c r="J517" s="44"/>
      <c r="K517" s="44"/>
      <c r="L517" s="44"/>
      <c r="M517" s="44"/>
      <c r="N517" s="44"/>
      <c r="O517" s="44"/>
      <c r="P517" s="44"/>
      <c r="Q517" s="44"/>
      <c r="R517" s="44"/>
      <c r="S517" s="44"/>
      <c r="T517" s="44"/>
      <c r="U517" s="44"/>
      <c r="V517" s="44"/>
      <c r="W517" s="44"/>
      <c r="X517" s="44"/>
      <c r="Y517" s="44"/>
      <c r="Z517" s="44"/>
      <c r="AA517" s="44"/>
      <c r="AB517" s="44"/>
      <c r="AC517" s="44"/>
      <c r="AD517" s="44"/>
      <c r="AE517" s="44"/>
      <c r="AF517" s="44"/>
      <c r="AG517" s="44"/>
      <c r="AH517" s="44"/>
      <c r="AI517" s="44"/>
      <c r="AJ517" s="44"/>
      <c r="AK517" s="44"/>
      <c r="AL517" s="44"/>
      <c r="AM517" s="44"/>
      <c r="AN517" s="44"/>
      <c r="AO517" s="44"/>
      <c r="AP517" s="44"/>
      <c r="AQ517" s="44"/>
      <c r="AR517" s="44"/>
      <c r="AS517" s="44"/>
      <c r="AT517" s="44"/>
      <c r="AU517" s="44"/>
      <c r="AV517" s="44"/>
      <c r="AW517" s="44"/>
      <c r="AX517" s="44"/>
    </row>
    <row r="518" spans="1:50" x14ac:dyDescent="0.25">
      <c r="A518" s="44"/>
      <c r="B518" s="44"/>
      <c r="C518" s="44"/>
      <c r="D518" s="44"/>
      <c r="E518" s="44"/>
      <c r="F518" s="44"/>
      <c r="G518" s="44"/>
      <c r="H518" s="44"/>
      <c r="I518" s="44"/>
      <c r="J518" s="44"/>
      <c r="K518" s="44"/>
      <c r="L518" s="44"/>
      <c r="M518" s="44"/>
      <c r="N518" s="44"/>
      <c r="O518" s="44"/>
      <c r="P518" s="44"/>
      <c r="Q518" s="44"/>
      <c r="R518" s="44"/>
      <c r="S518" s="44"/>
      <c r="T518" s="44"/>
      <c r="U518" s="44"/>
      <c r="V518" s="44"/>
      <c r="W518" s="44"/>
      <c r="X518" s="44"/>
      <c r="Y518" s="44"/>
      <c r="Z518" s="44"/>
      <c r="AA518" s="44"/>
      <c r="AB518" s="44"/>
      <c r="AC518" s="44"/>
      <c r="AD518" s="44"/>
      <c r="AE518" s="44"/>
      <c r="AF518" s="44"/>
      <c r="AG518" s="44"/>
      <c r="AH518" s="44"/>
      <c r="AI518" s="44"/>
      <c r="AJ518" s="44"/>
      <c r="AK518" s="44"/>
      <c r="AL518" s="44"/>
      <c r="AM518" s="44"/>
      <c r="AN518" s="44"/>
      <c r="AO518" s="44"/>
      <c r="AP518" s="44"/>
      <c r="AQ518" s="44"/>
      <c r="AR518" s="44"/>
      <c r="AS518" s="44"/>
      <c r="AT518" s="44"/>
      <c r="AU518" s="44"/>
      <c r="AV518" s="44"/>
      <c r="AW518" s="44"/>
      <c r="AX518" s="44"/>
    </row>
    <row r="519" spans="1:50" x14ac:dyDescent="0.25">
      <c r="A519" s="44"/>
      <c r="B519" s="44"/>
      <c r="C519" s="44"/>
      <c r="D519" s="44"/>
      <c r="E519" s="44"/>
      <c r="F519" s="44"/>
      <c r="G519" s="44"/>
      <c r="H519" s="44"/>
      <c r="I519" s="44"/>
      <c r="J519" s="44"/>
      <c r="K519" s="44"/>
      <c r="L519" s="44"/>
      <c r="M519" s="44"/>
      <c r="N519" s="44"/>
      <c r="O519" s="44"/>
      <c r="P519" s="44"/>
      <c r="Q519" s="44"/>
      <c r="R519" s="44"/>
      <c r="S519" s="44"/>
      <c r="T519" s="44"/>
      <c r="U519" s="44"/>
      <c r="V519" s="44"/>
      <c r="W519" s="44"/>
      <c r="X519" s="44"/>
      <c r="Y519" s="44"/>
      <c r="Z519" s="44"/>
      <c r="AA519" s="44"/>
      <c r="AB519" s="44"/>
      <c r="AC519" s="44"/>
      <c r="AD519" s="44"/>
      <c r="AE519" s="44"/>
      <c r="AF519" s="44"/>
      <c r="AG519" s="44"/>
      <c r="AH519" s="44"/>
      <c r="AI519" s="44"/>
      <c r="AJ519" s="44"/>
      <c r="AK519" s="44"/>
      <c r="AL519" s="44"/>
      <c r="AM519" s="44"/>
      <c r="AN519" s="44"/>
      <c r="AO519" s="44"/>
      <c r="AP519" s="44"/>
      <c r="AQ519" s="44"/>
      <c r="AR519" s="44"/>
      <c r="AS519" s="44"/>
      <c r="AT519" s="44"/>
      <c r="AU519" s="44"/>
      <c r="AV519" s="44"/>
      <c r="AW519" s="44"/>
      <c r="AX519" s="44"/>
    </row>
    <row r="520" spans="1:50" x14ac:dyDescent="0.25">
      <c r="A520" s="44"/>
      <c r="B520" s="44"/>
      <c r="C520" s="44"/>
      <c r="D520" s="44"/>
      <c r="E520" s="44"/>
      <c r="F520" s="44"/>
      <c r="G520" s="44"/>
      <c r="H520" s="44"/>
      <c r="I520" s="44"/>
      <c r="J520" s="44"/>
      <c r="K520" s="44"/>
      <c r="L520" s="44"/>
      <c r="M520" s="44"/>
      <c r="N520" s="44"/>
      <c r="O520" s="44"/>
      <c r="P520" s="44"/>
      <c r="Q520" s="44"/>
      <c r="R520" s="44"/>
      <c r="S520" s="44"/>
      <c r="T520" s="44"/>
      <c r="U520" s="44"/>
      <c r="V520" s="44"/>
      <c r="W520" s="44"/>
      <c r="X520" s="44"/>
      <c r="Y520" s="44"/>
      <c r="Z520" s="44"/>
      <c r="AA520" s="44"/>
      <c r="AB520" s="44"/>
      <c r="AC520" s="44"/>
      <c r="AD520" s="44"/>
      <c r="AE520" s="44"/>
      <c r="AF520" s="44"/>
      <c r="AG520" s="44"/>
      <c r="AH520" s="44"/>
      <c r="AI520" s="44"/>
      <c r="AJ520" s="44"/>
      <c r="AK520" s="44"/>
      <c r="AL520" s="44"/>
      <c r="AM520" s="44"/>
      <c r="AN520" s="44"/>
      <c r="AO520" s="44"/>
      <c r="AP520" s="44"/>
      <c r="AQ520" s="44"/>
      <c r="AR520" s="44"/>
      <c r="AS520" s="44"/>
      <c r="AT520" s="44"/>
      <c r="AU520" s="44"/>
      <c r="AV520" s="44"/>
      <c r="AW520" s="44"/>
      <c r="AX520" s="44"/>
    </row>
    <row r="521" spans="1:50" x14ac:dyDescent="0.25">
      <c r="A521" s="44"/>
      <c r="B521" s="44"/>
      <c r="C521" s="44"/>
      <c r="D521" s="44"/>
      <c r="E521" s="44"/>
      <c r="F521" s="44"/>
      <c r="G521" s="44"/>
      <c r="H521" s="44"/>
      <c r="I521" s="44"/>
      <c r="J521" s="44"/>
      <c r="K521" s="44"/>
      <c r="L521" s="44"/>
      <c r="M521" s="44"/>
      <c r="N521" s="44"/>
      <c r="O521" s="44"/>
      <c r="P521" s="44"/>
      <c r="Q521" s="44"/>
      <c r="R521" s="44"/>
      <c r="S521" s="44"/>
      <c r="T521" s="44"/>
      <c r="U521" s="44"/>
      <c r="V521" s="44"/>
      <c r="W521" s="44"/>
      <c r="X521" s="44"/>
      <c r="Y521" s="44"/>
      <c r="Z521" s="44"/>
      <c r="AA521" s="44"/>
      <c r="AB521" s="44"/>
      <c r="AC521" s="44"/>
      <c r="AD521" s="44"/>
      <c r="AE521" s="44"/>
      <c r="AF521" s="44"/>
      <c r="AG521" s="44"/>
      <c r="AH521" s="44"/>
      <c r="AI521" s="44"/>
      <c r="AJ521" s="44"/>
      <c r="AK521" s="44"/>
      <c r="AL521" s="44"/>
      <c r="AM521" s="44"/>
      <c r="AN521" s="44"/>
      <c r="AO521" s="44"/>
      <c r="AP521" s="44"/>
      <c r="AQ521" s="44"/>
      <c r="AR521" s="44"/>
      <c r="AS521" s="44"/>
      <c r="AT521" s="44"/>
      <c r="AU521" s="44"/>
      <c r="AV521" s="44"/>
      <c r="AW521" s="44"/>
      <c r="AX521" s="44"/>
    </row>
    <row r="522" spans="1:50" x14ac:dyDescent="0.25">
      <c r="A522" s="44"/>
      <c r="B522" s="44"/>
      <c r="C522" s="44"/>
      <c r="D522" s="44"/>
      <c r="E522" s="44"/>
      <c r="F522" s="44"/>
      <c r="G522" s="44"/>
      <c r="H522" s="44"/>
      <c r="I522" s="44"/>
      <c r="J522" s="44"/>
      <c r="K522" s="44"/>
      <c r="L522" s="44"/>
      <c r="M522" s="44"/>
      <c r="N522" s="44"/>
      <c r="O522" s="44"/>
      <c r="P522" s="44"/>
      <c r="Q522" s="44"/>
      <c r="R522" s="44"/>
      <c r="S522" s="44"/>
      <c r="T522" s="44"/>
      <c r="U522" s="44"/>
      <c r="V522" s="44"/>
      <c r="W522" s="44"/>
      <c r="X522" s="44"/>
      <c r="Y522" s="44"/>
      <c r="Z522" s="44"/>
      <c r="AA522" s="44"/>
      <c r="AB522" s="44"/>
      <c r="AC522" s="44"/>
      <c r="AD522" s="44"/>
      <c r="AE522" s="44"/>
      <c r="AF522" s="44"/>
      <c r="AG522" s="44"/>
      <c r="AH522" s="44"/>
      <c r="AI522" s="44"/>
      <c r="AJ522" s="44"/>
      <c r="AK522" s="44"/>
      <c r="AL522" s="44"/>
      <c r="AM522" s="44"/>
      <c r="AN522" s="44"/>
      <c r="AO522" s="44"/>
      <c r="AP522" s="44"/>
      <c r="AQ522" s="44"/>
      <c r="AR522" s="44"/>
      <c r="AS522" s="44"/>
      <c r="AT522" s="44"/>
      <c r="AU522" s="44"/>
      <c r="AV522" s="44"/>
      <c r="AW522" s="44"/>
      <c r="AX522" s="44"/>
    </row>
    <row r="523" spans="1:50" x14ac:dyDescent="0.25">
      <c r="A523" s="44"/>
      <c r="B523" s="44"/>
      <c r="C523" s="44"/>
      <c r="D523" s="44"/>
      <c r="E523" s="44"/>
      <c r="F523" s="44"/>
      <c r="G523" s="44"/>
      <c r="H523" s="44"/>
      <c r="I523" s="44"/>
      <c r="J523" s="44"/>
      <c r="K523" s="44"/>
      <c r="L523" s="44"/>
      <c r="M523" s="44"/>
      <c r="N523" s="44"/>
      <c r="O523" s="44"/>
      <c r="P523" s="44"/>
      <c r="Q523" s="44"/>
      <c r="R523" s="44"/>
      <c r="S523" s="44"/>
      <c r="T523" s="44"/>
      <c r="U523" s="44"/>
      <c r="V523" s="44"/>
      <c r="W523" s="44"/>
      <c r="X523" s="44"/>
      <c r="Y523" s="44"/>
      <c r="Z523" s="44"/>
      <c r="AA523" s="44"/>
      <c r="AB523" s="44"/>
      <c r="AC523" s="44"/>
      <c r="AD523" s="44"/>
      <c r="AE523" s="44"/>
      <c r="AF523" s="44"/>
      <c r="AG523" s="44"/>
      <c r="AH523" s="44"/>
      <c r="AI523" s="44"/>
      <c r="AJ523" s="44"/>
      <c r="AK523" s="44"/>
      <c r="AL523" s="44"/>
      <c r="AM523" s="44"/>
      <c r="AN523" s="44"/>
      <c r="AO523" s="44"/>
      <c r="AP523" s="44"/>
      <c r="AQ523" s="44"/>
      <c r="AR523" s="44"/>
      <c r="AS523" s="44"/>
      <c r="AT523" s="44"/>
      <c r="AU523" s="44"/>
      <c r="AV523" s="44"/>
      <c r="AW523" s="44"/>
      <c r="AX523" s="44"/>
    </row>
    <row r="524" spans="1:50" x14ac:dyDescent="0.25">
      <c r="A524" s="44"/>
      <c r="B524" s="44"/>
      <c r="C524" s="44"/>
      <c r="D524" s="44"/>
      <c r="E524" s="44"/>
      <c r="F524" s="44"/>
      <c r="G524" s="44"/>
      <c r="H524" s="44"/>
      <c r="I524" s="44"/>
      <c r="J524" s="44"/>
      <c r="K524" s="44"/>
      <c r="L524" s="44"/>
      <c r="M524" s="44"/>
      <c r="N524" s="44"/>
      <c r="O524" s="44"/>
      <c r="P524" s="44"/>
      <c r="Q524" s="44"/>
      <c r="R524" s="44"/>
      <c r="S524" s="44"/>
      <c r="T524" s="44"/>
      <c r="U524" s="44"/>
      <c r="V524" s="44"/>
      <c r="W524" s="44"/>
      <c r="X524" s="44"/>
      <c r="Y524" s="44"/>
      <c r="Z524" s="44"/>
      <c r="AA524" s="44"/>
      <c r="AB524" s="44"/>
      <c r="AC524" s="44"/>
      <c r="AD524" s="44"/>
      <c r="AE524" s="44"/>
      <c r="AF524" s="44"/>
      <c r="AG524" s="44"/>
      <c r="AH524" s="44"/>
      <c r="AI524" s="44"/>
      <c r="AJ524" s="44"/>
      <c r="AK524" s="44"/>
      <c r="AL524" s="44"/>
      <c r="AM524" s="44"/>
      <c r="AN524" s="44"/>
      <c r="AO524" s="44"/>
      <c r="AP524" s="44"/>
      <c r="AQ524" s="44"/>
      <c r="AR524" s="44"/>
      <c r="AS524" s="44"/>
      <c r="AT524" s="44"/>
      <c r="AU524" s="44"/>
      <c r="AV524" s="44"/>
      <c r="AW524" s="44"/>
      <c r="AX524" s="44"/>
    </row>
    <row r="525" spans="1:50" x14ac:dyDescent="0.25">
      <c r="A525" s="44"/>
      <c r="B525" s="44"/>
      <c r="C525" s="44"/>
      <c r="D525" s="44"/>
      <c r="E525" s="44"/>
      <c r="F525" s="44"/>
      <c r="G525" s="44"/>
      <c r="H525" s="44"/>
      <c r="I525" s="44"/>
      <c r="J525" s="44"/>
      <c r="K525" s="44"/>
      <c r="L525" s="44"/>
      <c r="M525" s="44"/>
      <c r="N525" s="44"/>
      <c r="O525" s="44"/>
      <c r="P525" s="44"/>
      <c r="Q525" s="44"/>
      <c r="R525" s="44"/>
      <c r="S525" s="44"/>
      <c r="T525" s="44"/>
      <c r="U525" s="44"/>
      <c r="V525" s="44"/>
      <c r="W525" s="44"/>
      <c r="X525" s="44"/>
      <c r="Y525" s="44"/>
      <c r="Z525" s="44"/>
      <c r="AA525" s="44"/>
      <c r="AB525" s="44"/>
      <c r="AC525" s="44"/>
      <c r="AD525" s="44"/>
      <c r="AE525" s="44"/>
      <c r="AF525" s="44"/>
      <c r="AG525" s="44"/>
      <c r="AH525" s="44"/>
      <c r="AI525" s="44"/>
      <c r="AJ525" s="44"/>
      <c r="AK525" s="44"/>
      <c r="AL525" s="44"/>
      <c r="AM525" s="44"/>
      <c r="AN525" s="44"/>
      <c r="AO525" s="44"/>
      <c r="AP525" s="44"/>
      <c r="AQ525" s="44"/>
      <c r="AR525" s="44"/>
      <c r="AS525" s="44"/>
      <c r="AT525" s="44"/>
      <c r="AU525" s="44"/>
      <c r="AV525" s="44"/>
      <c r="AW525" s="44"/>
      <c r="AX525" s="44"/>
    </row>
    <row r="526" spans="1:50" x14ac:dyDescent="0.25">
      <c r="A526" s="44"/>
      <c r="B526" s="44"/>
      <c r="C526" s="44"/>
      <c r="D526" s="44"/>
      <c r="E526" s="44"/>
      <c r="F526" s="44"/>
      <c r="G526" s="44"/>
      <c r="H526" s="44"/>
      <c r="I526" s="44"/>
      <c r="J526" s="44"/>
      <c r="K526" s="44"/>
      <c r="L526" s="44"/>
      <c r="M526" s="44"/>
      <c r="N526" s="44"/>
      <c r="O526" s="44"/>
      <c r="P526" s="44"/>
      <c r="Q526" s="44"/>
      <c r="R526" s="44"/>
      <c r="S526" s="44"/>
      <c r="T526" s="44"/>
      <c r="U526" s="44"/>
      <c r="V526" s="44"/>
      <c r="W526" s="44"/>
      <c r="X526" s="44"/>
      <c r="Y526" s="44"/>
      <c r="Z526" s="44"/>
      <c r="AA526" s="44"/>
      <c r="AB526" s="44"/>
      <c r="AC526" s="44"/>
      <c r="AD526" s="44"/>
      <c r="AE526" s="44"/>
      <c r="AF526" s="44"/>
      <c r="AG526" s="44"/>
      <c r="AH526" s="44"/>
      <c r="AI526" s="44"/>
      <c r="AJ526" s="44"/>
      <c r="AK526" s="44"/>
      <c r="AL526" s="44"/>
      <c r="AM526" s="44"/>
      <c r="AN526" s="44"/>
      <c r="AO526" s="44"/>
      <c r="AP526" s="44"/>
      <c r="AQ526" s="44"/>
      <c r="AR526" s="44"/>
      <c r="AS526" s="44"/>
      <c r="AT526" s="44"/>
      <c r="AU526" s="44"/>
      <c r="AV526" s="44"/>
      <c r="AW526" s="44"/>
      <c r="AX526" s="44"/>
    </row>
    <row r="527" spans="1:50" x14ac:dyDescent="0.25">
      <c r="A527" s="44"/>
      <c r="B527" s="44"/>
      <c r="C527" s="44"/>
      <c r="D527" s="44"/>
      <c r="E527" s="44"/>
      <c r="F527" s="44"/>
      <c r="G527" s="44"/>
      <c r="H527" s="44"/>
      <c r="I527" s="44"/>
      <c r="J527" s="44"/>
      <c r="K527" s="44"/>
      <c r="L527" s="44"/>
      <c r="M527" s="44"/>
      <c r="N527" s="44"/>
      <c r="O527" s="44"/>
      <c r="P527" s="44"/>
      <c r="Q527" s="44"/>
      <c r="R527" s="44"/>
      <c r="S527" s="44"/>
      <c r="T527" s="44"/>
      <c r="U527" s="44"/>
      <c r="V527" s="44"/>
      <c r="W527" s="44"/>
      <c r="X527" s="44"/>
      <c r="Y527" s="44"/>
      <c r="Z527" s="44"/>
      <c r="AA527" s="44"/>
      <c r="AB527" s="44"/>
      <c r="AC527" s="44"/>
      <c r="AD527" s="44"/>
      <c r="AE527" s="44"/>
      <c r="AF527" s="44"/>
      <c r="AG527" s="44"/>
      <c r="AH527" s="44"/>
      <c r="AI527" s="44"/>
      <c r="AJ527" s="44"/>
      <c r="AK527" s="44"/>
      <c r="AL527" s="44"/>
      <c r="AM527" s="44"/>
      <c r="AN527" s="44"/>
      <c r="AO527" s="44"/>
      <c r="AP527" s="44"/>
      <c r="AQ527" s="44"/>
      <c r="AR527" s="44"/>
      <c r="AS527" s="44"/>
      <c r="AT527" s="44"/>
      <c r="AU527" s="44"/>
      <c r="AV527" s="44"/>
      <c r="AW527" s="44"/>
      <c r="AX527" s="44"/>
    </row>
    <row r="528" spans="1:50" x14ac:dyDescent="0.25">
      <c r="A528" s="44"/>
      <c r="B528" s="44"/>
      <c r="C528" s="44"/>
      <c r="D528" s="44"/>
      <c r="E528" s="44"/>
      <c r="F528" s="44"/>
      <c r="G528" s="44"/>
      <c r="H528" s="44"/>
      <c r="I528" s="44"/>
      <c r="J528" s="44"/>
      <c r="K528" s="44"/>
      <c r="L528" s="44"/>
      <c r="M528" s="44"/>
      <c r="N528" s="44"/>
      <c r="O528" s="44"/>
      <c r="P528" s="44"/>
      <c r="Q528" s="44"/>
      <c r="R528" s="44"/>
      <c r="S528" s="44"/>
      <c r="T528" s="44"/>
      <c r="U528" s="44"/>
      <c r="V528" s="44"/>
      <c r="W528" s="44"/>
      <c r="X528" s="44"/>
      <c r="Y528" s="44"/>
      <c r="Z528" s="44"/>
      <c r="AA528" s="44"/>
      <c r="AB528" s="44"/>
      <c r="AC528" s="44"/>
      <c r="AD528" s="44"/>
      <c r="AE528" s="44"/>
      <c r="AF528" s="44"/>
      <c r="AG528" s="44"/>
      <c r="AH528" s="44"/>
      <c r="AI528" s="44"/>
      <c r="AJ528" s="44"/>
      <c r="AK528" s="44"/>
      <c r="AL528" s="44"/>
      <c r="AM528" s="44"/>
      <c r="AN528" s="44"/>
      <c r="AO528" s="44"/>
      <c r="AP528" s="44"/>
      <c r="AQ528" s="44"/>
      <c r="AR528" s="44"/>
      <c r="AS528" s="44"/>
      <c r="AT528" s="44"/>
      <c r="AU528" s="44"/>
      <c r="AV528" s="44"/>
      <c r="AW528" s="44"/>
      <c r="AX528" s="44"/>
    </row>
    <row r="529" spans="1:50" x14ac:dyDescent="0.25">
      <c r="A529" s="44"/>
      <c r="B529" s="44"/>
      <c r="C529" s="44"/>
      <c r="D529" s="44"/>
      <c r="E529" s="44"/>
      <c r="F529" s="44"/>
      <c r="G529" s="44"/>
      <c r="H529" s="44"/>
      <c r="I529" s="44"/>
      <c r="J529" s="44"/>
      <c r="K529" s="44"/>
      <c r="L529" s="44"/>
      <c r="M529" s="44"/>
      <c r="N529" s="44"/>
      <c r="O529" s="44"/>
      <c r="P529" s="44"/>
      <c r="Q529" s="44"/>
      <c r="R529" s="44"/>
      <c r="S529" s="44"/>
      <c r="T529" s="44"/>
      <c r="U529" s="44"/>
      <c r="V529" s="44"/>
      <c r="W529" s="44"/>
      <c r="X529" s="44"/>
      <c r="Y529" s="44"/>
      <c r="Z529" s="44"/>
      <c r="AA529" s="44"/>
      <c r="AB529" s="44"/>
      <c r="AC529" s="44"/>
      <c r="AD529" s="44"/>
      <c r="AE529" s="44"/>
      <c r="AF529" s="44"/>
      <c r="AG529" s="44"/>
      <c r="AH529" s="44"/>
      <c r="AI529" s="44"/>
      <c r="AJ529" s="44"/>
      <c r="AK529" s="44"/>
      <c r="AL529" s="44"/>
      <c r="AM529" s="44"/>
      <c r="AN529" s="44"/>
      <c r="AO529" s="44"/>
      <c r="AP529" s="44"/>
      <c r="AQ529" s="44"/>
      <c r="AR529" s="44"/>
      <c r="AS529" s="44"/>
      <c r="AT529" s="44"/>
      <c r="AU529" s="44"/>
      <c r="AV529" s="44"/>
      <c r="AW529" s="44"/>
      <c r="AX529" s="44"/>
    </row>
    <row r="530" spans="1:50" x14ac:dyDescent="0.25">
      <c r="A530" s="44"/>
      <c r="B530" s="44"/>
      <c r="C530" s="44"/>
      <c r="D530" s="44"/>
      <c r="E530" s="44"/>
      <c r="F530" s="44"/>
      <c r="G530" s="44"/>
      <c r="H530" s="44"/>
      <c r="I530" s="44"/>
      <c r="J530" s="44"/>
      <c r="K530" s="44"/>
      <c r="L530" s="44"/>
      <c r="M530" s="44"/>
      <c r="N530" s="44"/>
      <c r="O530" s="44"/>
      <c r="P530" s="44"/>
      <c r="Q530" s="44"/>
      <c r="R530" s="44"/>
      <c r="S530" s="44"/>
      <c r="T530" s="44"/>
      <c r="U530" s="44"/>
      <c r="V530" s="44"/>
      <c r="W530" s="44"/>
      <c r="X530" s="44"/>
      <c r="Y530" s="44"/>
      <c r="Z530" s="44"/>
      <c r="AA530" s="44"/>
      <c r="AB530" s="44"/>
      <c r="AC530" s="44"/>
      <c r="AD530" s="44"/>
      <c r="AE530" s="44"/>
      <c r="AF530" s="44"/>
      <c r="AG530" s="44"/>
      <c r="AH530" s="44"/>
      <c r="AI530" s="44"/>
      <c r="AJ530" s="44"/>
      <c r="AK530" s="44"/>
      <c r="AL530" s="44"/>
      <c r="AM530" s="44"/>
      <c r="AN530" s="44"/>
      <c r="AO530" s="44"/>
      <c r="AP530" s="44"/>
      <c r="AQ530" s="44"/>
      <c r="AR530" s="44"/>
      <c r="AS530" s="44"/>
      <c r="AT530" s="44"/>
      <c r="AU530" s="44"/>
      <c r="AV530" s="44"/>
      <c r="AW530" s="44"/>
      <c r="AX530" s="44"/>
    </row>
    <row r="531" spans="1:50" x14ac:dyDescent="0.25">
      <c r="A531" s="44"/>
      <c r="B531" s="44"/>
      <c r="C531" s="44"/>
      <c r="D531" s="44"/>
      <c r="E531" s="44"/>
      <c r="F531" s="44"/>
      <c r="G531" s="44"/>
      <c r="H531" s="44"/>
      <c r="I531" s="44"/>
      <c r="J531" s="44"/>
      <c r="K531" s="44"/>
      <c r="L531" s="44"/>
      <c r="M531" s="44"/>
      <c r="N531" s="44"/>
      <c r="O531" s="44"/>
      <c r="P531" s="44"/>
      <c r="Q531" s="44"/>
      <c r="R531" s="44"/>
      <c r="S531" s="44"/>
      <c r="T531" s="44"/>
      <c r="U531" s="44"/>
      <c r="V531" s="44"/>
      <c r="W531" s="44"/>
      <c r="X531" s="44"/>
      <c r="Y531" s="44"/>
      <c r="Z531" s="44"/>
      <c r="AA531" s="44"/>
      <c r="AB531" s="44"/>
      <c r="AC531" s="44"/>
      <c r="AD531" s="44"/>
      <c r="AE531" s="44"/>
      <c r="AF531" s="44"/>
      <c r="AG531" s="44"/>
      <c r="AH531" s="44"/>
      <c r="AI531" s="44"/>
      <c r="AJ531" s="44"/>
      <c r="AK531" s="44"/>
      <c r="AL531" s="44"/>
      <c r="AM531" s="44"/>
      <c r="AN531" s="44"/>
      <c r="AO531" s="44"/>
      <c r="AP531" s="44"/>
      <c r="AQ531" s="44"/>
      <c r="AR531" s="44"/>
      <c r="AS531" s="44"/>
      <c r="AT531" s="44"/>
      <c r="AU531" s="44"/>
      <c r="AV531" s="44"/>
      <c r="AW531" s="44"/>
      <c r="AX531" s="44"/>
    </row>
    <row r="532" spans="1:50" x14ac:dyDescent="0.25">
      <c r="A532" s="44"/>
      <c r="B532" s="44"/>
      <c r="C532" s="44"/>
      <c r="D532" s="44"/>
      <c r="E532" s="44"/>
      <c r="F532" s="44"/>
      <c r="G532" s="44"/>
      <c r="H532" s="44"/>
      <c r="I532" s="44"/>
      <c r="J532" s="44"/>
      <c r="K532" s="44"/>
      <c r="L532" s="44"/>
      <c r="M532" s="44"/>
      <c r="N532" s="44"/>
      <c r="O532" s="44"/>
      <c r="P532" s="44"/>
      <c r="Q532" s="44"/>
      <c r="R532" s="44"/>
      <c r="S532" s="44"/>
      <c r="T532" s="44"/>
      <c r="U532" s="44"/>
      <c r="V532" s="44"/>
      <c r="W532" s="44"/>
      <c r="X532" s="44"/>
      <c r="Y532" s="44"/>
      <c r="Z532" s="44"/>
      <c r="AA532" s="44"/>
      <c r="AB532" s="44"/>
      <c r="AC532" s="44"/>
      <c r="AD532" s="44"/>
      <c r="AE532" s="44"/>
      <c r="AF532" s="44"/>
      <c r="AG532" s="44"/>
      <c r="AH532" s="44"/>
      <c r="AI532" s="44"/>
      <c r="AJ532" s="44"/>
      <c r="AK532" s="44"/>
      <c r="AL532" s="44"/>
      <c r="AM532" s="44"/>
      <c r="AN532" s="44"/>
      <c r="AO532" s="44"/>
      <c r="AP532" s="44"/>
      <c r="AQ532" s="44"/>
      <c r="AR532" s="44"/>
      <c r="AS532" s="44"/>
      <c r="AT532" s="44"/>
      <c r="AU532" s="44"/>
      <c r="AV532" s="44"/>
      <c r="AW532" s="44"/>
      <c r="AX532" s="44"/>
    </row>
    <row r="533" spans="1:50" x14ac:dyDescent="0.25">
      <c r="A533" s="44"/>
      <c r="B533" s="44"/>
      <c r="C533" s="44"/>
      <c r="D533" s="44"/>
      <c r="E533" s="44"/>
      <c r="F533" s="44"/>
      <c r="G533" s="44"/>
      <c r="H533" s="44"/>
      <c r="I533" s="44"/>
      <c r="J533" s="44"/>
      <c r="K533" s="44"/>
      <c r="L533" s="44"/>
      <c r="M533" s="44"/>
      <c r="N533" s="44"/>
      <c r="O533" s="44"/>
      <c r="P533" s="44"/>
      <c r="Q533" s="44"/>
      <c r="R533" s="44"/>
      <c r="S533" s="44"/>
      <c r="T533" s="44"/>
      <c r="U533" s="44"/>
      <c r="V533" s="44"/>
      <c r="W533" s="44"/>
      <c r="X533" s="44"/>
      <c r="Y533" s="44"/>
      <c r="Z533" s="44"/>
      <c r="AA533" s="44"/>
      <c r="AB533" s="44"/>
      <c r="AC533" s="44"/>
      <c r="AD533" s="44"/>
      <c r="AE533" s="44"/>
      <c r="AF533" s="44"/>
      <c r="AG533" s="44"/>
      <c r="AH533" s="44"/>
      <c r="AI533" s="44"/>
      <c r="AJ533" s="44"/>
      <c r="AK533" s="44"/>
      <c r="AL533" s="44"/>
      <c r="AM533" s="44"/>
      <c r="AN533" s="44"/>
      <c r="AO533" s="44"/>
      <c r="AP533" s="44"/>
      <c r="AQ533" s="44"/>
      <c r="AR533" s="44"/>
      <c r="AS533" s="44"/>
      <c r="AT533" s="44"/>
      <c r="AU533" s="44"/>
      <c r="AV533" s="44"/>
      <c r="AW533" s="44"/>
      <c r="AX533" s="44"/>
    </row>
    <row r="534" spans="1:50" x14ac:dyDescent="0.25">
      <c r="A534" s="44"/>
      <c r="B534" s="44"/>
      <c r="C534" s="44"/>
      <c r="D534" s="44"/>
      <c r="E534" s="44"/>
      <c r="F534" s="44"/>
      <c r="G534" s="44"/>
      <c r="H534" s="44"/>
      <c r="I534" s="44"/>
      <c r="J534" s="44"/>
      <c r="K534" s="44"/>
      <c r="L534" s="44"/>
      <c r="M534" s="44"/>
      <c r="N534" s="44"/>
      <c r="O534" s="44"/>
      <c r="P534" s="44"/>
      <c r="Q534" s="44"/>
      <c r="R534" s="44"/>
      <c r="S534" s="44"/>
      <c r="T534" s="44"/>
      <c r="U534" s="44"/>
      <c r="V534" s="44"/>
      <c r="W534" s="44"/>
      <c r="X534" s="44"/>
      <c r="Y534" s="44"/>
      <c r="Z534" s="44"/>
      <c r="AA534" s="44"/>
      <c r="AB534" s="44"/>
      <c r="AC534" s="44"/>
      <c r="AD534" s="44"/>
      <c r="AE534" s="44"/>
      <c r="AF534" s="44"/>
      <c r="AG534" s="44"/>
      <c r="AH534" s="44"/>
      <c r="AI534" s="44"/>
      <c r="AJ534" s="44"/>
      <c r="AK534" s="44"/>
      <c r="AL534" s="44"/>
      <c r="AM534" s="44"/>
      <c r="AN534" s="44"/>
      <c r="AO534" s="44"/>
      <c r="AP534" s="44"/>
      <c r="AQ534" s="44"/>
      <c r="AR534" s="44"/>
      <c r="AS534" s="44"/>
      <c r="AT534" s="44"/>
      <c r="AU534" s="44"/>
      <c r="AV534" s="44"/>
      <c r="AW534" s="44"/>
      <c r="AX534" s="44"/>
    </row>
    <row r="535" spans="1:50" x14ac:dyDescent="0.25">
      <c r="A535" s="44"/>
      <c r="B535" s="44"/>
      <c r="C535" s="44"/>
      <c r="D535" s="44"/>
      <c r="E535" s="44"/>
      <c r="F535" s="44"/>
      <c r="G535" s="44"/>
      <c r="H535" s="44"/>
      <c r="I535" s="44"/>
      <c r="J535" s="44"/>
      <c r="K535" s="44"/>
      <c r="L535" s="44"/>
      <c r="M535" s="44"/>
      <c r="N535" s="44"/>
      <c r="O535" s="44"/>
      <c r="P535" s="44"/>
      <c r="Q535" s="44"/>
      <c r="R535" s="44"/>
      <c r="S535" s="44"/>
      <c r="T535" s="44"/>
      <c r="U535" s="44"/>
      <c r="V535" s="44"/>
      <c r="W535" s="44"/>
      <c r="X535" s="44"/>
      <c r="Y535" s="44"/>
      <c r="Z535" s="44"/>
      <c r="AA535" s="44"/>
      <c r="AB535" s="44"/>
      <c r="AC535" s="44"/>
      <c r="AD535" s="44"/>
      <c r="AE535" s="44"/>
      <c r="AF535" s="44"/>
      <c r="AG535" s="44"/>
      <c r="AH535" s="44"/>
      <c r="AI535" s="44"/>
      <c r="AJ535" s="44"/>
      <c r="AK535" s="44"/>
      <c r="AL535" s="44"/>
      <c r="AM535" s="44"/>
      <c r="AN535" s="44"/>
      <c r="AO535" s="44"/>
      <c r="AP535" s="44"/>
      <c r="AQ535" s="44"/>
      <c r="AR535" s="44"/>
      <c r="AS535" s="44"/>
      <c r="AT535" s="44"/>
      <c r="AU535" s="44"/>
      <c r="AV535" s="44"/>
      <c r="AW535" s="44"/>
      <c r="AX535" s="44"/>
    </row>
    <row r="536" spans="1:50" x14ac:dyDescent="0.25">
      <c r="A536" s="44"/>
      <c r="B536" s="44"/>
      <c r="C536" s="44"/>
      <c r="D536" s="44"/>
      <c r="E536" s="44"/>
      <c r="F536" s="44"/>
      <c r="G536" s="44"/>
      <c r="H536" s="44"/>
      <c r="I536" s="44"/>
      <c r="J536" s="44"/>
      <c r="K536" s="44"/>
      <c r="L536" s="44"/>
      <c r="M536" s="44"/>
      <c r="N536" s="44"/>
      <c r="O536" s="44"/>
      <c r="P536" s="44"/>
      <c r="Q536" s="44"/>
      <c r="R536" s="44"/>
      <c r="S536" s="44"/>
      <c r="T536" s="44"/>
      <c r="U536" s="44"/>
      <c r="V536" s="44"/>
      <c r="W536" s="44"/>
      <c r="X536" s="44"/>
      <c r="Y536" s="44"/>
      <c r="Z536" s="44"/>
      <c r="AA536" s="44"/>
      <c r="AB536" s="44"/>
      <c r="AC536" s="44"/>
      <c r="AD536" s="44"/>
      <c r="AE536" s="44"/>
      <c r="AF536" s="44"/>
      <c r="AG536" s="44"/>
      <c r="AH536" s="44"/>
      <c r="AI536" s="44"/>
      <c r="AJ536" s="44"/>
      <c r="AK536" s="44"/>
      <c r="AL536" s="44"/>
      <c r="AM536" s="44"/>
      <c r="AN536" s="44"/>
      <c r="AO536" s="44"/>
      <c r="AP536" s="44"/>
      <c r="AQ536" s="44"/>
      <c r="AR536" s="44"/>
      <c r="AS536" s="44"/>
      <c r="AT536" s="44"/>
      <c r="AU536" s="44"/>
      <c r="AV536" s="44"/>
      <c r="AW536" s="44"/>
      <c r="AX536" s="44"/>
    </row>
    <row r="537" spans="1:50" x14ac:dyDescent="0.25">
      <c r="A537" s="44"/>
      <c r="B537" s="44"/>
      <c r="C537" s="44"/>
      <c r="D537" s="44"/>
      <c r="E537" s="44"/>
      <c r="F537" s="44"/>
      <c r="G537" s="44"/>
      <c r="H537" s="44"/>
      <c r="I537" s="44"/>
      <c r="J537" s="44"/>
      <c r="K537" s="44"/>
      <c r="L537" s="44"/>
      <c r="M537" s="44"/>
      <c r="N537" s="44"/>
      <c r="O537" s="44"/>
      <c r="P537" s="44"/>
      <c r="Q537" s="44"/>
      <c r="R537" s="44"/>
      <c r="S537" s="44"/>
      <c r="T537" s="44"/>
      <c r="U537" s="44"/>
      <c r="V537" s="44"/>
      <c r="W537" s="44"/>
      <c r="X537" s="44"/>
      <c r="Y537" s="44"/>
      <c r="Z537" s="44"/>
      <c r="AA537" s="44"/>
      <c r="AB537" s="44"/>
      <c r="AC537" s="44"/>
      <c r="AD537" s="44"/>
      <c r="AE537" s="44"/>
      <c r="AF537" s="44"/>
      <c r="AG537" s="44"/>
      <c r="AH537" s="44"/>
      <c r="AI537" s="44"/>
      <c r="AJ537" s="44"/>
      <c r="AK537" s="44"/>
      <c r="AL537" s="44"/>
      <c r="AM537" s="44"/>
      <c r="AN537" s="44"/>
      <c r="AO537" s="44"/>
      <c r="AP537" s="44"/>
      <c r="AQ537" s="44"/>
      <c r="AR537" s="44"/>
      <c r="AS537" s="44"/>
      <c r="AT537" s="44"/>
      <c r="AU537" s="44"/>
      <c r="AV537" s="44"/>
      <c r="AW537" s="44"/>
      <c r="AX537" s="44"/>
    </row>
    <row r="538" spans="1:50" x14ac:dyDescent="0.25">
      <c r="A538" s="44"/>
      <c r="B538" s="44"/>
      <c r="C538" s="44"/>
      <c r="D538" s="44"/>
      <c r="E538" s="44"/>
      <c r="F538" s="44"/>
      <c r="G538" s="44"/>
      <c r="H538" s="44"/>
      <c r="I538" s="44"/>
      <c r="J538" s="44"/>
      <c r="K538" s="44"/>
      <c r="L538" s="44"/>
      <c r="M538" s="44"/>
      <c r="N538" s="44"/>
      <c r="O538" s="44"/>
      <c r="P538" s="44"/>
      <c r="Q538" s="44"/>
      <c r="R538" s="44"/>
      <c r="S538" s="44"/>
      <c r="T538" s="44"/>
      <c r="U538" s="44"/>
      <c r="V538" s="44"/>
      <c r="W538" s="44"/>
      <c r="X538" s="44"/>
      <c r="Y538" s="44"/>
      <c r="Z538" s="44"/>
      <c r="AA538" s="44"/>
      <c r="AB538" s="44"/>
      <c r="AC538" s="44"/>
      <c r="AD538" s="44"/>
      <c r="AE538" s="44"/>
      <c r="AF538" s="44"/>
      <c r="AG538" s="44"/>
      <c r="AH538" s="44"/>
      <c r="AI538" s="44"/>
      <c r="AJ538" s="44"/>
      <c r="AK538" s="44"/>
      <c r="AL538" s="44"/>
      <c r="AM538" s="44"/>
      <c r="AN538" s="44"/>
      <c r="AO538" s="44"/>
      <c r="AP538" s="44"/>
      <c r="AQ538" s="44"/>
      <c r="AR538" s="44"/>
      <c r="AS538" s="44"/>
      <c r="AT538" s="44"/>
      <c r="AU538" s="44"/>
      <c r="AV538" s="44"/>
      <c r="AW538" s="44"/>
      <c r="AX538" s="44"/>
    </row>
    <row r="539" spans="1:50" x14ac:dyDescent="0.25">
      <c r="A539" s="44"/>
      <c r="B539" s="44"/>
      <c r="C539" s="44"/>
      <c r="D539" s="44"/>
      <c r="E539" s="44"/>
      <c r="F539" s="44"/>
      <c r="G539" s="44"/>
      <c r="H539" s="44"/>
      <c r="I539" s="44"/>
      <c r="J539" s="44"/>
      <c r="K539" s="44"/>
      <c r="L539" s="44"/>
      <c r="M539" s="44"/>
      <c r="N539" s="44"/>
      <c r="O539" s="44"/>
      <c r="P539" s="44"/>
      <c r="Q539" s="44"/>
      <c r="R539" s="44"/>
      <c r="S539" s="44"/>
      <c r="T539" s="44"/>
      <c r="U539" s="44"/>
      <c r="V539" s="44"/>
      <c r="W539" s="44"/>
      <c r="X539" s="44"/>
      <c r="Y539" s="44"/>
      <c r="Z539" s="44"/>
      <c r="AA539" s="44"/>
      <c r="AB539" s="44"/>
      <c r="AC539" s="44"/>
      <c r="AD539" s="44"/>
      <c r="AE539" s="44"/>
      <c r="AF539" s="44"/>
      <c r="AG539" s="44"/>
      <c r="AH539" s="44"/>
      <c r="AI539" s="44"/>
      <c r="AJ539" s="44"/>
      <c r="AK539" s="44"/>
      <c r="AL539" s="44"/>
      <c r="AM539" s="44"/>
      <c r="AN539" s="44"/>
      <c r="AO539" s="44"/>
      <c r="AP539" s="44"/>
      <c r="AQ539" s="44"/>
      <c r="AR539" s="44"/>
      <c r="AS539" s="44"/>
      <c r="AT539" s="44"/>
      <c r="AU539" s="44"/>
      <c r="AV539" s="44"/>
      <c r="AW539" s="44"/>
      <c r="AX539" s="44"/>
    </row>
    <row r="540" spans="1:50" x14ac:dyDescent="0.25">
      <c r="A540" s="44"/>
      <c r="B540" s="44"/>
      <c r="C540" s="44"/>
      <c r="D540" s="44"/>
      <c r="E540" s="44"/>
      <c r="F540" s="44"/>
      <c r="G540" s="44"/>
      <c r="H540" s="44"/>
      <c r="I540" s="44"/>
      <c r="J540" s="44"/>
      <c r="K540" s="44"/>
      <c r="L540" s="44"/>
      <c r="M540" s="44"/>
      <c r="N540" s="44"/>
      <c r="O540" s="44"/>
      <c r="P540" s="44"/>
      <c r="Q540" s="44"/>
      <c r="R540" s="44"/>
      <c r="S540" s="44"/>
      <c r="T540" s="44"/>
      <c r="U540" s="44"/>
      <c r="V540" s="44"/>
      <c r="W540" s="44"/>
      <c r="X540" s="44"/>
      <c r="Y540" s="44"/>
      <c r="Z540" s="44"/>
      <c r="AA540" s="44"/>
      <c r="AB540" s="44"/>
      <c r="AC540" s="44"/>
      <c r="AD540" s="44"/>
      <c r="AE540" s="44"/>
      <c r="AF540" s="44"/>
      <c r="AG540" s="44"/>
      <c r="AH540" s="44"/>
      <c r="AI540" s="44"/>
      <c r="AJ540" s="44"/>
      <c r="AK540" s="44"/>
      <c r="AL540" s="44"/>
      <c r="AM540" s="44"/>
      <c r="AN540" s="44"/>
      <c r="AO540" s="44"/>
      <c r="AP540" s="44"/>
      <c r="AQ540" s="44"/>
      <c r="AR540" s="44"/>
      <c r="AS540" s="44"/>
      <c r="AT540" s="44"/>
      <c r="AU540" s="44"/>
      <c r="AV540" s="44"/>
      <c r="AW540" s="44"/>
      <c r="AX540" s="44"/>
    </row>
    <row r="541" spans="1:50" x14ac:dyDescent="0.25">
      <c r="A541" s="44"/>
      <c r="B541" s="44"/>
      <c r="C541" s="44"/>
      <c r="D541" s="44"/>
      <c r="E541" s="44"/>
      <c r="F541" s="44"/>
      <c r="G541" s="44"/>
      <c r="H541" s="44"/>
      <c r="I541" s="44"/>
      <c r="J541" s="44"/>
      <c r="K541" s="44"/>
      <c r="L541" s="44"/>
      <c r="M541" s="44"/>
      <c r="N541" s="44"/>
      <c r="O541" s="44"/>
      <c r="P541" s="44"/>
      <c r="Q541" s="44"/>
      <c r="R541" s="44"/>
      <c r="S541" s="44"/>
      <c r="T541" s="44"/>
      <c r="U541" s="44"/>
      <c r="V541" s="44"/>
      <c r="W541" s="44"/>
      <c r="X541" s="44"/>
      <c r="Y541" s="44"/>
      <c r="Z541" s="44"/>
      <c r="AA541" s="44"/>
      <c r="AB541" s="44"/>
      <c r="AC541" s="44"/>
      <c r="AD541" s="44"/>
      <c r="AE541" s="44"/>
      <c r="AF541" s="44"/>
      <c r="AG541" s="44"/>
      <c r="AH541" s="44"/>
      <c r="AI541" s="44"/>
      <c r="AJ541" s="44"/>
      <c r="AK541" s="44"/>
      <c r="AL541" s="44"/>
      <c r="AM541" s="44"/>
      <c r="AN541" s="44"/>
      <c r="AO541" s="44"/>
      <c r="AP541" s="44"/>
      <c r="AQ541" s="44"/>
      <c r="AR541" s="44"/>
      <c r="AS541" s="44"/>
      <c r="AT541" s="44"/>
      <c r="AU541" s="44"/>
      <c r="AV541" s="44"/>
      <c r="AW541" s="44"/>
      <c r="AX541" s="44"/>
    </row>
    <row r="542" spans="1:50" x14ac:dyDescent="0.25">
      <c r="A542" s="44"/>
      <c r="B542" s="44"/>
      <c r="C542" s="44"/>
      <c r="D542" s="44"/>
      <c r="E542" s="44"/>
      <c r="F542" s="44"/>
      <c r="G542" s="44"/>
      <c r="H542" s="44"/>
      <c r="I542" s="44"/>
      <c r="J542" s="44"/>
      <c r="K542" s="44"/>
      <c r="L542" s="44"/>
      <c r="M542" s="44"/>
      <c r="N542" s="44"/>
      <c r="O542" s="44"/>
      <c r="P542" s="44"/>
      <c r="Q542" s="44"/>
      <c r="R542" s="44"/>
      <c r="S542" s="44"/>
      <c r="T542" s="44"/>
      <c r="U542" s="44"/>
      <c r="V542" s="44"/>
      <c r="W542" s="44"/>
      <c r="X542" s="44"/>
      <c r="Y542" s="44"/>
      <c r="Z542" s="44"/>
      <c r="AA542" s="44"/>
      <c r="AB542" s="44"/>
      <c r="AC542" s="44"/>
      <c r="AD542" s="44"/>
      <c r="AE542" s="44"/>
      <c r="AF542" s="44"/>
      <c r="AG542" s="44"/>
      <c r="AH542" s="44"/>
      <c r="AI542" s="44"/>
      <c r="AJ542" s="44"/>
      <c r="AK542" s="44"/>
      <c r="AL542" s="44"/>
      <c r="AM542" s="44"/>
      <c r="AN542" s="44"/>
      <c r="AO542" s="44"/>
      <c r="AP542" s="44"/>
      <c r="AQ542" s="44"/>
      <c r="AR542" s="44"/>
      <c r="AS542" s="44"/>
      <c r="AT542" s="44"/>
      <c r="AU542" s="44"/>
      <c r="AV542" s="44"/>
      <c r="AW542" s="44"/>
      <c r="AX542" s="44"/>
    </row>
    <row r="543" spans="1:50" x14ac:dyDescent="0.25">
      <c r="A543" s="44"/>
      <c r="B543" s="44"/>
      <c r="C543" s="44"/>
      <c r="D543" s="44"/>
      <c r="E543" s="44"/>
      <c r="F543" s="44"/>
      <c r="G543" s="44"/>
      <c r="H543" s="44"/>
      <c r="I543" s="44"/>
      <c r="J543" s="44"/>
      <c r="K543" s="44"/>
      <c r="L543" s="44"/>
      <c r="M543" s="44"/>
      <c r="N543" s="44"/>
      <c r="O543" s="44"/>
      <c r="P543" s="44"/>
      <c r="Q543" s="44"/>
      <c r="R543" s="44"/>
      <c r="S543" s="44"/>
      <c r="T543" s="44"/>
      <c r="U543" s="44"/>
      <c r="V543" s="44"/>
      <c r="W543" s="44"/>
      <c r="X543" s="44"/>
      <c r="Y543" s="44"/>
      <c r="Z543" s="44"/>
      <c r="AA543" s="44"/>
      <c r="AB543" s="44"/>
      <c r="AC543" s="44"/>
      <c r="AD543" s="44"/>
      <c r="AE543" s="44"/>
      <c r="AF543" s="44"/>
      <c r="AG543" s="44"/>
      <c r="AH543" s="44"/>
      <c r="AI543" s="44"/>
      <c r="AJ543" s="44"/>
      <c r="AK543" s="44"/>
      <c r="AL543" s="44"/>
      <c r="AM543" s="44"/>
      <c r="AN543" s="44"/>
      <c r="AO543" s="44"/>
      <c r="AP543" s="44"/>
      <c r="AQ543" s="44"/>
      <c r="AR543" s="44"/>
      <c r="AS543" s="44"/>
      <c r="AT543" s="44"/>
      <c r="AU543" s="44"/>
      <c r="AV543" s="44"/>
      <c r="AW543" s="44"/>
      <c r="AX543" s="44"/>
    </row>
    <row r="544" spans="1:50" x14ac:dyDescent="0.25">
      <c r="A544" s="44"/>
      <c r="B544" s="44"/>
      <c r="C544" s="44"/>
      <c r="D544" s="44"/>
      <c r="E544" s="44"/>
      <c r="F544" s="44"/>
      <c r="G544" s="44"/>
      <c r="H544" s="44"/>
      <c r="I544" s="44"/>
      <c r="J544" s="44"/>
      <c r="K544" s="44"/>
      <c r="L544" s="44"/>
      <c r="M544" s="44"/>
      <c r="N544" s="44"/>
      <c r="O544" s="44"/>
      <c r="P544" s="44"/>
      <c r="Q544" s="44"/>
      <c r="R544" s="44"/>
      <c r="S544" s="44"/>
      <c r="T544" s="44"/>
      <c r="U544" s="44"/>
      <c r="V544" s="44"/>
      <c r="W544" s="44"/>
      <c r="X544" s="44"/>
      <c r="Y544" s="44"/>
      <c r="Z544" s="44"/>
      <c r="AA544" s="44"/>
      <c r="AB544" s="44"/>
      <c r="AC544" s="44"/>
      <c r="AD544" s="44"/>
      <c r="AE544" s="44"/>
      <c r="AF544" s="44"/>
      <c r="AG544" s="44"/>
      <c r="AH544" s="44"/>
      <c r="AI544" s="44"/>
      <c r="AJ544" s="44"/>
      <c r="AK544" s="44"/>
      <c r="AL544" s="44"/>
      <c r="AM544" s="44"/>
      <c r="AN544" s="44"/>
      <c r="AO544" s="44"/>
      <c r="AP544" s="44"/>
      <c r="AQ544" s="44"/>
      <c r="AR544" s="44"/>
      <c r="AS544" s="44"/>
      <c r="AT544" s="44"/>
      <c r="AU544" s="44"/>
      <c r="AV544" s="44"/>
      <c r="AW544" s="44"/>
      <c r="AX544" s="44"/>
    </row>
    <row r="545" spans="1:50" x14ac:dyDescent="0.25">
      <c r="A545" s="44"/>
      <c r="B545" s="44"/>
      <c r="C545" s="44"/>
      <c r="D545" s="44"/>
      <c r="E545" s="44"/>
      <c r="F545" s="44"/>
      <c r="G545" s="44"/>
      <c r="H545" s="44"/>
      <c r="I545" s="44"/>
      <c r="J545" s="44"/>
      <c r="K545" s="44"/>
      <c r="L545" s="44"/>
      <c r="M545" s="44"/>
      <c r="N545" s="44"/>
      <c r="O545" s="44"/>
      <c r="P545" s="44"/>
      <c r="Q545" s="44"/>
      <c r="R545" s="44"/>
      <c r="S545" s="44"/>
      <c r="T545" s="44"/>
      <c r="U545" s="44"/>
      <c r="V545" s="44"/>
      <c r="W545" s="44"/>
      <c r="X545" s="44"/>
      <c r="Y545" s="44"/>
      <c r="Z545" s="44"/>
      <c r="AA545" s="44"/>
      <c r="AB545" s="44"/>
      <c r="AC545" s="44"/>
      <c r="AD545" s="44"/>
      <c r="AE545" s="44"/>
      <c r="AF545" s="44"/>
      <c r="AG545" s="44"/>
      <c r="AH545" s="44"/>
      <c r="AI545" s="44"/>
      <c r="AJ545" s="44"/>
      <c r="AK545" s="44"/>
      <c r="AL545" s="44"/>
      <c r="AM545" s="44"/>
      <c r="AN545" s="44"/>
      <c r="AO545" s="44"/>
      <c r="AP545" s="44"/>
      <c r="AQ545" s="44"/>
      <c r="AR545" s="44"/>
      <c r="AS545" s="44"/>
      <c r="AT545" s="44"/>
      <c r="AU545" s="44"/>
      <c r="AV545" s="44"/>
      <c r="AW545" s="44"/>
      <c r="AX545" s="44"/>
    </row>
    <row r="546" spans="1:50" x14ac:dyDescent="0.25">
      <c r="A546" s="44"/>
      <c r="B546" s="44"/>
      <c r="C546" s="44"/>
      <c r="D546" s="44"/>
      <c r="E546" s="44"/>
      <c r="F546" s="44"/>
      <c r="G546" s="44"/>
      <c r="H546" s="44"/>
      <c r="I546" s="44"/>
      <c r="J546" s="44"/>
      <c r="K546" s="44"/>
      <c r="L546" s="44"/>
      <c r="M546" s="44"/>
      <c r="N546" s="44"/>
      <c r="O546" s="44"/>
      <c r="P546" s="44"/>
      <c r="Q546" s="44"/>
      <c r="R546" s="44"/>
      <c r="S546" s="44"/>
      <c r="T546" s="44"/>
      <c r="U546" s="44"/>
      <c r="V546" s="44"/>
      <c r="W546" s="44"/>
      <c r="X546" s="44"/>
      <c r="Y546" s="44"/>
      <c r="Z546" s="44"/>
      <c r="AA546" s="44"/>
      <c r="AB546" s="44"/>
      <c r="AC546" s="44"/>
      <c r="AD546" s="44"/>
      <c r="AE546" s="44"/>
      <c r="AF546" s="44"/>
      <c r="AG546" s="44"/>
      <c r="AH546" s="44"/>
      <c r="AI546" s="44"/>
      <c r="AJ546" s="44"/>
      <c r="AK546" s="44"/>
      <c r="AL546" s="44"/>
      <c r="AM546" s="44"/>
      <c r="AN546" s="44"/>
      <c r="AO546" s="44"/>
      <c r="AP546" s="44"/>
      <c r="AQ546" s="44"/>
      <c r="AR546" s="44"/>
      <c r="AS546" s="44"/>
      <c r="AT546" s="44"/>
      <c r="AU546" s="44"/>
      <c r="AV546" s="44"/>
      <c r="AW546" s="44"/>
      <c r="AX546" s="44"/>
    </row>
    <row r="547" spans="1:50" x14ac:dyDescent="0.25">
      <c r="A547" s="44"/>
      <c r="B547" s="44"/>
      <c r="C547" s="44"/>
      <c r="D547" s="44"/>
      <c r="E547" s="44"/>
      <c r="F547" s="44"/>
      <c r="G547" s="44"/>
      <c r="H547" s="44"/>
      <c r="I547" s="44"/>
      <c r="J547" s="44"/>
      <c r="K547" s="44"/>
      <c r="L547" s="44"/>
      <c r="M547" s="44"/>
      <c r="N547" s="44"/>
      <c r="O547" s="44"/>
      <c r="P547" s="44"/>
      <c r="Q547" s="44"/>
      <c r="R547" s="44"/>
      <c r="S547" s="44"/>
      <c r="T547" s="44"/>
      <c r="U547" s="44"/>
      <c r="V547" s="44"/>
      <c r="W547" s="44"/>
      <c r="X547" s="44"/>
      <c r="Y547" s="44"/>
      <c r="Z547" s="44"/>
      <c r="AA547" s="44"/>
      <c r="AB547" s="44"/>
      <c r="AC547" s="44"/>
      <c r="AD547" s="44"/>
      <c r="AE547" s="44"/>
      <c r="AF547" s="44"/>
      <c r="AG547" s="44"/>
      <c r="AH547" s="44"/>
      <c r="AI547" s="44"/>
      <c r="AJ547" s="44"/>
      <c r="AK547" s="44"/>
      <c r="AL547" s="44"/>
      <c r="AM547" s="44"/>
      <c r="AN547" s="44"/>
      <c r="AO547" s="44"/>
      <c r="AP547" s="44"/>
      <c r="AQ547" s="44"/>
      <c r="AR547" s="44"/>
      <c r="AS547" s="44"/>
      <c r="AT547" s="44"/>
      <c r="AU547" s="44"/>
      <c r="AV547" s="44"/>
      <c r="AW547" s="44"/>
      <c r="AX547" s="44"/>
    </row>
    <row r="548" spans="1:50" x14ac:dyDescent="0.25">
      <c r="A548" s="44"/>
      <c r="B548" s="44"/>
      <c r="C548" s="44"/>
      <c r="D548" s="44"/>
      <c r="E548" s="44"/>
      <c r="F548" s="44"/>
      <c r="G548" s="44"/>
      <c r="H548" s="44"/>
      <c r="I548" s="44"/>
      <c r="J548" s="44"/>
      <c r="K548" s="44"/>
      <c r="L548" s="44"/>
      <c r="M548" s="44"/>
      <c r="N548" s="44"/>
      <c r="O548" s="44"/>
      <c r="P548" s="44"/>
      <c r="Q548" s="44"/>
      <c r="R548" s="44"/>
      <c r="S548" s="44"/>
      <c r="T548" s="44"/>
      <c r="U548" s="44"/>
      <c r="V548" s="44"/>
      <c r="W548" s="44"/>
      <c r="X548" s="44"/>
      <c r="Y548" s="44"/>
      <c r="Z548" s="44"/>
      <c r="AA548" s="44"/>
      <c r="AB548" s="44"/>
      <c r="AC548" s="44"/>
      <c r="AD548" s="44"/>
      <c r="AE548" s="44"/>
      <c r="AF548" s="44"/>
      <c r="AG548" s="44"/>
      <c r="AH548" s="44"/>
      <c r="AI548" s="44"/>
      <c r="AJ548" s="44"/>
      <c r="AK548" s="44"/>
      <c r="AL548" s="44"/>
      <c r="AM548" s="44"/>
      <c r="AN548" s="44"/>
      <c r="AO548" s="44"/>
      <c r="AP548" s="44"/>
      <c r="AQ548" s="44"/>
      <c r="AR548" s="44"/>
      <c r="AS548" s="44"/>
      <c r="AT548" s="44"/>
      <c r="AU548" s="44"/>
      <c r="AV548" s="44"/>
      <c r="AW548" s="44"/>
      <c r="AX548" s="44"/>
    </row>
    <row r="549" spans="1:50" x14ac:dyDescent="0.25">
      <c r="A549" s="44"/>
      <c r="B549" s="44"/>
      <c r="C549" s="44"/>
      <c r="D549" s="44"/>
      <c r="E549" s="44"/>
      <c r="F549" s="44"/>
      <c r="G549" s="44"/>
      <c r="H549" s="44"/>
      <c r="I549" s="44"/>
      <c r="J549" s="44"/>
      <c r="K549" s="44"/>
      <c r="L549" s="44"/>
      <c r="M549" s="44"/>
      <c r="N549" s="44"/>
      <c r="O549" s="44"/>
      <c r="P549" s="44"/>
      <c r="Q549" s="44"/>
      <c r="R549" s="44"/>
      <c r="S549" s="44"/>
      <c r="T549" s="44"/>
      <c r="U549" s="44"/>
      <c r="V549" s="44"/>
      <c r="W549" s="44"/>
      <c r="X549" s="44"/>
      <c r="Y549" s="44"/>
      <c r="Z549" s="44"/>
      <c r="AA549" s="44"/>
      <c r="AB549" s="44"/>
      <c r="AC549" s="44"/>
      <c r="AD549" s="44"/>
      <c r="AE549" s="44"/>
      <c r="AF549" s="44"/>
      <c r="AG549" s="44"/>
      <c r="AH549" s="44"/>
      <c r="AI549" s="44"/>
      <c r="AJ549" s="44"/>
      <c r="AK549" s="44"/>
      <c r="AL549" s="44"/>
      <c r="AM549" s="44"/>
      <c r="AN549" s="44"/>
      <c r="AO549" s="44"/>
      <c r="AP549" s="44"/>
      <c r="AQ549" s="44"/>
      <c r="AR549" s="44"/>
      <c r="AS549" s="44"/>
      <c r="AT549" s="44"/>
      <c r="AU549" s="44"/>
      <c r="AV549" s="44"/>
      <c r="AW549" s="44"/>
      <c r="AX549" s="44"/>
    </row>
    <row r="550" spans="1:50" x14ac:dyDescent="0.25">
      <c r="A550" s="44"/>
      <c r="B550" s="44"/>
      <c r="C550" s="44"/>
      <c r="D550" s="44"/>
      <c r="E550" s="44"/>
      <c r="F550" s="44"/>
      <c r="G550" s="44"/>
      <c r="H550" s="44"/>
      <c r="I550" s="44"/>
      <c r="J550" s="44"/>
      <c r="K550" s="44"/>
      <c r="L550" s="44"/>
      <c r="M550" s="44"/>
      <c r="N550" s="44"/>
      <c r="O550" s="44"/>
      <c r="P550" s="44"/>
      <c r="Q550" s="44"/>
      <c r="R550" s="44"/>
      <c r="S550" s="44"/>
      <c r="T550" s="44"/>
      <c r="U550" s="44"/>
      <c r="V550" s="44"/>
      <c r="W550" s="44"/>
      <c r="X550" s="44"/>
      <c r="Y550" s="44"/>
      <c r="Z550" s="44"/>
      <c r="AA550" s="44"/>
      <c r="AB550" s="44"/>
      <c r="AC550" s="44"/>
      <c r="AD550" s="44"/>
      <c r="AE550" s="44"/>
      <c r="AF550" s="44"/>
      <c r="AG550" s="44"/>
      <c r="AH550" s="44"/>
      <c r="AI550" s="44"/>
      <c r="AJ550" s="44"/>
      <c r="AK550" s="44"/>
      <c r="AL550" s="44"/>
      <c r="AM550" s="44"/>
      <c r="AN550" s="44"/>
      <c r="AO550" s="44"/>
      <c r="AP550" s="44"/>
      <c r="AQ550" s="44"/>
      <c r="AR550" s="44"/>
      <c r="AS550" s="44"/>
      <c r="AT550" s="44"/>
      <c r="AU550" s="44"/>
      <c r="AV550" s="44"/>
      <c r="AW550" s="44"/>
      <c r="AX550" s="44"/>
    </row>
    <row r="551" spans="1:50" x14ac:dyDescent="0.25">
      <c r="A551" s="44"/>
      <c r="B551" s="44"/>
      <c r="C551" s="44"/>
      <c r="D551" s="44"/>
      <c r="E551" s="44"/>
      <c r="F551" s="44"/>
      <c r="G551" s="44"/>
      <c r="H551" s="44"/>
      <c r="I551" s="44"/>
      <c r="J551" s="44"/>
      <c r="K551" s="44"/>
      <c r="L551" s="44"/>
      <c r="M551" s="44"/>
      <c r="N551" s="44"/>
      <c r="O551" s="44"/>
      <c r="P551" s="44"/>
      <c r="Q551" s="44"/>
      <c r="R551" s="44"/>
      <c r="S551" s="44"/>
      <c r="T551" s="44"/>
      <c r="U551" s="44"/>
      <c r="V551" s="44"/>
      <c r="W551" s="44"/>
      <c r="X551" s="44"/>
      <c r="Y551" s="44"/>
      <c r="Z551" s="44"/>
      <c r="AA551" s="44"/>
      <c r="AB551" s="44"/>
      <c r="AC551" s="44"/>
      <c r="AD551" s="44"/>
      <c r="AE551" s="44"/>
      <c r="AF551" s="44"/>
      <c r="AG551" s="44"/>
      <c r="AH551" s="44"/>
      <c r="AI551" s="44"/>
      <c r="AJ551" s="44"/>
      <c r="AK551" s="44"/>
      <c r="AL551" s="44"/>
      <c r="AM551" s="44"/>
      <c r="AN551" s="44"/>
      <c r="AO551" s="44"/>
      <c r="AP551" s="44"/>
      <c r="AQ551" s="44"/>
      <c r="AR551" s="44"/>
      <c r="AS551" s="44"/>
      <c r="AT551" s="44"/>
      <c r="AU551" s="44"/>
      <c r="AV551" s="44"/>
      <c r="AW551" s="44"/>
      <c r="AX551" s="44"/>
    </row>
    <row r="552" spans="1:50" x14ac:dyDescent="0.25">
      <c r="A552" s="44"/>
      <c r="B552" s="44"/>
      <c r="C552" s="44"/>
      <c r="D552" s="44"/>
      <c r="E552" s="44"/>
      <c r="F552" s="44"/>
      <c r="G552" s="44"/>
      <c r="H552" s="44"/>
      <c r="I552" s="44"/>
      <c r="J552" s="44"/>
      <c r="K552" s="44"/>
      <c r="L552" s="44"/>
      <c r="M552" s="44"/>
      <c r="N552" s="44"/>
      <c r="O552" s="44"/>
      <c r="P552" s="44"/>
      <c r="Q552" s="44"/>
      <c r="R552" s="44"/>
      <c r="S552" s="44"/>
      <c r="T552" s="44"/>
      <c r="U552" s="44"/>
      <c r="V552" s="44"/>
      <c r="W552" s="44"/>
      <c r="X552" s="44"/>
      <c r="Y552" s="44"/>
      <c r="Z552" s="44"/>
      <c r="AA552" s="44"/>
      <c r="AB552" s="44"/>
      <c r="AC552" s="44"/>
      <c r="AD552" s="44"/>
      <c r="AE552" s="44"/>
      <c r="AF552" s="44"/>
      <c r="AG552" s="44"/>
      <c r="AH552" s="44"/>
      <c r="AI552" s="44"/>
      <c r="AJ552" s="44"/>
      <c r="AK552" s="44"/>
      <c r="AL552" s="44"/>
      <c r="AM552" s="44"/>
      <c r="AN552" s="44"/>
      <c r="AO552" s="44"/>
      <c r="AP552" s="44"/>
      <c r="AQ552" s="44"/>
      <c r="AR552" s="44"/>
      <c r="AS552" s="44"/>
      <c r="AT552" s="44"/>
      <c r="AU552" s="44"/>
      <c r="AV552" s="44"/>
      <c r="AW552" s="44"/>
      <c r="AX552" s="44"/>
    </row>
    <row r="553" spans="1:50" x14ac:dyDescent="0.25">
      <c r="A553" s="44"/>
      <c r="B553" s="44"/>
      <c r="C553" s="44"/>
      <c r="D553" s="44"/>
      <c r="E553" s="44"/>
      <c r="F553" s="44"/>
      <c r="G553" s="44"/>
      <c r="H553" s="44"/>
      <c r="I553" s="44"/>
      <c r="J553" s="44"/>
      <c r="K553" s="44"/>
      <c r="L553" s="44"/>
      <c r="M553" s="44"/>
      <c r="N553" s="44"/>
      <c r="O553" s="44"/>
      <c r="P553" s="44"/>
      <c r="Q553" s="44"/>
      <c r="R553" s="44"/>
      <c r="S553" s="44"/>
      <c r="T553" s="44"/>
      <c r="U553" s="44"/>
      <c r="V553" s="44"/>
      <c r="W553" s="44"/>
      <c r="X553" s="44"/>
      <c r="Y553" s="44"/>
      <c r="Z553" s="44"/>
      <c r="AA553" s="44"/>
      <c r="AB553" s="44"/>
      <c r="AC553" s="44"/>
      <c r="AD553" s="44"/>
      <c r="AE553" s="44"/>
      <c r="AF553" s="44"/>
      <c r="AG553" s="44"/>
      <c r="AH553" s="44"/>
      <c r="AI553" s="44"/>
      <c r="AJ553" s="44"/>
      <c r="AK553" s="44"/>
      <c r="AL553" s="44"/>
      <c r="AM553" s="44"/>
      <c r="AN553" s="44"/>
      <c r="AO553" s="44"/>
      <c r="AP553" s="44"/>
      <c r="AQ553" s="44"/>
      <c r="AR553" s="44"/>
      <c r="AS553" s="44"/>
      <c r="AT553" s="44"/>
      <c r="AU553" s="44"/>
      <c r="AV553" s="44"/>
      <c r="AW553" s="44"/>
      <c r="AX553" s="44"/>
    </row>
    <row r="554" spans="1:50" x14ac:dyDescent="0.25">
      <c r="A554" s="44"/>
      <c r="B554" s="44"/>
      <c r="C554" s="44"/>
      <c r="D554" s="44"/>
      <c r="E554" s="44"/>
      <c r="F554" s="44"/>
      <c r="G554" s="44"/>
      <c r="H554" s="44"/>
      <c r="I554" s="44"/>
      <c r="J554" s="44"/>
      <c r="K554" s="44"/>
      <c r="L554" s="44"/>
      <c r="M554" s="44"/>
      <c r="N554" s="44"/>
      <c r="O554" s="44"/>
      <c r="P554" s="44"/>
      <c r="Q554" s="44"/>
      <c r="R554" s="44"/>
      <c r="S554" s="44"/>
      <c r="T554" s="44"/>
      <c r="U554" s="44"/>
      <c r="V554" s="44"/>
      <c r="W554" s="44"/>
      <c r="X554" s="44"/>
      <c r="Y554" s="44"/>
      <c r="Z554" s="44"/>
      <c r="AA554" s="44"/>
      <c r="AB554" s="44"/>
      <c r="AC554" s="44"/>
      <c r="AD554" s="44"/>
      <c r="AE554" s="44"/>
      <c r="AF554" s="44"/>
      <c r="AG554" s="44"/>
      <c r="AH554" s="44"/>
      <c r="AI554" s="44"/>
      <c r="AJ554" s="44"/>
      <c r="AK554" s="44"/>
      <c r="AL554" s="44"/>
      <c r="AM554" s="44"/>
      <c r="AN554" s="44"/>
      <c r="AO554" s="44"/>
      <c r="AP554" s="44"/>
      <c r="AQ554" s="44"/>
      <c r="AR554" s="44"/>
      <c r="AS554" s="44"/>
      <c r="AT554" s="44"/>
      <c r="AU554" s="44"/>
      <c r="AV554" s="44"/>
      <c r="AW554" s="44"/>
      <c r="AX554" s="44"/>
    </row>
    <row r="555" spans="1:50" x14ac:dyDescent="0.25">
      <c r="A555" s="44"/>
      <c r="B555" s="44"/>
      <c r="C555" s="44"/>
      <c r="D555" s="44"/>
      <c r="E555" s="44"/>
      <c r="F555" s="44"/>
      <c r="G555" s="44"/>
      <c r="H555" s="44"/>
      <c r="I555" s="44"/>
      <c r="J555" s="44"/>
      <c r="K555" s="44"/>
      <c r="L555" s="44"/>
      <c r="M555" s="44"/>
      <c r="N555" s="44"/>
      <c r="O555" s="44"/>
      <c r="P555" s="44"/>
      <c r="Q555" s="44"/>
      <c r="R555" s="44"/>
      <c r="S555" s="44"/>
      <c r="T555" s="44"/>
      <c r="U555" s="44"/>
      <c r="V555" s="44"/>
      <c r="W555" s="44"/>
      <c r="X555" s="44"/>
      <c r="Y555" s="44"/>
      <c r="Z555" s="44"/>
      <c r="AA555" s="44"/>
      <c r="AB555" s="44"/>
      <c r="AC555" s="44"/>
      <c r="AD555" s="44"/>
      <c r="AE555" s="44"/>
      <c r="AF555" s="44"/>
      <c r="AG555" s="44"/>
      <c r="AH555" s="44"/>
      <c r="AI555" s="44"/>
      <c r="AJ555" s="44"/>
      <c r="AK555" s="44"/>
      <c r="AL555" s="44"/>
      <c r="AM555" s="44"/>
      <c r="AN555" s="44"/>
      <c r="AO555" s="44"/>
      <c r="AP555" s="44"/>
      <c r="AQ555" s="44"/>
      <c r="AR555" s="44"/>
      <c r="AS555" s="44"/>
      <c r="AT555" s="44"/>
      <c r="AU555" s="44"/>
      <c r="AV555" s="44"/>
      <c r="AW555" s="44"/>
      <c r="AX555" s="44"/>
    </row>
    <row r="556" spans="1:50" x14ac:dyDescent="0.25">
      <c r="A556" s="44"/>
      <c r="B556" s="44"/>
      <c r="C556" s="44"/>
      <c r="D556" s="44"/>
      <c r="E556" s="44"/>
      <c r="F556" s="44"/>
      <c r="G556" s="44"/>
      <c r="H556" s="44"/>
      <c r="I556" s="44"/>
      <c r="J556" s="44"/>
      <c r="K556" s="44"/>
      <c r="L556" s="44"/>
      <c r="M556" s="44"/>
      <c r="N556" s="44"/>
      <c r="O556" s="44"/>
      <c r="P556" s="44"/>
      <c r="Q556" s="44"/>
      <c r="R556" s="44"/>
      <c r="S556" s="44"/>
      <c r="T556" s="44"/>
      <c r="U556" s="44"/>
      <c r="V556" s="44"/>
      <c r="W556" s="44"/>
      <c r="X556" s="44"/>
      <c r="Y556" s="44"/>
      <c r="Z556" s="44"/>
      <c r="AA556" s="44"/>
      <c r="AB556" s="44"/>
      <c r="AC556" s="44"/>
      <c r="AD556" s="44"/>
      <c r="AE556" s="44"/>
      <c r="AF556" s="44"/>
      <c r="AG556" s="44"/>
      <c r="AH556" s="44"/>
      <c r="AI556" s="44"/>
      <c r="AJ556" s="44"/>
      <c r="AK556" s="44"/>
      <c r="AL556" s="44"/>
      <c r="AM556" s="44"/>
      <c r="AN556" s="44"/>
      <c r="AO556" s="44"/>
      <c r="AP556" s="44"/>
      <c r="AQ556" s="44"/>
      <c r="AR556" s="44"/>
      <c r="AS556" s="44"/>
      <c r="AT556" s="44"/>
      <c r="AU556" s="44"/>
      <c r="AV556" s="44"/>
      <c r="AW556" s="44"/>
      <c r="AX556" s="44"/>
    </row>
    <row r="557" spans="1:50" x14ac:dyDescent="0.25">
      <c r="A557" s="44"/>
      <c r="B557" s="44"/>
      <c r="C557" s="44"/>
      <c r="D557" s="44"/>
      <c r="E557" s="44"/>
      <c r="F557" s="44"/>
      <c r="G557" s="44"/>
      <c r="H557" s="44"/>
      <c r="I557" s="44"/>
      <c r="J557" s="44"/>
      <c r="K557" s="44"/>
      <c r="L557" s="44"/>
      <c r="M557" s="44"/>
      <c r="N557" s="44"/>
      <c r="O557" s="44"/>
      <c r="P557" s="44"/>
      <c r="Q557" s="44"/>
      <c r="R557" s="44"/>
      <c r="S557" s="44"/>
      <c r="T557" s="44"/>
      <c r="U557" s="44"/>
      <c r="V557" s="44"/>
      <c r="W557" s="44"/>
      <c r="X557" s="44"/>
      <c r="Y557" s="44"/>
      <c r="Z557" s="44"/>
      <c r="AA557" s="44"/>
      <c r="AB557" s="44"/>
      <c r="AC557" s="44"/>
      <c r="AD557" s="44"/>
      <c r="AE557" s="44"/>
      <c r="AF557" s="44"/>
      <c r="AG557" s="44"/>
      <c r="AH557" s="44"/>
      <c r="AI557" s="44"/>
      <c r="AJ557" s="44"/>
      <c r="AK557" s="44"/>
      <c r="AL557" s="44"/>
      <c r="AM557" s="44"/>
      <c r="AN557" s="44"/>
      <c r="AO557" s="44"/>
      <c r="AP557" s="44"/>
      <c r="AQ557" s="44"/>
      <c r="AR557" s="44"/>
      <c r="AS557" s="44"/>
      <c r="AT557" s="44"/>
      <c r="AU557" s="44"/>
      <c r="AV557" s="44"/>
      <c r="AW557" s="44"/>
      <c r="AX557" s="44"/>
    </row>
    <row r="558" spans="1:50" x14ac:dyDescent="0.25">
      <c r="A558" s="44"/>
      <c r="B558" s="44"/>
      <c r="C558" s="44"/>
      <c r="D558" s="44"/>
      <c r="E558" s="44"/>
      <c r="F558" s="44"/>
      <c r="G558" s="44"/>
      <c r="H558" s="44"/>
      <c r="I558" s="44"/>
      <c r="J558" s="44"/>
      <c r="K558" s="44"/>
      <c r="L558" s="44"/>
      <c r="M558" s="44"/>
      <c r="N558" s="44"/>
      <c r="O558" s="44"/>
      <c r="P558" s="44"/>
      <c r="Q558" s="44"/>
      <c r="R558" s="44"/>
      <c r="S558" s="44"/>
      <c r="T558" s="44"/>
      <c r="U558" s="44"/>
      <c r="V558" s="44"/>
      <c r="W558" s="44"/>
      <c r="X558" s="44"/>
      <c r="Y558" s="44"/>
      <c r="Z558" s="44"/>
      <c r="AA558" s="44"/>
      <c r="AB558" s="44"/>
      <c r="AC558" s="44"/>
      <c r="AD558" s="44"/>
      <c r="AE558" s="44"/>
      <c r="AF558" s="44"/>
      <c r="AG558" s="44"/>
      <c r="AH558" s="44"/>
      <c r="AI558" s="44"/>
      <c r="AJ558" s="44"/>
      <c r="AK558" s="44"/>
      <c r="AL558" s="44"/>
      <c r="AM558" s="44"/>
      <c r="AN558" s="44"/>
      <c r="AO558" s="44"/>
      <c r="AP558" s="44"/>
      <c r="AQ558" s="44"/>
      <c r="AR558" s="44"/>
      <c r="AS558" s="44"/>
      <c r="AT558" s="44"/>
      <c r="AU558" s="44"/>
      <c r="AV558" s="44"/>
      <c r="AW558" s="44"/>
      <c r="AX558" s="44"/>
    </row>
    <row r="559" spans="1:50" x14ac:dyDescent="0.25">
      <c r="A559" s="44"/>
      <c r="B559" s="44"/>
      <c r="C559" s="44"/>
      <c r="D559" s="44"/>
      <c r="E559" s="44"/>
      <c r="F559" s="44"/>
      <c r="G559" s="44"/>
      <c r="H559" s="44"/>
      <c r="I559" s="44"/>
      <c r="J559" s="44"/>
      <c r="K559" s="44"/>
      <c r="L559" s="44"/>
      <c r="M559" s="44"/>
      <c r="N559" s="44"/>
      <c r="O559" s="44"/>
      <c r="P559" s="44"/>
      <c r="Q559" s="44"/>
      <c r="R559" s="44"/>
      <c r="S559" s="44"/>
      <c r="T559" s="44"/>
      <c r="U559" s="44"/>
      <c r="V559" s="44"/>
      <c r="W559" s="44"/>
      <c r="X559" s="44"/>
      <c r="Y559" s="44"/>
      <c r="Z559" s="44"/>
      <c r="AA559" s="44"/>
      <c r="AB559" s="44"/>
      <c r="AC559" s="44"/>
      <c r="AD559" s="44"/>
      <c r="AE559" s="44"/>
      <c r="AF559" s="44"/>
      <c r="AG559" s="44"/>
      <c r="AH559" s="44"/>
      <c r="AI559" s="44"/>
      <c r="AJ559" s="44"/>
      <c r="AK559" s="44"/>
      <c r="AL559" s="44"/>
      <c r="AM559" s="44"/>
      <c r="AN559" s="44"/>
      <c r="AO559" s="44"/>
      <c r="AP559" s="44"/>
      <c r="AQ559" s="44"/>
      <c r="AR559" s="44"/>
      <c r="AS559" s="44"/>
      <c r="AT559" s="44"/>
      <c r="AU559" s="44"/>
      <c r="AV559" s="44"/>
      <c r="AW559" s="44"/>
      <c r="AX559" s="44"/>
    </row>
    <row r="560" spans="1:50" x14ac:dyDescent="0.25">
      <c r="A560" s="44"/>
      <c r="B560" s="44"/>
      <c r="C560" s="44"/>
      <c r="D560" s="44"/>
      <c r="E560" s="44"/>
      <c r="F560" s="44"/>
      <c r="G560" s="44"/>
      <c r="H560" s="44"/>
      <c r="I560" s="44"/>
      <c r="J560" s="44"/>
      <c r="K560" s="44"/>
      <c r="L560" s="44"/>
      <c r="M560" s="44"/>
      <c r="N560" s="44"/>
      <c r="O560" s="44"/>
      <c r="P560" s="44"/>
      <c r="Q560" s="44"/>
      <c r="R560" s="44"/>
      <c r="S560" s="44"/>
      <c r="T560" s="44"/>
      <c r="U560" s="44"/>
      <c r="V560" s="44"/>
      <c r="W560" s="44"/>
      <c r="X560" s="44"/>
      <c r="Y560" s="44"/>
      <c r="Z560" s="44"/>
      <c r="AA560" s="44"/>
      <c r="AB560" s="44"/>
      <c r="AC560" s="44"/>
      <c r="AD560" s="44"/>
      <c r="AE560" s="44"/>
      <c r="AF560" s="44"/>
      <c r="AG560" s="44"/>
      <c r="AH560" s="44"/>
      <c r="AI560" s="44"/>
      <c r="AJ560" s="44"/>
      <c r="AK560" s="44"/>
      <c r="AL560" s="44"/>
      <c r="AM560" s="44"/>
      <c r="AN560" s="44"/>
      <c r="AO560" s="44"/>
      <c r="AP560" s="44"/>
      <c r="AQ560" s="44"/>
      <c r="AR560" s="44"/>
      <c r="AS560" s="44"/>
      <c r="AT560" s="44"/>
      <c r="AU560" s="44"/>
      <c r="AV560" s="44"/>
      <c r="AW560" s="44"/>
      <c r="AX560" s="44"/>
    </row>
    <row r="561" spans="1:50" x14ac:dyDescent="0.25">
      <c r="A561" s="44"/>
      <c r="B561" s="44"/>
      <c r="C561" s="44"/>
      <c r="D561" s="44"/>
      <c r="E561" s="44"/>
      <c r="F561" s="44"/>
      <c r="G561" s="44"/>
      <c r="H561" s="44"/>
      <c r="I561" s="44"/>
      <c r="J561" s="44"/>
      <c r="K561" s="44"/>
      <c r="L561" s="44"/>
      <c r="M561" s="44"/>
      <c r="N561" s="44"/>
      <c r="O561" s="44"/>
      <c r="P561" s="44"/>
      <c r="Q561" s="44"/>
      <c r="R561" s="44"/>
      <c r="S561" s="44"/>
      <c r="T561" s="44"/>
      <c r="U561" s="44"/>
      <c r="V561" s="44"/>
      <c r="W561" s="44"/>
      <c r="X561" s="44"/>
      <c r="Y561" s="44"/>
      <c r="Z561" s="44"/>
      <c r="AA561" s="44"/>
      <c r="AB561" s="44"/>
      <c r="AC561" s="44"/>
      <c r="AD561" s="44"/>
      <c r="AE561" s="44"/>
      <c r="AF561" s="44"/>
      <c r="AG561" s="44"/>
      <c r="AH561" s="44"/>
      <c r="AI561" s="44"/>
      <c r="AJ561" s="44"/>
      <c r="AK561" s="44"/>
      <c r="AL561" s="44"/>
      <c r="AM561" s="44"/>
      <c r="AN561" s="44"/>
      <c r="AO561" s="44"/>
      <c r="AP561" s="44"/>
      <c r="AQ561" s="44"/>
      <c r="AR561" s="44"/>
      <c r="AS561" s="44"/>
      <c r="AT561" s="44"/>
      <c r="AU561" s="44"/>
      <c r="AV561" s="44"/>
      <c r="AW561" s="44"/>
      <c r="AX561" s="44"/>
    </row>
    <row r="562" spans="1:50" x14ac:dyDescent="0.25">
      <c r="A562" s="44"/>
      <c r="B562" s="44"/>
      <c r="C562" s="44"/>
      <c r="D562" s="44"/>
      <c r="E562" s="44"/>
      <c r="F562" s="44"/>
      <c r="G562" s="44"/>
      <c r="H562" s="44"/>
      <c r="I562" s="44"/>
      <c r="J562" s="44"/>
      <c r="K562" s="44"/>
      <c r="L562" s="44"/>
      <c r="M562" s="44"/>
      <c r="N562" s="44"/>
      <c r="O562" s="44"/>
      <c r="P562" s="44"/>
      <c r="Q562" s="44"/>
      <c r="R562" s="44"/>
      <c r="S562" s="44"/>
      <c r="T562" s="44"/>
      <c r="U562" s="44"/>
      <c r="V562" s="44"/>
      <c r="W562" s="44"/>
      <c r="X562" s="44"/>
      <c r="Y562" s="44"/>
      <c r="Z562" s="44"/>
      <c r="AA562" s="44"/>
      <c r="AB562" s="44"/>
      <c r="AC562" s="44"/>
      <c r="AD562" s="44"/>
      <c r="AE562" s="44"/>
      <c r="AF562" s="44"/>
      <c r="AG562" s="44"/>
      <c r="AH562" s="44"/>
      <c r="AI562" s="44"/>
      <c r="AJ562" s="44"/>
      <c r="AK562" s="44"/>
      <c r="AL562" s="44"/>
      <c r="AM562" s="44"/>
      <c r="AN562" s="44"/>
      <c r="AO562" s="44"/>
      <c r="AP562" s="44"/>
      <c r="AQ562" s="44"/>
      <c r="AR562" s="44"/>
      <c r="AS562" s="44"/>
      <c r="AT562" s="44"/>
      <c r="AU562" s="44"/>
      <c r="AV562" s="44"/>
      <c r="AW562" s="44"/>
      <c r="AX562" s="44"/>
    </row>
    <row r="563" spans="1:50" x14ac:dyDescent="0.25">
      <c r="A563" s="44"/>
      <c r="B563" s="44"/>
      <c r="C563" s="44"/>
      <c r="D563" s="44"/>
      <c r="E563" s="44"/>
      <c r="F563" s="44"/>
      <c r="G563" s="44"/>
      <c r="H563" s="44"/>
      <c r="I563" s="44"/>
      <c r="J563" s="44"/>
      <c r="K563" s="44"/>
      <c r="L563" s="44"/>
      <c r="M563" s="44"/>
      <c r="N563" s="44"/>
      <c r="O563" s="44"/>
      <c r="P563" s="44"/>
      <c r="Q563" s="44"/>
      <c r="R563" s="44"/>
      <c r="S563" s="44"/>
      <c r="T563" s="44"/>
      <c r="U563" s="44"/>
      <c r="V563" s="44"/>
      <c r="W563" s="44"/>
      <c r="X563" s="44"/>
      <c r="Y563" s="44"/>
      <c r="Z563" s="44"/>
      <c r="AA563" s="44"/>
      <c r="AB563" s="44"/>
      <c r="AC563" s="44"/>
      <c r="AD563" s="44"/>
      <c r="AE563" s="44"/>
      <c r="AF563" s="44"/>
      <c r="AG563" s="44"/>
      <c r="AH563" s="44"/>
      <c r="AI563" s="44"/>
      <c r="AJ563" s="44"/>
      <c r="AK563" s="44"/>
      <c r="AL563" s="44"/>
      <c r="AM563" s="44"/>
      <c r="AN563" s="44"/>
      <c r="AO563" s="44"/>
      <c r="AP563" s="44"/>
      <c r="AQ563" s="44"/>
      <c r="AR563" s="44"/>
      <c r="AS563" s="44"/>
      <c r="AT563" s="44"/>
      <c r="AU563" s="44"/>
      <c r="AV563" s="44"/>
      <c r="AW563" s="44"/>
      <c r="AX563" s="44"/>
    </row>
    <row r="564" spans="1:50" x14ac:dyDescent="0.25">
      <c r="A564" s="44"/>
      <c r="B564" s="44"/>
      <c r="C564" s="44"/>
      <c r="D564" s="44"/>
      <c r="E564" s="44"/>
      <c r="F564" s="44"/>
      <c r="G564" s="44"/>
      <c r="H564" s="44"/>
      <c r="I564" s="44"/>
      <c r="J564" s="44"/>
      <c r="K564" s="44"/>
      <c r="L564" s="44"/>
      <c r="M564" s="44"/>
      <c r="N564" s="44"/>
      <c r="O564" s="44"/>
      <c r="P564" s="44"/>
      <c r="Q564" s="44"/>
      <c r="R564" s="44"/>
      <c r="S564" s="44"/>
      <c r="T564" s="44"/>
      <c r="U564" s="44"/>
      <c r="V564" s="44"/>
      <c r="W564" s="44"/>
      <c r="X564" s="44"/>
      <c r="Y564" s="44"/>
      <c r="Z564" s="44"/>
      <c r="AA564" s="44"/>
      <c r="AB564" s="44"/>
      <c r="AC564" s="44"/>
      <c r="AD564" s="44"/>
      <c r="AE564" s="44"/>
      <c r="AF564" s="44"/>
      <c r="AG564" s="44"/>
      <c r="AH564" s="44"/>
      <c r="AI564" s="44"/>
      <c r="AJ564" s="44"/>
      <c r="AK564" s="44"/>
      <c r="AL564" s="44"/>
      <c r="AM564" s="44"/>
      <c r="AN564" s="44"/>
      <c r="AO564" s="44"/>
      <c r="AP564" s="44"/>
      <c r="AQ564" s="44"/>
      <c r="AR564" s="44"/>
      <c r="AS564" s="44"/>
      <c r="AT564" s="44"/>
      <c r="AU564" s="44"/>
      <c r="AV564" s="44"/>
      <c r="AW564" s="44"/>
      <c r="AX564" s="44"/>
    </row>
    <row r="565" spans="1:50" x14ac:dyDescent="0.25">
      <c r="A565" s="44"/>
      <c r="B565" s="44"/>
      <c r="C565" s="44"/>
      <c r="D565" s="44"/>
      <c r="E565" s="44"/>
      <c r="F565" s="44"/>
      <c r="G565" s="44"/>
      <c r="H565" s="44"/>
      <c r="I565" s="44"/>
      <c r="J565" s="44"/>
      <c r="K565" s="44"/>
      <c r="L565" s="44"/>
      <c r="M565" s="44"/>
      <c r="N565" s="44"/>
      <c r="O565" s="44"/>
      <c r="P565" s="44"/>
      <c r="Q565" s="44"/>
      <c r="R565" s="44"/>
      <c r="S565" s="44"/>
      <c r="T565" s="44"/>
      <c r="U565" s="44"/>
      <c r="V565" s="44"/>
      <c r="W565" s="44"/>
      <c r="X565" s="44"/>
      <c r="Y565" s="44"/>
      <c r="Z565" s="44"/>
      <c r="AA565" s="44"/>
      <c r="AB565" s="44"/>
      <c r="AC565" s="44"/>
      <c r="AD565" s="44"/>
      <c r="AE565" s="44"/>
      <c r="AF565" s="44"/>
      <c r="AG565" s="44"/>
      <c r="AH565" s="44"/>
      <c r="AI565" s="44"/>
      <c r="AJ565" s="44"/>
      <c r="AK565" s="44"/>
      <c r="AL565" s="44"/>
      <c r="AM565" s="44"/>
      <c r="AN565" s="44"/>
      <c r="AO565" s="44"/>
      <c r="AP565" s="44"/>
      <c r="AQ565" s="44"/>
      <c r="AR565" s="44"/>
      <c r="AS565" s="44"/>
      <c r="AT565" s="44"/>
      <c r="AU565" s="44"/>
      <c r="AV565" s="44"/>
      <c r="AW565" s="44"/>
      <c r="AX565" s="44"/>
    </row>
    <row r="566" spans="1:50" x14ac:dyDescent="0.25">
      <c r="A566" s="44"/>
      <c r="B566" s="44"/>
      <c r="C566" s="44"/>
      <c r="D566" s="44"/>
      <c r="E566" s="44"/>
      <c r="F566" s="44"/>
      <c r="G566" s="44"/>
      <c r="H566" s="44"/>
      <c r="I566" s="44"/>
      <c r="J566" s="44"/>
      <c r="K566" s="44"/>
      <c r="L566" s="44"/>
      <c r="M566" s="44"/>
      <c r="N566" s="44"/>
      <c r="O566" s="44"/>
      <c r="P566" s="44"/>
      <c r="Q566" s="44"/>
      <c r="R566" s="44"/>
      <c r="S566" s="44"/>
      <c r="T566" s="44"/>
      <c r="U566" s="44"/>
      <c r="V566" s="44"/>
      <c r="W566" s="44"/>
      <c r="X566" s="44"/>
      <c r="Y566" s="44"/>
      <c r="Z566" s="44"/>
      <c r="AA566" s="44"/>
      <c r="AB566" s="44"/>
      <c r="AC566" s="44"/>
      <c r="AD566" s="44"/>
      <c r="AE566" s="44"/>
      <c r="AF566" s="44"/>
      <c r="AG566" s="44"/>
      <c r="AH566" s="44"/>
      <c r="AI566" s="44"/>
      <c r="AJ566" s="44"/>
      <c r="AK566" s="44"/>
      <c r="AL566" s="44"/>
      <c r="AM566" s="44"/>
      <c r="AN566" s="44"/>
      <c r="AO566" s="44"/>
      <c r="AP566" s="44"/>
      <c r="AQ566" s="44"/>
      <c r="AR566" s="44"/>
      <c r="AS566" s="44"/>
      <c r="AT566" s="44"/>
      <c r="AU566" s="44"/>
      <c r="AV566" s="44"/>
      <c r="AW566" s="44"/>
      <c r="AX566" s="44"/>
    </row>
    <row r="567" spans="1:50" x14ac:dyDescent="0.25">
      <c r="A567" s="44"/>
      <c r="B567" s="44"/>
      <c r="C567" s="44"/>
      <c r="D567" s="44"/>
      <c r="E567" s="44"/>
      <c r="F567" s="44"/>
      <c r="G567" s="44"/>
      <c r="H567" s="44"/>
      <c r="I567" s="44"/>
      <c r="J567" s="44"/>
      <c r="K567" s="44"/>
      <c r="L567" s="44"/>
      <c r="M567" s="44"/>
      <c r="N567" s="44"/>
      <c r="O567" s="44"/>
      <c r="P567" s="44"/>
      <c r="Q567" s="44"/>
      <c r="R567" s="44"/>
      <c r="S567" s="44"/>
      <c r="T567" s="44"/>
      <c r="U567" s="44"/>
      <c r="V567" s="44"/>
      <c r="W567" s="44"/>
      <c r="X567" s="44"/>
      <c r="Y567" s="44"/>
      <c r="Z567" s="44"/>
      <c r="AA567" s="44"/>
      <c r="AB567" s="44"/>
      <c r="AC567" s="44"/>
      <c r="AD567" s="44"/>
      <c r="AE567" s="44"/>
      <c r="AF567" s="44"/>
      <c r="AG567" s="44"/>
      <c r="AH567" s="44"/>
      <c r="AI567" s="44"/>
      <c r="AJ567" s="44"/>
      <c r="AK567" s="44"/>
      <c r="AL567" s="44"/>
      <c r="AM567" s="44"/>
      <c r="AN567" s="44"/>
      <c r="AO567" s="44"/>
      <c r="AP567" s="44"/>
      <c r="AQ567" s="44"/>
      <c r="AR567" s="44"/>
      <c r="AS567" s="44"/>
      <c r="AT567" s="44"/>
      <c r="AU567" s="44"/>
      <c r="AV567" s="44"/>
      <c r="AW567" s="44"/>
      <c r="AX567" s="44"/>
    </row>
    <row r="568" spans="1:50" x14ac:dyDescent="0.25">
      <c r="A568" s="44"/>
      <c r="B568" s="44"/>
      <c r="C568" s="44"/>
      <c r="D568" s="44"/>
      <c r="E568" s="44"/>
      <c r="F568" s="44"/>
      <c r="G568" s="44"/>
      <c r="H568" s="44"/>
      <c r="I568" s="44"/>
      <c r="J568" s="44"/>
      <c r="K568" s="44"/>
      <c r="L568" s="44"/>
      <c r="M568" s="44"/>
      <c r="N568" s="44"/>
      <c r="O568" s="44"/>
      <c r="P568" s="44"/>
      <c r="Q568" s="44"/>
      <c r="R568" s="44"/>
      <c r="S568" s="44"/>
      <c r="T568" s="44"/>
      <c r="U568" s="44"/>
      <c r="V568" s="44"/>
      <c r="W568" s="44"/>
      <c r="X568" s="44"/>
      <c r="Y568" s="44"/>
      <c r="Z568" s="44"/>
      <c r="AA568" s="44"/>
      <c r="AB568" s="44"/>
      <c r="AC568" s="44"/>
      <c r="AD568" s="44"/>
      <c r="AE568" s="44"/>
      <c r="AF568" s="44"/>
      <c r="AG568" s="44"/>
      <c r="AH568" s="44"/>
      <c r="AI568" s="44"/>
      <c r="AJ568" s="44"/>
      <c r="AK568" s="44"/>
      <c r="AL568" s="44"/>
      <c r="AM568" s="44"/>
      <c r="AN568" s="44"/>
      <c r="AO568" s="44"/>
      <c r="AP568" s="44"/>
      <c r="AQ568" s="44"/>
      <c r="AR568" s="44"/>
      <c r="AS568" s="44"/>
      <c r="AT568" s="44"/>
      <c r="AU568" s="44"/>
      <c r="AV568" s="44"/>
      <c r="AW568" s="44"/>
      <c r="AX568" s="44"/>
    </row>
    <row r="569" spans="1:50" x14ac:dyDescent="0.25">
      <c r="A569" s="44"/>
      <c r="B569" s="44"/>
      <c r="C569" s="44"/>
      <c r="D569" s="44"/>
      <c r="E569" s="44"/>
      <c r="F569" s="44"/>
      <c r="G569" s="44"/>
      <c r="H569" s="44"/>
      <c r="I569" s="44"/>
      <c r="J569" s="44"/>
      <c r="K569" s="44"/>
      <c r="L569" s="44"/>
      <c r="M569" s="44"/>
      <c r="N569" s="44"/>
      <c r="O569" s="44"/>
      <c r="P569" s="44"/>
      <c r="Q569" s="44"/>
      <c r="R569" s="44"/>
      <c r="S569" s="44"/>
      <c r="T569" s="44"/>
      <c r="U569" s="44"/>
      <c r="V569" s="44"/>
      <c r="W569" s="44"/>
      <c r="X569" s="44"/>
      <c r="Y569" s="44"/>
      <c r="Z569" s="44"/>
      <c r="AA569" s="44"/>
      <c r="AB569" s="44"/>
      <c r="AC569" s="44"/>
      <c r="AD569" s="44"/>
      <c r="AE569" s="44"/>
      <c r="AF569" s="44"/>
      <c r="AG569" s="44"/>
      <c r="AH569" s="44"/>
      <c r="AI569" s="44"/>
      <c r="AJ569" s="44"/>
      <c r="AK569" s="44"/>
      <c r="AL569" s="44"/>
      <c r="AM569" s="44"/>
      <c r="AN569" s="44"/>
      <c r="AO569" s="44"/>
      <c r="AP569" s="44"/>
      <c r="AQ569" s="44"/>
      <c r="AR569" s="44"/>
      <c r="AS569" s="44"/>
      <c r="AT569" s="44"/>
      <c r="AU569" s="44"/>
      <c r="AV569" s="44"/>
      <c r="AW569" s="44"/>
      <c r="AX569" s="44"/>
    </row>
    <row r="570" spans="1:50" x14ac:dyDescent="0.25">
      <c r="A570" s="44"/>
      <c r="B570" s="44"/>
      <c r="C570" s="44"/>
      <c r="D570" s="44"/>
      <c r="E570" s="44"/>
      <c r="F570" s="44"/>
      <c r="G570" s="44"/>
      <c r="H570" s="44"/>
      <c r="I570" s="44"/>
      <c r="J570" s="44"/>
      <c r="K570" s="44"/>
      <c r="L570" s="44"/>
      <c r="M570" s="44"/>
      <c r="N570" s="44"/>
      <c r="O570" s="44"/>
      <c r="P570" s="44"/>
      <c r="Q570" s="44"/>
      <c r="R570" s="44"/>
      <c r="S570" s="44"/>
      <c r="T570" s="44"/>
      <c r="U570" s="44"/>
      <c r="V570" s="44"/>
      <c r="W570" s="44"/>
      <c r="X570" s="44"/>
      <c r="Y570" s="44"/>
      <c r="Z570" s="44"/>
      <c r="AA570" s="44"/>
      <c r="AB570" s="44"/>
      <c r="AC570" s="44"/>
      <c r="AD570" s="44"/>
      <c r="AE570" s="44"/>
      <c r="AF570" s="44"/>
      <c r="AG570" s="44"/>
      <c r="AH570" s="44"/>
      <c r="AI570" s="44"/>
      <c r="AJ570" s="44"/>
      <c r="AK570" s="44"/>
      <c r="AL570" s="44"/>
      <c r="AM570" s="44"/>
      <c r="AN570" s="44"/>
      <c r="AO570" s="44"/>
      <c r="AP570" s="44"/>
      <c r="AQ570" s="44"/>
      <c r="AR570" s="44"/>
      <c r="AS570" s="44"/>
      <c r="AT570" s="44"/>
      <c r="AU570" s="44"/>
      <c r="AV570" s="44"/>
      <c r="AW570" s="44"/>
      <c r="AX570" s="44"/>
    </row>
    <row r="571" spans="1:50" x14ac:dyDescent="0.25">
      <c r="A571" s="44"/>
      <c r="B571" s="44"/>
      <c r="C571" s="44"/>
      <c r="D571" s="44"/>
      <c r="E571" s="44"/>
      <c r="F571" s="44"/>
      <c r="G571" s="44"/>
      <c r="H571" s="44"/>
      <c r="I571" s="44"/>
      <c r="J571" s="44"/>
      <c r="K571" s="44"/>
      <c r="L571" s="44"/>
      <c r="M571" s="44"/>
      <c r="N571" s="44"/>
      <c r="O571" s="44"/>
      <c r="P571" s="44"/>
      <c r="Q571" s="44"/>
      <c r="R571" s="44"/>
      <c r="S571" s="44"/>
      <c r="T571" s="44"/>
      <c r="U571" s="44"/>
      <c r="V571" s="44"/>
      <c r="W571" s="44"/>
      <c r="X571" s="44"/>
      <c r="Y571" s="44"/>
      <c r="Z571" s="44"/>
      <c r="AA571" s="44"/>
      <c r="AB571" s="44"/>
      <c r="AC571" s="44"/>
      <c r="AD571" s="44"/>
      <c r="AE571" s="44"/>
      <c r="AF571" s="44"/>
      <c r="AG571" s="44"/>
      <c r="AH571" s="44"/>
      <c r="AI571" s="44"/>
      <c r="AJ571" s="44"/>
      <c r="AK571" s="44"/>
      <c r="AL571" s="44"/>
      <c r="AM571" s="44"/>
      <c r="AN571" s="44"/>
      <c r="AO571" s="44"/>
      <c r="AP571" s="44"/>
      <c r="AQ571" s="44"/>
      <c r="AR571" s="44"/>
      <c r="AS571" s="44"/>
      <c r="AT571" s="44"/>
      <c r="AU571" s="44"/>
      <c r="AV571" s="44"/>
      <c r="AW571" s="44"/>
      <c r="AX571" s="44"/>
    </row>
    <row r="572" spans="1:50" x14ac:dyDescent="0.25">
      <c r="A572" s="44"/>
      <c r="B572" s="44"/>
      <c r="C572" s="44"/>
      <c r="D572" s="44"/>
      <c r="E572" s="44"/>
      <c r="F572" s="44"/>
      <c r="G572" s="44"/>
      <c r="H572" s="44"/>
      <c r="I572" s="44"/>
      <c r="J572" s="44"/>
      <c r="K572" s="44"/>
      <c r="L572" s="44"/>
      <c r="M572" s="44"/>
      <c r="N572" s="44"/>
      <c r="O572" s="44"/>
      <c r="P572" s="44"/>
      <c r="Q572" s="44"/>
      <c r="R572" s="44"/>
      <c r="S572" s="44"/>
      <c r="T572" s="44"/>
      <c r="U572" s="44"/>
      <c r="V572" s="44"/>
      <c r="W572" s="44"/>
      <c r="X572" s="44"/>
      <c r="Y572" s="44"/>
      <c r="Z572" s="44"/>
      <c r="AA572" s="44"/>
      <c r="AB572" s="44"/>
      <c r="AC572" s="44"/>
      <c r="AD572" s="44"/>
      <c r="AE572" s="44"/>
      <c r="AF572" s="44"/>
      <c r="AG572" s="44"/>
      <c r="AH572" s="44"/>
      <c r="AI572" s="44"/>
      <c r="AJ572" s="44"/>
      <c r="AK572" s="44"/>
      <c r="AL572" s="44"/>
      <c r="AM572" s="44"/>
      <c r="AN572" s="44"/>
      <c r="AO572" s="44"/>
      <c r="AP572" s="44"/>
      <c r="AQ572" s="44"/>
      <c r="AR572" s="44"/>
      <c r="AS572" s="44"/>
      <c r="AT572" s="44"/>
      <c r="AU572" s="44"/>
      <c r="AV572" s="44"/>
      <c r="AW572" s="44"/>
      <c r="AX572" s="44"/>
    </row>
    <row r="573" spans="1:50" x14ac:dyDescent="0.25">
      <c r="A573" s="44"/>
      <c r="B573" s="44"/>
      <c r="C573" s="44"/>
      <c r="D573" s="44"/>
      <c r="E573" s="44"/>
      <c r="F573" s="44"/>
      <c r="G573" s="44"/>
      <c r="H573" s="44"/>
      <c r="I573" s="44"/>
      <c r="J573" s="44"/>
      <c r="K573" s="44"/>
      <c r="L573" s="44"/>
      <c r="M573" s="44"/>
      <c r="N573" s="44"/>
      <c r="O573" s="44"/>
      <c r="P573" s="44"/>
      <c r="Q573" s="44"/>
      <c r="R573" s="44"/>
      <c r="S573" s="44"/>
      <c r="T573" s="44"/>
      <c r="U573" s="44"/>
      <c r="V573" s="44"/>
      <c r="W573" s="44"/>
      <c r="X573" s="44"/>
      <c r="Y573" s="44"/>
      <c r="Z573" s="44"/>
      <c r="AA573" s="44"/>
      <c r="AB573" s="44"/>
      <c r="AC573" s="44"/>
      <c r="AD573" s="44"/>
      <c r="AE573" s="44"/>
      <c r="AF573" s="44"/>
      <c r="AG573" s="44"/>
      <c r="AH573" s="44"/>
      <c r="AI573" s="44"/>
      <c r="AJ573" s="44"/>
      <c r="AK573" s="44"/>
      <c r="AL573" s="44"/>
      <c r="AM573" s="44"/>
      <c r="AN573" s="44"/>
      <c r="AO573" s="44"/>
      <c r="AP573" s="44"/>
      <c r="AQ573" s="44"/>
      <c r="AR573" s="44"/>
      <c r="AS573" s="44"/>
      <c r="AT573" s="44"/>
      <c r="AU573" s="44"/>
      <c r="AV573" s="44"/>
      <c r="AW573" s="44"/>
      <c r="AX573" s="44"/>
    </row>
    <row r="574" spans="1:50" x14ac:dyDescent="0.25">
      <c r="A574" s="44"/>
      <c r="B574" s="44"/>
      <c r="C574" s="44"/>
      <c r="D574" s="44"/>
      <c r="E574" s="44"/>
      <c r="F574" s="44"/>
      <c r="G574" s="44"/>
      <c r="H574" s="44"/>
      <c r="I574" s="44"/>
      <c r="J574" s="44"/>
      <c r="K574" s="44"/>
      <c r="L574" s="44"/>
      <c r="M574" s="44"/>
      <c r="N574" s="44"/>
      <c r="O574" s="44"/>
      <c r="P574" s="44"/>
      <c r="Q574" s="44"/>
      <c r="R574" s="44"/>
      <c r="S574" s="44"/>
      <c r="T574" s="44"/>
      <c r="U574" s="44"/>
      <c r="V574" s="44"/>
      <c r="W574" s="44"/>
      <c r="X574" s="44"/>
      <c r="Y574" s="44"/>
      <c r="Z574" s="44"/>
      <c r="AA574" s="44"/>
      <c r="AB574" s="44"/>
      <c r="AC574" s="44"/>
      <c r="AD574" s="44"/>
      <c r="AE574" s="44"/>
      <c r="AF574" s="44"/>
      <c r="AG574" s="44"/>
      <c r="AH574" s="44"/>
      <c r="AI574" s="44"/>
      <c r="AJ574" s="44"/>
      <c r="AK574" s="44"/>
      <c r="AL574" s="44"/>
      <c r="AM574" s="44"/>
      <c r="AN574" s="44"/>
      <c r="AO574" s="44"/>
      <c r="AP574" s="44"/>
      <c r="AQ574" s="44"/>
      <c r="AR574" s="44"/>
      <c r="AS574" s="44"/>
      <c r="AT574" s="44"/>
      <c r="AU574" s="44"/>
      <c r="AV574" s="44"/>
      <c r="AW574" s="44"/>
      <c r="AX574" s="44"/>
    </row>
    <row r="575" spans="1:50" x14ac:dyDescent="0.25">
      <c r="A575" s="44"/>
      <c r="B575" s="44"/>
      <c r="C575" s="44"/>
      <c r="D575" s="44"/>
      <c r="E575" s="44"/>
      <c r="F575" s="44"/>
      <c r="G575" s="44"/>
      <c r="H575" s="44"/>
      <c r="I575" s="44"/>
      <c r="J575" s="44"/>
      <c r="K575" s="44"/>
      <c r="L575" s="44"/>
      <c r="M575" s="44"/>
      <c r="N575" s="44"/>
      <c r="O575" s="44"/>
      <c r="P575" s="44"/>
      <c r="Q575" s="44"/>
      <c r="R575" s="44"/>
      <c r="S575" s="44"/>
      <c r="T575" s="44"/>
      <c r="U575" s="44"/>
      <c r="V575" s="44"/>
      <c r="W575" s="44"/>
      <c r="X575" s="44"/>
      <c r="Y575" s="44"/>
      <c r="Z575" s="44"/>
      <c r="AA575" s="44"/>
      <c r="AB575" s="44"/>
      <c r="AC575" s="44"/>
      <c r="AD575" s="44"/>
      <c r="AE575" s="44"/>
      <c r="AF575" s="44"/>
      <c r="AG575" s="44"/>
      <c r="AH575" s="44"/>
      <c r="AI575" s="44"/>
      <c r="AJ575" s="44"/>
      <c r="AK575" s="44"/>
      <c r="AL575" s="44"/>
      <c r="AM575" s="44"/>
      <c r="AN575" s="44"/>
      <c r="AO575" s="44"/>
      <c r="AP575" s="44"/>
      <c r="AQ575" s="44"/>
      <c r="AR575" s="44"/>
      <c r="AS575" s="44"/>
      <c r="AT575" s="44"/>
      <c r="AU575" s="44"/>
      <c r="AV575" s="44"/>
      <c r="AW575" s="44"/>
      <c r="AX575" s="44"/>
    </row>
    <row r="576" spans="1:50" x14ac:dyDescent="0.25">
      <c r="A576" s="44"/>
      <c r="B576" s="44"/>
      <c r="C576" s="44"/>
      <c r="D576" s="44"/>
      <c r="E576" s="44"/>
      <c r="F576" s="44"/>
      <c r="G576" s="44"/>
      <c r="H576" s="44"/>
      <c r="I576" s="44"/>
      <c r="J576" s="44"/>
      <c r="K576" s="44"/>
      <c r="L576" s="44"/>
      <c r="M576" s="44"/>
      <c r="N576" s="44"/>
      <c r="O576" s="44"/>
      <c r="P576" s="44"/>
      <c r="Q576" s="44"/>
      <c r="R576" s="44"/>
      <c r="S576" s="44"/>
      <c r="T576" s="44"/>
      <c r="U576" s="44"/>
      <c r="V576" s="44"/>
      <c r="W576" s="44"/>
      <c r="X576" s="44"/>
      <c r="Y576" s="44"/>
      <c r="Z576" s="44"/>
      <c r="AA576" s="44"/>
      <c r="AB576" s="44"/>
      <c r="AC576" s="44"/>
      <c r="AD576" s="44"/>
      <c r="AE576" s="44"/>
      <c r="AF576" s="44"/>
      <c r="AG576" s="44"/>
      <c r="AH576" s="44"/>
      <c r="AI576" s="44"/>
      <c r="AJ576" s="44"/>
      <c r="AK576" s="44"/>
      <c r="AL576" s="44"/>
      <c r="AM576" s="44"/>
      <c r="AN576" s="44"/>
      <c r="AO576" s="44"/>
      <c r="AP576" s="44"/>
      <c r="AQ576" s="44"/>
      <c r="AR576" s="44"/>
      <c r="AS576" s="44"/>
      <c r="AT576" s="44"/>
      <c r="AU576" s="44"/>
      <c r="AV576" s="44"/>
      <c r="AW576" s="44"/>
      <c r="AX576" s="44"/>
    </row>
    <row r="577" spans="1:50" x14ac:dyDescent="0.25">
      <c r="A577" s="44"/>
      <c r="B577" s="44"/>
      <c r="C577" s="44"/>
      <c r="D577" s="44"/>
      <c r="E577" s="44"/>
      <c r="F577" s="44"/>
      <c r="G577" s="44"/>
      <c r="H577" s="44"/>
      <c r="I577" s="44"/>
      <c r="J577" s="44"/>
      <c r="K577" s="44"/>
      <c r="L577" s="44"/>
      <c r="M577" s="44"/>
      <c r="N577" s="44"/>
      <c r="O577" s="44"/>
      <c r="P577" s="44"/>
      <c r="Q577" s="44"/>
      <c r="R577" s="44"/>
      <c r="S577" s="44"/>
      <c r="T577" s="44"/>
      <c r="U577" s="44"/>
      <c r="V577" s="44"/>
      <c r="W577" s="44"/>
      <c r="X577" s="44"/>
      <c r="Y577" s="44"/>
      <c r="Z577" s="44"/>
      <c r="AA577" s="44"/>
      <c r="AB577" s="44"/>
      <c r="AC577" s="44"/>
      <c r="AD577" s="44"/>
      <c r="AE577" s="44"/>
      <c r="AF577" s="44"/>
      <c r="AG577" s="44"/>
      <c r="AH577" s="44"/>
      <c r="AI577" s="44"/>
      <c r="AJ577" s="44"/>
      <c r="AK577" s="44"/>
      <c r="AL577" s="44"/>
      <c r="AM577" s="44"/>
      <c r="AN577" s="44"/>
      <c r="AO577" s="44"/>
      <c r="AP577" s="44"/>
      <c r="AQ577" s="44"/>
      <c r="AR577" s="44"/>
      <c r="AS577" s="44"/>
      <c r="AT577" s="44"/>
      <c r="AU577" s="44"/>
      <c r="AV577" s="44"/>
      <c r="AW577" s="44"/>
      <c r="AX577" s="44"/>
    </row>
    <row r="578" spans="1:50" x14ac:dyDescent="0.25">
      <c r="A578" s="44"/>
      <c r="B578" s="44"/>
      <c r="C578" s="44"/>
      <c r="D578" s="44"/>
      <c r="E578" s="44"/>
      <c r="F578" s="44"/>
      <c r="G578" s="44"/>
      <c r="H578" s="44"/>
      <c r="I578" s="44"/>
      <c r="J578" s="44"/>
      <c r="K578" s="44"/>
      <c r="L578" s="44"/>
      <c r="M578" s="44"/>
      <c r="N578" s="44"/>
      <c r="O578" s="44"/>
      <c r="P578" s="44"/>
      <c r="Q578" s="44"/>
      <c r="R578" s="44"/>
      <c r="S578" s="44"/>
      <c r="T578" s="44"/>
      <c r="U578" s="44"/>
      <c r="V578" s="44"/>
      <c r="W578" s="44"/>
      <c r="X578" s="44"/>
      <c r="Y578" s="44"/>
      <c r="Z578" s="44"/>
      <c r="AA578" s="44"/>
      <c r="AB578" s="44"/>
      <c r="AC578" s="44"/>
      <c r="AD578" s="44"/>
      <c r="AE578" s="44"/>
      <c r="AF578" s="44"/>
      <c r="AG578" s="44"/>
      <c r="AH578" s="44"/>
      <c r="AI578" s="44"/>
      <c r="AJ578" s="44"/>
      <c r="AK578" s="44"/>
      <c r="AL578" s="44"/>
      <c r="AM578" s="44"/>
      <c r="AN578" s="44"/>
      <c r="AO578" s="44"/>
      <c r="AP578" s="44"/>
      <c r="AQ578" s="44"/>
      <c r="AR578" s="44"/>
      <c r="AS578" s="44"/>
      <c r="AT578" s="44"/>
      <c r="AU578" s="44"/>
      <c r="AV578" s="44"/>
      <c r="AW578" s="44"/>
      <c r="AX578" s="44"/>
    </row>
    <row r="579" spans="1:50" x14ac:dyDescent="0.25">
      <c r="A579" s="44"/>
      <c r="B579" s="44"/>
      <c r="C579" s="44"/>
      <c r="D579" s="44"/>
      <c r="E579" s="44"/>
      <c r="F579" s="44"/>
      <c r="G579" s="44"/>
      <c r="H579" s="44"/>
      <c r="I579" s="44"/>
      <c r="J579" s="44"/>
      <c r="K579" s="44"/>
      <c r="L579" s="44"/>
      <c r="M579" s="44"/>
      <c r="N579" s="44"/>
      <c r="O579" s="44"/>
      <c r="P579" s="44"/>
      <c r="Q579" s="44"/>
      <c r="R579" s="44"/>
      <c r="S579" s="44"/>
      <c r="T579" s="44"/>
      <c r="U579" s="44"/>
      <c r="V579" s="44"/>
      <c r="W579" s="44"/>
      <c r="X579" s="44"/>
      <c r="Y579" s="44"/>
      <c r="Z579" s="44"/>
      <c r="AA579" s="44"/>
      <c r="AB579" s="44"/>
      <c r="AC579" s="44"/>
      <c r="AD579" s="44"/>
      <c r="AE579" s="44"/>
      <c r="AF579" s="44"/>
      <c r="AG579" s="44"/>
      <c r="AH579" s="44"/>
      <c r="AI579" s="44"/>
      <c r="AJ579" s="44"/>
      <c r="AK579" s="44"/>
      <c r="AL579" s="44"/>
      <c r="AM579" s="44"/>
      <c r="AN579" s="44"/>
      <c r="AO579" s="44"/>
      <c r="AP579" s="44"/>
      <c r="AQ579" s="44"/>
      <c r="AR579" s="44"/>
      <c r="AS579" s="44"/>
      <c r="AT579" s="44"/>
      <c r="AU579" s="44"/>
      <c r="AV579" s="44"/>
      <c r="AW579" s="44"/>
      <c r="AX579" s="44"/>
    </row>
    <row r="580" spans="1:50" x14ac:dyDescent="0.25">
      <c r="A580" s="44"/>
      <c r="B580" s="44"/>
      <c r="C580" s="44"/>
      <c r="D580" s="44"/>
      <c r="E580" s="44"/>
      <c r="F580" s="44"/>
      <c r="G580" s="44"/>
      <c r="H580" s="44"/>
      <c r="I580" s="44"/>
      <c r="J580" s="44"/>
      <c r="K580" s="44"/>
      <c r="L580" s="44"/>
      <c r="M580" s="44"/>
      <c r="N580" s="44"/>
      <c r="O580" s="44"/>
      <c r="P580" s="44"/>
      <c r="Q580" s="44"/>
      <c r="R580" s="44"/>
      <c r="S580" s="44"/>
      <c r="T580" s="44"/>
      <c r="U580" s="44"/>
      <c r="V580" s="44"/>
      <c r="W580" s="44"/>
      <c r="X580" s="44"/>
      <c r="Y580" s="44"/>
      <c r="Z580" s="44"/>
      <c r="AA580" s="44"/>
      <c r="AB580" s="44"/>
      <c r="AC580" s="44"/>
      <c r="AD580" s="44"/>
      <c r="AE580" s="44"/>
      <c r="AF580" s="44"/>
      <c r="AG580" s="44"/>
      <c r="AH580" s="44"/>
      <c r="AI580" s="44"/>
      <c r="AJ580" s="44"/>
      <c r="AK580" s="44"/>
      <c r="AL580" s="44"/>
      <c r="AM580" s="44"/>
      <c r="AN580" s="44"/>
      <c r="AO580" s="44"/>
      <c r="AP580" s="44"/>
      <c r="AQ580" s="44"/>
      <c r="AR580" s="44"/>
      <c r="AS580" s="44"/>
      <c r="AT580" s="44"/>
      <c r="AU580" s="44"/>
      <c r="AV580" s="44"/>
      <c r="AW580" s="44"/>
      <c r="AX580" s="44"/>
    </row>
    <row r="581" spans="1:50" x14ac:dyDescent="0.25">
      <c r="A581" s="44"/>
      <c r="B581" s="44"/>
      <c r="C581" s="44"/>
      <c r="D581" s="44"/>
      <c r="E581" s="44"/>
      <c r="F581" s="44"/>
      <c r="G581" s="44"/>
      <c r="H581" s="44"/>
      <c r="I581" s="44"/>
      <c r="J581" s="44"/>
      <c r="K581" s="44"/>
      <c r="L581" s="44"/>
      <c r="M581" s="44"/>
      <c r="N581" s="44"/>
      <c r="O581" s="44"/>
      <c r="P581" s="44"/>
      <c r="Q581" s="44"/>
      <c r="R581" s="44"/>
      <c r="S581" s="44"/>
      <c r="T581" s="44"/>
      <c r="U581" s="44"/>
      <c r="V581" s="44"/>
      <c r="W581" s="44"/>
      <c r="X581" s="44"/>
      <c r="Y581" s="44"/>
      <c r="Z581" s="44"/>
      <c r="AA581" s="44"/>
      <c r="AB581" s="44"/>
      <c r="AC581" s="44"/>
      <c r="AD581" s="44"/>
      <c r="AE581" s="44"/>
      <c r="AF581" s="44"/>
      <c r="AG581" s="44"/>
      <c r="AH581" s="44"/>
      <c r="AI581" s="44"/>
      <c r="AJ581" s="44"/>
      <c r="AK581" s="44"/>
      <c r="AL581" s="44"/>
      <c r="AM581" s="44"/>
      <c r="AN581" s="44"/>
      <c r="AO581" s="44"/>
      <c r="AP581" s="44"/>
      <c r="AQ581" s="44"/>
      <c r="AR581" s="44"/>
      <c r="AS581" s="44"/>
      <c r="AT581" s="44"/>
      <c r="AU581" s="44"/>
      <c r="AV581" s="44"/>
      <c r="AW581" s="44"/>
      <c r="AX581" s="44"/>
    </row>
    <row r="582" spans="1:50" x14ac:dyDescent="0.25">
      <c r="A582" s="44"/>
      <c r="B582" s="44"/>
      <c r="C582" s="44"/>
      <c r="D582" s="44"/>
      <c r="E582" s="44"/>
      <c r="F582" s="44"/>
      <c r="G582" s="44"/>
      <c r="H582" s="44"/>
      <c r="I582" s="44"/>
      <c r="J582" s="44"/>
      <c r="K582" s="44"/>
      <c r="L582" s="44"/>
      <c r="M582" s="44"/>
      <c r="N582" s="44"/>
      <c r="O582" s="44"/>
      <c r="P582" s="44"/>
      <c r="Q582" s="44"/>
      <c r="R582" s="44"/>
      <c r="S582" s="44"/>
      <c r="T582" s="44"/>
      <c r="U582" s="44"/>
      <c r="V582" s="44"/>
      <c r="W582" s="44"/>
      <c r="X582" s="44"/>
      <c r="Y582" s="44"/>
      <c r="Z582" s="44"/>
      <c r="AA582" s="44"/>
      <c r="AB582" s="44"/>
      <c r="AC582" s="44"/>
      <c r="AD582" s="44"/>
      <c r="AE582" s="44"/>
      <c r="AF582" s="44"/>
      <c r="AG582" s="44"/>
      <c r="AH582" s="44"/>
      <c r="AI582" s="44"/>
      <c r="AJ582" s="44"/>
      <c r="AK582" s="44"/>
      <c r="AL582" s="44"/>
      <c r="AM582" s="44"/>
      <c r="AN582" s="44"/>
      <c r="AO582" s="44"/>
      <c r="AP582" s="44"/>
      <c r="AQ582" s="44"/>
      <c r="AR582" s="44"/>
      <c r="AS582" s="44"/>
      <c r="AT582" s="44"/>
      <c r="AU582" s="44"/>
      <c r="AV582" s="44"/>
      <c r="AW582" s="44"/>
      <c r="AX582" s="44"/>
    </row>
    <row r="583" spans="1:50" x14ac:dyDescent="0.25">
      <c r="A583" s="44"/>
      <c r="B583" s="44"/>
      <c r="C583" s="44"/>
      <c r="D583" s="44"/>
      <c r="E583" s="44"/>
      <c r="F583" s="44"/>
      <c r="G583" s="44"/>
      <c r="H583" s="44"/>
      <c r="I583" s="44"/>
      <c r="J583" s="44"/>
      <c r="K583" s="44"/>
      <c r="L583" s="44"/>
      <c r="M583" s="44"/>
      <c r="N583" s="44"/>
      <c r="O583" s="44"/>
      <c r="P583" s="44"/>
      <c r="Q583" s="44"/>
      <c r="R583" s="44"/>
      <c r="S583" s="44"/>
      <c r="T583" s="44"/>
      <c r="U583" s="44"/>
      <c r="V583" s="44"/>
      <c r="W583" s="44"/>
      <c r="X583" s="44"/>
      <c r="Y583" s="44"/>
      <c r="Z583" s="44"/>
      <c r="AA583" s="44"/>
      <c r="AB583" s="44"/>
      <c r="AC583" s="44"/>
      <c r="AD583" s="44"/>
      <c r="AE583" s="44"/>
      <c r="AF583" s="44"/>
      <c r="AG583" s="44"/>
      <c r="AH583" s="44"/>
      <c r="AI583" s="44"/>
      <c r="AJ583" s="44"/>
      <c r="AK583" s="44"/>
      <c r="AL583" s="44"/>
      <c r="AM583" s="44"/>
      <c r="AN583" s="44"/>
      <c r="AO583" s="44"/>
      <c r="AP583" s="44"/>
      <c r="AQ583" s="44"/>
      <c r="AR583" s="44"/>
      <c r="AS583" s="44"/>
      <c r="AT583" s="44"/>
      <c r="AU583" s="44"/>
      <c r="AV583" s="44"/>
      <c r="AW583" s="44"/>
      <c r="AX583" s="44"/>
    </row>
    <row r="584" spans="1:50" x14ac:dyDescent="0.25">
      <c r="A584" s="44"/>
      <c r="B584" s="44"/>
      <c r="C584" s="44"/>
      <c r="D584" s="44"/>
      <c r="E584" s="44"/>
      <c r="F584" s="44"/>
      <c r="G584" s="44"/>
      <c r="H584" s="44"/>
      <c r="I584" s="44"/>
      <c r="J584" s="44"/>
      <c r="K584" s="44"/>
      <c r="L584" s="44"/>
      <c r="M584" s="44"/>
      <c r="N584" s="44"/>
      <c r="O584" s="44"/>
      <c r="P584" s="44"/>
      <c r="Q584" s="44"/>
      <c r="R584" s="44"/>
      <c r="S584" s="44"/>
      <c r="T584" s="44"/>
      <c r="U584" s="44"/>
      <c r="V584" s="44"/>
      <c r="W584" s="44"/>
      <c r="X584" s="44"/>
      <c r="Y584" s="44"/>
      <c r="Z584" s="44"/>
      <c r="AA584" s="44"/>
      <c r="AB584" s="44"/>
      <c r="AC584" s="44"/>
      <c r="AD584" s="44"/>
      <c r="AE584" s="44"/>
      <c r="AF584" s="44"/>
      <c r="AG584" s="44"/>
      <c r="AH584" s="44"/>
      <c r="AI584" s="44"/>
      <c r="AJ584" s="44"/>
      <c r="AK584" s="44"/>
      <c r="AL584" s="44"/>
      <c r="AM584" s="44"/>
      <c r="AN584" s="44"/>
      <c r="AO584" s="44"/>
      <c r="AP584" s="44"/>
      <c r="AQ584" s="44"/>
      <c r="AR584" s="44"/>
      <c r="AS584" s="44"/>
      <c r="AT584" s="44"/>
      <c r="AU584" s="44"/>
      <c r="AV584" s="44"/>
      <c r="AW584" s="44"/>
      <c r="AX584" s="44"/>
    </row>
    <row r="585" spans="1:50" x14ac:dyDescent="0.25">
      <c r="A585" s="44"/>
      <c r="B585" s="44"/>
      <c r="C585" s="44"/>
      <c r="D585" s="44"/>
      <c r="E585" s="44"/>
      <c r="F585" s="44"/>
      <c r="G585" s="44"/>
      <c r="H585" s="44"/>
      <c r="I585" s="44"/>
      <c r="J585" s="44"/>
      <c r="K585" s="44"/>
      <c r="L585" s="44"/>
      <c r="M585" s="44"/>
      <c r="N585" s="44"/>
      <c r="O585" s="44"/>
      <c r="P585" s="44"/>
      <c r="Q585" s="44"/>
      <c r="R585" s="44"/>
      <c r="S585" s="44"/>
      <c r="T585" s="44"/>
      <c r="U585" s="44"/>
      <c r="V585" s="44"/>
      <c r="W585" s="44"/>
      <c r="X585" s="44"/>
      <c r="Y585" s="44"/>
      <c r="Z585" s="44"/>
      <c r="AA585" s="44"/>
      <c r="AB585" s="44"/>
      <c r="AC585" s="44"/>
      <c r="AD585" s="44"/>
      <c r="AE585" s="44"/>
      <c r="AF585" s="44"/>
      <c r="AG585" s="44"/>
      <c r="AH585" s="44"/>
      <c r="AI585" s="44"/>
      <c r="AJ585" s="44"/>
      <c r="AK585" s="44"/>
      <c r="AL585" s="44"/>
      <c r="AM585" s="44"/>
      <c r="AN585" s="44"/>
      <c r="AO585" s="44"/>
      <c r="AP585" s="44"/>
      <c r="AQ585" s="44"/>
      <c r="AR585" s="44"/>
      <c r="AS585" s="44"/>
      <c r="AT585" s="44"/>
      <c r="AU585" s="44"/>
      <c r="AV585" s="44"/>
      <c r="AW585" s="44"/>
      <c r="AX585" s="44"/>
    </row>
    <row r="586" spans="1:50" x14ac:dyDescent="0.25">
      <c r="A586" s="44"/>
      <c r="B586" s="44"/>
      <c r="C586" s="44"/>
      <c r="D586" s="44"/>
      <c r="E586" s="44"/>
      <c r="F586" s="44"/>
      <c r="G586" s="44"/>
      <c r="H586" s="44"/>
      <c r="I586" s="44"/>
      <c r="J586" s="44"/>
      <c r="K586" s="44"/>
      <c r="L586" s="44"/>
      <c r="M586" s="44"/>
      <c r="N586" s="44"/>
      <c r="O586" s="44"/>
      <c r="P586" s="44"/>
      <c r="Q586" s="44"/>
      <c r="R586" s="44"/>
      <c r="S586" s="44"/>
      <c r="T586" s="44"/>
      <c r="U586" s="44"/>
      <c r="V586" s="44"/>
      <c r="W586" s="44"/>
      <c r="X586" s="44"/>
      <c r="Y586" s="44"/>
      <c r="Z586" s="44"/>
      <c r="AA586" s="44"/>
      <c r="AB586" s="44"/>
      <c r="AC586" s="44"/>
      <c r="AD586" s="44"/>
      <c r="AE586" s="44"/>
      <c r="AF586" s="44"/>
      <c r="AG586" s="44"/>
      <c r="AH586" s="44"/>
      <c r="AI586" s="44"/>
      <c r="AJ586" s="44"/>
      <c r="AK586" s="44"/>
      <c r="AL586" s="44"/>
      <c r="AM586" s="44"/>
      <c r="AN586" s="44"/>
      <c r="AO586" s="44"/>
      <c r="AP586" s="44"/>
      <c r="AQ586" s="44"/>
      <c r="AR586" s="44"/>
      <c r="AS586" s="44"/>
      <c r="AT586" s="44"/>
      <c r="AU586" s="44"/>
      <c r="AV586" s="44"/>
      <c r="AW586" s="44"/>
      <c r="AX586" s="44"/>
    </row>
    <row r="587" spans="1:50" x14ac:dyDescent="0.25">
      <c r="A587" s="44"/>
      <c r="B587" s="44"/>
      <c r="C587" s="44"/>
      <c r="D587" s="44"/>
      <c r="E587" s="44"/>
      <c r="F587" s="44"/>
      <c r="G587" s="44"/>
      <c r="H587" s="44"/>
      <c r="I587" s="44"/>
      <c r="J587" s="44"/>
      <c r="K587" s="44"/>
      <c r="L587" s="44"/>
      <c r="M587" s="44"/>
      <c r="N587" s="44"/>
      <c r="O587" s="44"/>
      <c r="P587" s="44"/>
      <c r="Q587" s="44"/>
      <c r="R587" s="44"/>
      <c r="S587" s="44"/>
      <c r="T587" s="44"/>
      <c r="U587" s="44"/>
      <c r="V587" s="44"/>
      <c r="W587" s="44"/>
      <c r="X587" s="44"/>
      <c r="Y587" s="44"/>
      <c r="Z587" s="44"/>
      <c r="AA587" s="44"/>
      <c r="AB587" s="44"/>
      <c r="AC587" s="44"/>
      <c r="AD587" s="44"/>
      <c r="AE587" s="44"/>
      <c r="AF587" s="44"/>
      <c r="AG587" s="44"/>
      <c r="AH587" s="44"/>
      <c r="AI587" s="44"/>
      <c r="AJ587" s="44"/>
      <c r="AK587" s="44"/>
      <c r="AL587" s="44"/>
      <c r="AM587" s="44"/>
      <c r="AN587" s="44"/>
      <c r="AO587" s="44"/>
      <c r="AP587" s="44"/>
      <c r="AQ587" s="44"/>
      <c r="AR587" s="44"/>
      <c r="AS587" s="44"/>
      <c r="AT587" s="44"/>
      <c r="AU587" s="44"/>
      <c r="AV587" s="44"/>
      <c r="AW587" s="44"/>
      <c r="AX587" s="44"/>
    </row>
    <row r="588" spans="1:50" x14ac:dyDescent="0.25">
      <c r="A588" s="44"/>
      <c r="B588" s="44"/>
      <c r="C588" s="44"/>
      <c r="D588" s="44"/>
      <c r="E588" s="44"/>
      <c r="F588" s="44"/>
      <c r="G588" s="44"/>
      <c r="H588" s="44"/>
      <c r="I588" s="44"/>
      <c r="J588" s="44"/>
      <c r="K588" s="44"/>
      <c r="L588" s="44"/>
      <c r="M588" s="44"/>
      <c r="N588" s="44"/>
      <c r="O588" s="44"/>
      <c r="P588" s="44"/>
      <c r="Q588" s="44"/>
      <c r="R588" s="44"/>
      <c r="S588" s="44"/>
      <c r="T588" s="44"/>
      <c r="U588" s="44"/>
      <c r="V588" s="44"/>
      <c r="W588" s="44"/>
      <c r="X588" s="44"/>
      <c r="Y588" s="44"/>
      <c r="Z588" s="44"/>
      <c r="AA588" s="44"/>
      <c r="AB588" s="44"/>
      <c r="AC588" s="44"/>
      <c r="AD588" s="44"/>
      <c r="AE588" s="44"/>
      <c r="AF588" s="44"/>
      <c r="AG588" s="44"/>
      <c r="AH588" s="44"/>
      <c r="AI588" s="44"/>
      <c r="AJ588" s="44"/>
      <c r="AK588" s="44"/>
      <c r="AL588" s="44"/>
      <c r="AM588" s="44"/>
      <c r="AN588" s="44"/>
      <c r="AO588" s="44"/>
      <c r="AP588" s="44"/>
      <c r="AQ588" s="44"/>
      <c r="AR588" s="44"/>
      <c r="AS588" s="44"/>
      <c r="AT588" s="44"/>
      <c r="AU588" s="44"/>
      <c r="AV588" s="44"/>
      <c r="AW588" s="44"/>
      <c r="AX588" s="44"/>
    </row>
    <row r="589" spans="1:50" x14ac:dyDescent="0.25">
      <c r="A589" s="44"/>
      <c r="B589" s="44"/>
      <c r="C589" s="44"/>
      <c r="D589" s="44"/>
      <c r="E589" s="44"/>
      <c r="F589" s="44"/>
      <c r="G589" s="44"/>
      <c r="H589" s="44"/>
      <c r="I589" s="44"/>
      <c r="J589" s="44"/>
      <c r="K589" s="44"/>
      <c r="L589" s="44"/>
      <c r="M589" s="44"/>
      <c r="N589" s="44"/>
      <c r="O589" s="44"/>
      <c r="P589" s="44"/>
      <c r="Q589" s="44"/>
      <c r="R589" s="44"/>
      <c r="S589" s="44"/>
      <c r="T589" s="44"/>
      <c r="U589" s="44"/>
      <c r="V589" s="44"/>
      <c r="W589" s="44"/>
      <c r="X589" s="44"/>
      <c r="Y589" s="44"/>
      <c r="Z589" s="44"/>
      <c r="AA589" s="44"/>
      <c r="AB589" s="44"/>
      <c r="AC589" s="44"/>
      <c r="AD589" s="44"/>
      <c r="AE589" s="44"/>
      <c r="AF589" s="44"/>
      <c r="AG589" s="44"/>
      <c r="AH589" s="44"/>
      <c r="AI589" s="44"/>
      <c r="AJ589" s="44"/>
      <c r="AK589" s="44"/>
      <c r="AL589" s="44"/>
      <c r="AM589" s="44"/>
      <c r="AN589" s="44"/>
      <c r="AO589" s="44"/>
      <c r="AP589" s="44"/>
      <c r="AQ589" s="44"/>
      <c r="AR589" s="44"/>
      <c r="AS589" s="44"/>
      <c r="AT589" s="44"/>
      <c r="AU589" s="44"/>
      <c r="AV589" s="44"/>
      <c r="AW589" s="44"/>
      <c r="AX589" s="44"/>
    </row>
    <row r="590" spans="1:50" x14ac:dyDescent="0.25">
      <c r="A590" s="44"/>
      <c r="B590" s="44"/>
      <c r="C590" s="44"/>
      <c r="D590" s="44"/>
      <c r="E590" s="44"/>
      <c r="F590" s="44"/>
      <c r="G590" s="44"/>
      <c r="H590" s="44"/>
      <c r="I590" s="44"/>
      <c r="J590" s="44"/>
      <c r="K590" s="44"/>
      <c r="L590" s="44"/>
      <c r="M590" s="44"/>
      <c r="N590" s="44"/>
      <c r="O590" s="44"/>
      <c r="P590" s="44"/>
      <c r="Q590" s="44"/>
      <c r="R590" s="44"/>
      <c r="S590" s="44"/>
      <c r="T590" s="44"/>
      <c r="U590" s="44"/>
      <c r="V590" s="44"/>
      <c r="W590" s="44"/>
      <c r="X590" s="44"/>
      <c r="Y590" s="44"/>
      <c r="Z590" s="44"/>
      <c r="AA590" s="44"/>
      <c r="AB590" s="44"/>
      <c r="AC590" s="44"/>
      <c r="AD590" s="44"/>
      <c r="AE590" s="44"/>
      <c r="AF590" s="44"/>
      <c r="AG590" s="44"/>
      <c r="AH590" s="44"/>
      <c r="AI590" s="44"/>
      <c r="AJ590" s="44"/>
      <c r="AK590" s="44"/>
      <c r="AL590" s="44"/>
      <c r="AM590" s="44"/>
      <c r="AN590" s="44"/>
      <c r="AO590" s="44"/>
      <c r="AP590" s="44"/>
      <c r="AQ590" s="44"/>
      <c r="AR590" s="44"/>
      <c r="AS590" s="44"/>
      <c r="AT590" s="44"/>
      <c r="AU590" s="44"/>
      <c r="AV590" s="44"/>
      <c r="AW590" s="44"/>
      <c r="AX590" s="44"/>
    </row>
    <row r="591" spans="1:50" x14ac:dyDescent="0.25">
      <c r="A591" s="44"/>
      <c r="B591" s="44"/>
      <c r="C591" s="44"/>
      <c r="D591" s="44"/>
      <c r="E591" s="44"/>
      <c r="F591" s="44"/>
      <c r="G591" s="44"/>
      <c r="H591" s="44"/>
      <c r="I591" s="44"/>
      <c r="J591" s="44"/>
      <c r="K591" s="44"/>
      <c r="L591" s="44"/>
      <c r="M591" s="44"/>
      <c r="N591" s="44"/>
      <c r="O591" s="44"/>
      <c r="P591" s="44"/>
      <c r="Q591" s="44"/>
      <c r="R591" s="44"/>
      <c r="S591" s="44"/>
      <c r="T591" s="44"/>
      <c r="U591" s="44"/>
      <c r="V591" s="44"/>
      <c r="W591" s="44"/>
      <c r="X591" s="44"/>
      <c r="Y591" s="44"/>
      <c r="Z591" s="44"/>
      <c r="AA591" s="44"/>
      <c r="AB591" s="44"/>
      <c r="AC591" s="44"/>
      <c r="AD591" s="44"/>
      <c r="AE591" s="44"/>
      <c r="AF591" s="44"/>
      <c r="AG591" s="44"/>
      <c r="AH591" s="44"/>
      <c r="AI591" s="44"/>
      <c r="AJ591" s="44"/>
      <c r="AK591" s="44"/>
      <c r="AL591" s="44"/>
      <c r="AM591" s="44"/>
      <c r="AN591" s="44"/>
      <c r="AO591" s="44"/>
      <c r="AP591" s="44"/>
      <c r="AQ591" s="44"/>
      <c r="AR591" s="44"/>
      <c r="AS591" s="44"/>
      <c r="AT591" s="44"/>
      <c r="AU591" s="44"/>
      <c r="AV591" s="44"/>
      <c r="AW591" s="44"/>
      <c r="AX591" s="44"/>
    </row>
    <row r="592" spans="1:50" x14ac:dyDescent="0.25">
      <c r="A592" s="44"/>
      <c r="B592" s="44"/>
      <c r="C592" s="44"/>
      <c r="D592" s="44"/>
      <c r="E592" s="44"/>
      <c r="F592" s="44"/>
      <c r="G592" s="44"/>
      <c r="H592" s="44"/>
      <c r="I592" s="44"/>
      <c r="J592" s="44"/>
      <c r="K592" s="44"/>
      <c r="L592" s="44"/>
      <c r="M592" s="44"/>
      <c r="N592" s="44"/>
      <c r="O592" s="44"/>
      <c r="P592" s="44"/>
      <c r="Q592" s="44"/>
      <c r="R592" s="44"/>
      <c r="S592" s="44"/>
      <c r="T592" s="44"/>
      <c r="U592" s="44"/>
      <c r="V592" s="44"/>
      <c r="W592" s="44"/>
      <c r="X592" s="44"/>
      <c r="Y592" s="44"/>
      <c r="Z592" s="44"/>
      <c r="AA592" s="44"/>
      <c r="AB592" s="44"/>
      <c r="AC592" s="44"/>
      <c r="AD592" s="44"/>
      <c r="AE592" s="44"/>
      <c r="AF592" s="44"/>
      <c r="AG592" s="44"/>
      <c r="AH592" s="44"/>
      <c r="AI592" s="44"/>
      <c r="AJ592" s="44"/>
      <c r="AK592" s="44"/>
      <c r="AL592" s="44"/>
      <c r="AM592" s="44"/>
      <c r="AN592" s="44"/>
      <c r="AO592" s="44"/>
      <c r="AP592" s="44"/>
      <c r="AQ592" s="44"/>
      <c r="AR592" s="44"/>
      <c r="AS592" s="44"/>
      <c r="AT592" s="44"/>
      <c r="AU592" s="44"/>
      <c r="AV592" s="44"/>
      <c r="AW592" s="44"/>
      <c r="AX592" s="44"/>
    </row>
    <row r="593" spans="1:50" x14ac:dyDescent="0.25">
      <c r="A593" s="44"/>
      <c r="B593" s="44"/>
      <c r="C593" s="44"/>
      <c r="D593" s="44"/>
      <c r="E593" s="44"/>
      <c r="F593" s="44"/>
      <c r="G593" s="44"/>
      <c r="H593" s="44"/>
      <c r="I593" s="44"/>
      <c r="J593" s="44"/>
      <c r="K593" s="44"/>
      <c r="L593" s="44"/>
      <c r="M593" s="44"/>
      <c r="N593" s="44"/>
      <c r="O593" s="44"/>
      <c r="P593" s="44"/>
      <c r="Q593" s="44"/>
      <c r="R593" s="44"/>
      <c r="S593" s="44"/>
      <c r="T593" s="44"/>
      <c r="U593" s="44"/>
      <c r="V593" s="44"/>
      <c r="W593" s="44"/>
      <c r="X593" s="44"/>
      <c r="Y593" s="44"/>
      <c r="Z593" s="44"/>
      <c r="AA593" s="44"/>
      <c r="AB593" s="44"/>
      <c r="AC593" s="44"/>
      <c r="AD593" s="44"/>
      <c r="AE593" s="44"/>
      <c r="AF593" s="44"/>
      <c r="AG593" s="44"/>
      <c r="AH593" s="44"/>
      <c r="AI593" s="44"/>
      <c r="AJ593" s="44"/>
      <c r="AK593" s="44"/>
      <c r="AL593" s="44"/>
      <c r="AM593" s="44"/>
      <c r="AN593" s="44"/>
      <c r="AO593" s="44"/>
      <c r="AP593" s="44"/>
      <c r="AQ593" s="44"/>
      <c r="AR593" s="44"/>
      <c r="AS593" s="44"/>
      <c r="AT593" s="44"/>
      <c r="AU593" s="44"/>
      <c r="AV593" s="44"/>
      <c r="AW593" s="44"/>
      <c r="AX593" s="44"/>
    </row>
    <row r="594" spans="1:50" x14ac:dyDescent="0.25">
      <c r="A594" s="44"/>
      <c r="B594" s="44"/>
      <c r="C594" s="44"/>
      <c r="D594" s="44"/>
      <c r="E594" s="44"/>
      <c r="F594" s="44"/>
      <c r="G594" s="44"/>
      <c r="H594" s="44"/>
      <c r="I594" s="44"/>
      <c r="J594" s="44"/>
      <c r="K594" s="44"/>
      <c r="L594" s="44"/>
      <c r="M594" s="44"/>
      <c r="N594" s="44"/>
      <c r="O594" s="44"/>
      <c r="P594" s="44"/>
      <c r="Q594" s="44"/>
      <c r="R594" s="44"/>
      <c r="S594" s="44"/>
      <c r="T594" s="44"/>
      <c r="U594" s="44"/>
      <c r="V594" s="44"/>
      <c r="W594" s="44"/>
      <c r="X594" s="44"/>
      <c r="Y594" s="44"/>
      <c r="Z594" s="44"/>
      <c r="AA594" s="44"/>
      <c r="AB594" s="44"/>
      <c r="AC594" s="44"/>
      <c r="AD594" s="44"/>
      <c r="AE594" s="44"/>
      <c r="AF594" s="44"/>
      <c r="AG594" s="44"/>
      <c r="AH594" s="44"/>
      <c r="AI594" s="44"/>
      <c r="AJ594" s="44"/>
      <c r="AK594" s="44"/>
      <c r="AL594" s="44"/>
      <c r="AM594" s="44"/>
      <c r="AN594" s="44"/>
      <c r="AO594" s="44"/>
      <c r="AP594" s="44"/>
      <c r="AQ594" s="44"/>
      <c r="AR594" s="44"/>
      <c r="AS594" s="44"/>
      <c r="AT594" s="44"/>
      <c r="AU594" s="44"/>
      <c r="AV594" s="44"/>
      <c r="AW594" s="44"/>
      <c r="AX594" s="44"/>
    </row>
    <row r="595" spans="1:50" x14ac:dyDescent="0.25">
      <c r="A595" s="44"/>
      <c r="B595" s="44"/>
      <c r="C595" s="44"/>
      <c r="D595" s="44"/>
      <c r="E595" s="44"/>
      <c r="F595" s="44"/>
      <c r="G595" s="44"/>
      <c r="H595" s="44"/>
      <c r="I595" s="44"/>
      <c r="J595" s="44"/>
      <c r="K595" s="44"/>
      <c r="L595" s="44"/>
      <c r="M595" s="44"/>
      <c r="N595" s="44"/>
      <c r="O595" s="44"/>
      <c r="P595" s="44"/>
      <c r="Q595" s="44"/>
      <c r="R595" s="44"/>
      <c r="S595" s="44"/>
      <c r="T595" s="44"/>
      <c r="U595" s="44"/>
      <c r="V595" s="44"/>
      <c r="W595" s="44"/>
      <c r="X595" s="44"/>
      <c r="Y595" s="44"/>
      <c r="Z595" s="44"/>
      <c r="AA595" s="44"/>
      <c r="AB595" s="44"/>
      <c r="AC595" s="44"/>
      <c r="AD595" s="44"/>
      <c r="AE595" s="44"/>
      <c r="AF595" s="44"/>
      <c r="AG595" s="44"/>
      <c r="AH595" s="44"/>
      <c r="AI595" s="44"/>
      <c r="AJ595" s="44"/>
      <c r="AK595" s="44"/>
      <c r="AL595" s="44"/>
      <c r="AM595" s="44"/>
      <c r="AN595" s="44"/>
      <c r="AO595" s="44"/>
      <c r="AP595" s="44"/>
      <c r="AQ595" s="44"/>
      <c r="AR595" s="44"/>
      <c r="AS595" s="44"/>
      <c r="AT595" s="44"/>
      <c r="AU595" s="44"/>
      <c r="AV595" s="44"/>
      <c r="AW595" s="44"/>
      <c r="AX595" s="44"/>
    </row>
    <row r="596" spans="1:50" x14ac:dyDescent="0.25">
      <c r="A596" s="44"/>
      <c r="B596" s="44"/>
      <c r="C596" s="44"/>
      <c r="D596" s="44"/>
      <c r="E596" s="44"/>
      <c r="F596" s="44"/>
      <c r="G596" s="44"/>
      <c r="H596" s="44"/>
      <c r="I596" s="44"/>
      <c r="J596" s="44"/>
      <c r="K596" s="44"/>
      <c r="L596" s="44"/>
      <c r="M596" s="44"/>
      <c r="N596" s="44"/>
      <c r="O596" s="44"/>
      <c r="P596" s="44"/>
      <c r="Q596" s="44"/>
      <c r="R596" s="44"/>
      <c r="S596" s="44"/>
      <c r="T596" s="44"/>
      <c r="U596" s="44"/>
      <c r="V596" s="44"/>
      <c r="W596" s="44"/>
      <c r="X596" s="44"/>
      <c r="Y596" s="44"/>
      <c r="Z596" s="44"/>
      <c r="AA596" s="44"/>
      <c r="AB596" s="44"/>
      <c r="AC596" s="44"/>
      <c r="AD596" s="44"/>
      <c r="AE596" s="44"/>
      <c r="AF596" s="44"/>
      <c r="AG596" s="44"/>
      <c r="AH596" s="44"/>
      <c r="AI596" s="44"/>
      <c r="AJ596" s="44"/>
      <c r="AK596" s="44"/>
      <c r="AL596" s="44"/>
      <c r="AM596" s="44"/>
      <c r="AN596" s="44"/>
      <c r="AO596" s="44"/>
      <c r="AP596" s="44"/>
      <c r="AQ596" s="44"/>
      <c r="AR596" s="44"/>
      <c r="AS596" s="44"/>
      <c r="AT596" s="44"/>
      <c r="AU596" s="44"/>
      <c r="AV596" s="44"/>
      <c r="AW596" s="44"/>
      <c r="AX596" s="44"/>
    </row>
    <row r="597" spans="1:50" x14ac:dyDescent="0.25">
      <c r="A597" s="44"/>
      <c r="B597" s="44"/>
      <c r="C597" s="44"/>
      <c r="D597" s="44"/>
      <c r="E597" s="44"/>
      <c r="F597" s="44"/>
      <c r="G597" s="44"/>
      <c r="H597" s="44"/>
      <c r="I597" s="44"/>
      <c r="J597" s="44"/>
      <c r="K597" s="44"/>
      <c r="L597" s="44"/>
      <c r="M597" s="44"/>
      <c r="N597" s="44"/>
      <c r="O597" s="44"/>
      <c r="P597" s="44"/>
      <c r="Q597" s="44"/>
      <c r="R597" s="44"/>
      <c r="S597" s="44"/>
      <c r="T597" s="44"/>
      <c r="U597" s="44"/>
      <c r="V597" s="44"/>
      <c r="W597" s="44"/>
      <c r="X597" s="44"/>
      <c r="Y597" s="44"/>
      <c r="Z597" s="44"/>
      <c r="AA597" s="44"/>
      <c r="AB597" s="44"/>
      <c r="AC597" s="44"/>
      <c r="AD597" s="44"/>
      <c r="AE597" s="44"/>
      <c r="AF597" s="44"/>
      <c r="AG597" s="44"/>
      <c r="AH597" s="44"/>
      <c r="AI597" s="44"/>
      <c r="AJ597" s="44"/>
      <c r="AK597" s="44"/>
      <c r="AL597" s="44"/>
      <c r="AM597" s="44"/>
      <c r="AN597" s="44"/>
      <c r="AO597" s="44"/>
      <c r="AP597" s="44"/>
      <c r="AQ597" s="44"/>
      <c r="AR597" s="44"/>
      <c r="AS597" s="44"/>
      <c r="AT597" s="44"/>
      <c r="AU597" s="44"/>
      <c r="AV597" s="44"/>
      <c r="AW597" s="44"/>
      <c r="AX597" s="44"/>
    </row>
    <row r="598" spans="1:50" x14ac:dyDescent="0.25">
      <c r="A598" s="44"/>
      <c r="B598" s="44"/>
      <c r="C598" s="44"/>
      <c r="D598" s="44"/>
      <c r="E598" s="44"/>
      <c r="F598" s="44"/>
      <c r="G598" s="44"/>
      <c r="H598" s="44"/>
      <c r="I598" s="44"/>
      <c r="J598" s="44"/>
      <c r="K598" s="44"/>
      <c r="L598" s="44"/>
      <c r="M598" s="44"/>
      <c r="N598" s="44"/>
      <c r="O598" s="44"/>
      <c r="P598" s="44"/>
      <c r="Q598" s="44"/>
      <c r="R598" s="44"/>
      <c r="S598" s="44"/>
      <c r="T598" s="44"/>
      <c r="U598" s="44"/>
      <c r="V598" s="44"/>
      <c r="W598" s="44"/>
      <c r="X598" s="44"/>
      <c r="Y598" s="44"/>
      <c r="Z598" s="44"/>
      <c r="AA598" s="44"/>
      <c r="AB598" s="44"/>
      <c r="AC598" s="44"/>
      <c r="AD598" s="44"/>
      <c r="AE598" s="44"/>
      <c r="AF598" s="44"/>
      <c r="AG598" s="44"/>
      <c r="AH598" s="44"/>
      <c r="AI598" s="44"/>
      <c r="AJ598" s="44"/>
      <c r="AK598" s="44"/>
      <c r="AL598" s="44"/>
      <c r="AM598" s="44"/>
      <c r="AN598" s="44"/>
      <c r="AO598" s="44"/>
      <c r="AP598" s="44"/>
      <c r="AQ598" s="44"/>
      <c r="AR598" s="44"/>
      <c r="AS598" s="44"/>
      <c r="AT598" s="44"/>
      <c r="AU598" s="44"/>
      <c r="AV598" s="44"/>
      <c r="AW598" s="44"/>
      <c r="AX598" s="44"/>
    </row>
    <row r="599" spans="1:50" x14ac:dyDescent="0.25">
      <c r="A599" s="44"/>
      <c r="B599" s="44"/>
      <c r="C599" s="44"/>
      <c r="D599" s="44"/>
      <c r="E599" s="44"/>
      <c r="F599" s="44"/>
      <c r="G599" s="44"/>
      <c r="H599" s="44"/>
      <c r="I599" s="44"/>
      <c r="J599" s="44"/>
      <c r="K599" s="44"/>
      <c r="L599" s="44"/>
      <c r="M599" s="44"/>
      <c r="N599" s="44"/>
      <c r="O599" s="44"/>
      <c r="P599" s="44"/>
      <c r="Q599" s="44"/>
      <c r="R599" s="44"/>
      <c r="S599" s="44"/>
      <c r="T599" s="44"/>
      <c r="U599" s="44"/>
      <c r="V599" s="44"/>
      <c r="W599" s="44"/>
      <c r="X599" s="44"/>
      <c r="Y599" s="44"/>
      <c r="Z599" s="44"/>
      <c r="AA599" s="44"/>
      <c r="AB599" s="44"/>
      <c r="AC599" s="44"/>
      <c r="AD599" s="44"/>
      <c r="AE599" s="44"/>
      <c r="AF599" s="44"/>
      <c r="AG599" s="44"/>
      <c r="AH599" s="44"/>
      <c r="AI599" s="44"/>
      <c r="AJ599" s="44"/>
      <c r="AK599" s="44"/>
      <c r="AL599" s="44"/>
      <c r="AM599" s="44"/>
      <c r="AN599" s="44"/>
      <c r="AO599" s="44"/>
      <c r="AP599" s="44"/>
      <c r="AQ599" s="44"/>
      <c r="AR599" s="44"/>
      <c r="AS599" s="44"/>
      <c r="AT599" s="44"/>
      <c r="AU599" s="44"/>
      <c r="AV599" s="44"/>
      <c r="AW599" s="44"/>
      <c r="AX599" s="44"/>
    </row>
    <row r="600" spans="1:50" x14ac:dyDescent="0.25">
      <c r="A600" s="44"/>
      <c r="B600" s="44"/>
      <c r="C600" s="44"/>
      <c r="D600" s="44"/>
      <c r="E600" s="44"/>
      <c r="F600" s="44"/>
      <c r="G600" s="44"/>
      <c r="H600" s="44"/>
      <c r="I600" s="44"/>
      <c r="J600" s="44"/>
      <c r="K600" s="44"/>
      <c r="L600" s="44"/>
      <c r="M600" s="44"/>
      <c r="N600" s="44"/>
      <c r="O600" s="44"/>
      <c r="P600" s="44"/>
      <c r="Q600" s="44"/>
      <c r="R600" s="44"/>
      <c r="S600" s="44"/>
      <c r="T600" s="44"/>
      <c r="U600" s="44"/>
      <c r="V600" s="44"/>
      <c r="W600" s="44"/>
      <c r="X600" s="44"/>
      <c r="Y600" s="44"/>
      <c r="Z600" s="44"/>
      <c r="AA600" s="44"/>
      <c r="AB600" s="44"/>
      <c r="AC600" s="44"/>
      <c r="AD600" s="44"/>
      <c r="AE600" s="44"/>
      <c r="AF600" s="44"/>
      <c r="AG600" s="44"/>
      <c r="AH600" s="44"/>
      <c r="AI600" s="44"/>
      <c r="AJ600" s="44"/>
      <c r="AK600" s="44"/>
      <c r="AL600" s="44"/>
      <c r="AM600" s="44"/>
      <c r="AN600" s="44"/>
      <c r="AO600" s="44"/>
      <c r="AP600" s="44"/>
      <c r="AQ600" s="44"/>
      <c r="AR600" s="44"/>
      <c r="AS600" s="44"/>
      <c r="AT600" s="44"/>
      <c r="AU600" s="44"/>
      <c r="AV600" s="44"/>
      <c r="AW600" s="44"/>
      <c r="AX600" s="44"/>
    </row>
    <row r="601" spans="1:50" x14ac:dyDescent="0.25">
      <c r="A601" s="44"/>
      <c r="B601" s="44"/>
      <c r="C601" s="44"/>
      <c r="D601" s="44"/>
      <c r="E601" s="44"/>
      <c r="F601" s="44"/>
      <c r="G601" s="44"/>
      <c r="H601" s="44"/>
      <c r="I601" s="44"/>
      <c r="J601" s="44"/>
      <c r="K601" s="44"/>
      <c r="L601" s="44"/>
      <c r="M601" s="44"/>
      <c r="N601" s="44"/>
      <c r="O601" s="44"/>
      <c r="P601" s="44"/>
      <c r="Q601" s="44"/>
      <c r="R601" s="44"/>
      <c r="S601" s="44"/>
      <c r="T601" s="44"/>
      <c r="U601" s="44"/>
      <c r="V601" s="44"/>
      <c r="W601" s="44"/>
      <c r="X601" s="44"/>
      <c r="Y601" s="44"/>
      <c r="Z601" s="44"/>
      <c r="AA601" s="44"/>
      <c r="AB601" s="44"/>
      <c r="AC601" s="44"/>
      <c r="AD601" s="44"/>
      <c r="AE601" s="44"/>
      <c r="AF601" s="44"/>
      <c r="AG601" s="44"/>
      <c r="AH601" s="44"/>
      <c r="AI601" s="44"/>
      <c r="AJ601" s="44"/>
      <c r="AK601" s="44"/>
      <c r="AL601" s="44"/>
      <c r="AM601" s="44"/>
      <c r="AN601" s="44"/>
      <c r="AO601" s="44"/>
      <c r="AP601" s="44"/>
      <c r="AQ601" s="44"/>
      <c r="AR601" s="44"/>
      <c r="AS601" s="44"/>
      <c r="AT601" s="44"/>
      <c r="AU601" s="44"/>
      <c r="AV601" s="44"/>
      <c r="AW601" s="44"/>
      <c r="AX601" s="44"/>
    </row>
    <row r="602" spans="1:50" x14ac:dyDescent="0.25">
      <c r="A602" s="44"/>
      <c r="B602" s="44"/>
      <c r="C602" s="44"/>
      <c r="D602" s="44"/>
      <c r="E602" s="44"/>
      <c r="F602" s="44"/>
      <c r="G602" s="44"/>
      <c r="H602" s="44"/>
      <c r="I602" s="44"/>
      <c r="J602" s="44"/>
      <c r="K602" s="44"/>
      <c r="L602" s="44"/>
      <c r="M602" s="44"/>
      <c r="N602" s="44"/>
      <c r="O602" s="44"/>
      <c r="P602" s="44"/>
      <c r="Q602" s="44"/>
      <c r="R602" s="44"/>
      <c r="S602" s="44"/>
      <c r="T602" s="44"/>
      <c r="U602" s="44"/>
      <c r="V602" s="44"/>
      <c r="W602" s="44"/>
      <c r="X602" s="44"/>
      <c r="Y602" s="44"/>
      <c r="Z602" s="44"/>
      <c r="AA602" s="44"/>
      <c r="AB602" s="44"/>
      <c r="AC602" s="44"/>
      <c r="AD602" s="44"/>
      <c r="AE602" s="44"/>
      <c r="AF602" s="44"/>
      <c r="AG602" s="44"/>
      <c r="AH602" s="44"/>
      <c r="AI602" s="44"/>
      <c r="AJ602" s="44"/>
      <c r="AK602" s="44"/>
      <c r="AL602" s="44"/>
      <c r="AM602" s="44"/>
      <c r="AN602" s="44"/>
      <c r="AO602" s="44"/>
      <c r="AP602" s="44"/>
      <c r="AQ602" s="44"/>
      <c r="AR602" s="44"/>
      <c r="AS602" s="44"/>
      <c r="AT602" s="44"/>
      <c r="AU602" s="44"/>
      <c r="AV602" s="44"/>
      <c r="AW602" s="44"/>
      <c r="AX602" s="44"/>
    </row>
    <row r="603" spans="1:50" x14ac:dyDescent="0.25">
      <c r="A603" s="44"/>
      <c r="B603" s="44"/>
      <c r="C603" s="44"/>
      <c r="D603" s="44"/>
      <c r="E603" s="44"/>
      <c r="F603" s="44"/>
      <c r="G603" s="44"/>
      <c r="H603" s="44"/>
      <c r="I603" s="44"/>
      <c r="J603" s="44"/>
      <c r="K603" s="44"/>
      <c r="L603" s="44"/>
      <c r="M603" s="44"/>
      <c r="N603" s="44"/>
      <c r="O603" s="44"/>
      <c r="P603" s="44"/>
      <c r="Q603" s="44"/>
      <c r="R603" s="44"/>
      <c r="S603" s="44"/>
      <c r="T603" s="44"/>
      <c r="U603" s="44"/>
      <c r="V603" s="44"/>
      <c r="W603" s="44"/>
      <c r="X603" s="44"/>
      <c r="Y603" s="44"/>
      <c r="Z603" s="44"/>
      <c r="AA603" s="44"/>
      <c r="AB603" s="44"/>
      <c r="AC603" s="44"/>
      <c r="AD603" s="44"/>
      <c r="AE603" s="44"/>
      <c r="AF603" s="44"/>
      <c r="AG603" s="44"/>
      <c r="AH603" s="44"/>
      <c r="AI603" s="44"/>
      <c r="AJ603" s="44"/>
      <c r="AK603" s="44"/>
      <c r="AL603" s="44"/>
      <c r="AM603" s="44"/>
      <c r="AN603" s="44"/>
      <c r="AO603" s="44"/>
      <c r="AP603" s="44"/>
      <c r="AQ603" s="44"/>
      <c r="AR603" s="44"/>
      <c r="AS603" s="44"/>
      <c r="AT603" s="44"/>
      <c r="AU603" s="44"/>
      <c r="AV603" s="44"/>
      <c r="AW603" s="44"/>
      <c r="AX603" s="44"/>
    </row>
    <row r="604" spans="1:50" x14ac:dyDescent="0.25">
      <c r="A604" s="44"/>
      <c r="B604" s="44"/>
      <c r="C604" s="44"/>
      <c r="D604" s="44"/>
      <c r="E604" s="44"/>
      <c r="F604" s="44"/>
      <c r="G604" s="44"/>
      <c r="H604" s="44"/>
      <c r="I604" s="44"/>
      <c r="J604" s="44"/>
      <c r="K604" s="44"/>
      <c r="L604" s="44"/>
      <c r="M604" s="44"/>
      <c r="N604" s="44"/>
      <c r="O604" s="44"/>
      <c r="P604" s="44"/>
      <c r="Q604" s="44"/>
      <c r="R604" s="44"/>
      <c r="S604" s="44"/>
      <c r="T604" s="44"/>
      <c r="U604" s="44"/>
      <c r="V604" s="44"/>
      <c r="W604" s="44"/>
      <c r="X604" s="44"/>
      <c r="Y604" s="44"/>
      <c r="Z604" s="44"/>
      <c r="AA604" s="44"/>
      <c r="AB604" s="44"/>
      <c r="AC604" s="44"/>
      <c r="AD604" s="44"/>
      <c r="AE604" s="44"/>
      <c r="AF604" s="44"/>
      <c r="AG604" s="44"/>
      <c r="AH604" s="44"/>
      <c r="AI604" s="44"/>
      <c r="AJ604" s="44"/>
      <c r="AK604" s="44"/>
      <c r="AL604" s="44"/>
      <c r="AM604" s="44"/>
      <c r="AN604" s="44"/>
      <c r="AO604" s="44"/>
      <c r="AP604" s="44"/>
      <c r="AQ604" s="44"/>
      <c r="AR604" s="44"/>
      <c r="AS604" s="44"/>
      <c r="AT604" s="44"/>
      <c r="AU604" s="44"/>
      <c r="AV604" s="44"/>
      <c r="AW604" s="44"/>
      <c r="AX604" s="44"/>
    </row>
    <row r="605" spans="1:50" x14ac:dyDescent="0.25">
      <c r="A605" s="44"/>
      <c r="B605" s="44"/>
      <c r="C605" s="44"/>
      <c r="D605" s="44"/>
      <c r="E605" s="44"/>
      <c r="F605" s="44"/>
      <c r="G605" s="44"/>
      <c r="H605" s="44"/>
      <c r="I605" s="44"/>
      <c r="J605" s="44"/>
      <c r="K605" s="44"/>
      <c r="L605" s="44"/>
      <c r="M605" s="44"/>
      <c r="N605" s="44"/>
      <c r="O605" s="44"/>
      <c r="P605" s="44"/>
      <c r="Q605" s="44"/>
      <c r="R605" s="44"/>
      <c r="S605" s="44"/>
      <c r="T605" s="44"/>
      <c r="U605" s="44"/>
      <c r="V605" s="44"/>
      <c r="W605" s="44"/>
      <c r="X605" s="44"/>
      <c r="Y605" s="44"/>
      <c r="Z605" s="44"/>
      <c r="AA605" s="44"/>
      <c r="AB605" s="44"/>
      <c r="AC605" s="44"/>
      <c r="AD605" s="44"/>
      <c r="AE605" s="44"/>
      <c r="AF605" s="44"/>
      <c r="AG605" s="44"/>
      <c r="AH605" s="44"/>
      <c r="AI605" s="44"/>
      <c r="AJ605" s="44"/>
      <c r="AK605" s="44"/>
      <c r="AL605" s="44"/>
      <c r="AM605" s="44"/>
      <c r="AN605" s="44"/>
      <c r="AO605" s="44"/>
      <c r="AP605" s="44"/>
      <c r="AQ605" s="44"/>
      <c r="AR605" s="44"/>
      <c r="AS605" s="44"/>
      <c r="AT605" s="44"/>
      <c r="AU605" s="44"/>
      <c r="AV605" s="44"/>
      <c r="AW605" s="44"/>
      <c r="AX605" s="44"/>
    </row>
    <row r="606" spans="1:50" x14ac:dyDescent="0.25">
      <c r="A606" s="44"/>
      <c r="B606" s="44"/>
      <c r="C606" s="44"/>
      <c r="D606" s="44"/>
      <c r="E606" s="44"/>
      <c r="F606" s="44"/>
      <c r="G606" s="44"/>
      <c r="H606" s="44"/>
      <c r="I606" s="44"/>
      <c r="J606" s="44"/>
      <c r="K606" s="44"/>
      <c r="L606" s="44"/>
      <c r="M606" s="44"/>
      <c r="N606" s="44"/>
      <c r="O606" s="44"/>
      <c r="P606" s="44"/>
      <c r="Q606" s="44"/>
      <c r="R606" s="44"/>
      <c r="S606" s="44"/>
      <c r="T606" s="44"/>
      <c r="U606" s="44"/>
      <c r="V606" s="44"/>
      <c r="W606" s="44"/>
      <c r="X606" s="44"/>
      <c r="Y606" s="44"/>
      <c r="Z606" s="44"/>
      <c r="AA606" s="44"/>
      <c r="AB606" s="44"/>
      <c r="AC606" s="44"/>
      <c r="AD606" s="44"/>
      <c r="AE606" s="44"/>
      <c r="AF606" s="44"/>
      <c r="AG606" s="44"/>
      <c r="AH606" s="44"/>
      <c r="AI606" s="44"/>
      <c r="AJ606" s="44"/>
      <c r="AK606" s="44"/>
      <c r="AL606" s="44"/>
      <c r="AM606" s="44"/>
      <c r="AN606" s="44"/>
      <c r="AO606" s="44"/>
      <c r="AP606" s="44"/>
      <c r="AQ606" s="44"/>
      <c r="AR606" s="44"/>
      <c r="AS606" s="44"/>
      <c r="AT606" s="44"/>
      <c r="AU606" s="44"/>
      <c r="AV606" s="44"/>
      <c r="AW606" s="44"/>
      <c r="AX606" s="44"/>
    </row>
    <row r="607" spans="1:50" x14ac:dyDescent="0.25">
      <c r="A607" s="44"/>
      <c r="B607" s="44"/>
      <c r="C607" s="44"/>
      <c r="D607" s="44"/>
      <c r="E607" s="44"/>
      <c r="F607" s="44"/>
      <c r="G607" s="44"/>
      <c r="H607" s="44"/>
      <c r="I607" s="44"/>
      <c r="J607" s="44"/>
      <c r="K607" s="44"/>
      <c r="L607" s="44"/>
      <c r="M607" s="44"/>
      <c r="N607" s="44"/>
      <c r="O607" s="44"/>
      <c r="P607" s="44"/>
      <c r="Q607" s="44"/>
      <c r="R607" s="44"/>
      <c r="S607" s="44"/>
      <c r="T607" s="44"/>
      <c r="U607" s="44"/>
      <c r="V607" s="44"/>
      <c r="W607" s="44"/>
      <c r="X607" s="44"/>
      <c r="Y607" s="44"/>
      <c r="Z607" s="44"/>
      <c r="AA607" s="44"/>
      <c r="AB607" s="44"/>
      <c r="AC607" s="44"/>
      <c r="AD607" s="44"/>
      <c r="AE607" s="44"/>
      <c r="AF607" s="44"/>
      <c r="AG607" s="44"/>
      <c r="AH607" s="44"/>
      <c r="AI607" s="44"/>
      <c r="AJ607" s="44"/>
      <c r="AK607" s="44"/>
      <c r="AL607" s="44"/>
      <c r="AM607" s="44"/>
      <c r="AN607" s="44"/>
      <c r="AO607" s="44"/>
      <c r="AP607" s="44"/>
      <c r="AQ607" s="44"/>
      <c r="AR607" s="44"/>
      <c r="AS607" s="44"/>
      <c r="AT607" s="44"/>
      <c r="AU607" s="44"/>
      <c r="AV607" s="44"/>
      <c r="AW607" s="44"/>
      <c r="AX607" s="44"/>
    </row>
    <row r="608" spans="1:50" x14ac:dyDescent="0.25">
      <c r="A608" s="44"/>
      <c r="B608" s="44"/>
      <c r="C608" s="44"/>
      <c r="D608" s="44"/>
      <c r="E608" s="44"/>
      <c r="F608" s="44"/>
      <c r="G608" s="44"/>
      <c r="H608" s="44"/>
      <c r="I608" s="44"/>
      <c r="J608" s="44"/>
      <c r="K608" s="44"/>
      <c r="L608" s="44"/>
      <c r="M608" s="44"/>
      <c r="N608" s="44"/>
      <c r="O608" s="44"/>
      <c r="P608" s="44"/>
      <c r="Q608" s="44"/>
      <c r="R608" s="44"/>
      <c r="S608" s="44"/>
      <c r="T608" s="44"/>
      <c r="U608" s="44"/>
      <c r="V608" s="44"/>
      <c r="W608" s="44"/>
      <c r="X608" s="44"/>
      <c r="Y608" s="44"/>
      <c r="Z608" s="44"/>
      <c r="AA608" s="44"/>
      <c r="AB608" s="44"/>
      <c r="AC608" s="44"/>
      <c r="AD608" s="44"/>
      <c r="AE608" s="44"/>
      <c r="AF608" s="44"/>
      <c r="AG608" s="44"/>
      <c r="AH608" s="44"/>
      <c r="AI608" s="44"/>
      <c r="AJ608" s="44"/>
      <c r="AK608" s="44"/>
      <c r="AL608" s="44"/>
      <c r="AM608" s="44"/>
      <c r="AN608" s="44"/>
      <c r="AO608" s="44"/>
      <c r="AP608" s="44"/>
      <c r="AQ608" s="44"/>
      <c r="AR608" s="44"/>
      <c r="AS608" s="44"/>
      <c r="AT608" s="44"/>
      <c r="AU608" s="44"/>
      <c r="AV608" s="44"/>
      <c r="AW608" s="44"/>
      <c r="AX608" s="44"/>
    </row>
    <row r="609" spans="1:50" x14ac:dyDescent="0.25">
      <c r="A609" s="44"/>
      <c r="B609" s="44"/>
      <c r="C609" s="44"/>
      <c r="D609" s="44"/>
      <c r="E609" s="44"/>
      <c r="F609" s="44"/>
      <c r="G609" s="44"/>
      <c r="H609" s="44"/>
      <c r="I609" s="44"/>
      <c r="J609" s="44"/>
      <c r="K609" s="44"/>
      <c r="L609" s="44"/>
      <c r="M609" s="44"/>
      <c r="N609" s="44"/>
      <c r="O609" s="44"/>
      <c r="P609" s="44"/>
      <c r="Q609" s="44"/>
      <c r="R609" s="44"/>
      <c r="S609" s="44"/>
      <c r="T609" s="44"/>
      <c r="U609" s="44"/>
      <c r="V609" s="44"/>
      <c r="W609" s="44"/>
      <c r="X609" s="44"/>
      <c r="Y609" s="44"/>
      <c r="Z609" s="44"/>
      <c r="AA609" s="44"/>
      <c r="AB609" s="44"/>
      <c r="AC609" s="44"/>
      <c r="AD609" s="44"/>
      <c r="AE609" s="44"/>
      <c r="AF609" s="44"/>
      <c r="AG609" s="44"/>
      <c r="AH609" s="44"/>
      <c r="AI609" s="44"/>
      <c r="AJ609" s="44"/>
      <c r="AK609" s="44"/>
      <c r="AL609" s="44"/>
      <c r="AM609" s="44"/>
      <c r="AN609" s="44"/>
      <c r="AO609" s="44"/>
      <c r="AP609" s="44"/>
      <c r="AQ609" s="44"/>
      <c r="AR609" s="44"/>
      <c r="AS609" s="44"/>
      <c r="AT609" s="44"/>
      <c r="AU609" s="44"/>
      <c r="AV609" s="44"/>
      <c r="AW609" s="44"/>
      <c r="AX609" s="44"/>
    </row>
    <row r="610" spans="1:50" x14ac:dyDescent="0.25">
      <c r="A610" s="44"/>
      <c r="B610" s="44"/>
      <c r="C610" s="44"/>
      <c r="D610" s="44"/>
      <c r="E610" s="44"/>
      <c r="F610" s="44"/>
      <c r="G610" s="44"/>
      <c r="H610" s="44"/>
      <c r="I610" s="44"/>
      <c r="J610" s="44"/>
      <c r="K610" s="44"/>
      <c r="L610" s="44"/>
      <c r="M610" s="44"/>
      <c r="N610" s="44"/>
      <c r="O610" s="44"/>
      <c r="P610" s="44"/>
      <c r="Q610" s="44"/>
      <c r="R610" s="44"/>
      <c r="S610" s="44"/>
      <c r="T610" s="44"/>
      <c r="U610" s="44"/>
      <c r="V610" s="44"/>
      <c r="W610" s="44"/>
      <c r="X610" s="44"/>
      <c r="Y610" s="44"/>
      <c r="Z610" s="44"/>
      <c r="AA610" s="44"/>
      <c r="AB610" s="44"/>
      <c r="AC610" s="44"/>
      <c r="AD610" s="44"/>
      <c r="AE610" s="44"/>
      <c r="AF610" s="44"/>
      <c r="AG610" s="44"/>
      <c r="AH610" s="44"/>
      <c r="AI610" s="44"/>
      <c r="AJ610" s="44"/>
      <c r="AK610" s="44"/>
      <c r="AL610" s="44"/>
      <c r="AM610" s="44"/>
      <c r="AN610" s="44"/>
      <c r="AO610" s="44"/>
      <c r="AP610" s="44"/>
      <c r="AQ610" s="44"/>
      <c r="AR610" s="44"/>
      <c r="AS610" s="44"/>
      <c r="AT610" s="44"/>
      <c r="AU610" s="44"/>
      <c r="AV610" s="44"/>
      <c r="AW610" s="44"/>
      <c r="AX610" s="44"/>
    </row>
    <row r="611" spans="1:50" x14ac:dyDescent="0.25">
      <c r="A611" s="44"/>
      <c r="B611" s="44"/>
      <c r="C611" s="44"/>
      <c r="D611" s="44"/>
      <c r="E611" s="44"/>
      <c r="F611" s="44"/>
      <c r="G611" s="44"/>
      <c r="H611" s="44"/>
      <c r="I611" s="44"/>
      <c r="J611" s="44"/>
      <c r="K611" s="44"/>
      <c r="L611" s="44"/>
      <c r="M611" s="44"/>
      <c r="N611" s="44"/>
      <c r="O611" s="44"/>
      <c r="P611" s="44"/>
      <c r="Q611" s="44"/>
      <c r="R611" s="44"/>
      <c r="S611" s="44"/>
      <c r="T611" s="44"/>
      <c r="U611" s="44"/>
      <c r="V611" s="44"/>
      <c r="W611" s="44"/>
      <c r="X611" s="44"/>
      <c r="Y611" s="44"/>
      <c r="Z611" s="44"/>
      <c r="AA611" s="44"/>
      <c r="AB611" s="44"/>
      <c r="AC611" s="44"/>
      <c r="AD611" s="44"/>
      <c r="AE611" s="44"/>
      <c r="AF611" s="44"/>
      <c r="AG611" s="44"/>
      <c r="AH611" s="44"/>
      <c r="AI611" s="44"/>
      <c r="AJ611" s="44"/>
      <c r="AK611" s="44"/>
      <c r="AL611" s="44"/>
      <c r="AM611" s="44"/>
      <c r="AN611" s="44"/>
      <c r="AO611" s="44"/>
      <c r="AP611" s="44"/>
      <c r="AQ611" s="44"/>
      <c r="AR611" s="44"/>
      <c r="AS611" s="44"/>
      <c r="AT611" s="44"/>
      <c r="AU611" s="44"/>
      <c r="AV611" s="44"/>
      <c r="AW611" s="44"/>
      <c r="AX611" s="44"/>
    </row>
    <row r="612" spans="1:50" x14ac:dyDescent="0.25">
      <c r="A612" s="44"/>
      <c r="B612" s="44"/>
      <c r="C612" s="44"/>
      <c r="D612" s="44"/>
      <c r="E612" s="44"/>
      <c r="F612" s="44"/>
      <c r="G612" s="44"/>
      <c r="H612" s="44"/>
      <c r="I612" s="44"/>
      <c r="J612" s="44"/>
      <c r="K612" s="44"/>
      <c r="L612" s="44"/>
      <c r="M612" s="44"/>
      <c r="N612" s="44"/>
      <c r="O612" s="44"/>
      <c r="P612" s="44"/>
      <c r="Q612" s="44"/>
      <c r="R612" s="44"/>
      <c r="S612" s="44"/>
      <c r="T612" s="44"/>
      <c r="U612" s="44"/>
      <c r="V612" s="44"/>
      <c r="W612" s="44"/>
      <c r="X612" s="44"/>
      <c r="Y612" s="44"/>
      <c r="Z612" s="44"/>
      <c r="AA612" s="44"/>
      <c r="AB612" s="44"/>
      <c r="AC612" s="44"/>
      <c r="AD612" s="44"/>
      <c r="AE612" s="44"/>
      <c r="AF612" s="44"/>
      <c r="AG612" s="44"/>
      <c r="AH612" s="44"/>
      <c r="AI612" s="44"/>
      <c r="AJ612" s="44"/>
      <c r="AK612" s="44"/>
      <c r="AL612" s="44"/>
      <c r="AM612" s="44"/>
      <c r="AN612" s="44"/>
      <c r="AO612" s="44"/>
      <c r="AP612" s="44"/>
      <c r="AQ612" s="44"/>
      <c r="AR612" s="44"/>
      <c r="AS612" s="44"/>
      <c r="AT612" s="44"/>
      <c r="AU612" s="44"/>
      <c r="AV612" s="44"/>
      <c r="AW612" s="44"/>
      <c r="AX612" s="44"/>
    </row>
    <row r="613" spans="1:50" x14ac:dyDescent="0.25">
      <c r="A613" s="44"/>
      <c r="B613" s="44"/>
      <c r="C613" s="44"/>
      <c r="D613" s="44"/>
      <c r="E613" s="44"/>
      <c r="F613" s="44"/>
      <c r="G613" s="44"/>
      <c r="H613" s="44"/>
      <c r="I613" s="44"/>
      <c r="J613" s="44"/>
      <c r="K613" s="44"/>
      <c r="L613" s="44"/>
      <c r="M613" s="44"/>
      <c r="N613" s="44"/>
      <c r="O613" s="44"/>
      <c r="P613" s="44"/>
      <c r="Q613" s="44"/>
      <c r="R613" s="44"/>
      <c r="S613" s="44"/>
      <c r="T613" s="44"/>
      <c r="U613" s="44"/>
      <c r="V613" s="44"/>
      <c r="W613" s="44"/>
      <c r="X613" s="44"/>
      <c r="Y613" s="44"/>
      <c r="Z613" s="44"/>
      <c r="AA613" s="44"/>
      <c r="AB613" s="44"/>
      <c r="AC613" s="44"/>
      <c r="AD613" s="44"/>
      <c r="AE613" s="44"/>
      <c r="AF613" s="44"/>
      <c r="AG613" s="44"/>
      <c r="AH613" s="44"/>
      <c r="AI613" s="44"/>
      <c r="AJ613" s="44"/>
      <c r="AK613" s="44"/>
      <c r="AL613" s="44"/>
      <c r="AM613" s="44"/>
      <c r="AN613" s="44"/>
      <c r="AO613" s="44"/>
      <c r="AP613" s="44"/>
      <c r="AQ613" s="44"/>
      <c r="AR613" s="44"/>
      <c r="AS613" s="44"/>
      <c r="AT613" s="44"/>
      <c r="AU613" s="44"/>
      <c r="AV613" s="44"/>
      <c r="AW613" s="44"/>
      <c r="AX613" s="44"/>
    </row>
    <row r="614" spans="1:50" x14ac:dyDescent="0.25">
      <c r="A614" s="44"/>
      <c r="B614" s="44"/>
      <c r="C614" s="44"/>
      <c r="D614" s="44"/>
      <c r="E614" s="44"/>
      <c r="F614" s="44"/>
      <c r="G614" s="44"/>
      <c r="H614" s="44"/>
      <c r="I614" s="44"/>
      <c r="J614" s="44"/>
      <c r="K614" s="44"/>
      <c r="L614" s="44"/>
      <c r="M614" s="44"/>
      <c r="N614" s="44"/>
      <c r="O614" s="44"/>
      <c r="P614" s="44"/>
      <c r="Q614" s="44"/>
      <c r="R614" s="44"/>
      <c r="S614" s="44"/>
      <c r="T614" s="44"/>
      <c r="U614" s="44"/>
      <c r="V614" s="44"/>
      <c r="W614" s="44"/>
      <c r="X614" s="44"/>
      <c r="Y614" s="44"/>
      <c r="Z614" s="44"/>
      <c r="AA614" s="44"/>
      <c r="AB614" s="44"/>
      <c r="AC614" s="44"/>
      <c r="AD614" s="44"/>
      <c r="AE614" s="44"/>
      <c r="AF614" s="44"/>
      <c r="AG614" s="44"/>
      <c r="AH614" s="44"/>
      <c r="AI614" s="44"/>
      <c r="AJ614" s="44"/>
      <c r="AK614" s="44"/>
      <c r="AL614" s="44"/>
      <c r="AM614" s="44"/>
      <c r="AN614" s="44"/>
      <c r="AO614" s="44"/>
      <c r="AP614" s="44"/>
      <c r="AQ614" s="44"/>
      <c r="AR614" s="44"/>
      <c r="AS614" s="44"/>
      <c r="AT614" s="44"/>
      <c r="AU614" s="44"/>
      <c r="AV614" s="44"/>
      <c r="AW614" s="44"/>
      <c r="AX614" s="44"/>
    </row>
    <row r="615" spans="1:50" x14ac:dyDescent="0.25">
      <c r="A615" s="44"/>
      <c r="B615" s="44"/>
      <c r="C615" s="44"/>
      <c r="D615" s="44"/>
      <c r="E615" s="44"/>
      <c r="F615" s="44"/>
      <c r="G615" s="44"/>
      <c r="H615" s="44"/>
      <c r="I615" s="44"/>
      <c r="J615" s="44"/>
      <c r="K615" s="44"/>
      <c r="L615" s="44"/>
      <c r="M615" s="44"/>
      <c r="N615" s="44"/>
      <c r="O615" s="44"/>
      <c r="P615" s="44"/>
      <c r="Q615" s="44"/>
      <c r="R615" s="44"/>
      <c r="S615" s="44"/>
      <c r="T615" s="44"/>
      <c r="U615" s="44"/>
      <c r="V615" s="44"/>
      <c r="W615" s="44"/>
      <c r="X615" s="44"/>
      <c r="Y615" s="44"/>
      <c r="Z615" s="44"/>
      <c r="AA615" s="44"/>
      <c r="AB615" s="44"/>
      <c r="AC615" s="44"/>
      <c r="AD615" s="44"/>
      <c r="AE615" s="44"/>
      <c r="AF615" s="44"/>
      <c r="AG615" s="44"/>
      <c r="AH615" s="44"/>
      <c r="AI615" s="44"/>
      <c r="AJ615" s="44"/>
      <c r="AK615" s="44"/>
      <c r="AL615" s="44"/>
      <c r="AM615" s="44"/>
      <c r="AN615" s="44"/>
      <c r="AO615" s="44"/>
      <c r="AP615" s="44"/>
      <c r="AQ615" s="44"/>
      <c r="AR615" s="44"/>
      <c r="AS615" s="44"/>
      <c r="AT615" s="44"/>
      <c r="AU615" s="44"/>
      <c r="AV615" s="44"/>
      <c r="AW615" s="44"/>
      <c r="AX615" s="44"/>
    </row>
    <row r="616" spans="1:50" x14ac:dyDescent="0.25">
      <c r="A616" s="44"/>
      <c r="B616" s="44"/>
      <c r="C616" s="44"/>
      <c r="D616" s="44"/>
      <c r="E616" s="44"/>
      <c r="F616" s="44"/>
      <c r="G616" s="44"/>
      <c r="H616" s="44"/>
      <c r="I616" s="44"/>
      <c r="J616" s="44"/>
      <c r="K616" s="44"/>
      <c r="L616" s="44"/>
      <c r="M616" s="44"/>
      <c r="N616" s="44"/>
      <c r="O616" s="44"/>
      <c r="P616" s="44"/>
      <c r="Q616" s="44"/>
      <c r="R616" s="44"/>
      <c r="S616" s="44"/>
      <c r="T616" s="44"/>
      <c r="U616" s="44"/>
      <c r="V616" s="44"/>
      <c r="W616" s="44"/>
      <c r="X616" s="44"/>
      <c r="Y616" s="44"/>
      <c r="Z616" s="44"/>
      <c r="AA616" s="44"/>
      <c r="AB616" s="44"/>
      <c r="AC616" s="44"/>
      <c r="AD616" s="44"/>
      <c r="AE616" s="44"/>
      <c r="AF616" s="44"/>
      <c r="AG616" s="44"/>
      <c r="AH616" s="44"/>
      <c r="AI616" s="44"/>
      <c r="AJ616" s="44"/>
      <c r="AK616" s="44"/>
      <c r="AL616" s="44"/>
      <c r="AM616" s="44"/>
      <c r="AN616" s="44"/>
      <c r="AO616" s="44"/>
      <c r="AP616" s="44"/>
      <c r="AQ616" s="44"/>
      <c r="AR616" s="44"/>
      <c r="AS616" s="44"/>
      <c r="AT616" s="44"/>
      <c r="AU616" s="44"/>
      <c r="AV616" s="44"/>
      <c r="AW616" s="44"/>
      <c r="AX616" s="44"/>
    </row>
    <row r="617" spans="1:50" x14ac:dyDescent="0.25">
      <c r="A617" s="44"/>
      <c r="B617" s="44"/>
      <c r="C617" s="44"/>
      <c r="D617" s="44"/>
      <c r="E617" s="44"/>
      <c r="F617" s="44"/>
      <c r="G617" s="44"/>
      <c r="H617" s="44"/>
      <c r="I617" s="44"/>
      <c r="J617" s="44"/>
      <c r="K617" s="44"/>
      <c r="L617" s="44"/>
      <c r="M617" s="44"/>
      <c r="N617" s="44"/>
      <c r="O617" s="44"/>
      <c r="P617" s="44"/>
      <c r="Q617" s="44"/>
      <c r="R617" s="44"/>
      <c r="S617" s="44"/>
      <c r="T617" s="44"/>
      <c r="U617" s="44"/>
      <c r="V617" s="44"/>
      <c r="W617" s="44"/>
      <c r="X617" s="44"/>
      <c r="Y617" s="44"/>
      <c r="Z617" s="44"/>
      <c r="AA617" s="44"/>
      <c r="AB617" s="44"/>
      <c r="AC617" s="44"/>
      <c r="AD617" s="44"/>
      <c r="AE617" s="44"/>
      <c r="AF617" s="44"/>
      <c r="AG617" s="44"/>
      <c r="AH617" s="44"/>
      <c r="AI617" s="44"/>
      <c r="AJ617" s="44"/>
      <c r="AK617" s="44"/>
      <c r="AL617" s="44"/>
      <c r="AM617" s="44"/>
      <c r="AN617" s="44"/>
      <c r="AO617" s="44"/>
      <c r="AP617" s="44"/>
      <c r="AQ617" s="44"/>
      <c r="AR617" s="44"/>
      <c r="AS617" s="44"/>
      <c r="AT617" s="44"/>
      <c r="AU617" s="44"/>
      <c r="AV617" s="44"/>
      <c r="AW617" s="44"/>
      <c r="AX617" s="44"/>
    </row>
    <row r="618" spans="1:50" x14ac:dyDescent="0.25">
      <c r="A618" s="44"/>
      <c r="B618" s="44"/>
      <c r="C618" s="44"/>
      <c r="D618" s="44"/>
      <c r="E618" s="44"/>
      <c r="F618" s="44"/>
      <c r="G618" s="44"/>
      <c r="H618" s="44"/>
      <c r="I618" s="44"/>
      <c r="J618" s="44"/>
      <c r="K618" s="44"/>
      <c r="L618" s="44"/>
      <c r="M618" s="44"/>
      <c r="N618" s="44"/>
      <c r="O618" s="44"/>
      <c r="P618" s="44"/>
      <c r="Q618" s="44"/>
      <c r="R618" s="44"/>
      <c r="S618" s="44"/>
      <c r="T618" s="44"/>
      <c r="U618" s="44"/>
      <c r="V618" s="44"/>
      <c r="W618" s="44"/>
      <c r="X618" s="44"/>
      <c r="Y618" s="44"/>
      <c r="Z618" s="44"/>
      <c r="AA618" s="44"/>
      <c r="AB618" s="44"/>
      <c r="AC618" s="44"/>
      <c r="AD618" s="44"/>
      <c r="AE618" s="44"/>
      <c r="AF618" s="44"/>
      <c r="AG618" s="44"/>
      <c r="AH618" s="44"/>
      <c r="AI618" s="44"/>
      <c r="AJ618" s="44"/>
      <c r="AK618" s="44"/>
      <c r="AL618" s="44"/>
      <c r="AM618" s="44"/>
      <c r="AN618" s="44"/>
      <c r="AO618" s="44"/>
      <c r="AP618" s="44"/>
      <c r="AQ618" s="44"/>
      <c r="AR618" s="44"/>
      <c r="AS618" s="44"/>
      <c r="AT618" s="44"/>
      <c r="AU618" s="44"/>
      <c r="AV618" s="44"/>
      <c r="AW618" s="44"/>
      <c r="AX618" s="44"/>
    </row>
    <row r="619" spans="1:50" x14ac:dyDescent="0.25">
      <c r="A619" s="44"/>
      <c r="B619" s="44"/>
      <c r="C619" s="44"/>
      <c r="D619" s="44"/>
      <c r="E619" s="44"/>
      <c r="F619" s="44"/>
      <c r="G619" s="44"/>
      <c r="H619" s="44"/>
      <c r="I619" s="44"/>
      <c r="J619" s="44"/>
      <c r="K619" s="44"/>
      <c r="L619" s="44"/>
      <c r="M619" s="44"/>
      <c r="N619" s="44"/>
      <c r="O619" s="44"/>
      <c r="P619" s="44"/>
      <c r="Q619" s="44"/>
      <c r="R619" s="44"/>
      <c r="S619" s="44"/>
      <c r="T619" s="44"/>
      <c r="U619" s="44"/>
      <c r="V619" s="44"/>
      <c r="W619" s="44"/>
      <c r="X619" s="44"/>
      <c r="Y619" s="44"/>
      <c r="Z619" s="44"/>
      <c r="AA619" s="44"/>
      <c r="AB619" s="44"/>
      <c r="AC619" s="44"/>
      <c r="AD619" s="44"/>
      <c r="AE619" s="44"/>
      <c r="AF619" s="44"/>
      <c r="AG619" s="44"/>
      <c r="AH619" s="44"/>
      <c r="AI619" s="44"/>
      <c r="AJ619" s="44"/>
      <c r="AK619" s="44"/>
      <c r="AL619" s="44"/>
      <c r="AM619" s="44"/>
      <c r="AN619" s="44"/>
      <c r="AO619" s="44"/>
      <c r="AP619" s="44"/>
      <c r="AQ619" s="44"/>
      <c r="AR619" s="44"/>
      <c r="AS619" s="44"/>
      <c r="AT619" s="44"/>
      <c r="AU619" s="44"/>
      <c r="AV619" s="44"/>
      <c r="AW619" s="44"/>
      <c r="AX619" s="44"/>
    </row>
    <row r="620" spans="1:50" x14ac:dyDescent="0.25">
      <c r="A620" s="44"/>
      <c r="B620" s="44"/>
      <c r="C620" s="44"/>
      <c r="D620" s="44"/>
      <c r="E620" s="44"/>
      <c r="F620" s="44"/>
      <c r="G620" s="44"/>
      <c r="H620" s="44"/>
      <c r="I620" s="44"/>
      <c r="J620" s="44"/>
      <c r="K620" s="44"/>
      <c r="L620" s="44"/>
      <c r="M620" s="44"/>
      <c r="N620" s="44"/>
      <c r="O620" s="44"/>
      <c r="P620" s="44"/>
      <c r="Q620" s="44"/>
      <c r="R620" s="44"/>
      <c r="S620" s="44"/>
      <c r="T620" s="44"/>
      <c r="U620" s="44"/>
      <c r="V620" s="44"/>
      <c r="W620" s="44"/>
      <c r="X620" s="44"/>
      <c r="Y620" s="44"/>
      <c r="Z620" s="44"/>
      <c r="AA620" s="44"/>
      <c r="AB620" s="44"/>
      <c r="AC620" s="44"/>
      <c r="AD620" s="44"/>
      <c r="AE620" s="44"/>
      <c r="AF620" s="44"/>
      <c r="AG620" s="44"/>
      <c r="AH620" s="44"/>
      <c r="AI620" s="44"/>
      <c r="AJ620" s="44"/>
      <c r="AK620" s="44"/>
      <c r="AL620" s="44"/>
      <c r="AM620" s="44"/>
      <c r="AN620" s="44"/>
      <c r="AO620" s="44"/>
      <c r="AP620" s="44"/>
      <c r="AQ620" s="44"/>
      <c r="AR620" s="44"/>
      <c r="AS620" s="44"/>
      <c r="AT620" s="44"/>
      <c r="AU620" s="44"/>
      <c r="AV620" s="44"/>
      <c r="AW620" s="44"/>
      <c r="AX620" s="44"/>
    </row>
    <row r="621" spans="1:50" x14ac:dyDescent="0.25">
      <c r="A621" s="44"/>
      <c r="B621" s="44"/>
      <c r="C621" s="44"/>
      <c r="D621" s="44"/>
      <c r="E621" s="44"/>
      <c r="F621" s="44"/>
      <c r="G621" s="44"/>
      <c r="H621" s="44"/>
      <c r="I621" s="44"/>
      <c r="J621" s="44"/>
      <c r="K621" s="44"/>
      <c r="L621" s="44"/>
      <c r="M621" s="44"/>
      <c r="N621" s="44"/>
      <c r="O621" s="44"/>
      <c r="P621" s="44"/>
      <c r="Q621" s="44"/>
      <c r="R621" s="44"/>
      <c r="S621" s="44"/>
      <c r="T621" s="44"/>
      <c r="U621" s="44"/>
      <c r="V621" s="44"/>
      <c r="W621" s="44"/>
      <c r="X621" s="44"/>
      <c r="Y621" s="44"/>
      <c r="Z621" s="44"/>
      <c r="AA621" s="44"/>
      <c r="AB621" s="44"/>
      <c r="AC621" s="44"/>
      <c r="AD621" s="44"/>
      <c r="AE621" s="44"/>
      <c r="AF621" s="44"/>
      <c r="AG621" s="44"/>
      <c r="AH621" s="44"/>
      <c r="AI621" s="44"/>
      <c r="AJ621" s="44"/>
      <c r="AK621" s="44"/>
      <c r="AL621" s="44"/>
      <c r="AM621" s="44"/>
      <c r="AN621" s="44"/>
      <c r="AO621" s="44"/>
      <c r="AP621" s="44"/>
      <c r="AQ621" s="44"/>
      <c r="AR621" s="44"/>
      <c r="AS621" s="44"/>
      <c r="AT621" s="44"/>
      <c r="AU621" s="44"/>
      <c r="AV621" s="44"/>
      <c r="AW621" s="44"/>
      <c r="AX621" s="44"/>
    </row>
    <row r="622" spans="1:50" x14ac:dyDescent="0.25">
      <c r="A622" s="44"/>
      <c r="B622" s="44"/>
      <c r="C622" s="44"/>
      <c r="D622" s="44"/>
      <c r="E622" s="44"/>
      <c r="F622" s="44"/>
      <c r="G622" s="44"/>
      <c r="H622" s="44"/>
      <c r="I622" s="44"/>
      <c r="J622" s="44"/>
      <c r="K622" s="44"/>
      <c r="L622" s="44"/>
      <c r="M622" s="44"/>
      <c r="N622" s="44"/>
      <c r="O622" s="44"/>
      <c r="P622" s="44"/>
      <c r="Q622" s="44"/>
      <c r="R622" s="44"/>
      <c r="S622" s="44"/>
      <c r="T622" s="44"/>
      <c r="U622" s="44"/>
      <c r="V622" s="44"/>
      <c r="W622" s="44"/>
      <c r="X622" s="44"/>
      <c r="Y622" s="44"/>
      <c r="Z622" s="44"/>
      <c r="AA622" s="44"/>
      <c r="AB622" s="44"/>
      <c r="AC622" s="44"/>
      <c r="AD622" s="44"/>
      <c r="AE622" s="44"/>
      <c r="AF622" s="44"/>
      <c r="AG622" s="44"/>
      <c r="AH622" s="44"/>
      <c r="AI622" s="44"/>
      <c r="AJ622" s="44"/>
      <c r="AK622" s="44"/>
      <c r="AL622" s="44"/>
      <c r="AM622" s="44"/>
      <c r="AN622" s="44"/>
      <c r="AO622" s="44"/>
      <c r="AP622" s="44"/>
      <c r="AQ622" s="44"/>
      <c r="AR622" s="44"/>
      <c r="AS622" s="44"/>
      <c r="AT622" s="44"/>
      <c r="AU622" s="44"/>
      <c r="AV622" s="44"/>
      <c r="AW622" s="44"/>
      <c r="AX622" s="44"/>
    </row>
    <row r="623" spans="1:50" x14ac:dyDescent="0.25">
      <c r="A623" s="44"/>
      <c r="B623" s="44"/>
      <c r="C623" s="44"/>
      <c r="D623" s="44"/>
      <c r="E623" s="44"/>
      <c r="F623" s="44"/>
      <c r="G623" s="44"/>
      <c r="H623" s="44"/>
      <c r="I623" s="44"/>
      <c r="J623" s="44"/>
      <c r="K623" s="44"/>
      <c r="L623" s="44"/>
      <c r="M623" s="44"/>
      <c r="N623" s="44"/>
      <c r="O623" s="44"/>
      <c r="P623" s="44"/>
      <c r="Q623" s="44"/>
      <c r="R623" s="44"/>
      <c r="S623" s="44"/>
      <c r="T623" s="44"/>
      <c r="U623" s="44"/>
      <c r="V623" s="44"/>
      <c r="W623" s="44"/>
      <c r="X623" s="44"/>
      <c r="Y623" s="44"/>
      <c r="Z623" s="44"/>
      <c r="AA623" s="44"/>
      <c r="AB623" s="44"/>
      <c r="AC623" s="44"/>
      <c r="AD623" s="44"/>
      <c r="AE623" s="44"/>
      <c r="AF623" s="44"/>
      <c r="AG623" s="44"/>
      <c r="AH623" s="44"/>
      <c r="AI623" s="44"/>
      <c r="AJ623" s="44"/>
      <c r="AK623" s="44"/>
      <c r="AL623" s="44"/>
      <c r="AM623" s="44"/>
      <c r="AN623" s="44"/>
      <c r="AO623" s="44"/>
      <c r="AP623" s="44"/>
      <c r="AQ623" s="44"/>
      <c r="AR623" s="44"/>
      <c r="AS623" s="44"/>
      <c r="AT623" s="44"/>
      <c r="AU623" s="44"/>
      <c r="AV623" s="44"/>
      <c r="AW623" s="44"/>
      <c r="AX623" s="44"/>
    </row>
    <row r="624" spans="1:50" x14ac:dyDescent="0.25">
      <c r="A624" s="44"/>
      <c r="B624" s="44"/>
      <c r="C624" s="44"/>
      <c r="D624" s="44"/>
      <c r="E624" s="44"/>
      <c r="F624" s="44"/>
      <c r="G624" s="44"/>
      <c r="H624" s="44"/>
      <c r="I624" s="44"/>
      <c r="J624" s="44"/>
      <c r="K624" s="44"/>
      <c r="L624" s="44"/>
      <c r="M624" s="44"/>
      <c r="N624" s="44"/>
      <c r="O624" s="44"/>
      <c r="P624" s="44"/>
      <c r="Q624" s="44"/>
      <c r="R624" s="44"/>
      <c r="S624" s="44"/>
      <c r="T624" s="44"/>
      <c r="U624" s="44"/>
      <c r="V624" s="44"/>
      <c r="W624" s="44"/>
      <c r="X624" s="44"/>
      <c r="Y624" s="44"/>
      <c r="Z624" s="44"/>
      <c r="AA624" s="44"/>
      <c r="AB624" s="44"/>
      <c r="AC624" s="44"/>
      <c r="AD624" s="44"/>
      <c r="AE624" s="44"/>
      <c r="AF624" s="44"/>
      <c r="AG624" s="44"/>
      <c r="AH624" s="44"/>
      <c r="AI624" s="44"/>
      <c r="AJ624" s="44"/>
      <c r="AK624" s="44"/>
      <c r="AL624" s="44"/>
      <c r="AM624" s="44"/>
      <c r="AN624" s="44"/>
      <c r="AO624" s="44"/>
      <c r="AP624" s="44"/>
      <c r="AQ624" s="44"/>
      <c r="AR624" s="44"/>
      <c r="AS624" s="44"/>
      <c r="AT624" s="44"/>
      <c r="AU624" s="44"/>
      <c r="AV624" s="44"/>
      <c r="AW624" s="44"/>
      <c r="AX624" s="44"/>
    </row>
    <row r="625" spans="1:50" x14ac:dyDescent="0.25">
      <c r="A625" s="44"/>
      <c r="B625" s="44"/>
      <c r="C625" s="44"/>
      <c r="D625" s="44"/>
      <c r="E625" s="44"/>
      <c r="F625" s="44"/>
      <c r="G625" s="44"/>
      <c r="H625" s="44"/>
      <c r="I625" s="44"/>
      <c r="J625" s="44"/>
      <c r="K625" s="44"/>
      <c r="L625" s="44"/>
      <c r="M625" s="44"/>
      <c r="N625" s="44"/>
      <c r="O625" s="44"/>
      <c r="P625" s="44"/>
      <c r="Q625" s="44"/>
      <c r="R625" s="44"/>
      <c r="S625" s="44"/>
      <c r="T625" s="44"/>
      <c r="U625" s="44"/>
      <c r="V625" s="44"/>
      <c r="W625" s="44"/>
      <c r="X625" s="44"/>
      <c r="Y625" s="44"/>
      <c r="Z625" s="44"/>
      <c r="AA625" s="44"/>
      <c r="AB625" s="44"/>
      <c r="AC625" s="44"/>
      <c r="AD625" s="44"/>
      <c r="AE625" s="44"/>
      <c r="AF625" s="44"/>
      <c r="AG625" s="44"/>
      <c r="AH625" s="44"/>
      <c r="AI625" s="44"/>
      <c r="AJ625" s="44"/>
      <c r="AK625" s="44"/>
      <c r="AL625" s="44"/>
      <c r="AM625" s="44"/>
      <c r="AN625" s="44"/>
      <c r="AO625" s="44"/>
      <c r="AP625" s="44"/>
      <c r="AQ625" s="44"/>
      <c r="AR625" s="44"/>
      <c r="AS625" s="44"/>
      <c r="AT625" s="44"/>
      <c r="AU625" s="44"/>
      <c r="AV625" s="44"/>
      <c r="AW625" s="44"/>
      <c r="AX625" s="44"/>
    </row>
    <row r="626" spans="1:50" x14ac:dyDescent="0.25">
      <c r="A626" s="44"/>
      <c r="B626" s="44"/>
      <c r="C626" s="44"/>
      <c r="D626" s="44"/>
      <c r="E626" s="44"/>
      <c r="F626" s="44"/>
      <c r="G626" s="44"/>
      <c r="H626" s="44"/>
      <c r="I626" s="44"/>
      <c r="J626" s="44"/>
      <c r="K626" s="44"/>
      <c r="L626" s="44"/>
      <c r="M626" s="44"/>
      <c r="N626" s="44"/>
      <c r="O626" s="44"/>
      <c r="P626" s="44"/>
      <c r="Q626" s="44"/>
      <c r="R626" s="44"/>
      <c r="S626" s="44"/>
      <c r="T626" s="44"/>
      <c r="U626" s="44"/>
      <c r="V626" s="44"/>
      <c r="W626" s="44"/>
      <c r="X626" s="44"/>
      <c r="Y626" s="44"/>
      <c r="Z626" s="44"/>
      <c r="AA626" s="44"/>
      <c r="AB626" s="44"/>
      <c r="AC626" s="44"/>
      <c r="AD626" s="44"/>
      <c r="AE626" s="44"/>
      <c r="AF626" s="44"/>
      <c r="AG626" s="44"/>
      <c r="AH626" s="44"/>
      <c r="AI626" s="44"/>
      <c r="AJ626" s="44"/>
      <c r="AK626" s="44"/>
      <c r="AL626" s="44"/>
      <c r="AM626" s="44"/>
      <c r="AN626" s="44"/>
      <c r="AO626" s="44"/>
      <c r="AP626" s="44"/>
      <c r="AQ626" s="44"/>
      <c r="AR626" s="44"/>
      <c r="AS626" s="44"/>
      <c r="AT626" s="44"/>
      <c r="AU626" s="44"/>
      <c r="AV626" s="44"/>
      <c r="AW626" s="44"/>
      <c r="AX626" s="44"/>
    </row>
    <row r="627" spans="1:50" x14ac:dyDescent="0.25">
      <c r="A627" s="44"/>
      <c r="B627" s="44"/>
      <c r="C627" s="44"/>
      <c r="D627" s="44"/>
      <c r="E627" s="44"/>
      <c r="F627" s="44"/>
      <c r="G627" s="44"/>
      <c r="H627" s="44"/>
      <c r="I627" s="44"/>
      <c r="J627" s="44"/>
      <c r="K627" s="44"/>
      <c r="L627" s="44"/>
      <c r="M627" s="44"/>
      <c r="N627" s="44"/>
      <c r="O627" s="44"/>
      <c r="P627" s="44"/>
      <c r="Q627" s="44"/>
      <c r="R627" s="44"/>
      <c r="S627" s="44"/>
      <c r="T627" s="44"/>
      <c r="U627" s="44"/>
      <c r="V627" s="44"/>
      <c r="W627" s="44"/>
      <c r="X627" s="44"/>
      <c r="Y627" s="44"/>
      <c r="Z627" s="44"/>
      <c r="AA627" s="44"/>
      <c r="AB627" s="44"/>
      <c r="AC627" s="44"/>
      <c r="AD627" s="44"/>
      <c r="AE627" s="44"/>
      <c r="AF627" s="44"/>
      <c r="AG627" s="44"/>
      <c r="AH627" s="44"/>
      <c r="AI627" s="44"/>
      <c r="AJ627" s="44"/>
      <c r="AK627" s="44"/>
      <c r="AL627" s="44"/>
      <c r="AM627" s="44"/>
      <c r="AN627" s="44"/>
      <c r="AO627" s="44"/>
      <c r="AP627" s="44"/>
      <c r="AQ627" s="44"/>
      <c r="AR627" s="44"/>
      <c r="AS627" s="44"/>
      <c r="AT627" s="44"/>
      <c r="AU627" s="44"/>
      <c r="AV627" s="44"/>
      <c r="AW627" s="44"/>
      <c r="AX627" s="44"/>
    </row>
    <row r="628" spans="1:50" x14ac:dyDescent="0.25">
      <c r="A628" s="44"/>
      <c r="B628" s="44"/>
      <c r="C628" s="44"/>
      <c r="D628" s="44"/>
      <c r="E628" s="44"/>
      <c r="F628" s="44"/>
      <c r="G628" s="44"/>
      <c r="H628" s="44"/>
      <c r="I628" s="44"/>
      <c r="J628" s="44"/>
      <c r="K628" s="44"/>
      <c r="L628" s="44"/>
      <c r="M628" s="44"/>
      <c r="N628" s="44"/>
      <c r="O628" s="44"/>
      <c r="P628" s="44"/>
      <c r="Q628" s="44"/>
      <c r="R628" s="44"/>
      <c r="S628" s="44"/>
      <c r="T628" s="44"/>
      <c r="U628" s="44"/>
      <c r="V628" s="44"/>
      <c r="W628" s="44"/>
      <c r="X628" s="44"/>
      <c r="Y628" s="44"/>
      <c r="Z628" s="44"/>
      <c r="AA628" s="44"/>
      <c r="AB628" s="44"/>
      <c r="AC628" s="44"/>
      <c r="AD628" s="44"/>
      <c r="AE628" s="44"/>
      <c r="AF628" s="44"/>
      <c r="AG628" s="44"/>
      <c r="AH628" s="44"/>
      <c r="AI628" s="44"/>
      <c r="AJ628" s="44"/>
      <c r="AK628" s="44"/>
      <c r="AL628" s="44"/>
      <c r="AM628" s="44"/>
      <c r="AN628" s="44"/>
      <c r="AO628" s="44"/>
      <c r="AP628" s="44"/>
      <c r="AQ628" s="44"/>
      <c r="AR628" s="44"/>
      <c r="AS628" s="44"/>
      <c r="AT628" s="44"/>
      <c r="AU628" s="44"/>
      <c r="AV628" s="44"/>
      <c r="AW628" s="44"/>
      <c r="AX628" s="44"/>
    </row>
    <row r="629" spans="1:50" x14ac:dyDescent="0.25">
      <c r="A629" s="44"/>
      <c r="B629" s="44"/>
      <c r="C629" s="44"/>
      <c r="D629" s="44"/>
      <c r="E629" s="44"/>
      <c r="F629" s="44"/>
      <c r="G629" s="44"/>
      <c r="H629" s="44"/>
      <c r="I629" s="44"/>
      <c r="J629" s="44"/>
      <c r="K629" s="44"/>
      <c r="L629" s="44"/>
      <c r="M629" s="44"/>
      <c r="N629" s="44"/>
      <c r="O629" s="44"/>
      <c r="P629" s="44"/>
      <c r="Q629" s="44"/>
      <c r="R629" s="44"/>
      <c r="S629" s="44"/>
      <c r="T629" s="44"/>
      <c r="U629" s="44"/>
      <c r="V629" s="44"/>
      <c r="W629" s="44"/>
      <c r="X629" s="44"/>
      <c r="Y629" s="44"/>
      <c r="Z629" s="44"/>
      <c r="AA629" s="44"/>
      <c r="AB629" s="44"/>
      <c r="AC629" s="44"/>
      <c r="AD629" s="44"/>
      <c r="AE629" s="44"/>
      <c r="AF629" s="44"/>
      <c r="AG629" s="44"/>
      <c r="AH629" s="44"/>
      <c r="AI629" s="44"/>
      <c r="AJ629" s="44"/>
      <c r="AK629" s="44"/>
      <c r="AL629" s="44"/>
      <c r="AM629" s="44"/>
      <c r="AN629" s="44"/>
      <c r="AO629" s="44"/>
      <c r="AP629" s="44"/>
      <c r="AQ629" s="44"/>
      <c r="AR629" s="44"/>
      <c r="AS629" s="44"/>
      <c r="AT629" s="44"/>
      <c r="AU629" s="44"/>
      <c r="AV629" s="44"/>
      <c r="AW629" s="44"/>
      <c r="AX629" s="44"/>
    </row>
    <row r="630" spans="1:50" x14ac:dyDescent="0.25">
      <c r="A630" s="44"/>
      <c r="B630" s="44"/>
      <c r="C630" s="44"/>
      <c r="D630" s="44"/>
      <c r="E630" s="44"/>
      <c r="F630" s="44"/>
      <c r="G630" s="44"/>
      <c r="H630" s="44"/>
      <c r="I630" s="44"/>
      <c r="J630" s="44"/>
      <c r="K630" s="44"/>
      <c r="L630" s="44"/>
      <c r="M630" s="44"/>
      <c r="N630" s="44"/>
      <c r="O630" s="44"/>
      <c r="P630" s="44"/>
      <c r="Q630" s="44"/>
      <c r="R630" s="44"/>
      <c r="S630" s="44"/>
      <c r="T630" s="44"/>
      <c r="U630" s="44"/>
      <c r="V630" s="44"/>
      <c r="W630" s="44"/>
      <c r="X630" s="44"/>
      <c r="Y630" s="44"/>
      <c r="Z630" s="44"/>
      <c r="AA630" s="44"/>
      <c r="AB630" s="44"/>
      <c r="AC630" s="44"/>
      <c r="AD630" s="44"/>
      <c r="AE630" s="44"/>
      <c r="AF630" s="44"/>
      <c r="AG630" s="44"/>
      <c r="AH630" s="44"/>
      <c r="AI630" s="44"/>
      <c r="AJ630" s="44"/>
      <c r="AK630" s="44"/>
      <c r="AL630" s="44"/>
      <c r="AM630" s="44"/>
      <c r="AN630" s="44"/>
      <c r="AO630" s="44"/>
      <c r="AP630" s="44"/>
      <c r="AQ630" s="44"/>
      <c r="AR630" s="44"/>
      <c r="AS630" s="44"/>
      <c r="AT630" s="44"/>
      <c r="AU630" s="44"/>
      <c r="AV630" s="44"/>
      <c r="AW630" s="44"/>
      <c r="AX630" s="44"/>
    </row>
    <row r="631" spans="1:50" x14ac:dyDescent="0.25">
      <c r="A631" s="44"/>
      <c r="B631" s="44"/>
      <c r="C631" s="44"/>
      <c r="D631" s="44"/>
      <c r="E631" s="44"/>
      <c r="F631" s="44"/>
      <c r="G631" s="44"/>
      <c r="H631" s="44"/>
      <c r="I631" s="44"/>
      <c r="J631" s="44"/>
      <c r="K631" s="44"/>
      <c r="L631" s="44"/>
      <c r="M631" s="44"/>
      <c r="N631" s="44"/>
      <c r="O631" s="44"/>
      <c r="P631" s="44"/>
      <c r="Q631" s="44"/>
      <c r="R631" s="44"/>
      <c r="S631" s="44"/>
      <c r="T631" s="44"/>
      <c r="U631" s="44"/>
      <c r="V631" s="44"/>
      <c r="W631" s="44"/>
      <c r="X631" s="44"/>
      <c r="Y631" s="44"/>
      <c r="Z631" s="44"/>
      <c r="AA631" s="44"/>
      <c r="AB631" s="44"/>
      <c r="AC631" s="44"/>
      <c r="AD631" s="44"/>
      <c r="AE631" s="44"/>
      <c r="AF631" s="44"/>
      <c r="AG631" s="44"/>
      <c r="AH631" s="44"/>
      <c r="AI631" s="44"/>
      <c r="AJ631" s="44"/>
      <c r="AK631" s="44"/>
      <c r="AL631" s="44"/>
      <c r="AM631" s="44"/>
      <c r="AN631" s="44"/>
      <c r="AO631" s="44"/>
      <c r="AP631" s="44"/>
      <c r="AQ631" s="44"/>
      <c r="AR631" s="44"/>
      <c r="AS631" s="44"/>
      <c r="AT631" s="44"/>
      <c r="AU631" s="44"/>
      <c r="AV631" s="44"/>
      <c r="AW631" s="44"/>
      <c r="AX631" s="44"/>
    </row>
    <row r="632" spans="1:50" x14ac:dyDescent="0.25">
      <c r="A632" s="44"/>
      <c r="B632" s="44"/>
      <c r="C632" s="44"/>
      <c r="D632" s="44"/>
      <c r="E632" s="44"/>
      <c r="F632" s="44"/>
      <c r="G632" s="44"/>
      <c r="H632" s="44"/>
      <c r="I632" s="44"/>
      <c r="J632" s="44"/>
      <c r="K632" s="44"/>
      <c r="L632" s="44"/>
      <c r="M632" s="44"/>
      <c r="N632" s="44"/>
      <c r="O632" s="44"/>
      <c r="P632" s="44"/>
      <c r="Q632" s="44"/>
      <c r="R632" s="44"/>
      <c r="S632" s="44"/>
      <c r="T632" s="44"/>
      <c r="U632" s="44"/>
      <c r="V632" s="44"/>
      <c r="W632" s="44"/>
      <c r="X632" s="44"/>
      <c r="Y632" s="44"/>
      <c r="Z632" s="44"/>
      <c r="AA632" s="44"/>
      <c r="AB632" s="44"/>
      <c r="AC632" s="44"/>
      <c r="AD632" s="44"/>
      <c r="AE632" s="44"/>
      <c r="AF632" s="44"/>
      <c r="AG632" s="44"/>
      <c r="AH632" s="44"/>
      <c r="AI632" s="44"/>
      <c r="AJ632" s="44"/>
      <c r="AK632" s="44"/>
      <c r="AL632" s="44"/>
      <c r="AM632" s="44"/>
      <c r="AN632" s="44"/>
      <c r="AO632" s="44"/>
      <c r="AP632" s="44"/>
      <c r="AQ632" s="44"/>
      <c r="AR632" s="44"/>
      <c r="AS632" s="44"/>
      <c r="AT632" s="44"/>
      <c r="AU632" s="44"/>
      <c r="AV632" s="44"/>
      <c r="AW632" s="44"/>
      <c r="AX632" s="44"/>
    </row>
    <row r="633" spans="1:50" x14ac:dyDescent="0.25">
      <c r="A633" s="44"/>
      <c r="B633" s="44"/>
      <c r="C633" s="44"/>
      <c r="D633" s="44"/>
      <c r="E633" s="44"/>
      <c r="F633" s="44"/>
      <c r="G633" s="44"/>
      <c r="H633" s="44"/>
      <c r="I633" s="44"/>
      <c r="J633" s="44"/>
      <c r="K633" s="44"/>
      <c r="L633" s="44"/>
      <c r="M633" s="44"/>
      <c r="N633" s="44"/>
      <c r="O633" s="44"/>
      <c r="P633" s="44"/>
      <c r="Q633" s="44"/>
      <c r="R633" s="44"/>
      <c r="S633" s="44"/>
      <c r="T633" s="44"/>
      <c r="U633" s="44"/>
      <c r="V633" s="44"/>
      <c r="W633" s="44"/>
      <c r="X633" s="44"/>
      <c r="Y633" s="44"/>
      <c r="Z633" s="44"/>
      <c r="AA633" s="44"/>
      <c r="AB633" s="44"/>
      <c r="AC633" s="44"/>
      <c r="AD633" s="44"/>
      <c r="AE633" s="44"/>
      <c r="AF633" s="44"/>
      <c r="AG633" s="44"/>
      <c r="AH633" s="44"/>
      <c r="AI633" s="44"/>
      <c r="AJ633" s="44"/>
      <c r="AK633" s="44"/>
      <c r="AL633" s="44"/>
      <c r="AM633" s="44"/>
      <c r="AN633" s="44"/>
      <c r="AO633" s="44"/>
      <c r="AP633" s="44"/>
      <c r="AQ633" s="44"/>
      <c r="AR633" s="44"/>
      <c r="AS633" s="44"/>
      <c r="AT633" s="44"/>
      <c r="AU633" s="44"/>
      <c r="AV633" s="44"/>
      <c r="AW633" s="44"/>
      <c r="AX633" s="44"/>
    </row>
    <row r="634" spans="1:50" x14ac:dyDescent="0.25">
      <c r="A634" s="44"/>
      <c r="B634" s="44"/>
      <c r="C634" s="44"/>
      <c r="D634" s="44"/>
      <c r="E634" s="44"/>
      <c r="F634" s="44"/>
      <c r="G634" s="44"/>
      <c r="H634" s="44"/>
      <c r="I634" s="44"/>
      <c r="J634" s="44"/>
      <c r="K634" s="44"/>
      <c r="L634" s="44"/>
      <c r="M634" s="44"/>
      <c r="N634" s="44"/>
      <c r="O634" s="44"/>
      <c r="P634" s="44"/>
      <c r="Q634" s="44"/>
      <c r="R634" s="44"/>
      <c r="S634" s="44"/>
      <c r="T634" s="44"/>
      <c r="U634" s="44"/>
      <c r="V634" s="44"/>
      <c r="W634" s="44"/>
      <c r="X634" s="44"/>
      <c r="Y634" s="44"/>
      <c r="Z634" s="44"/>
      <c r="AA634" s="44"/>
      <c r="AB634" s="44"/>
      <c r="AC634" s="44"/>
      <c r="AD634" s="44"/>
      <c r="AE634" s="44"/>
      <c r="AF634" s="44"/>
      <c r="AG634" s="44"/>
      <c r="AH634" s="44"/>
      <c r="AI634" s="44"/>
      <c r="AJ634" s="44"/>
      <c r="AK634" s="44"/>
      <c r="AL634" s="44"/>
      <c r="AM634" s="44"/>
      <c r="AN634" s="44"/>
      <c r="AO634" s="44"/>
      <c r="AP634" s="44"/>
      <c r="AQ634" s="44"/>
      <c r="AR634" s="44"/>
      <c r="AS634" s="44"/>
      <c r="AT634" s="44"/>
      <c r="AU634" s="44"/>
      <c r="AV634" s="44"/>
      <c r="AW634" s="44"/>
      <c r="AX634" s="44"/>
    </row>
    <row r="635" spans="1:50" x14ac:dyDescent="0.25">
      <c r="A635" s="44"/>
      <c r="B635" s="44"/>
      <c r="C635" s="44"/>
      <c r="D635" s="44"/>
      <c r="E635" s="44"/>
      <c r="F635" s="44"/>
      <c r="G635" s="44"/>
      <c r="H635" s="44"/>
      <c r="I635" s="44"/>
      <c r="J635" s="44"/>
      <c r="K635" s="44"/>
      <c r="L635" s="44"/>
      <c r="M635" s="44"/>
      <c r="N635" s="44"/>
      <c r="O635" s="44"/>
      <c r="P635" s="44"/>
      <c r="Q635" s="44"/>
      <c r="R635" s="44"/>
      <c r="S635" s="44"/>
      <c r="T635" s="44"/>
      <c r="U635" s="44"/>
      <c r="V635" s="44"/>
      <c r="W635" s="44"/>
      <c r="X635" s="44"/>
      <c r="Y635" s="44"/>
      <c r="Z635" s="44"/>
      <c r="AA635" s="44"/>
      <c r="AB635" s="44"/>
      <c r="AC635" s="44"/>
      <c r="AD635" s="44"/>
      <c r="AE635" s="44"/>
      <c r="AF635" s="44"/>
      <c r="AG635" s="44"/>
      <c r="AH635" s="44"/>
      <c r="AI635" s="44"/>
      <c r="AJ635" s="44"/>
      <c r="AK635" s="44"/>
      <c r="AL635" s="44"/>
      <c r="AM635" s="44"/>
      <c r="AN635" s="44"/>
      <c r="AO635" s="44"/>
      <c r="AP635" s="44"/>
      <c r="AQ635" s="44"/>
      <c r="AR635" s="44"/>
      <c r="AS635" s="44"/>
      <c r="AT635" s="44"/>
      <c r="AU635" s="44"/>
      <c r="AV635" s="44"/>
      <c r="AW635" s="44"/>
      <c r="AX635" s="44"/>
    </row>
    <row r="636" spans="1:50" x14ac:dyDescent="0.25">
      <c r="A636" s="44"/>
      <c r="B636" s="44"/>
      <c r="C636" s="44"/>
      <c r="D636" s="44"/>
      <c r="E636" s="44"/>
      <c r="F636" s="44"/>
      <c r="G636" s="44"/>
      <c r="H636" s="44"/>
      <c r="I636" s="44"/>
      <c r="J636" s="44"/>
      <c r="K636" s="44"/>
      <c r="L636" s="44"/>
      <c r="M636" s="44"/>
      <c r="N636" s="44"/>
      <c r="O636" s="44"/>
      <c r="P636" s="44"/>
      <c r="Q636" s="44"/>
      <c r="R636" s="44"/>
      <c r="S636" s="44"/>
      <c r="T636" s="44"/>
      <c r="U636" s="44"/>
      <c r="V636" s="44"/>
      <c r="W636" s="44"/>
      <c r="X636" s="44"/>
      <c r="Y636" s="44"/>
      <c r="Z636" s="44"/>
      <c r="AA636" s="44"/>
      <c r="AB636" s="44"/>
      <c r="AC636" s="44"/>
      <c r="AD636" s="44"/>
      <c r="AE636" s="44"/>
      <c r="AF636" s="44"/>
      <c r="AG636" s="44"/>
      <c r="AH636" s="44"/>
      <c r="AI636" s="44"/>
      <c r="AJ636" s="44"/>
      <c r="AK636" s="44"/>
      <c r="AL636" s="44"/>
      <c r="AM636" s="44"/>
      <c r="AN636" s="44"/>
      <c r="AO636" s="44"/>
      <c r="AP636" s="44"/>
      <c r="AQ636" s="44"/>
      <c r="AR636" s="44"/>
      <c r="AS636" s="44"/>
      <c r="AT636" s="44"/>
      <c r="AU636" s="44"/>
      <c r="AV636" s="44"/>
      <c r="AW636" s="44"/>
      <c r="AX636" s="44"/>
    </row>
    <row r="637" spans="1:50" x14ac:dyDescent="0.25">
      <c r="A637" s="44"/>
      <c r="B637" s="44"/>
      <c r="C637" s="44"/>
      <c r="D637" s="44"/>
      <c r="E637" s="44"/>
      <c r="F637" s="44"/>
      <c r="G637" s="44"/>
      <c r="H637" s="44"/>
      <c r="I637" s="44"/>
      <c r="J637" s="44"/>
      <c r="K637" s="44"/>
      <c r="L637" s="44"/>
      <c r="M637" s="44"/>
      <c r="N637" s="44"/>
      <c r="O637" s="44"/>
      <c r="P637" s="44"/>
      <c r="Q637" s="44"/>
      <c r="R637" s="44"/>
      <c r="S637" s="44"/>
      <c r="T637" s="44"/>
      <c r="U637" s="44"/>
      <c r="V637" s="44"/>
      <c r="W637" s="44"/>
      <c r="X637" s="44"/>
      <c r="Y637" s="44"/>
      <c r="Z637" s="44"/>
      <c r="AA637" s="44"/>
      <c r="AB637" s="44"/>
      <c r="AC637" s="44"/>
      <c r="AD637" s="44"/>
      <c r="AE637" s="44"/>
      <c r="AF637" s="44"/>
      <c r="AG637" s="44"/>
      <c r="AH637" s="44"/>
      <c r="AI637" s="44"/>
      <c r="AJ637" s="44"/>
      <c r="AK637" s="44"/>
      <c r="AL637" s="44"/>
      <c r="AM637" s="44"/>
      <c r="AN637" s="44"/>
      <c r="AO637" s="44"/>
      <c r="AP637" s="44"/>
      <c r="AQ637" s="44"/>
      <c r="AR637" s="44"/>
      <c r="AS637" s="44"/>
      <c r="AT637" s="44"/>
      <c r="AU637" s="44"/>
      <c r="AV637" s="44"/>
      <c r="AW637" s="44"/>
      <c r="AX637" s="44"/>
    </row>
    <row r="638" spans="1:50" x14ac:dyDescent="0.25">
      <c r="A638" s="44"/>
      <c r="B638" s="44"/>
      <c r="C638" s="44"/>
      <c r="D638" s="44"/>
      <c r="E638" s="44"/>
      <c r="F638" s="44"/>
      <c r="G638" s="44"/>
      <c r="H638" s="44"/>
      <c r="I638" s="44"/>
      <c r="J638" s="44"/>
      <c r="K638" s="44"/>
      <c r="L638" s="44"/>
      <c r="M638" s="44"/>
      <c r="N638" s="44"/>
      <c r="O638" s="44"/>
      <c r="P638" s="44"/>
      <c r="Q638" s="44"/>
      <c r="R638" s="44"/>
      <c r="S638" s="44"/>
      <c r="T638" s="44"/>
      <c r="U638" s="44"/>
      <c r="V638" s="44"/>
      <c r="W638" s="44"/>
      <c r="X638" s="44"/>
      <c r="Y638" s="44"/>
      <c r="Z638" s="44"/>
      <c r="AA638" s="44"/>
      <c r="AB638" s="44"/>
      <c r="AC638" s="44"/>
      <c r="AD638" s="44"/>
      <c r="AE638" s="44"/>
      <c r="AF638" s="44"/>
      <c r="AG638" s="44"/>
      <c r="AH638" s="44"/>
      <c r="AI638" s="44"/>
      <c r="AJ638" s="44"/>
      <c r="AK638" s="44"/>
      <c r="AL638" s="44"/>
      <c r="AM638" s="44"/>
      <c r="AN638" s="44"/>
      <c r="AO638" s="44"/>
      <c r="AP638" s="44"/>
      <c r="AQ638" s="44"/>
      <c r="AR638" s="44"/>
      <c r="AS638" s="44"/>
      <c r="AT638" s="44"/>
      <c r="AU638" s="44"/>
      <c r="AV638" s="44"/>
      <c r="AW638" s="44"/>
      <c r="AX638" s="44"/>
    </row>
    <row r="639" spans="1:50" x14ac:dyDescent="0.25">
      <c r="A639" s="44"/>
      <c r="B639" s="44"/>
      <c r="C639" s="44"/>
      <c r="D639" s="44"/>
      <c r="E639" s="44"/>
      <c r="F639" s="44"/>
      <c r="G639" s="44"/>
      <c r="H639" s="44"/>
      <c r="I639" s="44"/>
      <c r="J639" s="44"/>
      <c r="K639" s="44"/>
      <c r="L639" s="44"/>
      <c r="M639" s="44"/>
      <c r="N639" s="44"/>
      <c r="O639" s="44"/>
      <c r="P639" s="44"/>
      <c r="Q639" s="44"/>
      <c r="R639" s="44"/>
      <c r="S639" s="44"/>
      <c r="T639" s="44"/>
      <c r="U639" s="44"/>
      <c r="V639" s="44"/>
      <c r="W639" s="44"/>
      <c r="X639" s="44"/>
      <c r="Y639" s="44"/>
      <c r="Z639" s="44"/>
      <c r="AA639" s="44"/>
      <c r="AB639" s="44"/>
      <c r="AC639" s="44"/>
      <c r="AD639" s="44"/>
      <c r="AE639" s="44"/>
      <c r="AF639" s="44"/>
      <c r="AG639" s="44"/>
      <c r="AH639" s="44"/>
      <c r="AI639" s="44"/>
      <c r="AJ639" s="44"/>
      <c r="AK639" s="44"/>
      <c r="AL639" s="44"/>
      <c r="AM639" s="44"/>
      <c r="AN639" s="44"/>
      <c r="AO639" s="44"/>
      <c r="AP639" s="44"/>
      <c r="AQ639" s="44"/>
      <c r="AR639" s="44"/>
      <c r="AS639" s="44"/>
      <c r="AT639" s="44"/>
      <c r="AU639" s="44"/>
      <c r="AV639" s="44"/>
      <c r="AW639" s="44"/>
      <c r="AX639" s="44"/>
    </row>
    <row r="640" spans="1:50" x14ac:dyDescent="0.25">
      <c r="A640" s="44"/>
      <c r="B640" s="44"/>
      <c r="C640" s="44"/>
      <c r="D640" s="44"/>
      <c r="E640" s="44"/>
      <c r="F640" s="44"/>
      <c r="G640" s="44"/>
      <c r="H640" s="44"/>
      <c r="I640" s="44"/>
      <c r="J640" s="44"/>
      <c r="K640" s="44"/>
      <c r="L640" s="44"/>
      <c r="M640" s="44"/>
      <c r="N640" s="44"/>
      <c r="O640" s="44"/>
      <c r="P640" s="44"/>
      <c r="Q640" s="44"/>
      <c r="R640" s="44"/>
      <c r="S640" s="44"/>
      <c r="T640" s="44"/>
      <c r="U640" s="44"/>
      <c r="V640" s="44"/>
      <c r="W640" s="44"/>
      <c r="X640" s="44"/>
      <c r="Y640" s="44"/>
      <c r="Z640" s="44"/>
      <c r="AA640" s="44"/>
      <c r="AB640" s="44"/>
      <c r="AC640" s="44"/>
      <c r="AD640" s="44"/>
      <c r="AE640" s="44"/>
      <c r="AF640" s="44"/>
      <c r="AG640" s="44"/>
      <c r="AH640" s="44"/>
      <c r="AI640" s="44"/>
      <c r="AJ640" s="44"/>
      <c r="AK640" s="44"/>
      <c r="AL640" s="44"/>
      <c r="AM640" s="44"/>
      <c r="AN640" s="44"/>
      <c r="AO640" s="44"/>
      <c r="AP640" s="44"/>
      <c r="AQ640" s="44"/>
      <c r="AR640" s="44"/>
      <c r="AS640" s="44"/>
      <c r="AT640" s="44"/>
      <c r="AU640" s="44"/>
      <c r="AV640" s="44"/>
      <c r="AW640" s="44"/>
      <c r="AX640" s="44"/>
    </row>
    <row r="641" spans="1:50" x14ac:dyDescent="0.25">
      <c r="A641" s="44"/>
      <c r="B641" s="44"/>
      <c r="C641" s="44"/>
      <c r="D641" s="44"/>
      <c r="E641" s="44"/>
      <c r="F641" s="44"/>
      <c r="G641" s="44"/>
      <c r="H641" s="44"/>
      <c r="I641" s="44"/>
      <c r="J641" s="44"/>
      <c r="K641" s="44"/>
      <c r="L641" s="44"/>
      <c r="M641" s="44"/>
      <c r="N641" s="44"/>
      <c r="O641" s="44"/>
      <c r="P641" s="44"/>
      <c r="Q641" s="44"/>
      <c r="R641" s="44"/>
      <c r="S641" s="44"/>
      <c r="T641" s="44"/>
      <c r="U641" s="44"/>
      <c r="V641" s="44"/>
      <c r="W641" s="44"/>
      <c r="X641" s="44"/>
      <c r="Y641" s="44"/>
      <c r="Z641" s="44"/>
      <c r="AA641" s="44"/>
      <c r="AB641" s="44"/>
      <c r="AC641" s="44"/>
      <c r="AD641" s="44"/>
      <c r="AE641" s="44"/>
      <c r="AF641" s="44"/>
      <c r="AG641" s="44"/>
      <c r="AH641" s="44"/>
      <c r="AI641" s="44"/>
      <c r="AJ641" s="44"/>
      <c r="AK641" s="44"/>
      <c r="AL641" s="44"/>
      <c r="AM641" s="44"/>
      <c r="AN641" s="44"/>
      <c r="AO641" s="44"/>
      <c r="AP641" s="44"/>
      <c r="AQ641" s="44"/>
      <c r="AR641" s="44"/>
      <c r="AS641" s="44"/>
      <c r="AT641" s="44"/>
      <c r="AU641" s="44"/>
      <c r="AV641" s="44"/>
      <c r="AW641" s="44"/>
      <c r="AX641" s="44"/>
    </row>
    <row r="642" spans="1:50" x14ac:dyDescent="0.25">
      <c r="A642" s="44"/>
      <c r="B642" s="44"/>
      <c r="C642" s="44"/>
      <c r="D642" s="44"/>
      <c r="E642" s="44"/>
      <c r="F642" s="44"/>
      <c r="G642" s="44"/>
      <c r="H642" s="44"/>
      <c r="I642" s="44"/>
      <c r="J642" s="44"/>
      <c r="K642" s="44"/>
      <c r="L642" s="44"/>
      <c r="M642" s="44"/>
      <c r="N642" s="44"/>
      <c r="O642" s="44"/>
      <c r="P642" s="44"/>
      <c r="Q642" s="44"/>
      <c r="R642" s="44"/>
      <c r="S642" s="44"/>
      <c r="T642" s="44"/>
      <c r="U642" s="44"/>
      <c r="V642" s="44"/>
      <c r="W642" s="44"/>
      <c r="X642" s="44"/>
      <c r="Y642" s="44"/>
      <c r="Z642" s="44"/>
      <c r="AA642" s="44"/>
      <c r="AB642" s="44"/>
      <c r="AC642" s="44"/>
      <c r="AD642" s="44"/>
      <c r="AE642" s="44"/>
      <c r="AF642" s="44"/>
      <c r="AG642" s="44"/>
      <c r="AH642" s="44"/>
      <c r="AI642" s="44"/>
      <c r="AJ642" s="44"/>
      <c r="AK642" s="44"/>
      <c r="AL642" s="44"/>
      <c r="AM642" s="44"/>
      <c r="AN642" s="44"/>
      <c r="AO642" s="44"/>
      <c r="AP642" s="44"/>
      <c r="AQ642" s="44"/>
      <c r="AR642" s="44"/>
      <c r="AS642" s="44"/>
      <c r="AT642" s="44"/>
      <c r="AU642" s="44"/>
      <c r="AV642" s="44"/>
      <c r="AW642" s="44"/>
      <c r="AX642" s="44"/>
    </row>
    <row r="643" spans="1:50" x14ac:dyDescent="0.25">
      <c r="A643" s="44"/>
      <c r="B643" s="44"/>
      <c r="C643" s="44"/>
      <c r="D643" s="44"/>
      <c r="E643" s="44"/>
      <c r="F643" s="44"/>
      <c r="G643" s="44"/>
      <c r="H643" s="44"/>
      <c r="I643" s="44"/>
      <c r="J643" s="44"/>
      <c r="K643" s="44"/>
      <c r="L643" s="44"/>
      <c r="M643" s="44"/>
      <c r="N643" s="44"/>
      <c r="O643" s="44"/>
      <c r="P643" s="44"/>
      <c r="Q643" s="44"/>
      <c r="R643" s="44"/>
      <c r="S643" s="44"/>
      <c r="T643" s="44"/>
      <c r="U643" s="44"/>
      <c r="V643" s="44"/>
      <c r="W643" s="44"/>
      <c r="X643" s="44"/>
      <c r="Y643" s="44"/>
      <c r="Z643" s="44"/>
      <c r="AA643" s="44"/>
      <c r="AB643" s="44"/>
      <c r="AC643" s="44"/>
      <c r="AD643" s="44"/>
      <c r="AE643" s="44"/>
      <c r="AF643" s="44"/>
      <c r="AG643" s="44"/>
      <c r="AH643" s="44"/>
      <c r="AI643" s="44"/>
      <c r="AJ643" s="44"/>
      <c r="AK643" s="44"/>
      <c r="AL643" s="44"/>
      <c r="AM643" s="44"/>
      <c r="AN643" s="44"/>
      <c r="AO643" s="44"/>
      <c r="AP643" s="44"/>
      <c r="AQ643" s="44"/>
      <c r="AR643" s="44"/>
      <c r="AS643" s="44"/>
      <c r="AT643" s="44"/>
      <c r="AU643" s="44"/>
      <c r="AV643" s="44"/>
      <c r="AW643" s="44"/>
      <c r="AX643" s="44"/>
    </row>
    <row r="644" spans="1:50" x14ac:dyDescent="0.25">
      <c r="A644" s="44"/>
      <c r="B644" s="44"/>
      <c r="C644" s="44"/>
      <c r="D644" s="44"/>
      <c r="E644" s="44"/>
      <c r="F644" s="44"/>
      <c r="G644" s="44"/>
      <c r="H644" s="44"/>
      <c r="I644" s="44"/>
      <c r="J644" s="44"/>
      <c r="K644" s="44"/>
      <c r="L644" s="44"/>
      <c r="M644" s="44"/>
      <c r="N644" s="44"/>
      <c r="O644" s="44"/>
      <c r="P644" s="44"/>
      <c r="Q644" s="44"/>
      <c r="R644" s="44"/>
      <c r="S644" s="44"/>
      <c r="T644" s="44"/>
      <c r="U644" s="44"/>
      <c r="V644" s="44"/>
      <c r="W644" s="44"/>
      <c r="X644" s="44"/>
      <c r="Y644" s="44"/>
      <c r="Z644" s="44"/>
      <c r="AA644" s="44"/>
      <c r="AB644" s="44"/>
      <c r="AC644" s="44"/>
      <c r="AD644" s="44"/>
      <c r="AE644" s="44"/>
      <c r="AF644" s="44"/>
      <c r="AG644" s="44"/>
      <c r="AH644" s="44"/>
      <c r="AI644" s="44"/>
      <c r="AJ644" s="44"/>
      <c r="AK644" s="44"/>
      <c r="AL644" s="44"/>
      <c r="AM644" s="44"/>
      <c r="AN644" s="44"/>
      <c r="AO644" s="44"/>
      <c r="AP644" s="44"/>
      <c r="AQ644" s="44"/>
      <c r="AR644" s="44"/>
      <c r="AS644" s="44"/>
      <c r="AT644" s="44"/>
      <c r="AU644" s="44"/>
      <c r="AV644" s="44"/>
      <c r="AW644" s="44"/>
      <c r="AX644" s="44"/>
    </row>
    <row r="645" spans="1:50" x14ac:dyDescent="0.25">
      <c r="A645" s="44"/>
      <c r="B645" s="44"/>
      <c r="C645" s="44"/>
      <c r="D645" s="44"/>
      <c r="E645" s="44"/>
      <c r="F645" s="44"/>
      <c r="G645" s="44"/>
      <c r="H645" s="44"/>
      <c r="I645" s="44"/>
      <c r="J645" s="44"/>
      <c r="K645" s="44"/>
      <c r="L645" s="44"/>
      <c r="M645" s="44"/>
      <c r="N645" s="44"/>
      <c r="O645" s="44"/>
      <c r="P645" s="44"/>
      <c r="Q645" s="44"/>
      <c r="R645" s="44"/>
      <c r="S645" s="44"/>
      <c r="T645" s="44"/>
      <c r="U645" s="44"/>
      <c r="V645" s="44"/>
      <c r="W645" s="44"/>
      <c r="X645" s="44"/>
      <c r="Y645" s="44"/>
      <c r="Z645" s="44"/>
      <c r="AA645" s="44"/>
      <c r="AB645" s="44"/>
      <c r="AC645" s="44"/>
      <c r="AD645" s="44"/>
      <c r="AE645" s="44"/>
      <c r="AF645" s="44"/>
      <c r="AG645" s="44"/>
      <c r="AH645" s="44"/>
      <c r="AI645" s="44"/>
      <c r="AJ645" s="44"/>
      <c r="AK645" s="44"/>
      <c r="AL645" s="44"/>
      <c r="AM645" s="44"/>
      <c r="AN645" s="44"/>
      <c r="AO645" s="44"/>
      <c r="AP645" s="44"/>
      <c r="AQ645" s="44"/>
      <c r="AR645" s="44"/>
      <c r="AS645" s="44"/>
      <c r="AT645" s="44"/>
      <c r="AU645" s="44"/>
      <c r="AV645" s="44"/>
      <c r="AW645" s="44"/>
      <c r="AX645" s="44"/>
    </row>
    <row r="646" spans="1:50" x14ac:dyDescent="0.25">
      <c r="A646" s="44"/>
      <c r="B646" s="44"/>
      <c r="C646" s="44"/>
      <c r="D646" s="44"/>
      <c r="E646" s="44"/>
      <c r="F646" s="44"/>
      <c r="G646" s="44"/>
      <c r="H646" s="44"/>
      <c r="I646" s="44"/>
      <c r="J646" s="44"/>
      <c r="K646" s="44"/>
      <c r="L646" s="44"/>
      <c r="M646" s="44"/>
      <c r="N646" s="44"/>
      <c r="O646" s="44"/>
      <c r="P646" s="44"/>
      <c r="Q646" s="44"/>
      <c r="R646" s="44"/>
      <c r="S646" s="44"/>
      <c r="T646" s="44"/>
      <c r="U646" s="44"/>
      <c r="V646" s="44"/>
      <c r="W646" s="44"/>
      <c r="X646" s="44"/>
      <c r="Y646" s="44"/>
      <c r="Z646" s="44"/>
      <c r="AA646" s="44"/>
      <c r="AB646" s="44"/>
      <c r="AC646" s="44"/>
      <c r="AD646" s="44"/>
      <c r="AE646" s="44"/>
      <c r="AF646" s="44"/>
      <c r="AG646" s="44"/>
      <c r="AH646" s="44"/>
      <c r="AI646" s="44"/>
      <c r="AJ646" s="44"/>
      <c r="AK646" s="44"/>
      <c r="AL646" s="44"/>
      <c r="AM646" s="44"/>
      <c r="AN646" s="44"/>
      <c r="AO646" s="44"/>
      <c r="AP646" s="44"/>
      <c r="AQ646" s="44"/>
      <c r="AR646" s="44"/>
      <c r="AS646" s="44"/>
      <c r="AT646" s="44"/>
      <c r="AU646" s="44"/>
      <c r="AV646" s="44"/>
      <c r="AW646" s="44"/>
      <c r="AX646" s="44"/>
    </row>
    <row r="647" spans="1:50" x14ac:dyDescent="0.25">
      <c r="A647" s="44"/>
      <c r="B647" s="44"/>
      <c r="C647" s="44"/>
      <c r="D647" s="44"/>
      <c r="E647" s="44"/>
      <c r="F647" s="44"/>
      <c r="G647" s="44"/>
      <c r="H647" s="44"/>
      <c r="I647" s="44"/>
      <c r="J647" s="44"/>
      <c r="K647" s="44"/>
      <c r="L647" s="44"/>
      <c r="M647" s="44"/>
      <c r="N647" s="44"/>
      <c r="O647" s="44"/>
      <c r="P647" s="44"/>
      <c r="Q647" s="44"/>
      <c r="R647" s="44"/>
      <c r="S647" s="44"/>
      <c r="T647" s="44"/>
      <c r="U647" s="44"/>
      <c r="V647" s="44"/>
      <c r="W647" s="44"/>
      <c r="X647" s="44"/>
      <c r="Y647" s="44"/>
      <c r="Z647" s="44"/>
      <c r="AA647" s="44"/>
      <c r="AB647" s="44"/>
      <c r="AC647" s="44"/>
      <c r="AD647" s="44"/>
      <c r="AE647" s="44"/>
      <c r="AF647" s="44"/>
      <c r="AG647" s="44"/>
      <c r="AH647" s="44"/>
      <c r="AI647" s="44"/>
      <c r="AJ647" s="44"/>
      <c r="AK647" s="44"/>
      <c r="AL647" s="44"/>
      <c r="AM647" s="44"/>
      <c r="AN647" s="44"/>
      <c r="AO647" s="44"/>
      <c r="AP647" s="44"/>
      <c r="AQ647" s="44"/>
      <c r="AR647" s="44"/>
      <c r="AS647" s="44"/>
      <c r="AT647" s="44"/>
      <c r="AU647" s="44"/>
      <c r="AV647" s="44"/>
      <c r="AW647" s="44"/>
      <c r="AX647" s="44"/>
    </row>
    <row r="648" spans="1:50" x14ac:dyDescent="0.25">
      <c r="A648" s="44"/>
      <c r="B648" s="44"/>
      <c r="C648" s="44"/>
      <c r="D648" s="44"/>
      <c r="E648" s="44"/>
      <c r="F648" s="44"/>
      <c r="G648" s="44"/>
      <c r="H648" s="44"/>
      <c r="I648" s="44"/>
      <c r="J648" s="44"/>
      <c r="K648" s="44"/>
      <c r="L648" s="44"/>
      <c r="M648" s="44"/>
      <c r="N648" s="44"/>
      <c r="O648" s="44"/>
      <c r="P648" s="44"/>
      <c r="Q648" s="44"/>
      <c r="R648" s="44"/>
      <c r="S648" s="44"/>
      <c r="T648" s="44"/>
      <c r="U648" s="44"/>
      <c r="V648" s="44"/>
      <c r="W648" s="44"/>
      <c r="X648" s="44"/>
      <c r="Y648" s="44"/>
      <c r="Z648" s="44"/>
      <c r="AA648" s="44"/>
      <c r="AB648" s="44"/>
      <c r="AC648" s="44"/>
      <c r="AD648" s="44"/>
      <c r="AE648" s="44"/>
      <c r="AF648" s="44"/>
      <c r="AG648" s="44"/>
      <c r="AH648" s="44"/>
      <c r="AI648" s="44"/>
      <c r="AJ648" s="44"/>
      <c r="AK648" s="44"/>
      <c r="AL648" s="44"/>
      <c r="AM648" s="44"/>
      <c r="AN648" s="44"/>
      <c r="AO648" s="44"/>
      <c r="AP648" s="44"/>
      <c r="AQ648" s="44"/>
      <c r="AR648" s="44"/>
      <c r="AS648" s="44"/>
      <c r="AT648" s="44"/>
      <c r="AU648" s="44"/>
      <c r="AV648" s="44"/>
      <c r="AW648" s="44"/>
      <c r="AX648" s="44"/>
    </row>
    <row r="649" spans="1:50" x14ac:dyDescent="0.25">
      <c r="A649" s="44"/>
      <c r="B649" s="44"/>
      <c r="C649" s="44"/>
      <c r="D649" s="44"/>
      <c r="E649" s="44"/>
      <c r="F649" s="44"/>
      <c r="G649" s="44"/>
      <c r="H649" s="44"/>
      <c r="I649" s="44"/>
      <c r="J649" s="44"/>
      <c r="K649" s="44"/>
      <c r="L649" s="44"/>
      <c r="M649" s="44"/>
      <c r="N649" s="44"/>
      <c r="O649" s="44"/>
      <c r="P649" s="44"/>
      <c r="Q649" s="44"/>
      <c r="R649" s="44"/>
      <c r="S649" s="44"/>
      <c r="T649" s="44"/>
      <c r="U649" s="44"/>
      <c r="V649" s="44"/>
      <c r="W649" s="44"/>
      <c r="X649" s="44"/>
      <c r="Y649" s="44"/>
      <c r="Z649" s="44"/>
      <c r="AA649" s="44"/>
      <c r="AB649" s="44"/>
      <c r="AC649" s="44"/>
      <c r="AD649" s="44"/>
      <c r="AE649" s="44"/>
      <c r="AF649" s="44"/>
      <c r="AG649" s="44"/>
      <c r="AH649" s="44"/>
      <c r="AI649" s="44"/>
      <c r="AJ649" s="44"/>
      <c r="AK649" s="44"/>
      <c r="AL649" s="44"/>
      <c r="AM649" s="44"/>
      <c r="AN649" s="44"/>
      <c r="AO649" s="44"/>
      <c r="AP649" s="44"/>
      <c r="AQ649" s="44"/>
      <c r="AR649" s="44"/>
      <c r="AS649" s="44"/>
      <c r="AT649" s="44"/>
      <c r="AU649" s="44"/>
      <c r="AV649" s="44"/>
      <c r="AW649" s="44"/>
      <c r="AX649" s="44"/>
    </row>
    <row r="650" spans="1:50" x14ac:dyDescent="0.25">
      <c r="A650" s="44"/>
      <c r="B650" s="44"/>
      <c r="C650" s="44"/>
      <c r="D650" s="44"/>
      <c r="E650" s="44"/>
      <c r="F650" s="44"/>
      <c r="G650" s="44"/>
      <c r="H650" s="44"/>
      <c r="I650" s="44"/>
      <c r="J650" s="44"/>
      <c r="K650" s="44"/>
      <c r="L650" s="44"/>
      <c r="M650" s="44"/>
      <c r="N650" s="44"/>
      <c r="O650" s="44"/>
      <c r="P650" s="44"/>
      <c r="Q650" s="44"/>
      <c r="R650" s="44"/>
      <c r="S650" s="44"/>
      <c r="T650" s="44"/>
      <c r="U650" s="44"/>
      <c r="V650" s="44"/>
      <c r="W650" s="44"/>
      <c r="X650" s="44"/>
      <c r="Y650" s="44"/>
      <c r="Z650" s="44"/>
      <c r="AA650" s="44"/>
      <c r="AB650" s="44"/>
      <c r="AC650" s="44"/>
      <c r="AD650" s="44"/>
      <c r="AE650" s="44"/>
      <c r="AF650" s="44"/>
      <c r="AG650" s="44"/>
      <c r="AH650" s="44"/>
      <c r="AI650" s="44"/>
      <c r="AJ650" s="44"/>
      <c r="AK650" s="44"/>
      <c r="AL650" s="44"/>
      <c r="AM650" s="44"/>
      <c r="AN650" s="44"/>
      <c r="AO650" s="44"/>
      <c r="AP650" s="44"/>
      <c r="AQ650" s="44"/>
      <c r="AR650" s="44"/>
      <c r="AS650" s="44"/>
      <c r="AT650" s="44"/>
      <c r="AU650" s="44"/>
      <c r="AV650" s="44"/>
      <c r="AW650" s="44"/>
      <c r="AX650" s="44"/>
    </row>
    <row r="651" spans="1:50" x14ac:dyDescent="0.25">
      <c r="A651" s="44"/>
      <c r="B651" s="44"/>
      <c r="C651" s="44"/>
      <c r="D651" s="44"/>
      <c r="E651" s="44"/>
      <c r="F651" s="44"/>
      <c r="G651" s="44"/>
      <c r="H651" s="44"/>
      <c r="I651" s="44"/>
      <c r="J651" s="44"/>
      <c r="K651" s="44"/>
      <c r="L651" s="44"/>
      <c r="M651" s="44"/>
      <c r="N651" s="44"/>
      <c r="O651" s="44"/>
      <c r="P651" s="44"/>
      <c r="Q651" s="44"/>
      <c r="R651" s="44"/>
      <c r="S651" s="44"/>
      <c r="T651" s="44"/>
      <c r="U651" s="44"/>
      <c r="V651" s="44"/>
      <c r="W651" s="44"/>
      <c r="X651" s="44"/>
      <c r="Y651" s="44"/>
      <c r="Z651" s="44"/>
      <c r="AA651" s="44"/>
      <c r="AB651" s="44"/>
      <c r="AC651" s="44"/>
      <c r="AD651" s="44"/>
      <c r="AE651" s="44"/>
      <c r="AF651" s="44"/>
      <c r="AG651" s="44"/>
      <c r="AH651" s="44"/>
      <c r="AI651" s="44"/>
      <c r="AJ651" s="44"/>
      <c r="AK651" s="44"/>
      <c r="AL651" s="44"/>
      <c r="AM651" s="44"/>
      <c r="AN651" s="44"/>
      <c r="AO651" s="44"/>
      <c r="AP651" s="44"/>
      <c r="AQ651" s="44"/>
      <c r="AR651" s="44"/>
      <c r="AS651" s="44"/>
      <c r="AT651" s="44"/>
      <c r="AU651" s="44"/>
      <c r="AV651" s="44"/>
      <c r="AW651" s="44"/>
      <c r="AX651" s="44"/>
    </row>
    <row r="652" spans="1:50" x14ac:dyDescent="0.25">
      <c r="A652" s="44"/>
      <c r="B652" s="44"/>
      <c r="C652" s="44"/>
      <c r="D652" s="44"/>
      <c r="E652" s="44"/>
      <c r="F652" s="44"/>
      <c r="G652" s="44"/>
      <c r="H652" s="44"/>
      <c r="I652" s="44"/>
      <c r="J652" s="44"/>
      <c r="K652" s="44"/>
      <c r="L652" s="44"/>
      <c r="M652" s="44"/>
      <c r="N652" s="44"/>
      <c r="O652" s="44"/>
      <c r="P652" s="44"/>
      <c r="Q652" s="44"/>
      <c r="R652" s="44"/>
      <c r="S652" s="44"/>
      <c r="T652" s="44"/>
      <c r="U652" s="44"/>
      <c r="V652" s="44"/>
      <c r="W652" s="44"/>
      <c r="X652" s="44"/>
      <c r="Y652" s="44"/>
      <c r="Z652" s="44"/>
      <c r="AA652" s="44"/>
      <c r="AB652" s="44"/>
      <c r="AC652" s="44"/>
      <c r="AD652" s="44"/>
      <c r="AE652" s="44"/>
      <c r="AF652" s="44"/>
      <c r="AG652" s="44"/>
      <c r="AH652" s="44"/>
      <c r="AI652" s="44"/>
      <c r="AJ652" s="44"/>
      <c r="AK652" s="44"/>
      <c r="AL652" s="44"/>
      <c r="AM652" s="44"/>
      <c r="AN652" s="44"/>
      <c r="AO652" s="44"/>
      <c r="AP652" s="44"/>
      <c r="AQ652" s="44"/>
      <c r="AR652" s="44"/>
      <c r="AS652" s="44"/>
      <c r="AT652" s="44"/>
      <c r="AU652" s="44"/>
      <c r="AV652" s="44"/>
      <c r="AW652" s="44"/>
      <c r="AX652" s="44"/>
    </row>
    <row r="653" spans="1:50" x14ac:dyDescent="0.25">
      <c r="A653" s="44"/>
      <c r="B653" s="44"/>
      <c r="C653" s="44"/>
      <c r="D653" s="44"/>
      <c r="E653" s="44"/>
      <c r="F653" s="44"/>
      <c r="G653" s="44"/>
      <c r="H653" s="44"/>
      <c r="I653" s="44"/>
      <c r="J653" s="44"/>
      <c r="K653" s="44"/>
      <c r="L653" s="44"/>
      <c r="M653" s="44"/>
      <c r="N653" s="44"/>
      <c r="O653" s="44"/>
      <c r="P653" s="44"/>
      <c r="Q653" s="44"/>
      <c r="R653" s="44"/>
      <c r="S653" s="44"/>
      <c r="T653" s="44"/>
      <c r="U653" s="44"/>
      <c r="V653" s="44"/>
      <c r="W653" s="44"/>
      <c r="X653" s="44"/>
      <c r="Y653" s="44"/>
      <c r="Z653" s="44"/>
      <c r="AA653" s="44"/>
      <c r="AB653" s="44"/>
      <c r="AC653" s="44"/>
      <c r="AD653" s="44"/>
      <c r="AE653" s="44"/>
      <c r="AF653" s="44"/>
      <c r="AG653" s="44"/>
      <c r="AH653" s="44"/>
      <c r="AI653" s="44"/>
      <c r="AJ653" s="44"/>
      <c r="AK653" s="44"/>
      <c r="AL653" s="44"/>
      <c r="AM653" s="44"/>
      <c r="AN653" s="44"/>
      <c r="AO653" s="44"/>
      <c r="AP653" s="44"/>
      <c r="AQ653" s="44"/>
      <c r="AR653" s="44"/>
      <c r="AS653" s="44"/>
      <c r="AT653" s="44"/>
      <c r="AU653" s="44"/>
      <c r="AV653" s="44"/>
      <c r="AW653" s="44"/>
      <c r="AX653" s="44"/>
    </row>
    <row r="654" spans="1:50" x14ac:dyDescent="0.25">
      <c r="A654" s="44"/>
      <c r="B654" s="44"/>
      <c r="C654" s="44"/>
      <c r="D654" s="44"/>
      <c r="E654" s="44"/>
      <c r="F654" s="44"/>
      <c r="G654" s="44"/>
      <c r="H654" s="44"/>
      <c r="I654" s="44"/>
      <c r="J654" s="44"/>
      <c r="K654" s="44"/>
      <c r="L654" s="44"/>
      <c r="M654" s="44"/>
      <c r="N654" s="44"/>
      <c r="O654" s="44"/>
      <c r="P654" s="44"/>
      <c r="Q654" s="44"/>
      <c r="R654" s="44"/>
      <c r="S654" s="44"/>
      <c r="T654" s="44"/>
      <c r="U654" s="44"/>
      <c r="V654" s="44"/>
      <c r="W654" s="44"/>
      <c r="X654" s="44"/>
      <c r="Y654" s="44"/>
      <c r="Z654" s="44"/>
      <c r="AA654" s="44"/>
      <c r="AB654" s="44"/>
      <c r="AC654" s="44"/>
      <c r="AD654" s="44"/>
      <c r="AE654" s="44"/>
      <c r="AF654" s="44"/>
      <c r="AG654" s="44"/>
      <c r="AH654" s="44"/>
      <c r="AI654" s="44"/>
      <c r="AJ654" s="44"/>
      <c r="AK654" s="44"/>
      <c r="AL654" s="44"/>
      <c r="AM654" s="44"/>
      <c r="AN654" s="44"/>
      <c r="AO654" s="44"/>
      <c r="AP654" s="44"/>
      <c r="AQ654" s="44"/>
      <c r="AR654" s="44"/>
      <c r="AS654" s="44"/>
      <c r="AT654" s="44"/>
      <c r="AU654" s="44"/>
      <c r="AV654" s="44"/>
      <c r="AW654" s="44"/>
      <c r="AX654" s="44"/>
    </row>
    <row r="655" spans="1:50" x14ac:dyDescent="0.25">
      <c r="A655" s="44"/>
      <c r="B655" s="44"/>
      <c r="C655" s="44"/>
      <c r="D655" s="44"/>
      <c r="E655" s="44"/>
      <c r="F655" s="44"/>
      <c r="G655" s="44"/>
      <c r="H655" s="44"/>
      <c r="I655" s="44"/>
      <c r="J655" s="44"/>
      <c r="K655" s="44"/>
      <c r="L655" s="44"/>
      <c r="M655" s="44"/>
      <c r="N655" s="44"/>
      <c r="O655" s="44"/>
      <c r="P655" s="44"/>
      <c r="Q655" s="44"/>
      <c r="R655" s="44"/>
      <c r="S655" s="44"/>
      <c r="T655" s="44"/>
      <c r="U655" s="44"/>
      <c r="V655" s="44"/>
      <c r="W655" s="44"/>
      <c r="X655" s="44"/>
      <c r="Y655" s="44"/>
      <c r="Z655" s="44"/>
      <c r="AA655" s="44"/>
      <c r="AB655" s="44"/>
      <c r="AC655" s="44"/>
      <c r="AD655" s="44"/>
      <c r="AE655" s="44"/>
      <c r="AF655" s="44"/>
      <c r="AG655" s="44"/>
      <c r="AH655" s="44"/>
      <c r="AI655" s="44"/>
      <c r="AJ655" s="44"/>
      <c r="AK655" s="44"/>
      <c r="AL655" s="44"/>
      <c r="AM655" s="44"/>
      <c r="AN655" s="44"/>
      <c r="AO655" s="44"/>
      <c r="AP655" s="44"/>
      <c r="AQ655" s="44"/>
      <c r="AR655" s="44"/>
      <c r="AS655" s="44"/>
      <c r="AT655" s="44"/>
      <c r="AU655" s="44"/>
      <c r="AV655" s="44"/>
      <c r="AW655" s="44"/>
      <c r="AX655" s="44"/>
    </row>
    <row r="656" spans="1:50" x14ac:dyDescent="0.25">
      <c r="A656" s="44"/>
      <c r="B656" s="44"/>
      <c r="C656" s="44"/>
      <c r="D656" s="44"/>
      <c r="E656" s="44"/>
      <c r="F656" s="44"/>
      <c r="G656" s="44"/>
      <c r="H656" s="44"/>
      <c r="I656" s="44"/>
      <c r="J656" s="44"/>
      <c r="K656" s="44"/>
      <c r="L656" s="44"/>
      <c r="M656" s="44"/>
      <c r="N656" s="44"/>
      <c r="O656" s="44"/>
      <c r="P656" s="44"/>
      <c r="Q656" s="44"/>
      <c r="R656" s="44"/>
      <c r="S656" s="44"/>
      <c r="T656" s="44"/>
      <c r="U656" s="44"/>
      <c r="V656" s="44"/>
      <c r="W656" s="44"/>
      <c r="X656" s="44"/>
      <c r="Y656" s="44"/>
      <c r="Z656" s="44"/>
      <c r="AA656" s="44"/>
      <c r="AB656" s="44"/>
      <c r="AC656" s="44"/>
      <c r="AD656" s="44"/>
      <c r="AE656" s="44"/>
      <c r="AF656" s="44"/>
      <c r="AG656" s="44"/>
      <c r="AH656" s="44"/>
      <c r="AI656" s="44"/>
      <c r="AJ656" s="44"/>
      <c r="AK656" s="44"/>
      <c r="AL656" s="44"/>
      <c r="AM656" s="44"/>
      <c r="AN656" s="44"/>
      <c r="AO656" s="44"/>
      <c r="AP656" s="44"/>
      <c r="AQ656" s="44"/>
      <c r="AR656" s="44"/>
      <c r="AS656" s="44"/>
      <c r="AT656" s="44"/>
      <c r="AU656" s="44"/>
      <c r="AV656" s="44"/>
      <c r="AW656" s="44"/>
      <c r="AX656" s="44"/>
    </row>
    <row r="657" spans="1:50" x14ac:dyDescent="0.25">
      <c r="A657" s="44"/>
      <c r="B657" s="44"/>
      <c r="C657" s="44"/>
      <c r="D657" s="44"/>
      <c r="E657" s="44"/>
      <c r="F657" s="44"/>
      <c r="G657" s="44"/>
      <c r="H657" s="44"/>
      <c r="I657" s="44"/>
      <c r="J657" s="44"/>
      <c r="K657" s="44"/>
      <c r="L657" s="44"/>
      <c r="M657" s="44"/>
      <c r="N657" s="44"/>
      <c r="O657" s="44"/>
      <c r="P657" s="44"/>
      <c r="Q657" s="44"/>
      <c r="R657" s="44"/>
      <c r="S657" s="44"/>
      <c r="T657" s="44"/>
      <c r="U657" s="44"/>
      <c r="V657" s="44"/>
      <c r="W657" s="44"/>
      <c r="X657" s="44"/>
      <c r="Y657" s="44"/>
      <c r="Z657" s="44"/>
      <c r="AA657" s="44"/>
      <c r="AB657" s="44"/>
      <c r="AC657" s="44"/>
      <c r="AD657" s="44"/>
      <c r="AE657" s="44"/>
      <c r="AF657" s="44"/>
      <c r="AG657" s="44"/>
      <c r="AH657" s="44"/>
      <c r="AI657" s="44"/>
      <c r="AJ657" s="44"/>
      <c r="AK657" s="44"/>
      <c r="AL657" s="44"/>
      <c r="AM657" s="44"/>
      <c r="AN657" s="44"/>
      <c r="AO657" s="44"/>
      <c r="AP657" s="44"/>
      <c r="AQ657" s="44"/>
      <c r="AR657" s="44"/>
      <c r="AS657" s="44"/>
      <c r="AT657" s="44"/>
      <c r="AU657" s="44"/>
      <c r="AV657" s="44"/>
      <c r="AW657" s="44"/>
      <c r="AX657" s="44"/>
    </row>
    <row r="658" spans="1:50" x14ac:dyDescent="0.25">
      <c r="A658" s="44"/>
      <c r="B658" s="44"/>
      <c r="C658" s="44"/>
      <c r="D658" s="44"/>
      <c r="E658" s="44"/>
      <c r="F658" s="44"/>
      <c r="G658" s="44"/>
      <c r="H658" s="44"/>
      <c r="I658" s="44"/>
      <c r="J658" s="44"/>
      <c r="K658" s="44"/>
      <c r="L658" s="44"/>
      <c r="M658" s="44"/>
      <c r="N658" s="44"/>
      <c r="O658" s="44"/>
      <c r="P658" s="44"/>
      <c r="Q658" s="44"/>
      <c r="R658" s="44"/>
      <c r="S658" s="44"/>
      <c r="T658" s="44"/>
      <c r="U658" s="44"/>
      <c r="V658" s="44"/>
      <c r="W658" s="44"/>
      <c r="X658" s="44"/>
      <c r="Y658" s="44"/>
      <c r="Z658" s="44"/>
      <c r="AA658" s="44"/>
      <c r="AB658" s="44"/>
      <c r="AC658" s="44"/>
      <c r="AD658" s="44"/>
      <c r="AE658" s="44"/>
      <c r="AF658" s="44"/>
      <c r="AG658" s="44"/>
      <c r="AH658" s="44"/>
      <c r="AI658" s="44"/>
      <c r="AJ658" s="44"/>
      <c r="AK658" s="44"/>
      <c r="AL658" s="44"/>
      <c r="AM658" s="44"/>
      <c r="AN658" s="44"/>
      <c r="AO658" s="44"/>
      <c r="AP658" s="44"/>
      <c r="AQ658" s="44"/>
      <c r="AR658" s="44"/>
      <c r="AS658" s="44"/>
      <c r="AT658" s="44"/>
      <c r="AU658" s="44"/>
      <c r="AV658" s="44"/>
      <c r="AW658" s="44"/>
      <c r="AX658" s="44"/>
    </row>
    <row r="659" spans="1:50" x14ac:dyDescent="0.25">
      <c r="A659" s="44"/>
      <c r="B659" s="44"/>
      <c r="C659" s="44"/>
      <c r="D659" s="44"/>
      <c r="E659" s="44"/>
      <c r="F659" s="44"/>
      <c r="G659" s="44"/>
      <c r="H659" s="44"/>
      <c r="I659" s="44"/>
      <c r="J659" s="44"/>
      <c r="K659" s="44"/>
      <c r="L659" s="44"/>
      <c r="M659" s="44"/>
      <c r="N659" s="44"/>
      <c r="O659" s="44"/>
      <c r="P659" s="44"/>
      <c r="Q659" s="44"/>
      <c r="R659" s="44"/>
      <c r="S659" s="44"/>
      <c r="T659" s="44"/>
      <c r="U659" s="44"/>
      <c r="V659" s="44"/>
      <c r="W659" s="44"/>
      <c r="X659" s="44"/>
      <c r="Y659" s="44"/>
      <c r="Z659" s="44"/>
      <c r="AA659" s="44"/>
      <c r="AB659" s="44"/>
      <c r="AC659" s="44"/>
      <c r="AD659" s="44"/>
      <c r="AE659" s="44"/>
      <c r="AF659" s="44"/>
      <c r="AG659" s="44"/>
      <c r="AH659" s="44"/>
      <c r="AI659" s="44"/>
      <c r="AJ659" s="44"/>
      <c r="AK659" s="44"/>
      <c r="AL659" s="44"/>
      <c r="AM659" s="44"/>
      <c r="AN659" s="44"/>
      <c r="AO659" s="44"/>
      <c r="AP659" s="44"/>
      <c r="AQ659" s="44"/>
      <c r="AR659" s="44"/>
      <c r="AS659" s="44"/>
      <c r="AT659" s="44"/>
      <c r="AU659" s="44"/>
      <c r="AV659" s="44"/>
      <c r="AW659" s="44"/>
      <c r="AX659" s="44"/>
    </row>
    <row r="660" spans="1:50" x14ac:dyDescent="0.25">
      <c r="A660" s="44"/>
      <c r="B660" s="44"/>
      <c r="C660" s="44"/>
      <c r="D660" s="44"/>
      <c r="E660" s="44"/>
      <c r="F660" s="44"/>
      <c r="G660" s="44"/>
      <c r="H660" s="44"/>
      <c r="I660" s="44"/>
      <c r="J660" s="44"/>
      <c r="K660" s="44"/>
      <c r="L660" s="44"/>
      <c r="M660" s="44"/>
      <c r="N660" s="44"/>
      <c r="O660" s="44"/>
      <c r="P660" s="44"/>
      <c r="Q660" s="44"/>
      <c r="R660" s="44"/>
      <c r="S660" s="44"/>
      <c r="T660" s="44"/>
      <c r="U660" s="44"/>
      <c r="V660" s="44"/>
      <c r="W660" s="44"/>
      <c r="X660" s="44"/>
      <c r="Y660" s="44"/>
      <c r="Z660" s="44"/>
      <c r="AA660" s="44"/>
      <c r="AB660" s="44"/>
      <c r="AC660" s="44"/>
      <c r="AD660" s="44"/>
      <c r="AE660" s="44"/>
      <c r="AF660" s="44"/>
      <c r="AG660" s="44"/>
      <c r="AH660" s="44"/>
      <c r="AI660" s="44"/>
      <c r="AJ660" s="44"/>
      <c r="AK660" s="44"/>
      <c r="AL660" s="44"/>
      <c r="AM660" s="44"/>
      <c r="AN660" s="44"/>
      <c r="AO660" s="44"/>
      <c r="AP660" s="44"/>
      <c r="AQ660" s="44"/>
      <c r="AR660" s="44"/>
      <c r="AS660" s="44"/>
      <c r="AT660" s="44"/>
      <c r="AU660" s="44"/>
      <c r="AV660" s="44"/>
      <c r="AW660" s="44"/>
      <c r="AX660" s="44"/>
    </row>
    <row r="661" spans="1:50" x14ac:dyDescent="0.25">
      <c r="A661" s="44"/>
      <c r="B661" s="44"/>
      <c r="C661" s="44"/>
      <c r="D661" s="44"/>
      <c r="E661" s="44"/>
      <c r="F661" s="44"/>
      <c r="G661" s="44"/>
      <c r="H661" s="44"/>
      <c r="I661" s="44"/>
      <c r="J661" s="44"/>
      <c r="K661" s="44"/>
      <c r="L661" s="44"/>
      <c r="M661" s="44"/>
      <c r="N661" s="44"/>
      <c r="O661" s="44"/>
      <c r="P661" s="44"/>
      <c r="Q661" s="44"/>
      <c r="R661" s="44"/>
      <c r="S661" s="44"/>
      <c r="T661" s="44"/>
      <c r="U661" s="44"/>
      <c r="V661" s="44"/>
      <c r="W661" s="44"/>
      <c r="X661" s="44"/>
      <c r="Y661" s="44"/>
      <c r="Z661" s="44"/>
      <c r="AA661" s="44"/>
      <c r="AB661" s="44"/>
      <c r="AC661" s="44"/>
      <c r="AD661" s="44"/>
      <c r="AE661" s="44"/>
      <c r="AF661" s="44"/>
      <c r="AG661" s="44"/>
      <c r="AH661" s="44"/>
      <c r="AI661" s="44"/>
      <c r="AJ661" s="44"/>
      <c r="AK661" s="44"/>
      <c r="AL661" s="44"/>
      <c r="AM661" s="44"/>
      <c r="AN661" s="44"/>
      <c r="AO661" s="44"/>
      <c r="AP661" s="44"/>
      <c r="AQ661" s="44"/>
      <c r="AR661" s="44"/>
      <c r="AS661" s="44"/>
      <c r="AT661" s="44"/>
      <c r="AU661" s="44"/>
      <c r="AV661" s="44"/>
      <c r="AW661" s="44"/>
      <c r="AX661" s="44"/>
    </row>
    <row r="662" spans="1:50" x14ac:dyDescent="0.25">
      <c r="A662" s="44"/>
      <c r="B662" s="44"/>
      <c r="C662" s="44"/>
      <c r="D662" s="44"/>
      <c r="E662" s="44"/>
      <c r="F662" s="44"/>
      <c r="G662" s="44"/>
      <c r="H662" s="44"/>
      <c r="I662" s="44"/>
      <c r="J662" s="44"/>
      <c r="K662" s="44"/>
      <c r="L662" s="44"/>
      <c r="M662" s="44"/>
      <c r="N662" s="44"/>
      <c r="O662" s="44"/>
      <c r="P662" s="44"/>
      <c r="Q662" s="44"/>
      <c r="R662" s="44"/>
      <c r="S662" s="44"/>
      <c r="T662" s="44"/>
      <c r="U662" s="44"/>
      <c r="V662" s="44"/>
      <c r="W662" s="44"/>
      <c r="X662" s="44"/>
      <c r="Y662" s="44"/>
      <c r="Z662" s="44"/>
      <c r="AA662" s="44"/>
      <c r="AB662" s="44"/>
      <c r="AC662" s="44"/>
      <c r="AD662" s="44"/>
      <c r="AE662" s="44"/>
      <c r="AF662" s="44"/>
      <c r="AG662" s="44"/>
      <c r="AH662" s="44"/>
      <c r="AI662" s="44"/>
      <c r="AJ662" s="44"/>
      <c r="AK662" s="44"/>
      <c r="AL662" s="44"/>
      <c r="AM662" s="44"/>
      <c r="AN662" s="44"/>
      <c r="AO662" s="44"/>
      <c r="AP662" s="44"/>
      <c r="AQ662" s="44"/>
      <c r="AR662" s="44"/>
      <c r="AS662" s="44"/>
      <c r="AT662" s="44"/>
      <c r="AU662" s="44"/>
      <c r="AV662" s="44"/>
      <c r="AW662" s="44"/>
      <c r="AX662" s="44"/>
    </row>
    <row r="663" spans="1:50" x14ac:dyDescent="0.25">
      <c r="A663" s="44"/>
      <c r="B663" s="44"/>
      <c r="C663" s="44"/>
      <c r="D663" s="44"/>
      <c r="E663" s="44"/>
      <c r="F663" s="44"/>
      <c r="G663" s="44"/>
      <c r="H663" s="44"/>
      <c r="I663" s="44"/>
      <c r="J663" s="44"/>
      <c r="K663" s="44"/>
      <c r="L663" s="44"/>
      <c r="M663" s="44"/>
      <c r="N663" s="44"/>
      <c r="O663" s="44"/>
      <c r="P663" s="44"/>
      <c r="Q663" s="44"/>
      <c r="R663" s="44"/>
      <c r="S663" s="44"/>
      <c r="T663" s="44"/>
      <c r="U663" s="44"/>
      <c r="V663" s="44"/>
      <c r="W663" s="44"/>
      <c r="X663" s="44"/>
      <c r="Y663" s="44"/>
      <c r="Z663" s="44"/>
      <c r="AA663" s="44"/>
      <c r="AB663" s="44"/>
      <c r="AC663" s="44"/>
      <c r="AD663" s="44"/>
      <c r="AE663" s="44"/>
      <c r="AF663" s="44"/>
      <c r="AG663" s="44"/>
      <c r="AH663" s="44"/>
      <c r="AI663" s="44"/>
      <c r="AJ663" s="44"/>
      <c r="AK663" s="44"/>
      <c r="AL663" s="44"/>
      <c r="AM663" s="44"/>
      <c r="AN663" s="44"/>
      <c r="AO663" s="44"/>
      <c r="AP663" s="44"/>
      <c r="AQ663" s="44"/>
      <c r="AR663" s="44"/>
      <c r="AS663" s="44"/>
      <c r="AT663" s="44"/>
      <c r="AU663" s="44"/>
      <c r="AV663" s="44"/>
      <c r="AW663" s="44"/>
      <c r="AX663" s="44"/>
    </row>
    <row r="664" spans="1:50" x14ac:dyDescent="0.25">
      <c r="A664" s="44"/>
      <c r="B664" s="44"/>
      <c r="C664" s="44"/>
      <c r="D664" s="44"/>
      <c r="E664" s="44"/>
      <c r="F664" s="44"/>
      <c r="G664" s="44"/>
      <c r="H664" s="44"/>
      <c r="I664" s="44"/>
      <c r="J664" s="44"/>
      <c r="K664" s="44"/>
      <c r="L664" s="44"/>
      <c r="M664" s="44"/>
      <c r="N664" s="44"/>
      <c r="O664" s="44"/>
      <c r="P664" s="44"/>
      <c r="Q664" s="44"/>
      <c r="R664" s="44"/>
      <c r="S664" s="44"/>
      <c r="T664" s="44"/>
      <c r="U664" s="44"/>
      <c r="V664" s="44"/>
      <c r="W664" s="44"/>
      <c r="X664" s="44"/>
      <c r="Y664" s="44"/>
      <c r="Z664" s="44"/>
      <c r="AA664" s="44"/>
      <c r="AB664" s="44"/>
      <c r="AC664" s="44"/>
      <c r="AD664" s="44"/>
      <c r="AE664" s="44"/>
      <c r="AF664" s="44"/>
      <c r="AG664" s="44"/>
      <c r="AH664" s="44"/>
      <c r="AI664" s="44"/>
      <c r="AJ664" s="44"/>
      <c r="AK664" s="44"/>
      <c r="AL664" s="44"/>
      <c r="AM664" s="44"/>
      <c r="AN664" s="44"/>
      <c r="AO664" s="44"/>
      <c r="AP664" s="44"/>
      <c r="AQ664" s="44"/>
      <c r="AR664" s="44"/>
      <c r="AS664" s="44"/>
      <c r="AT664" s="44"/>
      <c r="AU664" s="44"/>
      <c r="AV664" s="44"/>
      <c r="AW664" s="44"/>
      <c r="AX664" s="44"/>
    </row>
    <row r="665" spans="1:50" x14ac:dyDescent="0.25">
      <c r="A665" s="44"/>
      <c r="B665" s="44"/>
      <c r="C665" s="44"/>
      <c r="D665" s="44"/>
      <c r="E665" s="44"/>
      <c r="F665" s="44"/>
      <c r="G665" s="44"/>
      <c r="H665" s="44"/>
      <c r="I665" s="44"/>
      <c r="J665" s="44"/>
      <c r="K665" s="44"/>
      <c r="L665" s="44"/>
      <c r="M665" s="44"/>
      <c r="N665" s="44"/>
      <c r="O665" s="44"/>
      <c r="P665" s="44"/>
      <c r="Q665" s="44"/>
      <c r="R665" s="44"/>
      <c r="S665" s="44"/>
      <c r="T665" s="44"/>
      <c r="U665" s="44"/>
      <c r="V665" s="44"/>
      <c r="W665" s="44"/>
      <c r="X665" s="44"/>
      <c r="Y665" s="44"/>
      <c r="Z665" s="44"/>
      <c r="AA665" s="44"/>
      <c r="AB665" s="44"/>
      <c r="AC665" s="44"/>
      <c r="AD665" s="44"/>
      <c r="AE665" s="44"/>
      <c r="AF665" s="44"/>
      <c r="AG665" s="44"/>
      <c r="AH665" s="44"/>
      <c r="AI665" s="44"/>
      <c r="AJ665" s="44"/>
      <c r="AK665" s="44"/>
      <c r="AL665" s="44"/>
      <c r="AM665" s="44"/>
      <c r="AN665" s="44"/>
      <c r="AO665" s="44"/>
      <c r="AP665" s="44"/>
      <c r="AQ665" s="44"/>
      <c r="AR665" s="44"/>
      <c r="AS665" s="44"/>
      <c r="AT665" s="44"/>
      <c r="AU665" s="44"/>
      <c r="AV665" s="44"/>
      <c r="AW665" s="44"/>
      <c r="AX665" s="44"/>
    </row>
    <row r="666" spans="1:50" x14ac:dyDescent="0.25">
      <c r="A666" s="44"/>
      <c r="B666" s="44"/>
      <c r="C666" s="44"/>
      <c r="D666" s="44"/>
      <c r="E666" s="44"/>
      <c r="F666" s="44"/>
      <c r="G666" s="44"/>
      <c r="H666" s="44"/>
      <c r="I666" s="44"/>
      <c r="J666" s="44"/>
      <c r="K666" s="44"/>
      <c r="L666" s="44"/>
      <c r="M666" s="44"/>
      <c r="N666" s="44"/>
      <c r="O666" s="44"/>
      <c r="P666" s="44"/>
      <c r="Q666" s="44"/>
      <c r="R666" s="44"/>
      <c r="S666" s="44"/>
      <c r="T666" s="44"/>
      <c r="U666" s="44"/>
      <c r="V666" s="44"/>
      <c r="W666" s="44"/>
      <c r="X666" s="44"/>
      <c r="Y666" s="44"/>
      <c r="Z666" s="44"/>
      <c r="AA666" s="44"/>
      <c r="AB666" s="44"/>
      <c r="AC666" s="44"/>
      <c r="AD666" s="44"/>
      <c r="AE666" s="44"/>
      <c r="AF666" s="44"/>
      <c r="AG666" s="44"/>
      <c r="AH666" s="44"/>
      <c r="AI666" s="44"/>
      <c r="AJ666" s="44"/>
      <c r="AK666" s="44"/>
      <c r="AL666" s="44"/>
      <c r="AM666" s="44"/>
      <c r="AN666" s="44"/>
      <c r="AO666" s="44"/>
      <c r="AP666" s="44"/>
      <c r="AQ666" s="44"/>
      <c r="AR666" s="44"/>
      <c r="AS666" s="44"/>
      <c r="AT666" s="44"/>
      <c r="AU666" s="44"/>
      <c r="AV666" s="44"/>
      <c r="AW666" s="44"/>
      <c r="AX666" s="44"/>
    </row>
    <row r="667" spans="1:50" x14ac:dyDescent="0.25">
      <c r="A667" s="44"/>
      <c r="B667" s="44"/>
      <c r="C667" s="44"/>
      <c r="D667" s="44"/>
      <c r="E667" s="44"/>
      <c r="F667" s="44"/>
      <c r="G667" s="44"/>
      <c r="H667" s="44"/>
      <c r="I667" s="44"/>
      <c r="J667" s="44"/>
      <c r="K667" s="44"/>
      <c r="L667" s="44"/>
      <c r="M667" s="44"/>
      <c r="N667" s="44"/>
      <c r="O667" s="44"/>
      <c r="P667" s="44"/>
      <c r="Q667" s="44"/>
      <c r="R667" s="44"/>
      <c r="S667" s="44"/>
      <c r="T667" s="44"/>
      <c r="U667" s="44"/>
      <c r="V667" s="44"/>
      <c r="W667" s="44"/>
      <c r="X667" s="44"/>
      <c r="Y667" s="44"/>
      <c r="Z667" s="44"/>
      <c r="AA667" s="44"/>
      <c r="AB667" s="44"/>
      <c r="AC667" s="44"/>
      <c r="AD667" s="44"/>
      <c r="AE667" s="44"/>
      <c r="AF667" s="44"/>
      <c r="AG667" s="44"/>
      <c r="AH667" s="44"/>
      <c r="AI667" s="44"/>
      <c r="AJ667" s="44"/>
      <c r="AK667" s="44"/>
      <c r="AL667" s="44"/>
      <c r="AM667" s="44"/>
      <c r="AN667" s="44"/>
      <c r="AO667" s="44"/>
      <c r="AP667" s="44"/>
      <c r="AQ667" s="44"/>
      <c r="AR667" s="44"/>
      <c r="AS667" s="44"/>
      <c r="AT667" s="44"/>
      <c r="AU667" s="44"/>
      <c r="AV667" s="44"/>
      <c r="AW667" s="44"/>
      <c r="AX667" s="44"/>
    </row>
    <row r="668" spans="1:50" x14ac:dyDescent="0.25">
      <c r="A668" s="44"/>
      <c r="B668" s="44"/>
      <c r="C668" s="44"/>
      <c r="D668" s="44"/>
      <c r="E668" s="44"/>
      <c r="F668" s="44"/>
      <c r="G668" s="44"/>
      <c r="H668" s="44"/>
      <c r="I668" s="44"/>
      <c r="J668" s="44"/>
      <c r="K668" s="44"/>
      <c r="L668" s="44"/>
      <c r="M668" s="44"/>
      <c r="N668" s="44"/>
      <c r="O668" s="44"/>
      <c r="P668" s="44"/>
      <c r="Q668" s="44"/>
      <c r="R668" s="44"/>
      <c r="S668" s="44"/>
      <c r="T668" s="44"/>
      <c r="U668" s="44"/>
      <c r="V668" s="44"/>
      <c r="W668" s="44"/>
      <c r="X668" s="44"/>
      <c r="Y668" s="44"/>
      <c r="Z668" s="44"/>
      <c r="AA668" s="44"/>
      <c r="AB668" s="44"/>
      <c r="AC668" s="44"/>
      <c r="AD668" s="44"/>
      <c r="AE668" s="44"/>
      <c r="AF668" s="44"/>
      <c r="AG668" s="44"/>
      <c r="AH668" s="44"/>
      <c r="AI668" s="44"/>
      <c r="AJ668" s="44"/>
      <c r="AK668" s="44"/>
      <c r="AL668" s="44"/>
      <c r="AM668" s="44"/>
      <c r="AN668" s="44"/>
      <c r="AO668" s="44"/>
      <c r="AP668" s="44"/>
      <c r="AQ668" s="44"/>
      <c r="AR668" s="44"/>
      <c r="AS668" s="44"/>
      <c r="AT668" s="44"/>
      <c r="AU668" s="44"/>
      <c r="AV668" s="44"/>
      <c r="AW668" s="44"/>
      <c r="AX668" s="44"/>
    </row>
    <row r="669" spans="1:50" x14ac:dyDescent="0.25">
      <c r="A669" s="44"/>
      <c r="B669" s="44"/>
      <c r="C669" s="44"/>
      <c r="D669" s="44"/>
      <c r="E669" s="44"/>
      <c r="F669" s="44"/>
      <c r="G669" s="44"/>
      <c r="H669" s="44"/>
      <c r="I669" s="44"/>
      <c r="J669" s="44"/>
      <c r="K669" s="44"/>
      <c r="L669" s="44"/>
      <c r="M669" s="44"/>
      <c r="N669" s="44"/>
      <c r="O669" s="44"/>
      <c r="P669" s="44"/>
      <c r="Q669" s="44"/>
      <c r="R669" s="44"/>
      <c r="S669" s="44"/>
      <c r="T669" s="44"/>
      <c r="U669" s="44"/>
      <c r="V669" s="44"/>
      <c r="W669" s="44"/>
      <c r="X669" s="44"/>
      <c r="Y669" s="44"/>
      <c r="Z669" s="44"/>
      <c r="AA669" s="44"/>
      <c r="AB669" s="44"/>
      <c r="AC669" s="44"/>
      <c r="AD669" s="44"/>
      <c r="AE669" s="44"/>
      <c r="AF669" s="44"/>
      <c r="AG669" s="44"/>
      <c r="AH669" s="44"/>
      <c r="AI669" s="44"/>
      <c r="AJ669" s="44"/>
      <c r="AK669" s="44"/>
      <c r="AL669" s="44"/>
      <c r="AM669" s="44"/>
      <c r="AN669" s="44"/>
      <c r="AO669" s="44"/>
      <c r="AP669" s="44"/>
      <c r="AQ669" s="44"/>
      <c r="AR669" s="44"/>
      <c r="AS669" s="44"/>
      <c r="AT669" s="44"/>
      <c r="AU669" s="44"/>
      <c r="AV669" s="44"/>
      <c r="AW669" s="44"/>
      <c r="AX669" s="44"/>
    </row>
    <row r="670" spans="1:50" x14ac:dyDescent="0.25">
      <c r="A670" s="44"/>
      <c r="B670" s="44"/>
      <c r="C670" s="44"/>
      <c r="D670" s="44"/>
      <c r="E670" s="44"/>
      <c r="F670" s="44"/>
      <c r="G670" s="44"/>
      <c r="H670" s="44"/>
      <c r="I670" s="44"/>
      <c r="J670" s="44"/>
      <c r="K670" s="44"/>
      <c r="L670" s="44"/>
      <c r="M670" s="44"/>
      <c r="N670" s="44"/>
      <c r="O670" s="44"/>
      <c r="P670" s="44"/>
      <c r="Q670" s="44"/>
      <c r="R670" s="44"/>
      <c r="S670" s="44"/>
      <c r="T670" s="44"/>
      <c r="U670" s="44"/>
      <c r="V670" s="44"/>
      <c r="W670" s="44"/>
      <c r="X670" s="44"/>
      <c r="Y670" s="44"/>
      <c r="Z670" s="44"/>
      <c r="AA670" s="44"/>
      <c r="AB670" s="44"/>
      <c r="AC670" s="44"/>
      <c r="AD670" s="44"/>
      <c r="AE670" s="44"/>
      <c r="AF670" s="44"/>
      <c r="AG670" s="44"/>
      <c r="AH670" s="44"/>
      <c r="AI670" s="44"/>
      <c r="AJ670" s="44"/>
      <c r="AK670" s="44"/>
      <c r="AL670" s="44"/>
      <c r="AM670" s="44"/>
      <c r="AN670" s="44"/>
      <c r="AO670" s="44"/>
      <c r="AP670" s="44"/>
      <c r="AQ670" s="44"/>
      <c r="AR670" s="44"/>
      <c r="AS670" s="44"/>
      <c r="AT670" s="44"/>
      <c r="AU670" s="44"/>
      <c r="AV670" s="44"/>
      <c r="AW670" s="44"/>
      <c r="AX670" s="44"/>
    </row>
    <row r="671" spans="1:50" x14ac:dyDescent="0.25">
      <c r="A671" s="44"/>
      <c r="B671" s="44"/>
      <c r="C671" s="44"/>
      <c r="D671" s="44"/>
      <c r="E671" s="44"/>
      <c r="F671" s="44"/>
      <c r="G671" s="44"/>
      <c r="H671" s="44"/>
      <c r="I671" s="44"/>
      <c r="J671" s="44"/>
      <c r="K671" s="44"/>
      <c r="L671" s="44"/>
      <c r="M671" s="44"/>
      <c r="N671" s="44"/>
      <c r="O671" s="44"/>
      <c r="P671" s="44"/>
      <c r="Q671" s="44"/>
      <c r="R671" s="44"/>
      <c r="S671" s="44"/>
      <c r="T671" s="44"/>
      <c r="U671" s="44"/>
      <c r="V671" s="44"/>
      <c r="W671" s="44"/>
      <c r="X671" s="44"/>
      <c r="Y671" s="44"/>
      <c r="Z671" s="44"/>
      <c r="AA671" s="44"/>
      <c r="AB671" s="44"/>
      <c r="AC671" s="44"/>
      <c r="AD671" s="44"/>
      <c r="AE671" s="44"/>
      <c r="AF671" s="44"/>
      <c r="AG671" s="44"/>
      <c r="AH671" s="44"/>
      <c r="AI671" s="44"/>
      <c r="AJ671" s="44"/>
      <c r="AK671" s="44"/>
      <c r="AL671" s="44"/>
      <c r="AM671" s="44"/>
      <c r="AN671" s="44"/>
      <c r="AO671" s="44"/>
      <c r="AP671" s="44"/>
      <c r="AQ671" s="44"/>
      <c r="AR671" s="44"/>
      <c r="AS671" s="44"/>
      <c r="AT671" s="44"/>
      <c r="AU671" s="44"/>
      <c r="AV671" s="44"/>
      <c r="AW671" s="44"/>
      <c r="AX671" s="44"/>
    </row>
    <row r="672" spans="1:50" x14ac:dyDescent="0.25">
      <c r="A672" s="44"/>
      <c r="B672" s="44"/>
      <c r="C672" s="44"/>
      <c r="D672" s="44"/>
      <c r="E672" s="44"/>
      <c r="F672" s="44"/>
      <c r="G672" s="44"/>
      <c r="H672" s="44"/>
      <c r="I672" s="44"/>
      <c r="J672" s="44"/>
      <c r="K672" s="44"/>
      <c r="L672" s="44"/>
      <c r="M672" s="44"/>
      <c r="N672" s="44"/>
      <c r="O672" s="44"/>
      <c r="P672" s="44"/>
      <c r="Q672" s="44"/>
      <c r="R672" s="44"/>
      <c r="S672" s="44"/>
      <c r="T672" s="44"/>
      <c r="U672" s="44"/>
      <c r="V672" s="44"/>
      <c r="W672" s="44"/>
      <c r="X672" s="44"/>
      <c r="Y672" s="44"/>
      <c r="Z672" s="44"/>
      <c r="AA672" s="44"/>
      <c r="AB672" s="44"/>
      <c r="AC672" s="44"/>
      <c r="AD672" s="44"/>
      <c r="AE672" s="44"/>
      <c r="AF672" s="44"/>
      <c r="AG672" s="44"/>
      <c r="AH672" s="44"/>
      <c r="AI672" s="44"/>
      <c r="AJ672" s="44"/>
      <c r="AK672" s="44"/>
      <c r="AL672" s="44"/>
      <c r="AM672" s="44"/>
      <c r="AN672" s="44"/>
      <c r="AO672" s="44"/>
      <c r="AP672" s="44"/>
      <c r="AQ672" s="44"/>
      <c r="AR672" s="44"/>
      <c r="AS672" s="44"/>
      <c r="AT672" s="44"/>
      <c r="AU672" s="44"/>
      <c r="AV672" s="44"/>
      <c r="AW672" s="44"/>
      <c r="AX672" s="44"/>
    </row>
    <row r="673" spans="1:50" x14ac:dyDescent="0.25">
      <c r="A673" s="44"/>
      <c r="B673" s="44"/>
      <c r="C673" s="44"/>
      <c r="D673" s="44"/>
      <c r="E673" s="44"/>
      <c r="F673" s="44"/>
      <c r="G673" s="44"/>
      <c r="H673" s="44"/>
      <c r="I673" s="44"/>
      <c r="J673" s="44"/>
      <c r="K673" s="44"/>
      <c r="L673" s="44"/>
      <c r="M673" s="44"/>
      <c r="N673" s="44"/>
      <c r="O673" s="44"/>
      <c r="P673" s="44"/>
      <c r="Q673" s="44"/>
      <c r="R673" s="44"/>
      <c r="S673" s="44"/>
      <c r="T673" s="44"/>
      <c r="U673" s="44"/>
      <c r="V673" s="44"/>
      <c r="W673" s="44"/>
      <c r="X673" s="44"/>
      <c r="Y673" s="44"/>
      <c r="Z673" s="44"/>
      <c r="AA673" s="44"/>
      <c r="AB673" s="44"/>
      <c r="AC673" s="44"/>
      <c r="AD673" s="44"/>
      <c r="AE673" s="44"/>
      <c r="AF673" s="44"/>
      <c r="AG673" s="44"/>
      <c r="AH673" s="44"/>
      <c r="AI673" s="44"/>
      <c r="AJ673" s="44"/>
      <c r="AK673" s="44"/>
      <c r="AL673" s="44"/>
      <c r="AM673" s="44"/>
      <c r="AN673" s="44"/>
      <c r="AO673" s="44"/>
      <c r="AP673" s="44"/>
      <c r="AQ673" s="44"/>
      <c r="AR673" s="44"/>
      <c r="AS673" s="44"/>
      <c r="AT673" s="44"/>
      <c r="AU673" s="44"/>
      <c r="AV673" s="44"/>
      <c r="AW673" s="44"/>
      <c r="AX673" s="44"/>
    </row>
    <row r="674" spans="1:50" x14ac:dyDescent="0.25">
      <c r="A674" s="44"/>
      <c r="B674" s="44"/>
      <c r="C674" s="44"/>
      <c r="D674" s="44"/>
      <c r="E674" s="44"/>
      <c r="F674" s="44"/>
      <c r="G674" s="44"/>
      <c r="H674" s="44"/>
      <c r="I674" s="44"/>
      <c r="J674" s="44"/>
      <c r="K674" s="44"/>
      <c r="L674" s="44"/>
      <c r="M674" s="44"/>
      <c r="N674" s="44"/>
      <c r="O674" s="44"/>
      <c r="P674" s="44"/>
      <c r="Q674" s="44"/>
      <c r="R674" s="44"/>
      <c r="S674" s="44"/>
      <c r="T674" s="44"/>
      <c r="U674" s="44"/>
      <c r="V674" s="44"/>
      <c r="W674" s="44"/>
      <c r="X674" s="44"/>
      <c r="Y674" s="44"/>
      <c r="Z674" s="44"/>
      <c r="AA674" s="44"/>
      <c r="AB674" s="44"/>
      <c r="AC674" s="44"/>
      <c r="AD674" s="44"/>
      <c r="AE674" s="44"/>
      <c r="AF674" s="44"/>
      <c r="AG674" s="44"/>
      <c r="AH674" s="44"/>
      <c r="AI674" s="44"/>
      <c r="AJ674" s="44"/>
      <c r="AK674" s="44"/>
      <c r="AL674" s="44"/>
      <c r="AM674" s="44"/>
      <c r="AN674" s="44"/>
      <c r="AO674" s="44"/>
      <c r="AP674" s="44"/>
      <c r="AQ674" s="44"/>
      <c r="AR674" s="44"/>
      <c r="AS674" s="44"/>
      <c r="AT674" s="44"/>
      <c r="AU674" s="44"/>
      <c r="AV674" s="44"/>
      <c r="AW674" s="44"/>
      <c r="AX674" s="44"/>
    </row>
    <row r="675" spans="1:50" x14ac:dyDescent="0.25">
      <c r="A675" s="44"/>
      <c r="B675" s="44"/>
      <c r="C675" s="44"/>
      <c r="D675" s="44"/>
      <c r="E675" s="44"/>
      <c r="F675" s="44"/>
      <c r="G675" s="44"/>
      <c r="H675" s="44"/>
      <c r="I675" s="44"/>
      <c r="J675" s="44"/>
      <c r="K675" s="44"/>
      <c r="L675" s="44"/>
      <c r="M675" s="44"/>
      <c r="N675" s="44"/>
      <c r="O675" s="44"/>
      <c r="P675" s="44"/>
      <c r="Q675" s="44"/>
      <c r="R675" s="44"/>
      <c r="S675" s="44"/>
      <c r="T675" s="44"/>
      <c r="U675" s="44"/>
      <c r="V675" s="44"/>
      <c r="W675" s="44"/>
      <c r="X675" s="44"/>
      <c r="Y675" s="44"/>
      <c r="Z675" s="44"/>
      <c r="AA675" s="44"/>
      <c r="AB675" s="44"/>
      <c r="AC675" s="44"/>
      <c r="AD675" s="44"/>
      <c r="AE675" s="44"/>
      <c r="AF675" s="44"/>
      <c r="AG675" s="44"/>
      <c r="AH675" s="44"/>
      <c r="AI675" s="44"/>
      <c r="AJ675" s="44"/>
      <c r="AK675" s="44"/>
      <c r="AL675" s="44"/>
      <c r="AM675" s="44"/>
      <c r="AN675" s="44"/>
      <c r="AO675" s="44"/>
      <c r="AP675" s="44"/>
      <c r="AQ675" s="44"/>
      <c r="AR675" s="44"/>
      <c r="AS675" s="44"/>
      <c r="AT675" s="44"/>
      <c r="AU675" s="44"/>
      <c r="AV675" s="44"/>
      <c r="AW675" s="44"/>
      <c r="AX675" s="44"/>
    </row>
    <row r="676" spans="1:50" x14ac:dyDescent="0.25">
      <c r="A676" s="44"/>
      <c r="B676" s="44"/>
      <c r="C676" s="44"/>
      <c r="D676" s="44"/>
      <c r="E676" s="44"/>
      <c r="F676" s="44"/>
      <c r="G676" s="44"/>
      <c r="H676" s="44"/>
      <c r="I676" s="44"/>
      <c r="J676" s="44"/>
      <c r="K676" s="44"/>
      <c r="L676" s="44"/>
      <c r="M676" s="44"/>
      <c r="N676" s="44"/>
      <c r="O676" s="44"/>
      <c r="P676" s="44"/>
      <c r="Q676" s="44"/>
      <c r="R676" s="44"/>
      <c r="S676" s="44"/>
      <c r="T676" s="44"/>
      <c r="U676" s="44"/>
      <c r="V676" s="44"/>
      <c r="W676" s="44"/>
      <c r="X676" s="44"/>
      <c r="Y676" s="44"/>
      <c r="Z676" s="44"/>
      <c r="AA676" s="44"/>
      <c r="AB676" s="44"/>
      <c r="AC676" s="44"/>
      <c r="AD676" s="44"/>
      <c r="AE676" s="44"/>
      <c r="AF676" s="44"/>
      <c r="AG676" s="44"/>
      <c r="AH676" s="44"/>
      <c r="AI676" s="44"/>
      <c r="AJ676" s="44"/>
      <c r="AK676" s="44"/>
      <c r="AL676" s="44"/>
      <c r="AM676" s="44"/>
      <c r="AN676" s="44"/>
      <c r="AO676" s="44"/>
      <c r="AP676" s="44"/>
      <c r="AQ676" s="44"/>
      <c r="AR676" s="44"/>
      <c r="AS676" s="44"/>
      <c r="AT676" s="44"/>
      <c r="AU676" s="44"/>
      <c r="AV676" s="44"/>
      <c r="AW676" s="44"/>
      <c r="AX676" s="44"/>
    </row>
    <row r="677" spans="1:50" x14ac:dyDescent="0.25">
      <c r="A677" s="44"/>
      <c r="B677" s="44"/>
      <c r="C677" s="44"/>
      <c r="D677" s="44"/>
      <c r="E677" s="44"/>
      <c r="F677" s="44"/>
      <c r="G677" s="44"/>
      <c r="H677" s="44"/>
      <c r="I677" s="44"/>
      <c r="J677" s="44"/>
      <c r="K677" s="44"/>
      <c r="L677" s="44"/>
      <c r="M677" s="44"/>
      <c r="N677" s="44"/>
      <c r="O677" s="44"/>
      <c r="P677" s="44"/>
      <c r="Q677" s="44"/>
      <c r="R677" s="44"/>
      <c r="S677" s="44"/>
      <c r="T677" s="44"/>
      <c r="U677" s="44"/>
      <c r="V677" s="44"/>
      <c r="W677" s="44"/>
      <c r="X677" s="44"/>
      <c r="Y677" s="44"/>
      <c r="Z677" s="44"/>
      <c r="AA677" s="44"/>
      <c r="AB677" s="44"/>
      <c r="AC677" s="44"/>
      <c r="AD677" s="44"/>
      <c r="AE677" s="44"/>
      <c r="AF677" s="44"/>
      <c r="AG677" s="44"/>
      <c r="AH677" s="44"/>
      <c r="AI677" s="44"/>
      <c r="AJ677" s="44"/>
      <c r="AK677" s="44"/>
      <c r="AL677" s="44"/>
      <c r="AM677" s="44"/>
      <c r="AN677" s="44"/>
      <c r="AO677" s="44"/>
      <c r="AP677" s="44"/>
      <c r="AQ677" s="44"/>
      <c r="AR677" s="44"/>
      <c r="AS677" s="44"/>
      <c r="AT677" s="44"/>
      <c r="AU677" s="44"/>
      <c r="AV677" s="44"/>
      <c r="AW677" s="44"/>
      <c r="AX677" s="44"/>
    </row>
    <row r="678" spans="1:50" x14ac:dyDescent="0.25">
      <c r="A678" s="44"/>
      <c r="B678" s="44"/>
      <c r="C678" s="44"/>
      <c r="D678" s="44"/>
      <c r="E678" s="44"/>
      <c r="F678" s="44"/>
      <c r="G678" s="44"/>
      <c r="H678" s="44"/>
      <c r="I678" s="44"/>
      <c r="J678" s="44"/>
      <c r="K678" s="44"/>
      <c r="L678" s="44"/>
      <c r="M678" s="44"/>
      <c r="N678" s="44"/>
      <c r="O678" s="44"/>
      <c r="P678" s="44"/>
      <c r="Q678" s="44"/>
      <c r="R678" s="44"/>
      <c r="S678" s="44"/>
      <c r="T678" s="44"/>
      <c r="U678" s="44"/>
      <c r="V678" s="44"/>
      <c r="W678" s="44"/>
      <c r="X678" s="44"/>
      <c r="Y678" s="44"/>
      <c r="Z678" s="44"/>
      <c r="AA678" s="44"/>
      <c r="AB678" s="44"/>
      <c r="AC678" s="44"/>
      <c r="AD678" s="44"/>
      <c r="AE678" s="44"/>
      <c r="AF678" s="44"/>
      <c r="AG678" s="44"/>
      <c r="AH678" s="44"/>
      <c r="AI678" s="44"/>
      <c r="AJ678" s="44"/>
      <c r="AK678" s="44"/>
      <c r="AL678" s="44"/>
      <c r="AM678" s="44"/>
      <c r="AN678" s="44"/>
      <c r="AO678" s="44"/>
      <c r="AP678" s="44"/>
      <c r="AQ678" s="44"/>
      <c r="AR678" s="44"/>
      <c r="AS678" s="44"/>
      <c r="AT678" s="44"/>
      <c r="AU678" s="44"/>
      <c r="AV678" s="44"/>
      <c r="AW678" s="44"/>
      <c r="AX678" s="44"/>
    </row>
    <row r="679" spans="1:50" x14ac:dyDescent="0.25">
      <c r="A679" s="44"/>
      <c r="B679" s="44"/>
      <c r="C679" s="44"/>
      <c r="D679" s="44"/>
      <c r="E679" s="44"/>
      <c r="F679" s="44"/>
      <c r="G679" s="44"/>
      <c r="H679" s="44"/>
      <c r="I679" s="44"/>
      <c r="J679" s="44"/>
      <c r="K679" s="44"/>
      <c r="L679" s="44"/>
      <c r="M679" s="44"/>
      <c r="N679" s="44"/>
      <c r="O679" s="44"/>
      <c r="P679" s="44"/>
      <c r="Q679" s="44"/>
      <c r="R679" s="44"/>
      <c r="S679" s="44"/>
      <c r="T679" s="44"/>
      <c r="U679" s="44"/>
      <c r="V679" s="44"/>
      <c r="W679" s="44"/>
      <c r="X679" s="44"/>
      <c r="Y679" s="44"/>
      <c r="Z679" s="44"/>
      <c r="AA679" s="44"/>
      <c r="AB679" s="44"/>
      <c r="AC679" s="44"/>
      <c r="AD679" s="44"/>
      <c r="AE679" s="44"/>
      <c r="AF679" s="44"/>
      <c r="AG679" s="44"/>
      <c r="AH679" s="44"/>
      <c r="AI679" s="44"/>
      <c r="AJ679" s="44"/>
      <c r="AK679" s="44"/>
      <c r="AL679" s="44"/>
      <c r="AM679" s="44"/>
      <c r="AN679" s="44"/>
      <c r="AO679" s="44"/>
      <c r="AP679" s="44"/>
      <c r="AQ679" s="44"/>
      <c r="AR679" s="44"/>
      <c r="AS679" s="44"/>
      <c r="AT679" s="44"/>
      <c r="AU679" s="44"/>
      <c r="AV679" s="44"/>
      <c r="AW679" s="44"/>
      <c r="AX679" s="44"/>
    </row>
    <row r="680" spans="1:50" x14ac:dyDescent="0.25">
      <c r="A680" s="44"/>
      <c r="B680" s="44"/>
      <c r="C680" s="44"/>
      <c r="D680" s="44"/>
      <c r="E680" s="44"/>
      <c r="F680" s="44"/>
      <c r="G680" s="44"/>
      <c r="H680" s="44"/>
      <c r="I680" s="44"/>
      <c r="J680" s="44"/>
      <c r="K680" s="44"/>
      <c r="L680" s="44"/>
      <c r="M680" s="44"/>
      <c r="N680" s="44"/>
      <c r="O680" s="44"/>
      <c r="P680" s="44"/>
      <c r="Q680" s="44"/>
      <c r="R680" s="44"/>
      <c r="S680" s="44"/>
      <c r="T680" s="44"/>
      <c r="U680" s="44"/>
      <c r="V680" s="44"/>
      <c r="W680" s="44"/>
      <c r="X680" s="44"/>
      <c r="Y680" s="44"/>
      <c r="Z680" s="44"/>
      <c r="AA680" s="44"/>
      <c r="AB680" s="44"/>
      <c r="AC680" s="44"/>
      <c r="AD680" s="44"/>
      <c r="AE680" s="44"/>
      <c r="AF680" s="44"/>
      <c r="AG680" s="44"/>
      <c r="AH680" s="44"/>
      <c r="AI680" s="44"/>
      <c r="AJ680" s="44"/>
      <c r="AK680" s="44"/>
      <c r="AL680" s="44"/>
      <c r="AM680" s="44"/>
      <c r="AN680" s="44"/>
      <c r="AO680" s="44"/>
      <c r="AP680" s="44"/>
      <c r="AQ680" s="44"/>
      <c r="AR680" s="44"/>
      <c r="AS680" s="44"/>
      <c r="AT680" s="44"/>
      <c r="AU680" s="44"/>
      <c r="AV680" s="44"/>
      <c r="AW680" s="44"/>
      <c r="AX680" s="44"/>
    </row>
    <row r="681" spans="1:50" x14ac:dyDescent="0.25">
      <c r="A681" s="44"/>
      <c r="B681" s="44"/>
      <c r="C681" s="44"/>
      <c r="D681" s="44"/>
      <c r="E681" s="44"/>
      <c r="F681" s="44"/>
      <c r="G681" s="44"/>
      <c r="H681" s="44"/>
      <c r="I681" s="44"/>
      <c r="J681" s="44"/>
      <c r="K681" s="44"/>
      <c r="L681" s="44"/>
      <c r="M681" s="44"/>
      <c r="N681" s="44"/>
      <c r="O681" s="44"/>
      <c r="P681" s="44"/>
      <c r="Q681" s="44"/>
      <c r="R681" s="44"/>
      <c r="S681" s="44"/>
      <c r="T681" s="44"/>
      <c r="U681" s="44"/>
      <c r="V681" s="44"/>
      <c r="W681" s="44"/>
      <c r="X681" s="44"/>
      <c r="Y681" s="44"/>
      <c r="Z681" s="44"/>
      <c r="AA681" s="44"/>
      <c r="AB681" s="44"/>
      <c r="AC681" s="44"/>
      <c r="AD681" s="44"/>
      <c r="AE681" s="44"/>
      <c r="AF681" s="44"/>
      <c r="AG681" s="44"/>
      <c r="AH681" s="44"/>
      <c r="AI681" s="44"/>
      <c r="AJ681" s="44"/>
      <c r="AK681" s="44"/>
      <c r="AL681" s="44"/>
      <c r="AM681" s="44"/>
      <c r="AN681" s="44"/>
      <c r="AO681" s="44"/>
      <c r="AP681" s="44"/>
      <c r="AQ681" s="44"/>
      <c r="AR681" s="44"/>
      <c r="AS681" s="44"/>
      <c r="AT681" s="44"/>
      <c r="AU681" s="44"/>
      <c r="AV681" s="44"/>
      <c r="AW681" s="44"/>
      <c r="AX681" s="44"/>
    </row>
    <row r="682" spans="1:50" x14ac:dyDescent="0.25">
      <c r="A682" s="44"/>
      <c r="B682" s="44"/>
      <c r="C682" s="44"/>
      <c r="D682" s="44"/>
      <c r="E682" s="44"/>
      <c r="F682" s="44"/>
      <c r="G682" s="44"/>
      <c r="H682" s="44"/>
      <c r="I682" s="44"/>
      <c r="J682" s="44"/>
      <c r="K682" s="44"/>
      <c r="L682" s="44"/>
      <c r="M682" s="44"/>
      <c r="N682" s="44"/>
      <c r="O682" s="44"/>
      <c r="P682" s="44"/>
      <c r="Q682" s="44"/>
      <c r="R682" s="44"/>
      <c r="S682" s="44"/>
      <c r="T682" s="44"/>
      <c r="U682" s="44"/>
      <c r="V682" s="44"/>
      <c r="W682" s="44"/>
      <c r="X682" s="44"/>
      <c r="Y682" s="44"/>
      <c r="Z682" s="44"/>
      <c r="AA682" s="44"/>
      <c r="AB682" s="44"/>
      <c r="AC682" s="44"/>
      <c r="AD682" s="44"/>
      <c r="AE682" s="44"/>
      <c r="AF682" s="44"/>
      <c r="AG682" s="44"/>
      <c r="AH682" s="44"/>
      <c r="AI682" s="44"/>
      <c r="AJ682" s="44"/>
      <c r="AK682" s="44"/>
      <c r="AL682" s="44"/>
      <c r="AM682" s="44"/>
      <c r="AN682" s="44"/>
      <c r="AO682" s="44"/>
      <c r="AP682" s="44"/>
      <c r="AQ682" s="44"/>
      <c r="AR682" s="44"/>
      <c r="AS682" s="44"/>
      <c r="AT682" s="44"/>
      <c r="AU682" s="44"/>
      <c r="AV682" s="44"/>
      <c r="AW682" s="44"/>
      <c r="AX682" s="44"/>
    </row>
    <row r="683" spans="1:50" x14ac:dyDescent="0.25">
      <c r="A683" s="44"/>
      <c r="B683" s="44"/>
      <c r="C683" s="44"/>
      <c r="D683" s="44"/>
      <c r="E683" s="44"/>
      <c r="F683" s="44"/>
      <c r="G683" s="44"/>
      <c r="H683" s="44"/>
      <c r="I683" s="44"/>
      <c r="J683" s="44"/>
      <c r="K683" s="44"/>
      <c r="L683" s="44"/>
      <c r="M683" s="44"/>
      <c r="N683" s="44"/>
      <c r="O683" s="44"/>
      <c r="P683" s="44"/>
      <c r="Q683" s="44"/>
      <c r="R683" s="44"/>
      <c r="S683" s="44"/>
      <c r="T683" s="44"/>
      <c r="U683" s="44"/>
      <c r="V683" s="44"/>
      <c r="W683" s="44"/>
      <c r="X683" s="44"/>
      <c r="Y683" s="44"/>
      <c r="Z683" s="44"/>
      <c r="AA683" s="44"/>
      <c r="AB683" s="44"/>
      <c r="AC683" s="44"/>
      <c r="AD683" s="44"/>
      <c r="AE683" s="44"/>
      <c r="AF683" s="44"/>
      <c r="AG683" s="44"/>
      <c r="AH683" s="44"/>
      <c r="AI683" s="44"/>
      <c r="AJ683" s="44"/>
      <c r="AK683" s="44"/>
      <c r="AL683" s="44"/>
      <c r="AM683" s="44"/>
      <c r="AN683" s="44"/>
      <c r="AO683" s="44"/>
      <c r="AP683" s="44"/>
      <c r="AQ683" s="44"/>
      <c r="AR683" s="44"/>
      <c r="AS683" s="44"/>
      <c r="AT683" s="44"/>
      <c r="AU683" s="44"/>
      <c r="AV683" s="44"/>
      <c r="AW683" s="44"/>
      <c r="AX683" s="44"/>
    </row>
    <row r="684" spans="1:50" x14ac:dyDescent="0.25">
      <c r="A684" s="44"/>
      <c r="B684" s="44"/>
      <c r="C684" s="44"/>
      <c r="D684" s="44"/>
      <c r="E684" s="44"/>
      <c r="F684" s="44"/>
      <c r="G684" s="44"/>
      <c r="H684" s="44"/>
      <c r="I684" s="44"/>
      <c r="J684" s="44"/>
      <c r="K684" s="44"/>
      <c r="L684" s="44"/>
      <c r="M684" s="44"/>
      <c r="N684" s="44"/>
      <c r="O684" s="44"/>
      <c r="P684" s="44"/>
      <c r="Q684" s="44"/>
      <c r="R684" s="44"/>
      <c r="S684" s="44"/>
      <c r="T684" s="44"/>
      <c r="U684" s="44"/>
      <c r="V684" s="44"/>
      <c r="W684" s="44"/>
      <c r="X684" s="44"/>
      <c r="Y684" s="44"/>
      <c r="Z684" s="44"/>
      <c r="AA684" s="44"/>
      <c r="AB684" s="44"/>
      <c r="AC684" s="44"/>
      <c r="AD684" s="44"/>
      <c r="AE684" s="44"/>
      <c r="AF684" s="44"/>
      <c r="AG684" s="44"/>
      <c r="AH684" s="44"/>
      <c r="AI684" s="44"/>
      <c r="AJ684" s="44"/>
      <c r="AK684" s="44"/>
      <c r="AL684" s="44"/>
      <c r="AM684" s="44"/>
      <c r="AN684" s="44"/>
      <c r="AO684" s="44"/>
      <c r="AP684" s="44"/>
      <c r="AQ684" s="44"/>
      <c r="AR684" s="44"/>
      <c r="AS684" s="44"/>
      <c r="AT684" s="44"/>
      <c r="AU684" s="44"/>
      <c r="AV684" s="44"/>
      <c r="AW684" s="44"/>
      <c r="AX684" s="44"/>
    </row>
    <row r="685" spans="1:50" x14ac:dyDescent="0.25">
      <c r="A685" s="44"/>
      <c r="B685" s="44"/>
      <c r="C685" s="44"/>
      <c r="D685" s="44"/>
      <c r="E685" s="44"/>
      <c r="F685" s="44"/>
      <c r="G685" s="44"/>
      <c r="H685" s="44"/>
      <c r="I685" s="44"/>
      <c r="J685" s="44"/>
      <c r="K685" s="44"/>
      <c r="L685" s="44"/>
      <c r="M685" s="44"/>
      <c r="N685" s="44"/>
      <c r="O685" s="44"/>
      <c r="P685" s="44"/>
      <c r="Q685" s="44"/>
      <c r="R685" s="44"/>
      <c r="S685" s="44"/>
      <c r="T685" s="44"/>
      <c r="U685" s="44"/>
      <c r="V685" s="44"/>
      <c r="W685" s="44"/>
      <c r="X685" s="44"/>
      <c r="Y685" s="44"/>
      <c r="Z685" s="44"/>
      <c r="AA685" s="44"/>
      <c r="AB685" s="44"/>
      <c r="AC685" s="44"/>
      <c r="AD685" s="44"/>
      <c r="AE685" s="44"/>
      <c r="AF685" s="44"/>
      <c r="AG685" s="44"/>
      <c r="AH685" s="44"/>
      <c r="AI685" s="44"/>
      <c r="AJ685" s="44"/>
      <c r="AK685" s="44"/>
      <c r="AL685" s="44"/>
      <c r="AM685" s="44"/>
      <c r="AN685" s="44"/>
      <c r="AO685" s="44"/>
      <c r="AP685" s="44"/>
      <c r="AQ685" s="44"/>
      <c r="AR685" s="44"/>
      <c r="AS685" s="44"/>
      <c r="AT685" s="44"/>
      <c r="AU685" s="44"/>
      <c r="AV685" s="44"/>
      <c r="AW685" s="44"/>
      <c r="AX685" s="44"/>
    </row>
    <row r="686" spans="1:50" x14ac:dyDescent="0.25">
      <c r="A686" s="44"/>
      <c r="B686" s="44"/>
      <c r="C686" s="44"/>
      <c r="D686" s="44"/>
      <c r="E686" s="44"/>
      <c r="F686" s="44"/>
      <c r="G686" s="44"/>
      <c r="H686" s="44"/>
      <c r="I686" s="44"/>
      <c r="J686" s="44"/>
      <c r="K686" s="44"/>
      <c r="L686" s="44"/>
      <c r="M686" s="44"/>
      <c r="N686" s="44"/>
      <c r="O686" s="44"/>
      <c r="P686" s="44"/>
      <c r="Q686" s="44"/>
      <c r="R686" s="44"/>
      <c r="S686" s="44"/>
      <c r="T686" s="44"/>
      <c r="U686" s="44"/>
      <c r="V686" s="44"/>
      <c r="W686" s="44"/>
      <c r="X686" s="44"/>
      <c r="Y686" s="44"/>
      <c r="Z686" s="44"/>
      <c r="AA686" s="44"/>
      <c r="AB686" s="44"/>
      <c r="AC686" s="44"/>
      <c r="AD686" s="44"/>
      <c r="AE686" s="44"/>
      <c r="AF686" s="44"/>
      <c r="AG686" s="44"/>
      <c r="AH686" s="44"/>
      <c r="AI686" s="44"/>
      <c r="AJ686" s="44"/>
      <c r="AK686" s="44"/>
      <c r="AL686" s="44"/>
      <c r="AM686" s="44"/>
      <c r="AN686" s="44"/>
      <c r="AO686" s="44"/>
      <c r="AP686" s="44"/>
      <c r="AQ686" s="44"/>
      <c r="AR686" s="44"/>
      <c r="AS686" s="44"/>
      <c r="AT686" s="44"/>
      <c r="AU686" s="44"/>
      <c r="AV686" s="44"/>
      <c r="AW686" s="44"/>
      <c r="AX686" s="44"/>
    </row>
    <row r="687" spans="1:50" x14ac:dyDescent="0.25">
      <c r="A687" s="44"/>
      <c r="B687" s="44"/>
      <c r="C687" s="44"/>
      <c r="D687" s="44"/>
      <c r="E687" s="44"/>
      <c r="F687" s="44"/>
      <c r="G687" s="44"/>
      <c r="H687" s="44"/>
      <c r="I687" s="44"/>
      <c r="J687" s="44"/>
      <c r="K687" s="44"/>
      <c r="L687" s="44"/>
      <c r="M687" s="44"/>
      <c r="N687" s="44"/>
      <c r="O687" s="44"/>
      <c r="P687" s="44"/>
      <c r="Q687" s="44"/>
      <c r="R687" s="44"/>
      <c r="S687" s="44"/>
      <c r="T687" s="44"/>
      <c r="U687" s="44"/>
      <c r="V687" s="44"/>
      <c r="W687" s="44"/>
      <c r="X687" s="44"/>
      <c r="Y687" s="44"/>
      <c r="Z687" s="44"/>
      <c r="AA687" s="44"/>
      <c r="AB687" s="44"/>
      <c r="AC687" s="44"/>
      <c r="AD687" s="44"/>
      <c r="AE687" s="44"/>
      <c r="AF687" s="44"/>
      <c r="AG687" s="44"/>
      <c r="AH687" s="44"/>
      <c r="AI687" s="44"/>
      <c r="AJ687" s="44"/>
      <c r="AK687" s="44"/>
      <c r="AL687" s="44"/>
      <c r="AM687" s="44"/>
      <c r="AN687" s="44"/>
      <c r="AO687" s="44"/>
      <c r="AP687" s="44"/>
      <c r="AQ687" s="44"/>
      <c r="AR687" s="44"/>
      <c r="AS687" s="44"/>
      <c r="AT687" s="44"/>
      <c r="AU687" s="44"/>
      <c r="AV687" s="44"/>
      <c r="AW687" s="44"/>
      <c r="AX687" s="44"/>
    </row>
    <row r="688" spans="1:50" x14ac:dyDescent="0.25">
      <c r="A688" s="44"/>
      <c r="B688" s="44"/>
      <c r="C688" s="44"/>
      <c r="D688" s="44"/>
      <c r="E688" s="44"/>
      <c r="F688" s="44"/>
      <c r="G688" s="44"/>
      <c r="H688" s="44"/>
      <c r="I688" s="44"/>
      <c r="J688" s="44"/>
      <c r="K688" s="44"/>
      <c r="L688" s="44"/>
      <c r="M688" s="44"/>
      <c r="N688" s="44"/>
      <c r="O688" s="44"/>
      <c r="P688" s="44"/>
      <c r="Q688" s="44"/>
      <c r="R688" s="44"/>
      <c r="S688" s="44"/>
      <c r="T688" s="44"/>
      <c r="U688" s="44"/>
      <c r="V688" s="44"/>
      <c r="W688" s="44"/>
      <c r="X688" s="44"/>
      <c r="Y688" s="44"/>
      <c r="Z688" s="44"/>
      <c r="AA688" s="44"/>
      <c r="AB688" s="44"/>
      <c r="AC688" s="44"/>
      <c r="AD688" s="44"/>
      <c r="AE688" s="44"/>
      <c r="AF688" s="44"/>
      <c r="AG688" s="44"/>
      <c r="AH688" s="44"/>
      <c r="AI688" s="44"/>
      <c r="AJ688" s="44"/>
      <c r="AK688" s="44"/>
      <c r="AL688" s="44"/>
      <c r="AM688" s="44"/>
      <c r="AN688" s="44"/>
      <c r="AO688" s="44"/>
      <c r="AP688" s="44"/>
      <c r="AQ688" s="44"/>
      <c r="AR688" s="44"/>
      <c r="AS688" s="44"/>
      <c r="AT688" s="44"/>
      <c r="AU688" s="44"/>
      <c r="AV688" s="44"/>
      <c r="AW688" s="44"/>
      <c r="AX688" s="44"/>
    </row>
    <row r="689" spans="1:50" x14ac:dyDescent="0.25">
      <c r="A689" s="44"/>
      <c r="B689" s="44"/>
      <c r="C689" s="44"/>
      <c r="D689" s="44"/>
      <c r="E689" s="44"/>
      <c r="F689" s="44"/>
      <c r="G689" s="44"/>
      <c r="H689" s="44"/>
      <c r="I689" s="44"/>
      <c r="J689" s="44"/>
      <c r="K689" s="44"/>
      <c r="L689" s="44"/>
      <c r="M689" s="44"/>
      <c r="N689" s="44"/>
      <c r="O689" s="44"/>
      <c r="P689" s="44"/>
      <c r="Q689" s="44"/>
      <c r="R689" s="44"/>
      <c r="S689" s="44"/>
      <c r="T689" s="44"/>
      <c r="U689" s="44"/>
      <c r="V689" s="44"/>
      <c r="W689" s="44"/>
      <c r="X689" s="44"/>
      <c r="Y689" s="44"/>
      <c r="Z689" s="44"/>
      <c r="AA689" s="44"/>
      <c r="AB689" s="44"/>
      <c r="AC689" s="44"/>
      <c r="AD689" s="44"/>
      <c r="AE689" s="44"/>
      <c r="AF689" s="44"/>
      <c r="AG689" s="44"/>
      <c r="AH689" s="44"/>
      <c r="AI689" s="44"/>
      <c r="AJ689" s="44"/>
      <c r="AK689" s="44"/>
      <c r="AL689" s="44"/>
      <c r="AM689" s="44"/>
      <c r="AN689" s="44"/>
      <c r="AO689" s="44"/>
      <c r="AP689" s="44"/>
      <c r="AQ689" s="44"/>
      <c r="AR689" s="44"/>
      <c r="AS689" s="44"/>
      <c r="AT689" s="44"/>
      <c r="AU689" s="44"/>
      <c r="AV689" s="44"/>
      <c r="AW689" s="44"/>
      <c r="AX689" s="44"/>
    </row>
    <row r="690" spans="1:50" x14ac:dyDescent="0.25">
      <c r="A690" s="44"/>
      <c r="B690" s="44"/>
      <c r="C690" s="44"/>
      <c r="D690" s="44"/>
      <c r="E690" s="44"/>
      <c r="F690" s="44"/>
      <c r="G690" s="44"/>
      <c r="H690" s="44"/>
      <c r="I690" s="44"/>
      <c r="J690" s="44"/>
      <c r="K690" s="44"/>
      <c r="L690" s="44"/>
      <c r="M690" s="44"/>
      <c r="N690" s="44"/>
      <c r="O690" s="44"/>
      <c r="P690" s="44"/>
      <c r="Q690" s="44"/>
      <c r="R690" s="44"/>
      <c r="S690" s="44"/>
      <c r="T690" s="44"/>
      <c r="U690" s="44"/>
      <c r="V690" s="44"/>
      <c r="W690" s="44"/>
      <c r="X690" s="44"/>
      <c r="Y690" s="44"/>
      <c r="Z690" s="44"/>
      <c r="AA690" s="44"/>
      <c r="AB690" s="44"/>
      <c r="AC690" s="44"/>
      <c r="AD690" s="44"/>
      <c r="AE690" s="44"/>
      <c r="AF690" s="44"/>
      <c r="AG690" s="44"/>
      <c r="AH690" s="44"/>
      <c r="AI690" s="44"/>
      <c r="AJ690" s="44"/>
      <c r="AK690" s="44"/>
      <c r="AL690" s="44"/>
      <c r="AM690" s="44"/>
      <c r="AN690" s="44"/>
      <c r="AO690" s="44"/>
      <c r="AP690" s="44"/>
      <c r="AQ690" s="44"/>
      <c r="AR690" s="44"/>
      <c r="AS690" s="44"/>
      <c r="AT690" s="44"/>
      <c r="AU690" s="44"/>
      <c r="AV690" s="44"/>
      <c r="AW690" s="44"/>
      <c r="AX690" s="44"/>
    </row>
    <row r="691" spans="1:50" x14ac:dyDescent="0.25">
      <c r="A691" s="44"/>
      <c r="B691" s="44"/>
      <c r="C691" s="44"/>
      <c r="D691" s="44"/>
      <c r="E691" s="44"/>
      <c r="F691" s="44"/>
      <c r="G691" s="44"/>
      <c r="H691" s="44"/>
      <c r="I691" s="44"/>
      <c r="J691" s="44"/>
      <c r="K691" s="44"/>
      <c r="L691" s="44"/>
      <c r="M691" s="44"/>
      <c r="N691" s="44"/>
      <c r="O691" s="44"/>
      <c r="P691" s="44"/>
      <c r="Q691" s="44"/>
      <c r="R691" s="44"/>
      <c r="S691" s="44"/>
      <c r="T691" s="44"/>
      <c r="U691" s="44"/>
      <c r="V691" s="44"/>
      <c r="W691" s="44"/>
      <c r="X691" s="44"/>
      <c r="Y691" s="44"/>
      <c r="Z691" s="44"/>
      <c r="AA691" s="44"/>
      <c r="AB691" s="44"/>
      <c r="AC691" s="44"/>
      <c r="AD691" s="44"/>
      <c r="AE691" s="44"/>
      <c r="AF691" s="44"/>
      <c r="AG691" s="44"/>
      <c r="AH691" s="44"/>
      <c r="AI691" s="44"/>
      <c r="AJ691" s="44"/>
      <c r="AK691" s="44"/>
      <c r="AL691" s="44"/>
      <c r="AM691" s="44"/>
      <c r="AN691" s="44"/>
      <c r="AO691" s="44"/>
      <c r="AP691" s="44"/>
      <c r="AQ691" s="44"/>
      <c r="AR691" s="44"/>
      <c r="AS691" s="44"/>
      <c r="AT691" s="44"/>
      <c r="AU691" s="44"/>
      <c r="AV691" s="44"/>
      <c r="AW691" s="44"/>
      <c r="AX691" s="44"/>
    </row>
    <row r="692" spans="1:50" x14ac:dyDescent="0.25">
      <c r="A692" s="44"/>
      <c r="B692" s="44"/>
      <c r="C692" s="44"/>
      <c r="D692" s="44"/>
      <c r="E692" s="44"/>
      <c r="F692" s="44"/>
      <c r="G692" s="44"/>
      <c r="H692" s="44"/>
      <c r="I692" s="44"/>
      <c r="J692" s="44"/>
      <c r="K692" s="44"/>
      <c r="L692" s="44"/>
      <c r="M692" s="44"/>
      <c r="N692" s="44"/>
      <c r="O692" s="44"/>
      <c r="P692" s="44"/>
      <c r="Q692" s="44"/>
      <c r="R692" s="44"/>
      <c r="S692" s="44"/>
      <c r="T692" s="44"/>
      <c r="U692" s="44"/>
      <c r="V692" s="44"/>
      <c r="W692" s="44"/>
      <c r="X692" s="44"/>
      <c r="Y692" s="44"/>
      <c r="Z692" s="44"/>
      <c r="AA692" s="44"/>
      <c r="AB692" s="44"/>
      <c r="AC692" s="44"/>
      <c r="AD692" s="44"/>
      <c r="AE692" s="44"/>
      <c r="AF692" s="44"/>
      <c r="AG692" s="44"/>
      <c r="AH692" s="44"/>
      <c r="AI692" s="44"/>
      <c r="AJ692" s="44"/>
      <c r="AK692" s="44"/>
      <c r="AL692" s="44"/>
      <c r="AM692" s="44"/>
      <c r="AN692" s="44"/>
      <c r="AO692" s="44"/>
      <c r="AP692" s="44"/>
      <c r="AQ692" s="44"/>
      <c r="AR692" s="44"/>
      <c r="AS692" s="44"/>
      <c r="AT692" s="44"/>
      <c r="AU692" s="44"/>
      <c r="AV692" s="44"/>
      <c r="AW692" s="44"/>
      <c r="AX692" s="44"/>
    </row>
    <row r="693" spans="1:50" x14ac:dyDescent="0.25">
      <c r="A693" s="44"/>
      <c r="B693" s="44"/>
      <c r="C693" s="44"/>
      <c r="D693" s="44"/>
      <c r="E693" s="44"/>
      <c r="F693" s="44"/>
      <c r="G693" s="44"/>
      <c r="H693" s="44"/>
      <c r="I693" s="44"/>
      <c r="J693" s="44"/>
      <c r="K693" s="44"/>
      <c r="L693" s="44"/>
      <c r="M693" s="44"/>
      <c r="N693" s="44"/>
      <c r="O693" s="44"/>
      <c r="P693" s="44"/>
      <c r="Q693" s="44"/>
      <c r="R693" s="44"/>
      <c r="S693" s="44"/>
      <c r="T693" s="44"/>
      <c r="U693" s="44"/>
      <c r="V693" s="44"/>
      <c r="W693" s="44"/>
      <c r="X693" s="44"/>
      <c r="Y693" s="44"/>
      <c r="Z693" s="44"/>
      <c r="AA693" s="44"/>
      <c r="AB693" s="44"/>
      <c r="AC693" s="44"/>
      <c r="AD693" s="44"/>
      <c r="AE693" s="44"/>
      <c r="AF693" s="44"/>
      <c r="AG693" s="44"/>
      <c r="AH693" s="44"/>
      <c r="AI693" s="44"/>
      <c r="AJ693" s="44"/>
      <c r="AK693" s="44"/>
      <c r="AL693" s="44"/>
      <c r="AM693" s="44"/>
      <c r="AN693" s="44"/>
      <c r="AO693" s="44"/>
      <c r="AP693" s="44"/>
      <c r="AQ693" s="44"/>
      <c r="AR693" s="44"/>
      <c r="AS693" s="44"/>
      <c r="AT693" s="44"/>
      <c r="AU693" s="44"/>
      <c r="AV693" s="44"/>
      <c r="AW693" s="44"/>
      <c r="AX693" s="44"/>
    </row>
    <row r="694" spans="1:50" x14ac:dyDescent="0.25">
      <c r="A694" s="44"/>
      <c r="B694" s="44"/>
      <c r="C694" s="44"/>
      <c r="D694" s="44"/>
      <c r="E694" s="44"/>
      <c r="F694" s="44"/>
      <c r="G694" s="44"/>
      <c r="H694" s="44"/>
      <c r="I694" s="44"/>
      <c r="J694" s="44"/>
      <c r="K694" s="44"/>
      <c r="L694" s="44"/>
      <c r="M694" s="44"/>
      <c r="N694" s="44"/>
      <c r="O694" s="44"/>
      <c r="P694" s="44"/>
      <c r="Q694" s="44"/>
      <c r="R694" s="44"/>
      <c r="S694" s="44"/>
      <c r="T694" s="44"/>
      <c r="U694" s="44"/>
      <c r="V694" s="44"/>
      <c r="W694" s="44"/>
      <c r="X694" s="44"/>
      <c r="Y694" s="44"/>
      <c r="Z694" s="44"/>
      <c r="AA694" s="44"/>
      <c r="AB694" s="44"/>
      <c r="AC694" s="44"/>
      <c r="AD694" s="44"/>
      <c r="AE694" s="44"/>
      <c r="AF694" s="44"/>
      <c r="AG694" s="44"/>
      <c r="AH694" s="44"/>
      <c r="AI694" s="44"/>
      <c r="AJ694" s="44"/>
      <c r="AK694" s="44"/>
      <c r="AL694" s="44"/>
      <c r="AM694" s="44"/>
      <c r="AN694" s="44"/>
      <c r="AO694" s="44"/>
      <c r="AP694" s="44"/>
      <c r="AQ694" s="44"/>
      <c r="AR694" s="44"/>
      <c r="AS694" s="44"/>
      <c r="AT694" s="44"/>
      <c r="AU694" s="44"/>
      <c r="AV694" s="44"/>
      <c r="AW694" s="44"/>
      <c r="AX694" s="44"/>
    </row>
    <row r="695" spans="1:50" x14ac:dyDescent="0.25">
      <c r="A695" s="44"/>
      <c r="B695" s="44"/>
      <c r="C695" s="44"/>
      <c r="D695" s="44"/>
      <c r="E695" s="44"/>
      <c r="F695" s="44"/>
      <c r="G695" s="44"/>
      <c r="H695" s="44"/>
      <c r="I695" s="44"/>
      <c r="J695" s="44"/>
      <c r="K695" s="44"/>
      <c r="L695" s="44"/>
      <c r="M695" s="44"/>
      <c r="N695" s="44"/>
      <c r="O695" s="44"/>
      <c r="P695" s="44"/>
      <c r="Q695" s="44"/>
      <c r="R695" s="44"/>
      <c r="S695" s="44"/>
      <c r="T695" s="44"/>
      <c r="U695" s="44"/>
      <c r="V695" s="44"/>
      <c r="W695" s="44"/>
      <c r="X695" s="44"/>
      <c r="Y695" s="44"/>
      <c r="Z695" s="44"/>
      <c r="AA695" s="44"/>
      <c r="AB695" s="44"/>
      <c r="AC695" s="44"/>
      <c r="AD695" s="44"/>
      <c r="AE695" s="44"/>
      <c r="AF695" s="44"/>
      <c r="AG695" s="44"/>
      <c r="AH695" s="44"/>
      <c r="AI695" s="44"/>
      <c r="AJ695" s="44"/>
      <c r="AK695" s="44"/>
      <c r="AL695" s="44"/>
      <c r="AM695" s="44"/>
      <c r="AN695" s="44"/>
      <c r="AO695" s="44"/>
      <c r="AP695" s="44"/>
      <c r="AQ695" s="44"/>
      <c r="AR695" s="44"/>
      <c r="AS695" s="44"/>
      <c r="AT695" s="44"/>
      <c r="AU695" s="44"/>
      <c r="AV695" s="44"/>
      <c r="AW695" s="44"/>
      <c r="AX695" s="44"/>
    </row>
    <row r="696" spans="1:50" x14ac:dyDescent="0.25">
      <c r="A696" s="44"/>
      <c r="B696" s="44"/>
      <c r="C696" s="44"/>
      <c r="D696" s="44"/>
      <c r="E696" s="44"/>
      <c r="F696" s="44"/>
      <c r="G696" s="44"/>
      <c r="H696" s="44"/>
      <c r="I696" s="44"/>
      <c r="J696" s="44"/>
      <c r="K696" s="44"/>
      <c r="L696" s="44"/>
      <c r="M696" s="44"/>
      <c r="N696" s="44"/>
      <c r="O696" s="44"/>
      <c r="P696" s="44"/>
      <c r="Q696" s="44"/>
      <c r="R696" s="44"/>
      <c r="S696" s="44"/>
      <c r="T696" s="44"/>
      <c r="U696" s="44"/>
      <c r="V696" s="44"/>
      <c r="W696" s="44"/>
      <c r="X696" s="44"/>
      <c r="Y696" s="44"/>
      <c r="Z696" s="44"/>
      <c r="AA696" s="44"/>
      <c r="AB696" s="44"/>
      <c r="AC696" s="44"/>
      <c r="AD696" s="44"/>
      <c r="AE696" s="44"/>
      <c r="AF696" s="44"/>
      <c r="AG696" s="44"/>
      <c r="AH696" s="44"/>
      <c r="AI696" s="44"/>
      <c r="AJ696" s="44"/>
      <c r="AK696" s="44"/>
      <c r="AL696" s="44"/>
      <c r="AM696" s="44"/>
      <c r="AN696" s="44"/>
      <c r="AO696" s="44"/>
      <c r="AP696" s="44"/>
      <c r="AQ696" s="44"/>
      <c r="AR696" s="44"/>
      <c r="AS696" s="44"/>
      <c r="AT696" s="44"/>
      <c r="AU696" s="44"/>
      <c r="AV696" s="44"/>
      <c r="AW696" s="44"/>
      <c r="AX696" s="44"/>
    </row>
    <row r="697" spans="1:50" x14ac:dyDescent="0.25">
      <c r="A697" s="44"/>
      <c r="B697" s="44"/>
      <c r="C697" s="44"/>
      <c r="D697" s="44"/>
      <c r="E697" s="44"/>
      <c r="F697" s="44"/>
      <c r="G697" s="44"/>
      <c r="H697" s="44"/>
      <c r="I697" s="44"/>
      <c r="J697" s="44"/>
      <c r="K697" s="44"/>
      <c r="L697" s="44"/>
      <c r="M697" s="44"/>
      <c r="N697" s="44"/>
      <c r="O697" s="44"/>
      <c r="P697" s="44"/>
      <c r="Q697" s="44"/>
      <c r="R697" s="44"/>
      <c r="S697" s="44"/>
      <c r="T697" s="44"/>
      <c r="U697" s="44"/>
      <c r="V697" s="44"/>
      <c r="W697" s="44"/>
      <c r="X697" s="44"/>
      <c r="Y697" s="44"/>
      <c r="Z697" s="44"/>
      <c r="AA697" s="44"/>
      <c r="AB697" s="44"/>
      <c r="AC697" s="44"/>
      <c r="AD697" s="44"/>
      <c r="AE697" s="44"/>
      <c r="AF697" s="44"/>
      <c r="AG697" s="44"/>
      <c r="AH697" s="44"/>
      <c r="AI697" s="44"/>
      <c r="AJ697" s="44"/>
      <c r="AK697" s="44"/>
      <c r="AL697" s="44"/>
      <c r="AM697" s="44"/>
      <c r="AN697" s="44"/>
      <c r="AO697" s="44"/>
      <c r="AP697" s="44"/>
      <c r="AQ697" s="44"/>
      <c r="AR697" s="44"/>
      <c r="AS697" s="44"/>
      <c r="AT697" s="44"/>
      <c r="AU697" s="44"/>
      <c r="AV697" s="44"/>
      <c r="AW697" s="44"/>
      <c r="AX697" s="44"/>
    </row>
    <row r="698" spans="1:50" x14ac:dyDescent="0.25">
      <c r="A698" s="44"/>
      <c r="B698" s="44"/>
      <c r="C698" s="44"/>
      <c r="D698" s="44"/>
      <c r="E698" s="44"/>
      <c r="F698" s="44"/>
      <c r="G698" s="44"/>
      <c r="H698" s="44"/>
      <c r="I698" s="44"/>
      <c r="J698" s="44"/>
      <c r="K698" s="44"/>
      <c r="L698" s="44"/>
      <c r="M698" s="44"/>
      <c r="N698" s="44"/>
      <c r="O698" s="44"/>
      <c r="P698" s="44"/>
      <c r="Q698" s="44"/>
      <c r="R698" s="44"/>
      <c r="S698" s="44"/>
      <c r="T698" s="44"/>
      <c r="U698" s="44"/>
      <c r="V698" s="44"/>
      <c r="W698" s="44"/>
      <c r="X698" s="44"/>
      <c r="Y698" s="44"/>
      <c r="Z698" s="44"/>
      <c r="AA698" s="44"/>
      <c r="AB698" s="44"/>
      <c r="AC698" s="44"/>
      <c r="AD698" s="44"/>
      <c r="AE698" s="44"/>
      <c r="AF698" s="44"/>
      <c r="AG698" s="44"/>
      <c r="AH698" s="44"/>
      <c r="AI698" s="44"/>
      <c r="AJ698" s="44"/>
      <c r="AK698" s="44"/>
      <c r="AL698" s="44"/>
      <c r="AM698" s="44"/>
      <c r="AN698" s="44"/>
      <c r="AO698" s="44"/>
      <c r="AP698" s="44"/>
      <c r="AQ698" s="44"/>
      <c r="AR698" s="44"/>
      <c r="AS698" s="44"/>
      <c r="AT698" s="44"/>
      <c r="AU698" s="44"/>
      <c r="AV698" s="44"/>
      <c r="AW698" s="44"/>
      <c r="AX698" s="44"/>
    </row>
    <row r="699" spans="1:50" x14ac:dyDescent="0.25">
      <c r="A699" s="44"/>
      <c r="B699" s="44"/>
      <c r="C699" s="44"/>
      <c r="D699" s="44"/>
      <c r="E699" s="44"/>
      <c r="F699" s="44"/>
      <c r="G699" s="44"/>
      <c r="H699" s="44"/>
      <c r="I699" s="44"/>
      <c r="J699" s="44"/>
      <c r="K699" s="44"/>
      <c r="L699" s="44"/>
      <c r="M699" s="44"/>
      <c r="N699" s="44"/>
      <c r="O699" s="44"/>
      <c r="P699" s="44"/>
      <c r="Q699" s="44"/>
      <c r="R699" s="44"/>
      <c r="S699" s="44"/>
      <c r="T699" s="44"/>
      <c r="U699" s="44"/>
      <c r="V699" s="44"/>
      <c r="W699" s="44"/>
      <c r="X699" s="44"/>
      <c r="Y699" s="44"/>
      <c r="Z699" s="44"/>
      <c r="AA699" s="44"/>
      <c r="AB699" s="44"/>
      <c r="AC699" s="44"/>
      <c r="AD699" s="44"/>
      <c r="AE699" s="44"/>
      <c r="AF699" s="44"/>
      <c r="AG699" s="44"/>
      <c r="AH699" s="44"/>
      <c r="AI699" s="44"/>
      <c r="AJ699" s="44"/>
      <c r="AK699" s="44"/>
      <c r="AL699" s="44"/>
      <c r="AM699" s="44"/>
      <c r="AN699" s="44"/>
      <c r="AO699" s="44"/>
      <c r="AP699" s="44"/>
      <c r="AQ699" s="44"/>
      <c r="AR699" s="44"/>
      <c r="AS699" s="44"/>
      <c r="AT699" s="44"/>
      <c r="AU699" s="44"/>
      <c r="AV699" s="44"/>
      <c r="AW699" s="44"/>
      <c r="AX699" s="44"/>
    </row>
    <row r="700" spans="1:50" x14ac:dyDescent="0.25">
      <c r="A700" s="44"/>
      <c r="B700" s="44"/>
      <c r="C700" s="44"/>
      <c r="D700" s="44"/>
      <c r="E700" s="44"/>
      <c r="F700" s="44"/>
      <c r="G700" s="44"/>
      <c r="H700" s="44"/>
      <c r="I700" s="44"/>
      <c r="J700" s="44"/>
      <c r="K700" s="44"/>
      <c r="L700" s="44"/>
      <c r="M700" s="44"/>
      <c r="N700" s="44"/>
      <c r="O700" s="44"/>
      <c r="P700" s="44"/>
      <c r="Q700" s="44"/>
      <c r="R700" s="44"/>
      <c r="S700" s="44"/>
      <c r="T700" s="44"/>
      <c r="U700" s="44"/>
      <c r="V700" s="44"/>
      <c r="W700" s="44"/>
      <c r="X700" s="44"/>
      <c r="Y700" s="44"/>
      <c r="Z700" s="44"/>
      <c r="AA700" s="44"/>
      <c r="AB700" s="44"/>
      <c r="AC700" s="44"/>
      <c r="AD700" s="44"/>
      <c r="AE700" s="44"/>
      <c r="AF700" s="44"/>
      <c r="AG700" s="44"/>
      <c r="AH700" s="44"/>
      <c r="AI700" s="44"/>
      <c r="AJ700" s="44"/>
      <c r="AK700" s="44"/>
      <c r="AL700" s="44"/>
      <c r="AM700" s="44"/>
      <c r="AN700" s="44"/>
      <c r="AO700" s="44"/>
      <c r="AP700" s="44"/>
      <c r="AQ700" s="44"/>
      <c r="AR700" s="44"/>
      <c r="AS700" s="44"/>
      <c r="AT700" s="44"/>
      <c r="AU700" s="44"/>
      <c r="AV700" s="44"/>
      <c r="AW700" s="44"/>
      <c r="AX700" s="44"/>
    </row>
    <row r="701" spans="1:50" x14ac:dyDescent="0.25">
      <c r="A701" s="44"/>
      <c r="B701" s="44"/>
      <c r="C701" s="44"/>
      <c r="D701" s="44"/>
      <c r="E701" s="44"/>
      <c r="F701" s="44"/>
      <c r="G701" s="44"/>
      <c r="H701" s="44"/>
      <c r="I701" s="44"/>
      <c r="J701" s="44"/>
      <c r="K701" s="44"/>
      <c r="L701" s="44"/>
      <c r="M701" s="44"/>
      <c r="N701" s="44"/>
      <c r="O701" s="44"/>
      <c r="P701" s="44"/>
      <c r="Q701" s="44"/>
      <c r="R701" s="44"/>
      <c r="S701" s="44"/>
      <c r="T701" s="44"/>
      <c r="U701" s="44"/>
      <c r="V701" s="44"/>
      <c r="W701" s="44"/>
      <c r="X701" s="44"/>
      <c r="Y701" s="44"/>
      <c r="Z701" s="44"/>
      <c r="AA701" s="44"/>
      <c r="AB701" s="44"/>
      <c r="AC701" s="44"/>
      <c r="AD701" s="44"/>
      <c r="AE701" s="44"/>
      <c r="AF701" s="44"/>
      <c r="AG701" s="44"/>
      <c r="AH701" s="44"/>
      <c r="AI701" s="44"/>
      <c r="AJ701" s="44"/>
      <c r="AK701" s="44"/>
      <c r="AL701" s="44"/>
      <c r="AM701" s="44"/>
      <c r="AN701" s="44"/>
      <c r="AO701" s="44"/>
      <c r="AP701" s="44"/>
      <c r="AQ701" s="44"/>
      <c r="AR701" s="44"/>
      <c r="AS701" s="44"/>
      <c r="AT701" s="44"/>
      <c r="AU701" s="44"/>
      <c r="AV701" s="44"/>
      <c r="AW701" s="44"/>
      <c r="AX701" s="44"/>
    </row>
    <row r="702" spans="1:50" x14ac:dyDescent="0.25">
      <c r="A702" s="44"/>
      <c r="B702" s="44"/>
      <c r="C702" s="44"/>
      <c r="D702" s="44"/>
      <c r="E702" s="44"/>
      <c r="F702" s="44"/>
      <c r="G702" s="44"/>
      <c r="H702" s="44"/>
      <c r="I702" s="44"/>
      <c r="J702" s="44"/>
      <c r="K702" s="44"/>
      <c r="L702" s="44"/>
      <c r="M702" s="44"/>
      <c r="N702" s="44"/>
      <c r="O702" s="44"/>
      <c r="P702" s="44"/>
      <c r="Q702" s="44"/>
      <c r="R702" s="44"/>
      <c r="S702" s="44"/>
      <c r="T702" s="44"/>
      <c r="U702" s="44"/>
      <c r="V702" s="44"/>
      <c r="W702" s="44"/>
      <c r="X702" s="44"/>
      <c r="Y702" s="44"/>
      <c r="Z702" s="44"/>
      <c r="AA702" s="44"/>
      <c r="AB702" s="44"/>
      <c r="AC702" s="44"/>
      <c r="AD702" s="44"/>
      <c r="AE702" s="44"/>
      <c r="AF702" s="44"/>
      <c r="AG702" s="44"/>
      <c r="AH702" s="44"/>
      <c r="AI702" s="44"/>
      <c r="AJ702" s="44"/>
      <c r="AK702" s="44"/>
      <c r="AL702" s="44"/>
      <c r="AM702" s="44"/>
      <c r="AN702" s="44"/>
      <c r="AO702" s="44"/>
      <c r="AP702" s="44"/>
      <c r="AQ702" s="44"/>
      <c r="AR702" s="44"/>
      <c r="AS702" s="44"/>
      <c r="AT702" s="44"/>
      <c r="AU702" s="44"/>
      <c r="AV702" s="44"/>
      <c r="AW702" s="44"/>
      <c r="AX702" s="44"/>
    </row>
    <row r="703" spans="1:50" x14ac:dyDescent="0.25">
      <c r="A703" s="44"/>
      <c r="B703" s="44"/>
      <c r="C703" s="44"/>
      <c r="D703" s="44"/>
      <c r="E703" s="44"/>
      <c r="F703" s="44"/>
      <c r="G703" s="44"/>
      <c r="H703" s="44"/>
      <c r="I703" s="44"/>
      <c r="J703" s="44"/>
      <c r="K703" s="44"/>
      <c r="L703" s="44"/>
      <c r="M703" s="44"/>
      <c r="N703" s="44"/>
      <c r="O703" s="44"/>
      <c r="P703" s="44"/>
      <c r="Q703" s="44"/>
      <c r="R703" s="44"/>
      <c r="S703" s="44"/>
      <c r="T703" s="44"/>
      <c r="U703" s="44"/>
      <c r="V703" s="44"/>
      <c r="W703" s="44"/>
      <c r="X703" s="44"/>
      <c r="Y703" s="44"/>
      <c r="Z703" s="44"/>
      <c r="AA703" s="44"/>
      <c r="AB703" s="44"/>
      <c r="AC703" s="44"/>
      <c r="AD703" s="44"/>
      <c r="AE703" s="44"/>
      <c r="AF703" s="44"/>
      <c r="AG703" s="44"/>
      <c r="AH703" s="44"/>
      <c r="AI703" s="44"/>
      <c r="AJ703" s="44"/>
      <c r="AK703" s="44"/>
      <c r="AL703" s="44"/>
      <c r="AM703" s="44"/>
      <c r="AN703" s="44"/>
      <c r="AO703" s="44"/>
      <c r="AP703" s="44"/>
      <c r="AQ703" s="44"/>
      <c r="AR703" s="44"/>
      <c r="AS703" s="44"/>
      <c r="AT703" s="44"/>
      <c r="AU703" s="44"/>
      <c r="AV703" s="44"/>
      <c r="AW703" s="44"/>
      <c r="AX703" s="44"/>
    </row>
    <row r="704" spans="1:50" x14ac:dyDescent="0.25">
      <c r="A704" s="44"/>
      <c r="B704" s="44"/>
      <c r="C704" s="44"/>
      <c r="D704" s="44"/>
      <c r="E704" s="44"/>
      <c r="F704" s="44"/>
      <c r="G704" s="44"/>
      <c r="H704" s="44"/>
      <c r="I704" s="44"/>
      <c r="J704" s="44"/>
      <c r="K704" s="44"/>
      <c r="L704" s="44"/>
      <c r="M704" s="44"/>
      <c r="N704" s="44"/>
      <c r="O704" s="44"/>
      <c r="P704" s="44"/>
      <c r="Q704" s="44"/>
      <c r="R704" s="44"/>
      <c r="S704" s="44"/>
      <c r="T704" s="44"/>
      <c r="U704" s="44"/>
      <c r="V704" s="44"/>
      <c r="W704" s="44"/>
      <c r="X704" s="44"/>
      <c r="Y704" s="44"/>
      <c r="Z704" s="44"/>
      <c r="AA704" s="44"/>
      <c r="AB704" s="44"/>
      <c r="AC704" s="44"/>
      <c r="AD704" s="44"/>
      <c r="AE704" s="44"/>
      <c r="AF704" s="44"/>
      <c r="AG704" s="44"/>
      <c r="AH704" s="44"/>
      <c r="AI704" s="44"/>
      <c r="AJ704" s="44"/>
      <c r="AK704" s="44"/>
      <c r="AL704" s="44"/>
      <c r="AM704" s="44"/>
      <c r="AN704" s="44"/>
      <c r="AO704" s="44"/>
      <c r="AP704" s="44"/>
      <c r="AQ704" s="44"/>
      <c r="AR704" s="44"/>
      <c r="AS704" s="44"/>
      <c r="AT704" s="44"/>
      <c r="AU704" s="44"/>
      <c r="AV704" s="44"/>
      <c r="AW704" s="44"/>
      <c r="AX704" s="44"/>
    </row>
    <row r="705" spans="1:50" x14ac:dyDescent="0.25">
      <c r="A705" s="44"/>
      <c r="B705" s="44"/>
      <c r="C705" s="44"/>
      <c r="D705" s="44"/>
      <c r="E705" s="44"/>
      <c r="F705" s="44"/>
      <c r="G705" s="44"/>
      <c r="H705" s="44"/>
      <c r="I705" s="44"/>
      <c r="J705" s="44"/>
      <c r="K705" s="44"/>
      <c r="L705" s="44"/>
      <c r="M705" s="44"/>
      <c r="N705" s="44"/>
      <c r="O705" s="44"/>
      <c r="P705" s="44"/>
      <c r="Q705" s="44"/>
      <c r="R705" s="44"/>
      <c r="S705" s="44"/>
      <c r="T705" s="44"/>
      <c r="U705" s="44"/>
      <c r="V705" s="44"/>
      <c r="W705" s="44"/>
      <c r="X705" s="44"/>
      <c r="Y705" s="44"/>
      <c r="Z705" s="44"/>
      <c r="AA705" s="44"/>
      <c r="AB705" s="44"/>
      <c r="AC705" s="44"/>
      <c r="AD705" s="44"/>
      <c r="AE705" s="44"/>
      <c r="AF705" s="44"/>
      <c r="AG705" s="44"/>
      <c r="AH705" s="44"/>
      <c r="AI705" s="44"/>
      <c r="AJ705" s="44"/>
      <c r="AK705" s="44"/>
      <c r="AL705" s="44"/>
      <c r="AM705" s="44"/>
      <c r="AN705" s="44"/>
      <c r="AO705" s="44"/>
      <c r="AP705" s="44"/>
      <c r="AQ705" s="44"/>
      <c r="AR705" s="44"/>
      <c r="AS705" s="44"/>
      <c r="AT705" s="44"/>
      <c r="AU705" s="44"/>
      <c r="AV705" s="44"/>
      <c r="AW705" s="44"/>
      <c r="AX705" s="44"/>
    </row>
    <row r="706" spans="1:50" x14ac:dyDescent="0.25">
      <c r="A706" s="44"/>
      <c r="B706" s="44"/>
      <c r="C706" s="44"/>
      <c r="D706" s="44"/>
      <c r="E706" s="44"/>
      <c r="F706" s="44"/>
      <c r="G706" s="44"/>
      <c r="H706" s="44"/>
      <c r="I706" s="44"/>
      <c r="J706" s="44"/>
      <c r="K706" s="44"/>
      <c r="L706" s="44"/>
      <c r="M706" s="44"/>
      <c r="N706" s="44"/>
      <c r="O706" s="44"/>
      <c r="P706" s="44"/>
      <c r="Q706" s="44"/>
      <c r="R706" s="44"/>
      <c r="S706" s="44"/>
      <c r="T706" s="44"/>
      <c r="U706" s="44"/>
      <c r="V706" s="44"/>
      <c r="W706" s="44"/>
      <c r="X706" s="44"/>
      <c r="Y706" s="44"/>
      <c r="Z706" s="44"/>
      <c r="AA706" s="44"/>
      <c r="AB706" s="44"/>
      <c r="AC706" s="44"/>
      <c r="AD706" s="44"/>
      <c r="AE706" s="44"/>
      <c r="AF706" s="44"/>
      <c r="AG706" s="44"/>
      <c r="AH706" s="44"/>
      <c r="AI706" s="44"/>
      <c r="AJ706" s="44"/>
      <c r="AK706" s="44"/>
      <c r="AL706" s="44"/>
      <c r="AM706" s="44"/>
      <c r="AN706" s="44"/>
      <c r="AO706" s="44"/>
      <c r="AP706" s="44"/>
      <c r="AQ706" s="44"/>
      <c r="AR706" s="44"/>
      <c r="AS706" s="44"/>
      <c r="AT706" s="44"/>
      <c r="AU706" s="44"/>
      <c r="AV706" s="44"/>
      <c r="AW706" s="44"/>
      <c r="AX706" s="44"/>
    </row>
    <row r="707" spans="1:50" x14ac:dyDescent="0.25">
      <c r="A707" s="44"/>
      <c r="B707" s="44"/>
      <c r="C707" s="44"/>
      <c r="D707" s="44"/>
      <c r="E707" s="44"/>
      <c r="F707" s="44"/>
      <c r="G707" s="44"/>
      <c r="H707" s="44"/>
      <c r="I707" s="44"/>
      <c r="J707" s="44"/>
      <c r="K707" s="44"/>
      <c r="L707" s="44"/>
      <c r="M707" s="44"/>
      <c r="N707" s="44"/>
      <c r="O707" s="44"/>
      <c r="P707" s="44"/>
      <c r="Q707" s="44"/>
      <c r="R707" s="44"/>
      <c r="S707" s="44"/>
      <c r="T707" s="44"/>
      <c r="U707" s="44"/>
      <c r="V707" s="44"/>
      <c r="W707" s="44"/>
      <c r="X707" s="44"/>
      <c r="Y707" s="44"/>
      <c r="Z707" s="44"/>
      <c r="AA707" s="44"/>
      <c r="AB707" s="44"/>
      <c r="AC707" s="44"/>
      <c r="AD707" s="44"/>
      <c r="AE707" s="44"/>
      <c r="AF707" s="44"/>
      <c r="AG707" s="44"/>
      <c r="AH707" s="44"/>
      <c r="AI707" s="44"/>
      <c r="AJ707" s="44"/>
      <c r="AK707" s="44"/>
      <c r="AL707" s="44"/>
      <c r="AM707" s="44"/>
      <c r="AN707" s="44"/>
      <c r="AO707" s="44"/>
      <c r="AP707" s="44"/>
      <c r="AQ707" s="44"/>
      <c r="AR707" s="44"/>
      <c r="AS707" s="44"/>
      <c r="AT707" s="44"/>
      <c r="AU707" s="44"/>
      <c r="AV707" s="44"/>
      <c r="AW707" s="44"/>
      <c r="AX707" s="44"/>
    </row>
    <row r="708" spans="1:50" x14ac:dyDescent="0.25">
      <c r="A708" s="44"/>
      <c r="B708" s="44"/>
      <c r="C708" s="44"/>
      <c r="D708" s="44"/>
      <c r="E708" s="44"/>
      <c r="F708" s="44"/>
      <c r="G708" s="44"/>
      <c r="H708" s="44"/>
      <c r="I708" s="44"/>
      <c r="J708" s="44"/>
      <c r="K708" s="44"/>
      <c r="L708" s="44"/>
      <c r="M708" s="44"/>
      <c r="N708" s="44"/>
      <c r="O708" s="44"/>
      <c r="P708" s="44"/>
      <c r="Q708" s="44"/>
      <c r="R708" s="44"/>
      <c r="S708" s="44"/>
      <c r="T708" s="44"/>
      <c r="U708" s="44"/>
      <c r="V708" s="44"/>
      <c r="W708" s="44"/>
      <c r="X708" s="44"/>
      <c r="Y708" s="44"/>
      <c r="Z708" s="44"/>
      <c r="AA708" s="44"/>
      <c r="AB708" s="44"/>
      <c r="AC708" s="44"/>
      <c r="AD708" s="44"/>
      <c r="AE708" s="44"/>
      <c r="AF708" s="44"/>
      <c r="AG708" s="44"/>
      <c r="AH708" s="44"/>
      <c r="AI708" s="44"/>
      <c r="AJ708" s="44"/>
      <c r="AK708" s="44"/>
      <c r="AL708" s="44"/>
      <c r="AM708" s="44"/>
      <c r="AN708" s="44"/>
      <c r="AO708" s="44"/>
      <c r="AP708" s="44"/>
      <c r="AQ708" s="44"/>
      <c r="AR708" s="44"/>
      <c r="AS708" s="44"/>
      <c r="AT708" s="44"/>
      <c r="AU708" s="44"/>
      <c r="AV708" s="44"/>
      <c r="AW708" s="44"/>
      <c r="AX708" s="44"/>
    </row>
    <row r="709" spans="1:50" x14ac:dyDescent="0.25">
      <c r="A709" s="44"/>
      <c r="B709" s="44"/>
      <c r="C709" s="44"/>
      <c r="D709" s="44"/>
      <c r="E709" s="44"/>
      <c r="F709" s="44"/>
      <c r="G709" s="44"/>
      <c r="H709" s="44"/>
      <c r="I709" s="44"/>
      <c r="J709" s="44"/>
      <c r="K709" s="44"/>
      <c r="L709" s="44"/>
      <c r="M709" s="44"/>
      <c r="N709" s="44"/>
      <c r="O709" s="44"/>
      <c r="P709" s="44"/>
      <c r="Q709" s="44"/>
      <c r="R709" s="44"/>
      <c r="S709" s="44"/>
      <c r="T709" s="44"/>
      <c r="U709" s="44"/>
      <c r="V709" s="44"/>
      <c r="W709" s="44"/>
      <c r="X709" s="44"/>
      <c r="Y709" s="44"/>
      <c r="Z709" s="44"/>
      <c r="AA709" s="44"/>
      <c r="AB709" s="44"/>
      <c r="AC709" s="44"/>
      <c r="AD709" s="44"/>
      <c r="AE709" s="44"/>
      <c r="AF709" s="44"/>
      <c r="AG709" s="44"/>
      <c r="AH709" s="44"/>
      <c r="AI709" s="44"/>
      <c r="AJ709" s="44"/>
      <c r="AK709" s="44"/>
      <c r="AL709" s="44"/>
      <c r="AM709" s="44"/>
      <c r="AN709" s="44"/>
      <c r="AO709" s="44"/>
      <c r="AP709" s="44"/>
      <c r="AQ709" s="44"/>
      <c r="AR709" s="44"/>
      <c r="AS709" s="44"/>
      <c r="AT709" s="44"/>
      <c r="AU709" s="44"/>
      <c r="AV709" s="44"/>
      <c r="AW709" s="44"/>
      <c r="AX709" s="44"/>
    </row>
    <row r="710" spans="1:50" x14ac:dyDescent="0.25">
      <c r="A710" s="44"/>
      <c r="B710" s="44"/>
      <c r="C710" s="44"/>
      <c r="D710" s="44"/>
      <c r="E710" s="44"/>
      <c r="F710" s="44"/>
      <c r="G710" s="44"/>
      <c r="H710" s="44"/>
      <c r="I710" s="44"/>
      <c r="J710" s="44"/>
      <c r="K710" s="44"/>
      <c r="L710" s="44"/>
      <c r="M710" s="44"/>
      <c r="N710" s="44"/>
      <c r="O710" s="44"/>
      <c r="P710" s="44"/>
      <c r="Q710" s="44"/>
      <c r="R710" s="44"/>
      <c r="S710" s="44"/>
      <c r="T710" s="44"/>
      <c r="U710" s="44"/>
      <c r="V710" s="44"/>
      <c r="W710" s="44"/>
      <c r="X710" s="44"/>
      <c r="Y710" s="44"/>
      <c r="Z710" s="44"/>
      <c r="AA710" s="44"/>
      <c r="AB710" s="44"/>
      <c r="AC710" s="44"/>
      <c r="AD710" s="44"/>
      <c r="AE710" s="44"/>
      <c r="AF710" s="44"/>
      <c r="AG710" s="44"/>
      <c r="AH710" s="44"/>
      <c r="AI710" s="44"/>
      <c r="AJ710" s="44"/>
      <c r="AK710" s="44"/>
      <c r="AL710" s="44"/>
      <c r="AM710" s="44"/>
      <c r="AN710" s="44"/>
      <c r="AO710" s="44"/>
      <c r="AP710" s="44"/>
      <c r="AQ710" s="44"/>
      <c r="AR710" s="44"/>
      <c r="AS710" s="44"/>
      <c r="AT710" s="44"/>
      <c r="AU710" s="44"/>
      <c r="AV710" s="44"/>
      <c r="AW710" s="44"/>
      <c r="AX710" s="44"/>
    </row>
    <row r="711" spans="1:50" x14ac:dyDescent="0.25">
      <c r="A711" s="44"/>
      <c r="B711" s="44"/>
      <c r="C711" s="44"/>
      <c r="D711" s="44"/>
      <c r="E711" s="44"/>
      <c r="F711" s="44"/>
      <c r="G711" s="44"/>
      <c r="H711" s="44"/>
      <c r="I711" s="44"/>
      <c r="J711" s="44"/>
      <c r="K711" s="44"/>
      <c r="L711" s="44"/>
      <c r="M711" s="44"/>
      <c r="N711" s="44"/>
      <c r="O711" s="44"/>
      <c r="P711" s="44"/>
      <c r="Q711" s="44"/>
      <c r="R711" s="44"/>
      <c r="S711" s="44"/>
      <c r="T711" s="44"/>
      <c r="U711" s="44"/>
      <c r="V711" s="44"/>
      <c r="W711" s="44"/>
      <c r="X711" s="44"/>
      <c r="Y711" s="44"/>
      <c r="Z711" s="44"/>
      <c r="AA711" s="44"/>
      <c r="AB711" s="44"/>
      <c r="AC711" s="44"/>
      <c r="AD711" s="44"/>
      <c r="AE711" s="44"/>
      <c r="AF711" s="44"/>
      <c r="AG711" s="44"/>
      <c r="AH711" s="44"/>
      <c r="AI711" s="44"/>
      <c r="AJ711" s="44"/>
      <c r="AK711" s="44"/>
      <c r="AL711" s="44"/>
      <c r="AM711" s="44"/>
      <c r="AN711" s="44"/>
      <c r="AO711" s="44"/>
      <c r="AP711" s="44"/>
      <c r="AQ711" s="44"/>
      <c r="AR711" s="44"/>
      <c r="AS711" s="44"/>
      <c r="AT711" s="44"/>
      <c r="AU711" s="44"/>
      <c r="AV711" s="44"/>
      <c r="AW711" s="44"/>
      <c r="AX711" s="44"/>
    </row>
    <row r="712" spans="1:50" x14ac:dyDescent="0.25">
      <c r="A712" s="44"/>
      <c r="B712" s="44"/>
      <c r="C712" s="44"/>
      <c r="D712" s="44"/>
      <c r="E712" s="44"/>
      <c r="F712" s="44"/>
      <c r="G712" s="44"/>
      <c r="H712" s="44"/>
      <c r="I712" s="44"/>
      <c r="J712" s="44"/>
      <c r="K712" s="44"/>
      <c r="L712" s="44"/>
      <c r="M712" s="44"/>
      <c r="N712" s="44"/>
      <c r="O712" s="44"/>
      <c r="P712" s="44"/>
      <c r="Q712" s="44"/>
      <c r="R712" s="44"/>
      <c r="S712" s="44"/>
      <c r="T712" s="44"/>
      <c r="U712" s="44"/>
      <c r="V712" s="44"/>
      <c r="W712" s="44"/>
      <c r="X712" s="44"/>
      <c r="Y712" s="44"/>
      <c r="Z712" s="44"/>
      <c r="AA712" s="44"/>
      <c r="AB712" s="44"/>
      <c r="AC712" s="44"/>
      <c r="AD712" s="44"/>
      <c r="AE712" s="44"/>
      <c r="AF712" s="44"/>
      <c r="AG712" s="44"/>
      <c r="AH712" s="44"/>
      <c r="AI712" s="44"/>
      <c r="AJ712" s="44"/>
      <c r="AK712" s="44"/>
      <c r="AL712" s="44"/>
      <c r="AM712" s="44"/>
      <c r="AN712" s="44"/>
      <c r="AO712" s="44"/>
      <c r="AP712" s="44"/>
      <c r="AQ712" s="44"/>
      <c r="AR712" s="44"/>
      <c r="AS712" s="44"/>
      <c r="AT712" s="44"/>
      <c r="AU712" s="44"/>
      <c r="AV712" s="44"/>
      <c r="AW712" s="44"/>
      <c r="AX712" s="44"/>
    </row>
    <row r="713" spans="1:50" x14ac:dyDescent="0.25">
      <c r="A713" s="44"/>
      <c r="B713" s="44"/>
      <c r="C713" s="44"/>
      <c r="D713" s="44"/>
      <c r="E713" s="44"/>
      <c r="F713" s="44"/>
      <c r="G713" s="44"/>
      <c r="H713" s="44"/>
      <c r="I713" s="44"/>
      <c r="J713" s="44"/>
      <c r="K713" s="44"/>
      <c r="L713" s="44"/>
      <c r="M713" s="44"/>
      <c r="N713" s="44"/>
      <c r="O713" s="44"/>
      <c r="P713" s="44"/>
      <c r="Q713" s="44"/>
      <c r="R713" s="44"/>
      <c r="S713" s="44"/>
      <c r="T713" s="44"/>
      <c r="U713" s="44"/>
      <c r="V713" s="44"/>
      <c r="W713" s="44"/>
      <c r="X713" s="44"/>
      <c r="Y713" s="44"/>
      <c r="Z713" s="44"/>
      <c r="AA713" s="44"/>
      <c r="AB713" s="44"/>
      <c r="AC713" s="44"/>
      <c r="AD713" s="44"/>
      <c r="AE713" s="44"/>
      <c r="AF713" s="44"/>
      <c r="AG713" s="44"/>
      <c r="AH713" s="44"/>
      <c r="AI713" s="44"/>
      <c r="AJ713" s="44"/>
      <c r="AK713" s="44"/>
      <c r="AL713" s="44"/>
      <c r="AM713" s="44"/>
      <c r="AN713" s="44"/>
      <c r="AO713" s="44"/>
      <c r="AP713" s="44"/>
      <c r="AQ713" s="44"/>
      <c r="AR713" s="44"/>
      <c r="AS713" s="44"/>
      <c r="AT713" s="44"/>
      <c r="AU713" s="44"/>
      <c r="AV713" s="44"/>
      <c r="AW713" s="44"/>
      <c r="AX713" s="44"/>
    </row>
    <row r="714" spans="1:50" x14ac:dyDescent="0.25">
      <c r="A714" s="44"/>
      <c r="B714" s="44"/>
      <c r="C714" s="44"/>
      <c r="D714" s="44"/>
      <c r="E714" s="44"/>
      <c r="F714" s="44"/>
      <c r="G714" s="44"/>
      <c r="H714" s="44"/>
      <c r="I714" s="44"/>
      <c r="J714" s="44"/>
      <c r="K714" s="44"/>
      <c r="L714" s="44"/>
      <c r="M714" s="44"/>
      <c r="N714" s="44"/>
      <c r="O714" s="44"/>
      <c r="P714" s="44"/>
      <c r="Q714" s="44"/>
      <c r="R714" s="44"/>
      <c r="S714" s="44"/>
      <c r="T714" s="44"/>
      <c r="U714" s="44"/>
      <c r="V714" s="44"/>
      <c r="W714" s="44"/>
      <c r="X714" s="44"/>
      <c r="Y714" s="44"/>
      <c r="Z714" s="44"/>
      <c r="AA714" s="44"/>
      <c r="AB714" s="44"/>
      <c r="AC714" s="44"/>
      <c r="AD714" s="44"/>
      <c r="AE714" s="44"/>
      <c r="AF714" s="44"/>
      <c r="AG714" s="44"/>
      <c r="AH714" s="44"/>
      <c r="AI714" s="44"/>
      <c r="AJ714" s="44"/>
      <c r="AK714" s="44"/>
      <c r="AL714" s="44"/>
      <c r="AM714" s="44"/>
      <c r="AN714" s="44"/>
      <c r="AO714" s="44"/>
      <c r="AP714" s="44"/>
      <c r="AQ714" s="44"/>
      <c r="AR714" s="44"/>
      <c r="AS714" s="44"/>
      <c r="AT714" s="44"/>
      <c r="AU714" s="44"/>
      <c r="AV714" s="44"/>
      <c r="AW714" s="44"/>
      <c r="AX714" s="44"/>
    </row>
    <row r="715" spans="1:50" x14ac:dyDescent="0.25">
      <c r="A715" s="44"/>
      <c r="B715" s="44"/>
      <c r="C715" s="44"/>
      <c r="D715" s="44"/>
      <c r="E715" s="44"/>
      <c r="F715" s="44"/>
      <c r="G715" s="44"/>
      <c r="H715" s="44"/>
      <c r="I715" s="44"/>
      <c r="J715" s="44"/>
      <c r="K715" s="44"/>
      <c r="L715" s="44"/>
      <c r="M715" s="44"/>
      <c r="N715" s="44"/>
      <c r="O715" s="44"/>
      <c r="P715" s="44"/>
      <c r="Q715" s="44"/>
      <c r="R715" s="44"/>
      <c r="S715" s="44"/>
      <c r="T715" s="44"/>
      <c r="U715" s="44"/>
      <c r="V715" s="44"/>
      <c r="W715" s="44"/>
      <c r="X715" s="44"/>
      <c r="Y715" s="44"/>
      <c r="Z715" s="44"/>
      <c r="AA715" s="44"/>
      <c r="AB715" s="44"/>
      <c r="AC715" s="44"/>
      <c r="AD715" s="44"/>
      <c r="AE715" s="44"/>
      <c r="AF715" s="44"/>
      <c r="AG715" s="44"/>
      <c r="AH715" s="44"/>
      <c r="AI715" s="44"/>
      <c r="AJ715" s="44"/>
      <c r="AK715" s="44"/>
      <c r="AL715" s="44"/>
      <c r="AM715" s="44"/>
      <c r="AN715" s="44"/>
      <c r="AO715" s="44"/>
      <c r="AP715" s="44"/>
      <c r="AQ715" s="44"/>
      <c r="AR715" s="44"/>
      <c r="AS715" s="44"/>
      <c r="AT715" s="44"/>
      <c r="AU715" s="44"/>
      <c r="AV715" s="44"/>
      <c r="AW715" s="44"/>
      <c r="AX715" s="44"/>
    </row>
    <row r="716" spans="1:50" x14ac:dyDescent="0.25">
      <c r="A716" s="44"/>
      <c r="B716" s="44"/>
      <c r="C716" s="44"/>
      <c r="D716" s="44"/>
      <c r="E716" s="44"/>
      <c r="F716" s="44"/>
      <c r="G716" s="44"/>
      <c r="H716" s="44"/>
      <c r="I716" s="44"/>
      <c r="J716" s="44"/>
      <c r="K716" s="44"/>
      <c r="L716" s="44"/>
      <c r="M716" s="44"/>
      <c r="N716" s="44"/>
      <c r="O716" s="44"/>
      <c r="P716" s="44"/>
      <c r="Q716" s="44"/>
      <c r="R716" s="44"/>
      <c r="S716" s="44"/>
      <c r="T716" s="44"/>
      <c r="U716" s="44"/>
      <c r="V716" s="44"/>
      <c r="W716" s="44"/>
      <c r="X716" s="44"/>
      <c r="Y716" s="44"/>
      <c r="Z716" s="44"/>
      <c r="AA716" s="44"/>
      <c r="AB716" s="44"/>
      <c r="AC716" s="44"/>
      <c r="AD716" s="44"/>
      <c r="AE716" s="44"/>
      <c r="AF716" s="44"/>
      <c r="AG716" s="44"/>
      <c r="AH716" s="44"/>
      <c r="AI716" s="44"/>
      <c r="AJ716" s="44"/>
      <c r="AK716" s="44"/>
      <c r="AL716" s="44"/>
      <c r="AM716" s="44"/>
      <c r="AN716" s="44"/>
      <c r="AO716" s="44"/>
      <c r="AP716" s="44"/>
      <c r="AQ716" s="44"/>
      <c r="AR716" s="44"/>
      <c r="AS716" s="44"/>
      <c r="AT716" s="44"/>
      <c r="AU716" s="44"/>
      <c r="AV716" s="44"/>
      <c r="AW716" s="44"/>
      <c r="AX716" s="44"/>
    </row>
    <row r="717" spans="1:50" x14ac:dyDescent="0.25">
      <c r="A717" s="44"/>
      <c r="B717" s="44"/>
      <c r="C717" s="44"/>
      <c r="D717" s="44"/>
      <c r="E717" s="44"/>
      <c r="F717" s="44"/>
      <c r="G717" s="44"/>
      <c r="H717" s="44"/>
      <c r="I717" s="44"/>
      <c r="J717" s="44"/>
      <c r="K717" s="44"/>
      <c r="L717" s="44"/>
      <c r="M717" s="44"/>
      <c r="N717" s="44"/>
      <c r="O717" s="44"/>
      <c r="P717" s="44"/>
      <c r="Q717" s="44"/>
      <c r="R717" s="44"/>
      <c r="S717" s="44"/>
      <c r="T717" s="44"/>
      <c r="U717" s="44"/>
      <c r="V717" s="44"/>
      <c r="W717" s="44"/>
      <c r="X717" s="44"/>
      <c r="Y717" s="44"/>
      <c r="Z717" s="44"/>
      <c r="AA717" s="44"/>
      <c r="AB717" s="44"/>
      <c r="AC717" s="44"/>
      <c r="AD717" s="44"/>
      <c r="AE717" s="44"/>
      <c r="AF717" s="44"/>
      <c r="AG717" s="44"/>
      <c r="AH717" s="44"/>
      <c r="AI717" s="44"/>
      <c r="AJ717" s="44"/>
      <c r="AK717" s="44"/>
      <c r="AL717" s="44"/>
      <c r="AM717" s="44"/>
      <c r="AN717" s="44"/>
      <c r="AO717" s="44"/>
      <c r="AP717" s="44"/>
      <c r="AQ717" s="44"/>
      <c r="AR717" s="44"/>
      <c r="AS717" s="44"/>
      <c r="AT717" s="44"/>
      <c r="AU717" s="44"/>
      <c r="AV717" s="44"/>
      <c r="AW717" s="44"/>
      <c r="AX717" s="44"/>
    </row>
    <row r="718" spans="1:50" x14ac:dyDescent="0.25">
      <c r="A718" s="44"/>
      <c r="B718" s="44"/>
      <c r="C718" s="44"/>
      <c r="D718" s="44"/>
      <c r="E718" s="44"/>
      <c r="F718" s="44"/>
      <c r="G718" s="44"/>
      <c r="H718" s="44"/>
      <c r="I718" s="44"/>
      <c r="J718" s="44"/>
      <c r="K718" s="44"/>
      <c r="L718" s="44"/>
      <c r="M718" s="44"/>
      <c r="N718" s="44"/>
      <c r="O718" s="44"/>
      <c r="P718" s="44"/>
      <c r="Q718" s="44"/>
      <c r="R718" s="44"/>
      <c r="S718" s="44"/>
      <c r="T718" s="44"/>
      <c r="U718" s="44"/>
      <c r="V718" s="44"/>
      <c r="W718" s="44"/>
      <c r="X718" s="44"/>
      <c r="Y718" s="44"/>
      <c r="Z718" s="44"/>
      <c r="AA718" s="44"/>
      <c r="AB718" s="44"/>
      <c r="AC718" s="44"/>
      <c r="AD718" s="44"/>
      <c r="AE718" s="44"/>
      <c r="AF718" s="44"/>
      <c r="AG718" s="44"/>
      <c r="AH718" s="44"/>
      <c r="AI718" s="44"/>
      <c r="AJ718" s="44"/>
      <c r="AK718" s="44"/>
      <c r="AL718" s="44"/>
      <c r="AM718" s="44"/>
      <c r="AN718" s="44"/>
      <c r="AO718" s="44"/>
      <c r="AP718" s="44"/>
      <c r="AQ718" s="44"/>
      <c r="AR718" s="44"/>
      <c r="AS718" s="44"/>
      <c r="AT718" s="44"/>
      <c r="AU718" s="44"/>
      <c r="AV718" s="44"/>
      <c r="AW718" s="44"/>
      <c r="AX718" s="44"/>
    </row>
    <row r="719" spans="1:50" x14ac:dyDescent="0.25">
      <c r="A719" s="44"/>
      <c r="B719" s="44"/>
      <c r="C719" s="44"/>
      <c r="D719" s="44"/>
      <c r="E719" s="44"/>
      <c r="F719" s="44"/>
      <c r="G719" s="44"/>
      <c r="H719" s="44"/>
      <c r="I719" s="44"/>
      <c r="J719" s="44"/>
      <c r="K719" s="44"/>
      <c r="L719" s="44"/>
      <c r="M719" s="44"/>
      <c r="N719" s="44"/>
      <c r="O719" s="44"/>
      <c r="P719" s="44"/>
      <c r="Q719" s="44"/>
      <c r="R719" s="44"/>
      <c r="S719" s="44"/>
      <c r="T719" s="44"/>
      <c r="U719" s="44"/>
      <c r="V719" s="44"/>
      <c r="W719" s="44"/>
      <c r="X719" s="44"/>
      <c r="Y719" s="44"/>
      <c r="Z719" s="44"/>
      <c r="AA719" s="44"/>
      <c r="AB719" s="44"/>
      <c r="AC719" s="44"/>
      <c r="AD719" s="44"/>
      <c r="AE719" s="44"/>
      <c r="AF719" s="44"/>
      <c r="AG719" s="44"/>
      <c r="AH719" s="44"/>
      <c r="AI719" s="44"/>
      <c r="AJ719" s="44"/>
      <c r="AK719" s="44"/>
      <c r="AL719" s="44"/>
      <c r="AM719" s="44"/>
      <c r="AN719" s="44"/>
      <c r="AO719" s="44"/>
      <c r="AP719" s="44"/>
      <c r="AQ719" s="44"/>
      <c r="AR719" s="44"/>
      <c r="AS719" s="44"/>
      <c r="AT719" s="44"/>
      <c r="AU719" s="44"/>
      <c r="AV719" s="44"/>
      <c r="AW719" s="44"/>
      <c r="AX719" s="44"/>
    </row>
    <row r="720" spans="1:50" x14ac:dyDescent="0.25">
      <c r="A720" s="44"/>
      <c r="B720" s="44"/>
      <c r="C720" s="44"/>
      <c r="D720" s="44"/>
      <c r="E720" s="44"/>
      <c r="F720" s="44"/>
      <c r="G720" s="44"/>
      <c r="H720" s="44"/>
      <c r="I720" s="44"/>
      <c r="J720" s="44"/>
      <c r="K720" s="44"/>
      <c r="L720" s="44"/>
      <c r="M720" s="44"/>
      <c r="N720" s="44"/>
      <c r="O720" s="44"/>
      <c r="P720" s="44"/>
      <c r="Q720" s="44"/>
      <c r="R720" s="44"/>
      <c r="S720" s="44"/>
      <c r="T720" s="44"/>
      <c r="U720" s="44"/>
      <c r="V720" s="44"/>
      <c r="W720" s="44"/>
      <c r="X720" s="44"/>
      <c r="Y720" s="44"/>
      <c r="Z720" s="44"/>
      <c r="AA720" s="44"/>
      <c r="AB720" s="44"/>
      <c r="AC720" s="44"/>
      <c r="AD720" s="44"/>
      <c r="AE720" s="44"/>
      <c r="AF720" s="44"/>
      <c r="AG720" s="44"/>
      <c r="AH720" s="44"/>
      <c r="AI720" s="44"/>
      <c r="AJ720" s="44"/>
      <c r="AK720" s="44"/>
      <c r="AL720" s="44"/>
      <c r="AM720" s="44"/>
      <c r="AN720" s="44"/>
      <c r="AO720" s="44"/>
      <c r="AP720" s="44"/>
      <c r="AQ720" s="44"/>
      <c r="AR720" s="44"/>
      <c r="AS720" s="44"/>
      <c r="AT720" s="44"/>
      <c r="AU720" s="44"/>
      <c r="AV720" s="44"/>
      <c r="AW720" s="44"/>
      <c r="AX720" s="44"/>
    </row>
    <row r="721" spans="1:50" x14ac:dyDescent="0.25">
      <c r="A721" s="44"/>
      <c r="B721" s="44"/>
      <c r="C721" s="44"/>
      <c r="D721" s="44"/>
      <c r="E721" s="44"/>
      <c r="F721" s="44"/>
      <c r="G721" s="44"/>
      <c r="H721" s="44"/>
      <c r="I721" s="44"/>
      <c r="J721" s="44"/>
      <c r="K721" s="44"/>
      <c r="L721" s="44"/>
      <c r="M721" s="44"/>
      <c r="N721" s="44"/>
      <c r="O721" s="44"/>
      <c r="P721" s="44"/>
      <c r="Q721" s="44"/>
      <c r="R721" s="44"/>
      <c r="S721" s="44"/>
      <c r="T721" s="44"/>
      <c r="U721" s="44"/>
      <c r="V721" s="44"/>
      <c r="W721" s="44"/>
      <c r="X721" s="44"/>
      <c r="Y721" s="44"/>
      <c r="Z721" s="44"/>
      <c r="AA721" s="44"/>
      <c r="AB721" s="44"/>
      <c r="AC721" s="44"/>
      <c r="AD721" s="44"/>
      <c r="AE721" s="44"/>
      <c r="AF721" s="44"/>
      <c r="AG721" s="44"/>
      <c r="AH721" s="44"/>
      <c r="AI721" s="44"/>
      <c r="AJ721" s="44"/>
      <c r="AK721" s="44"/>
      <c r="AL721" s="44"/>
      <c r="AM721" s="44"/>
      <c r="AN721" s="44"/>
      <c r="AO721" s="44"/>
      <c r="AP721" s="44"/>
      <c r="AQ721" s="44"/>
      <c r="AR721" s="44"/>
      <c r="AS721" s="44"/>
      <c r="AT721" s="44"/>
      <c r="AU721" s="44"/>
      <c r="AV721" s="44"/>
      <c r="AW721" s="44"/>
      <c r="AX721" s="44"/>
    </row>
    <row r="722" spans="1:50" x14ac:dyDescent="0.25">
      <c r="A722" s="44"/>
      <c r="B722" s="44"/>
      <c r="C722" s="44"/>
      <c r="D722" s="44"/>
      <c r="E722" s="44"/>
      <c r="F722" s="44"/>
      <c r="G722" s="44"/>
      <c r="H722" s="44"/>
      <c r="I722" s="44"/>
      <c r="J722" s="44"/>
      <c r="K722" s="44"/>
      <c r="L722" s="44"/>
      <c r="M722" s="44"/>
      <c r="N722" s="44"/>
      <c r="O722" s="44"/>
      <c r="P722" s="44"/>
      <c r="Q722" s="44"/>
      <c r="R722" s="44"/>
      <c r="S722" s="44"/>
      <c r="T722" s="44"/>
      <c r="U722" s="44"/>
      <c r="V722" s="44"/>
      <c r="W722" s="44"/>
      <c r="X722" s="44"/>
      <c r="Y722" s="44"/>
      <c r="Z722" s="44"/>
      <c r="AA722" s="44"/>
      <c r="AB722" s="44"/>
      <c r="AC722" s="44"/>
      <c r="AD722" s="44"/>
      <c r="AE722" s="44"/>
      <c r="AF722" s="44"/>
      <c r="AG722" s="44"/>
      <c r="AH722" s="44"/>
      <c r="AI722" s="44"/>
      <c r="AJ722" s="44"/>
      <c r="AK722" s="44"/>
      <c r="AL722" s="44"/>
      <c r="AM722" s="44"/>
      <c r="AN722" s="44"/>
      <c r="AO722" s="44"/>
      <c r="AP722" s="44"/>
      <c r="AQ722" s="44"/>
      <c r="AR722" s="44"/>
      <c r="AS722" s="44"/>
      <c r="AT722" s="44"/>
      <c r="AU722" s="44"/>
      <c r="AV722" s="44"/>
      <c r="AW722" s="44"/>
      <c r="AX722" s="44"/>
    </row>
    <row r="723" spans="1:50" x14ac:dyDescent="0.25">
      <c r="A723" s="44"/>
      <c r="B723" s="44"/>
      <c r="C723" s="44"/>
      <c r="D723" s="44"/>
      <c r="E723" s="44"/>
      <c r="F723" s="44"/>
      <c r="G723" s="44"/>
      <c r="H723" s="44"/>
      <c r="I723" s="44"/>
      <c r="J723" s="44"/>
      <c r="K723" s="44"/>
      <c r="L723" s="44"/>
      <c r="M723" s="44"/>
      <c r="N723" s="44"/>
      <c r="O723" s="44"/>
      <c r="P723" s="44"/>
      <c r="Q723" s="44"/>
      <c r="R723" s="44"/>
      <c r="S723" s="44"/>
      <c r="T723" s="44"/>
      <c r="U723" s="44"/>
      <c r="V723" s="44"/>
      <c r="W723" s="44"/>
      <c r="X723" s="44"/>
      <c r="Y723" s="44"/>
      <c r="Z723" s="44"/>
      <c r="AA723" s="44"/>
      <c r="AB723" s="44"/>
      <c r="AC723" s="44"/>
      <c r="AD723" s="44"/>
      <c r="AE723" s="44"/>
      <c r="AF723" s="44"/>
      <c r="AG723" s="44"/>
      <c r="AH723" s="44"/>
      <c r="AI723" s="44"/>
      <c r="AJ723" s="44"/>
      <c r="AK723" s="44"/>
      <c r="AL723" s="44"/>
      <c r="AM723" s="44"/>
      <c r="AN723" s="44"/>
      <c r="AO723" s="44"/>
      <c r="AP723" s="44"/>
      <c r="AQ723" s="44"/>
      <c r="AR723" s="44"/>
      <c r="AS723" s="44"/>
      <c r="AT723" s="44"/>
      <c r="AU723" s="44"/>
      <c r="AV723" s="44"/>
      <c r="AW723" s="44"/>
      <c r="AX723" s="44"/>
    </row>
    <row r="724" spans="1:50" x14ac:dyDescent="0.25">
      <c r="A724" s="44"/>
      <c r="B724" s="44"/>
      <c r="C724" s="44"/>
      <c r="D724" s="44"/>
      <c r="E724" s="44"/>
      <c r="F724" s="44"/>
      <c r="G724" s="44"/>
      <c r="H724" s="44"/>
      <c r="I724" s="44"/>
      <c r="J724" s="44"/>
      <c r="K724" s="44"/>
      <c r="L724" s="44"/>
      <c r="M724" s="44"/>
      <c r="N724" s="44"/>
      <c r="O724" s="44"/>
      <c r="P724" s="44"/>
      <c r="Q724" s="44"/>
      <c r="R724" s="44"/>
      <c r="S724" s="44"/>
      <c r="T724" s="44"/>
      <c r="U724" s="44"/>
      <c r="V724" s="44"/>
      <c r="W724" s="44"/>
      <c r="X724" s="44"/>
      <c r="Y724" s="44"/>
      <c r="Z724" s="44"/>
      <c r="AA724" s="44"/>
      <c r="AB724" s="44"/>
      <c r="AC724" s="44"/>
      <c r="AD724" s="44"/>
      <c r="AE724" s="44"/>
      <c r="AF724" s="44"/>
      <c r="AG724" s="44"/>
      <c r="AH724" s="44"/>
      <c r="AI724" s="44"/>
      <c r="AJ724" s="44"/>
      <c r="AK724" s="44"/>
      <c r="AL724" s="44"/>
      <c r="AM724" s="44"/>
      <c r="AN724" s="44"/>
      <c r="AO724" s="44"/>
      <c r="AP724" s="44"/>
      <c r="AQ724" s="44"/>
      <c r="AR724" s="44"/>
      <c r="AS724" s="44"/>
      <c r="AT724" s="44"/>
      <c r="AU724" s="44"/>
      <c r="AV724" s="44"/>
      <c r="AW724" s="44"/>
      <c r="AX724" s="44"/>
    </row>
    <row r="725" spans="1:50" x14ac:dyDescent="0.25">
      <c r="A725" s="44"/>
      <c r="B725" s="44"/>
      <c r="C725" s="44"/>
      <c r="D725" s="44"/>
      <c r="E725" s="44"/>
      <c r="F725" s="44"/>
      <c r="G725" s="44"/>
      <c r="H725" s="44"/>
      <c r="I725" s="44"/>
      <c r="J725" s="44"/>
      <c r="K725" s="44"/>
      <c r="L725" s="44"/>
      <c r="M725" s="44"/>
      <c r="N725" s="44"/>
      <c r="O725" s="44"/>
      <c r="P725" s="44"/>
      <c r="Q725" s="44"/>
      <c r="R725" s="44"/>
      <c r="S725" s="44"/>
      <c r="T725" s="44"/>
      <c r="U725" s="44"/>
      <c r="V725" s="44"/>
      <c r="W725" s="44"/>
      <c r="X725" s="44"/>
      <c r="Y725" s="44"/>
      <c r="Z725" s="44"/>
      <c r="AA725" s="44"/>
      <c r="AB725" s="44"/>
      <c r="AC725" s="44"/>
      <c r="AD725" s="44"/>
      <c r="AE725" s="44"/>
      <c r="AF725" s="44"/>
      <c r="AG725" s="44"/>
      <c r="AH725" s="44"/>
      <c r="AI725" s="44"/>
      <c r="AJ725" s="44"/>
      <c r="AK725" s="44"/>
      <c r="AL725" s="44"/>
      <c r="AM725" s="44"/>
      <c r="AN725" s="44"/>
      <c r="AO725" s="44"/>
      <c r="AP725" s="44"/>
      <c r="AQ725" s="44"/>
      <c r="AR725" s="44"/>
      <c r="AS725" s="44"/>
      <c r="AT725" s="44"/>
      <c r="AU725" s="44"/>
      <c r="AV725" s="44"/>
      <c r="AW725" s="44"/>
      <c r="AX725" s="44"/>
    </row>
    <row r="726" spans="1:50" x14ac:dyDescent="0.25">
      <c r="A726" s="44"/>
      <c r="B726" s="44"/>
      <c r="C726" s="44"/>
      <c r="D726" s="44"/>
      <c r="E726" s="44"/>
      <c r="F726" s="44"/>
      <c r="G726" s="44"/>
      <c r="H726" s="44"/>
      <c r="I726" s="44"/>
      <c r="J726" s="44"/>
      <c r="K726" s="44"/>
      <c r="L726" s="44"/>
      <c r="M726" s="44"/>
      <c r="N726" s="44"/>
      <c r="O726" s="44"/>
      <c r="P726" s="44"/>
      <c r="Q726" s="44"/>
      <c r="R726" s="44"/>
      <c r="S726" s="44"/>
      <c r="T726" s="44"/>
      <c r="U726" s="44"/>
      <c r="V726" s="44"/>
      <c r="W726" s="44"/>
      <c r="X726" s="44"/>
      <c r="Y726" s="44"/>
      <c r="Z726" s="44"/>
      <c r="AA726" s="44"/>
      <c r="AB726" s="44"/>
      <c r="AC726" s="44"/>
      <c r="AD726" s="44"/>
      <c r="AE726" s="44"/>
      <c r="AF726" s="44"/>
      <c r="AG726" s="44"/>
      <c r="AH726" s="44"/>
      <c r="AI726" s="44"/>
      <c r="AJ726" s="44"/>
      <c r="AK726" s="44"/>
      <c r="AL726" s="44"/>
      <c r="AM726" s="44"/>
      <c r="AN726" s="44"/>
      <c r="AO726" s="44"/>
      <c r="AP726" s="44"/>
      <c r="AQ726" s="44"/>
      <c r="AR726" s="44"/>
      <c r="AS726" s="44"/>
      <c r="AT726" s="44"/>
      <c r="AU726" s="44"/>
      <c r="AV726" s="44"/>
      <c r="AW726" s="44"/>
      <c r="AX726" s="44"/>
    </row>
    <row r="727" spans="1:50" x14ac:dyDescent="0.25">
      <c r="A727" s="44"/>
      <c r="B727" s="44"/>
      <c r="C727" s="44"/>
      <c r="D727" s="44"/>
      <c r="E727" s="44"/>
      <c r="F727" s="44"/>
      <c r="G727" s="44"/>
      <c r="H727" s="44"/>
      <c r="I727" s="44"/>
      <c r="J727" s="44"/>
      <c r="K727" s="44"/>
      <c r="L727" s="44"/>
      <c r="M727" s="44"/>
      <c r="N727" s="44"/>
      <c r="O727" s="44"/>
      <c r="P727" s="44"/>
      <c r="Q727" s="44"/>
      <c r="R727" s="44"/>
      <c r="S727" s="44"/>
      <c r="T727" s="44"/>
      <c r="U727" s="44"/>
      <c r="V727" s="44"/>
      <c r="W727" s="44"/>
      <c r="X727" s="44"/>
      <c r="Y727" s="44"/>
      <c r="Z727" s="44"/>
      <c r="AA727" s="44"/>
      <c r="AB727" s="44"/>
      <c r="AC727" s="44"/>
      <c r="AD727" s="44"/>
      <c r="AE727" s="44"/>
      <c r="AF727" s="44"/>
      <c r="AG727" s="44"/>
      <c r="AH727" s="44"/>
      <c r="AI727" s="44"/>
      <c r="AJ727" s="44"/>
      <c r="AK727" s="44"/>
      <c r="AL727" s="44"/>
      <c r="AM727" s="44"/>
      <c r="AN727" s="44"/>
      <c r="AO727" s="44"/>
      <c r="AP727" s="44"/>
      <c r="AQ727" s="44"/>
      <c r="AR727" s="44"/>
      <c r="AS727" s="44"/>
      <c r="AT727" s="44"/>
      <c r="AU727" s="44"/>
      <c r="AV727" s="44"/>
      <c r="AW727" s="44"/>
      <c r="AX727" s="44"/>
    </row>
    <row r="728" spans="1:50" x14ac:dyDescent="0.25">
      <c r="A728" s="44"/>
      <c r="B728" s="44"/>
      <c r="C728" s="44"/>
      <c r="D728" s="44"/>
      <c r="E728" s="44"/>
      <c r="F728" s="44"/>
      <c r="G728" s="44"/>
      <c r="H728" s="44"/>
      <c r="I728" s="44"/>
      <c r="J728" s="44"/>
      <c r="K728" s="44"/>
      <c r="L728" s="44"/>
      <c r="M728" s="44"/>
      <c r="N728" s="44"/>
      <c r="O728" s="44"/>
      <c r="P728" s="44"/>
      <c r="Q728" s="44"/>
      <c r="R728" s="44"/>
      <c r="S728" s="44"/>
      <c r="T728" s="44"/>
      <c r="U728" s="44"/>
      <c r="V728" s="44"/>
      <c r="W728" s="44"/>
      <c r="X728" s="44"/>
      <c r="Y728" s="44"/>
      <c r="Z728" s="44"/>
      <c r="AA728" s="44"/>
      <c r="AB728" s="44"/>
      <c r="AC728" s="44"/>
      <c r="AD728" s="44"/>
      <c r="AE728" s="44"/>
      <c r="AF728" s="44"/>
      <c r="AG728" s="44"/>
      <c r="AH728" s="44"/>
      <c r="AI728" s="44"/>
      <c r="AJ728" s="44"/>
      <c r="AK728" s="44"/>
      <c r="AL728" s="44"/>
      <c r="AM728" s="44"/>
      <c r="AN728" s="44"/>
      <c r="AO728" s="44"/>
      <c r="AP728" s="44"/>
      <c r="AQ728" s="44"/>
      <c r="AR728" s="44"/>
      <c r="AS728" s="44"/>
      <c r="AT728" s="44"/>
      <c r="AU728" s="44"/>
      <c r="AV728" s="44"/>
      <c r="AW728" s="44"/>
      <c r="AX728" s="44"/>
    </row>
    <row r="729" spans="1:50" x14ac:dyDescent="0.25">
      <c r="A729" s="44"/>
      <c r="B729" s="44"/>
      <c r="C729" s="44"/>
      <c r="D729" s="44"/>
      <c r="E729" s="44"/>
      <c r="F729" s="44"/>
      <c r="G729" s="44"/>
      <c r="H729" s="44"/>
      <c r="I729" s="44"/>
      <c r="J729" s="44"/>
      <c r="K729" s="44"/>
      <c r="L729" s="44"/>
      <c r="M729" s="44"/>
      <c r="N729" s="44"/>
      <c r="O729" s="44"/>
      <c r="P729" s="44"/>
      <c r="Q729" s="44"/>
      <c r="R729" s="44"/>
      <c r="S729" s="44"/>
      <c r="T729" s="44"/>
      <c r="U729" s="44"/>
      <c r="V729" s="44"/>
      <c r="W729" s="44"/>
      <c r="X729" s="44"/>
      <c r="Y729" s="44"/>
      <c r="Z729" s="44"/>
      <c r="AA729" s="44"/>
      <c r="AB729" s="44"/>
      <c r="AC729" s="44"/>
      <c r="AD729" s="44"/>
      <c r="AE729" s="44"/>
      <c r="AF729" s="44"/>
      <c r="AG729" s="44"/>
      <c r="AH729" s="44"/>
      <c r="AI729" s="44"/>
      <c r="AJ729" s="44"/>
      <c r="AK729" s="44"/>
      <c r="AL729" s="44"/>
      <c r="AM729" s="44"/>
      <c r="AN729" s="44"/>
      <c r="AO729" s="44"/>
      <c r="AP729" s="44"/>
      <c r="AQ729" s="44"/>
      <c r="AR729" s="44"/>
      <c r="AS729" s="44"/>
      <c r="AT729" s="44"/>
      <c r="AU729" s="44"/>
      <c r="AV729" s="44"/>
      <c r="AW729" s="44"/>
      <c r="AX729" s="44"/>
    </row>
    <row r="730" spans="1:50" x14ac:dyDescent="0.25">
      <c r="A730" s="44"/>
      <c r="B730" s="44"/>
      <c r="C730" s="44"/>
      <c r="D730" s="44"/>
      <c r="E730" s="44"/>
      <c r="F730" s="44"/>
      <c r="G730" s="44"/>
      <c r="H730" s="44"/>
      <c r="I730" s="44"/>
      <c r="J730" s="44"/>
      <c r="K730" s="44"/>
      <c r="L730" s="44"/>
      <c r="M730" s="44"/>
      <c r="N730" s="44"/>
      <c r="O730" s="44"/>
      <c r="P730" s="44"/>
      <c r="Q730" s="44"/>
      <c r="R730" s="44"/>
      <c r="S730" s="44"/>
      <c r="T730" s="44"/>
      <c r="U730" s="44"/>
      <c r="V730" s="44"/>
      <c r="W730" s="44"/>
      <c r="X730" s="44"/>
      <c r="Y730" s="44"/>
      <c r="Z730" s="44"/>
      <c r="AA730" s="44"/>
      <c r="AB730" s="44"/>
      <c r="AC730" s="44"/>
      <c r="AD730" s="44"/>
      <c r="AE730" s="44"/>
      <c r="AF730" s="44"/>
      <c r="AG730" s="44"/>
      <c r="AH730" s="44"/>
      <c r="AI730" s="44"/>
      <c r="AJ730" s="44"/>
      <c r="AK730" s="44"/>
      <c r="AL730" s="44"/>
      <c r="AM730" s="44"/>
      <c r="AN730" s="44"/>
      <c r="AO730" s="44"/>
      <c r="AP730" s="44"/>
      <c r="AQ730" s="44"/>
      <c r="AR730" s="44"/>
      <c r="AS730" s="44"/>
      <c r="AT730" s="44"/>
      <c r="AU730" s="44"/>
      <c r="AV730" s="44"/>
      <c r="AW730" s="44"/>
      <c r="AX730" s="44"/>
    </row>
    <row r="731" spans="1:50" x14ac:dyDescent="0.25">
      <c r="A731" s="44"/>
      <c r="B731" s="44"/>
      <c r="C731" s="44"/>
      <c r="D731" s="44"/>
      <c r="E731" s="44"/>
      <c r="F731" s="44"/>
      <c r="G731" s="44"/>
      <c r="H731" s="44"/>
      <c r="I731" s="44"/>
      <c r="J731" s="44"/>
      <c r="K731" s="44"/>
      <c r="L731" s="44"/>
      <c r="M731" s="44"/>
      <c r="N731" s="44"/>
      <c r="O731" s="44"/>
      <c r="P731" s="44"/>
      <c r="Q731" s="44"/>
      <c r="R731" s="44"/>
      <c r="S731" s="44"/>
      <c r="T731" s="44"/>
      <c r="U731" s="44"/>
      <c r="V731" s="44"/>
      <c r="W731" s="44"/>
      <c r="X731" s="44"/>
      <c r="Y731" s="44"/>
      <c r="Z731" s="44"/>
      <c r="AA731" s="44"/>
      <c r="AB731" s="44"/>
      <c r="AC731" s="44"/>
      <c r="AD731" s="44"/>
      <c r="AE731" s="44"/>
      <c r="AF731" s="44"/>
      <c r="AG731" s="44"/>
      <c r="AH731" s="44"/>
      <c r="AI731" s="44"/>
      <c r="AJ731" s="44"/>
      <c r="AK731" s="44"/>
      <c r="AL731" s="44"/>
      <c r="AM731" s="44"/>
      <c r="AN731" s="44"/>
      <c r="AO731" s="44"/>
      <c r="AP731" s="44"/>
      <c r="AQ731" s="44"/>
      <c r="AR731" s="44"/>
      <c r="AS731" s="44"/>
      <c r="AT731" s="44"/>
      <c r="AU731" s="44"/>
      <c r="AV731" s="44"/>
      <c r="AW731" s="44"/>
      <c r="AX731" s="44"/>
    </row>
    <row r="732" spans="1:50" x14ac:dyDescent="0.25">
      <c r="A732" s="44"/>
      <c r="B732" s="44"/>
      <c r="C732" s="44"/>
      <c r="D732" s="44"/>
      <c r="E732" s="44"/>
      <c r="F732" s="44"/>
      <c r="G732" s="44"/>
      <c r="H732" s="44"/>
      <c r="I732" s="44"/>
      <c r="J732" s="44"/>
      <c r="K732" s="44"/>
      <c r="L732" s="44"/>
      <c r="M732" s="44"/>
      <c r="N732" s="44"/>
      <c r="O732" s="44"/>
      <c r="P732" s="44"/>
      <c r="Q732" s="44"/>
      <c r="R732" s="44"/>
      <c r="S732" s="44"/>
      <c r="T732" s="44"/>
      <c r="U732" s="44"/>
      <c r="V732" s="44"/>
      <c r="W732" s="44"/>
      <c r="X732" s="44"/>
      <c r="Y732" s="44"/>
      <c r="Z732" s="44"/>
      <c r="AA732" s="44"/>
      <c r="AB732" s="44"/>
      <c r="AC732" s="44"/>
      <c r="AD732" s="44"/>
      <c r="AE732" s="44"/>
      <c r="AF732" s="44"/>
      <c r="AG732" s="44"/>
      <c r="AH732" s="44"/>
      <c r="AI732" s="44"/>
      <c r="AJ732" s="44"/>
      <c r="AK732" s="44"/>
      <c r="AL732" s="44"/>
      <c r="AM732" s="44"/>
      <c r="AN732" s="44"/>
      <c r="AO732" s="44"/>
      <c r="AP732" s="44"/>
      <c r="AQ732" s="44"/>
      <c r="AR732" s="44"/>
      <c r="AS732" s="44"/>
      <c r="AT732" s="44"/>
      <c r="AU732" s="44"/>
      <c r="AV732" s="44"/>
      <c r="AW732" s="44"/>
      <c r="AX732" s="44"/>
    </row>
    <row r="733" spans="1:50" x14ac:dyDescent="0.25">
      <c r="A733" s="44"/>
      <c r="B733" s="44"/>
      <c r="C733" s="44"/>
      <c r="D733" s="44"/>
      <c r="E733" s="44"/>
      <c r="F733" s="44"/>
      <c r="G733" s="44"/>
      <c r="H733" s="44"/>
      <c r="I733" s="44"/>
      <c r="J733" s="44"/>
      <c r="K733" s="44"/>
      <c r="L733" s="44"/>
      <c r="M733" s="44"/>
      <c r="N733" s="44"/>
      <c r="O733" s="44"/>
      <c r="P733" s="44"/>
      <c r="Q733" s="44"/>
      <c r="R733" s="44"/>
      <c r="S733" s="44"/>
      <c r="T733" s="44"/>
      <c r="U733" s="44"/>
      <c r="V733" s="44"/>
      <c r="W733" s="44"/>
      <c r="X733" s="44"/>
      <c r="Y733" s="44"/>
      <c r="Z733" s="44"/>
      <c r="AA733" s="44"/>
      <c r="AB733" s="44"/>
      <c r="AC733" s="44"/>
      <c r="AD733" s="44"/>
      <c r="AE733" s="44"/>
      <c r="AF733" s="44"/>
      <c r="AG733" s="44"/>
      <c r="AH733" s="44"/>
      <c r="AI733" s="44"/>
      <c r="AJ733" s="44"/>
      <c r="AK733" s="44"/>
      <c r="AL733" s="44"/>
      <c r="AM733" s="44"/>
      <c r="AN733" s="44"/>
      <c r="AO733" s="44"/>
      <c r="AP733" s="44"/>
      <c r="AQ733" s="44"/>
      <c r="AR733" s="44"/>
      <c r="AS733" s="44"/>
      <c r="AT733" s="44"/>
      <c r="AU733" s="44"/>
      <c r="AV733" s="44"/>
      <c r="AW733" s="44"/>
      <c r="AX733" s="44"/>
    </row>
    <row r="734" spans="1:50" x14ac:dyDescent="0.25">
      <c r="A734" s="44"/>
      <c r="B734" s="44"/>
      <c r="C734" s="44"/>
      <c r="D734" s="44"/>
      <c r="E734" s="44"/>
      <c r="F734" s="44"/>
      <c r="G734" s="44"/>
      <c r="H734" s="44"/>
      <c r="I734" s="44"/>
      <c r="J734" s="44"/>
      <c r="K734" s="44"/>
      <c r="L734" s="44"/>
      <c r="M734" s="44"/>
      <c r="N734" s="44"/>
      <c r="O734" s="44"/>
      <c r="P734" s="44"/>
      <c r="Q734" s="44"/>
      <c r="R734" s="44"/>
      <c r="S734" s="44"/>
      <c r="T734" s="44"/>
      <c r="U734" s="44"/>
      <c r="V734" s="44"/>
      <c r="W734" s="44"/>
      <c r="X734" s="44"/>
      <c r="Y734" s="44"/>
      <c r="Z734" s="44"/>
      <c r="AA734" s="44"/>
      <c r="AB734" s="44"/>
      <c r="AC734" s="44"/>
      <c r="AD734" s="44"/>
      <c r="AE734" s="44"/>
      <c r="AF734" s="44"/>
      <c r="AG734" s="44"/>
      <c r="AH734" s="44"/>
      <c r="AI734" s="44"/>
      <c r="AJ734" s="44"/>
      <c r="AK734" s="44"/>
      <c r="AL734" s="44"/>
      <c r="AM734" s="44"/>
      <c r="AN734" s="44"/>
      <c r="AO734" s="44"/>
      <c r="AP734" s="44"/>
      <c r="AQ734" s="44"/>
      <c r="AR734" s="44"/>
      <c r="AS734" s="44"/>
      <c r="AT734" s="44"/>
      <c r="AU734" s="44"/>
      <c r="AV734" s="44"/>
      <c r="AW734" s="44"/>
      <c r="AX734" s="44"/>
    </row>
    <row r="735" spans="1:50" x14ac:dyDescent="0.25">
      <c r="A735" s="44"/>
      <c r="B735" s="44"/>
      <c r="C735" s="44"/>
      <c r="D735" s="44"/>
      <c r="E735" s="44"/>
      <c r="F735" s="44"/>
      <c r="G735" s="44"/>
      <c r="H735" s="44"/>
      <c r="I735" s="44"/>
      <c r="J735" s="44"/>
      <c r="K735" s="44"/>
      <c r="L735" s="44"/>
      <c r="M735" s="44"/>
      <c r="N735" s="44"/>
      <c r="O735" s="44"/>
      <c r="P735" s="44"/>
      <c r="Q735" s="44"/>
      <c r="R735" s="44"/>
      <c r="S735" s="44"/>
      <c r="T735" s="44"/>
      <c r="U735" s="44"/>
      <c r="V735" s="44"/>
      <c r="W735" s="44"/>
      <c r="X735" s="44"/>
      <c r="Y735" s="44"/>
      <c r="Z735" s="44"/>
      <c r="AA735" s="44"/>
      <c r="AB735" s="44"/>
      <c r="AC735" s="44"/>
      <c r="AD735" s="44"/>
      <c r="AE735" s="44"/>
      <c r="AF735" s="44"/>
      <c r="AG735" s="44"/>
      <c r="AH735" s="44"/>
      <c r="AI735" s="44"/>
      <c r="AJ735" s="44"/>
      <c r="AK735" s="44"/>
      <c r="AL735" s="44"/>
      <c r="AM735" s="44"/>
      <c r="AN735" s="44"/>
      <c r="AO735" s="44"/>
      <c r="AP735" s="44"/>
      <c r="AQ735" s="44"/>
      <c r="AR735" s="44"/>
      <c r="AS735" s="44"/>
      <c r="AT735" s="44"/>
      <c r="AU735" s="44"/>
      <c r="AV735" s="44"/>
      <c r="AW735" s="44"/>
      <c r="AX735" s="44"/>
    </row>
    <row r="736" spans="1:50" x14ac:dyDescent="0.25">
      <c r="A736" s="44"/>
      <c r="B736" s="44"/>
      <c r="C736" s="44"/>
      <c r="D736" s="44"/>
      <c r="E736" s="44"/>
      <c r="F736" s="44"/>
      <c r="G736" s="44"/>
      <c r="H736" s="44"/>
      <c r="I736" s="44"/>
      <c r="J736" s="44"/>
      <c r="K736" s="44"/>
      <c r="L736" s="44"/>
      <c r="M736" s="44"/>
      <c r="N736" s="44"/>
      <c r="O736" s="44"/>
      <c r="P736" s="44"/>
      <c r="Q736" s="44"/>
      <c r="R736" s="44"/>
      <c r="S736" s="44"/>
      <c r="T736" s="44"/>
      <c r="U736" s="44"/>
      <c r="V736" s="44"/>
      <c r="W736" s="44"/>
      <c r="X736" s="44"/>
      <c r="Y736" s="44"/>
      <c r="Z736" s="44"/>
      <c r="AA736" s="44"/>
      <c r="AB736" s="44"/>
      <c r="AC736" s="44"/>
      <c r="AD736" s="44"/>
      <c r="AE736" s="44"/>
      <c r="AF736" s="44"/>
      <c r="AG736" s="44"/>
      <c r="AH736" s="44"/>
      <c r="AI736" s="44"/>
      <c r="AJ736" s="44"/>
      <c r="AK736" s="44"/>
      <c r="AL736" s="44"/>
      <c r="AM736" s="44"/>
      <c r="AN736" s="44"/>
      <c r="AO736" s="44"/>
      <c r="AP736" s="44"/>
      <c r="AQ736" s="44"/>
      <c r="AR736" s="44"/>
      <c r="AS736" s="44"/>
      <c r="AT736" s="44"/>
      <c r="AU736" s="44"/>
      <c r="AV736" s="44"/>
      <c r="AW736" s="44"/>
      <c r="AX736" s="44"/>
    </row>
    <row r="737" spans="1:50" x14ac:dyDescent="0.25">
      <c r="A737" s="44"/>
      <c r="B737" s="44"/>
      <c r="C737" s="44"/>
      <c r="D737" s="44"/>
      <c r="E737" s="44"/>
      <c r="F737" s="44"/>
      <c r="G737" s="44"/>
      <c r="H737" s="44"/>
      <c r="I737" s="44"/>
      <c r="J737" s="44"/>
      <c r="K737" s="44"/>
      <c r="L737" s="44"/>
      <c r="M737" s="44"/>
      <c r="N737" s="44"/>
      <c r="O737" s="44"/>
      <c r="P737" s="44"/>
      <c r="Q737" s="44"/>
      <c r="R737" s="44"/>
      <c r="S737" s="44"/>
      <c r="T737" s="44"/>
      <c r="U737" s="44"/>
      <c r="V737" s="44"/>
      <c r="W737" s="44"/>
      <c r="X737" s="44"/>
      <c r="Y737" s="44"/>
      <c r="Z737" s="44"/>
      <c r="AA737" s="44"/>
      <c r="AB737" s="44"/>
      <c r="AC737" s="44"/>
      <c r="AD737" s="44"/>
      <c r="AE737" s="44"/>
      <c r="AF737" s="44"/>
      <c r="AG737" s="44"/>
      <c r="AH737" s="44"/>
      <c r="AI737" s="44"/>
      <c r="AJ737" s="44"/>
      <c r="AK737" s="44"/>
      <c r="AL737" s="44"/>
      <c r="AM737" s="44"/>
      <c r="AN737" s="44"/>
      <c r="AO737" s="44"/>
      <c r="AP737" s="44"/>
      <c r="AQ737" s="44"/>
      <c r="AR737" s="44"/>
      <c r="AS737" s="44"/>
      <c r="AT737" s="44"/>
      <c r="AU737" s="44"/>
      <c r="AV737" s="44"/>
      <c r="AW737" s="44"/>
      <c r="AX737" s="44"/>
    </row>
    <row r="738" spans="1:50" x14ac:dyDescent="0.25">
      <c r="A738" s="44"/>
      <c r="B738" s="44"/>
      <c r="C738" s="44"/>
      <c r="D738" s="44"/>
      <c r="E738" s="44"/>
      <c r="F738" s="44"/>
      <c r="G738" s="44"/>
      <c r="H738" s="44"/>
      <c r="I738" s="44"/>
      <c r="J738" s="44"/>
      <c r="K738" s="44"/>
      <c r="L738" s="44"/>
      <c r="M738" s="44"/>
      <c r="N738" s="44"/>
      <c r="O738" s="44"/>
      <c r="P738" s="44"/>
      <c r="Q738" s="44"/>
      <c r="R738" s="44"/>
      <c r="S738" s="44"/>
      <c r="T738" s="44"/>
      <c r="U738" s="44"/>
      <c r="V738" s="44"/>
      <c r="W738" s="44"/>
      <c r="X738" s="44"/>
      <c r="Y738" s="44"/>
      <c r="Z738" s="44"/>
      <c r="AA738" s="44"/>
      <c r="AB738" s="44"/>
      <c r="AC738" s="44"/>
      <c r="AD738" s="44"/>
      <c r="AE738" s="44"/>
      <c r="AF738" s="44"/>
      <c r="AG738" s="44"/>
      <c r="AH738" s="44"/>
      <c r="AI738" s="44"/>
      <c r="AJ738" s="44"/>
      <c r="AK738" s="44"/>
      <c r="AL738" s="44"/>
      <c r="AM738" s="44"/>
      <c r="AN738" s="44"/>
      <c r="AO738" s="44"/>
      <c r="AP738" s="44"/>
      <c r="AQ738" s="44"/>
      <c r="AR738" s="44"/>
      <c r="AS738" s="44"/>
      <c r="AT738" s="44"/>
      <c r="AU738" s="44"/>
      <c r="AV738" s="44"/>
      <c r="AW738" s="44"/>
      <c r="AX738" s="44"/>
    </row>
    <row r="739" spans="1:50" x14ac:dyDescent="0.25">
      <c r="A739" s="44"/>
      <c r="B739" s="44"/>
      <c r="C739" s="44"/>
      <c r="D739" s="44"/>
      <c r="E739" s="44"/>
      <c r="F739" s="44"/>
      <c r="G739" s="44"/>
      <c r="H739" s="44"/>
      <c r="I739" s="44"/>
      <c r="J739" s="44"/>
      <c r="K739" s="44"/>
      <c r="L739" s="44"/>
      <c r="M739" s="44"/>
      <c r="N739" s="44"/>
      <c r="O739" s="44"/>
      <c r="P739" s="44"/>
      <c r="Q739" s="44"/>
      <c r="R739" s="44"/>
      <c r="S739" s="44"/>
      <c r="T739" s="44"/>
      <c r="U739" s="44"/>
      <c r="V739" s="44"/>
      <c r="W739" s="44"/>
      <c r="X739" s="44"/>
      <c r="Y739" s="44"/>
      <c r="Z739" s="44"/>
      <c r="AA739" s="44"/>
      <c r="AB739" s="44"/>
      <c r="AC739" s="44"/>
      <c r="AD739" s="44"/>
      <c r="AE739" s="44"/>
      <c r="AF739" s="44"/>
      <c r="AG739" s="44"/>
      <c r="AH739" s="44"/>
      <c r="AI739" s="44"/>
      <c r="AJ739" s="44"/>
      <c r="AK739" s="44"/>
      <c r="AL739" s="44"/>
      <c r="AM739" s="44"/>
      <c r="AN739" s="44"/>
      <c r="AO739" s="44"/>
      <c r="AP739" s="44"/>
      <c r="AQ739" s="44"/>
      <c r="AR739" s="44"/>
      <c r="AS739" s="44"/>
      <c r="AT739" s="44"/>
      <c r="AU739" s="44"/>
      <c r="AV739" s="44"/>
      <c r="AW739" s="44"/>
      <c r="AX739" s="44"/>
    </row>
    <row r="740" spans="1:50" x14ac:dyDescent="0.25">
      <c r="A740" s="44"/>
      <c r="B740" s="44"/>
      <c r="C740" s="44"/>
      <c r="D740" s="44"/>
      <c r="E740" s="44"/>
      <c r="F740" s="44"/>
      <c r="G740" s="44"/>
      <c r="H740" s="44"/>
      <c r="I740" s="44"/>
      <c r="J740" s="44"/>
      <c r="K740" s="44"/>
      <c r="L740" s="44"/>
      <c r="M740" s="44"/>
      <c r="N740" s="44"/>
      <c r="O740" s="44"/>
      <c r="P740" s="44"/>
      <c r="Q740" s="44"/>
      <c r="R740" s="44"/>
      <c r="S740" s="44"/>
      <c r="T740" s="44"/>
      <c r="U740" s="44"/>
      <c r="V740" s="44"/>
      <c r="W740" s="44"/>
      <c r="X740" s="44"/>
      <c r="Y740" s="44"/>
      <c r="Z740" s="44"/>
      <c r="AA740" s="44"/>
      <c r="AB740" s="44"/>
      <c r="AC740" s="44"/>
      <c r="AD740" s="44"/>
      <c r="AE740" s="44"/>
      <c r="AF740" s="44"/>
      <c r="AG740" s="44"/>
      <c r="AH740" s="44"/>
      <c r="AI740" s="44"/>
      <c r="AJ740" s="44"/>
      <c r="AK740" s="44"/>
      <c r="AL740" s="44"/>
      <c r="AM740" s="44"/>
      <c r="AN740" s="44"/>
      <c r="AO740" s="44"/>
      <c r="AP740" s="44"/>
      <c r="AQ740" s="44"/>
      <c r="AR740" s="44"/>
      <c r="AS740" s="44"/>
      <c r="AT740" s="44"/>
      <c r="AU740" s="44"/>
      <c r="AV740" s="44"/>
      <c r="AW740" s="44"/>
      <c r="AX740" s="44"/>
    </row>
    <row r="741" spans="1:50" x14ac:dyDescent="0.25">
      <c r="A741" s="44"/>
      <c r="B741" s="44"/>
      <c r="C741" s="44"/>
      <c r="D741" s="44"/>
      <c r="E741" s="44"/>
      <c r="F741" s="44"/>
      <c r="G741" s="44"/>
      <c r="H741" s="44"/>
      <c r="I741" s="44"/>
      <c r="J741" s="44"/>
      <c r="K741" s="44"/>
      <c r="L741" s="44"/>
      <c r="M741" s="44"/>
      <c r="N741" s="44"/>
      <c r="O741" s="44"/>
      <c r="P741" s="44"/>
      <c r="Q741" s="44"/>
      <c r="R741" s="44"/>
      <c r="S741" s="44"/>
      <c r="T741" s="44"/>
      <c r="U741" s="44"/>
      <c r="V741" s="44"/>
      <c r="W741" s="44"/>
      <c r="X741" s="44"/>
      <c r="Y741" s="44"/>
      <c r="Z741" s="44"/>
      <c r="AA741" s="44"/>
      <c r="AB741" s="44"/>
      <c r="AC741" s="44"/>
      <c r="AD741" s="44"/>
      <c r="AE741" s="44"/>
      <c r="AF741" s="44"/>
      <c r="AG741" s="44"/>
      <c r="AH741" s="44"/>
      <c r="AI741" s="44"/>
      <c r="AJ741" s="44"/>
      <c r="AK741" s="44"/>
      <c r="AL741" s="44"/>
      <c r="AM741" s="44"/>
      <c r="AN741" s="44"/>
      <c r="AO741" s="44"/>
      <c r="AP741" s="44"/>
      <c r="AQ741" s="44"/>
      <c r="AR741" s="44"/>
      <c r="AS741" s="44"/>
      <c r="AT741" s="44"/>
      <c r="AU741" s="44"/>
      <c r="AV741" s="44"/>
      <c r="AW741" s="44"/>
      <c r="AX741" s="44"/>
    </row>
    <row r="742" spans="1:50" x14ac:dyDescent="0.25">
      <c r="A742" s="44"/>
      <c r="B742" s="44"/>
      <c r="C742" s="44"/>
      <c r="D742" s="44"/>
      <c r="E742" s="44"/>
      <c r="F742" s="44"/>
      <c r="G742" s="44"/>
      <c r="H742" s="44"/>
      <c r="I742" s="44"/>
      <c r="J742" s="44"/>
      <c r="K742" s="44"/>
      <c r="L742" s="44"/>
      <c r="M742" s="44"/>
      <c r="N742" s="44"/>
      <c r="O742" s="44"/>
      <c r="P742" s="44"/>
      <c r="Q742" s="44"/>
      <c r="R742" s="44"/>
      <c r="S742" s="44"/>
      <c r="T742" s="44"/>
      <c r="U742" s="44"/>
      <c r="V742" s="44"/>
      <c r="W742" s="44"/>
      <c r="X742" s="44"/>
      <c r="Y742" s="44"/>
      <c r="Z742" s="44"/>
      <c r="AA742" s="44"/>
      <c r="AB742" s="44"/>
      <c r="AC742" s="44"/>
      <c r="AD742" s="44"/>
      <c r="AE742" s="44"/>
      <c r="AF742" s="44"/>
      <c r="AG742" s="44"/>
      <c r="AH742" s="44"/>
      <c r="AI742" s="44"/>
      <c r="AJ742" s="44"/>
      <c r="AK742" s="44"/>
      <c r="AL742" s="44"/>
      <c r="AM742" s="44"/>
      <c r="AN742" s="44"/>
      <c r="AO742" s="44"/>
      <c r="AP742" s="44"/>
      <c r="AQ742" s="44"/>
      <c r="AR742" s="44"/>
      <c r="AS742" s="44"/>
      <c r="AT742" s="44"/>
      <c r="AU742" s="44"/>
      <c r="AV742" s="44"/>
      <c r="AW742" s="44"/>
      <c r="AX742" s="44"/>
    </row>
    <row r="743" spans="1:50" x14ac:dyDescent="0.25">
      <c r="A743" s="44"/>
      <c r="B743" s="44"/>
      <c r="C743" s="44"/>
      <c r="D743" s="44"/>
      <c r="E743" s="44"/>
      <c r="F743" s="44"/>
      <c r="G743" s="44"/>
      <c r="H743" s="44"/>
      <c r="I743" s="44"/>
      <c r="J743" s="44"/>
      <c r="K743" s="44"/>
      <c r="L743" s="44"/>
      <c r="M743" s="44"/>
      <c r="N743" s="44"/>
      <c r="O743" s="44"/>
      <c r="P743" s="44"/>
      <c r="Q743" s="44"/>
      <c r="R743" s="44"/>
      <c r="S743" s="44"/>
      <c r="T743" s="44"/>
      <c r="U743" s="44"/>
      <c r="V743" s="44"/>
      <c r="W743" s="44"/>
      <c r="X743" s="44"/>
      <c r="Y743" s="44"/>
      <c r="Z743" s="44"/>
      <c r="AA743" s="44"/>
      <c r="AB743" s="44"/>
      <c r="AC743" s="44"/>
      <c r="AD743" s="44"/>
      <c r="AE743" s="44"/>
      <c r="AF743" s="44"/>
      <c r="AG743" s="44"/>
      <c r="AH743" s="44"/>
      <c r="AI743" s="44"/>
      <c r="AJ743" s="44"/>
      <c r="AK743" s="44"/>
      <c r="AL743" s="44"/>
      <c r="AM743" s="44"/>
      <c r="AN743" s="44"/>
      <c r="AO743" s="44"/>
      <c r="AP743" s="44"/>
      <c r="AQ743" s="44"/>
      <c r="AR743" s="44"/>
      <c r="AS743" s="44"/>
      <c r="AT743" s="44"/>
      <c r="AU743" s="44"/>
      <c r="AV743" s="44"/>
      <c r="AW743" s="44"/>
      <c r="AX743" s="44"/>
    </row>
    <row r="744" spans="1:50" x14ac:dyDescent="0.25">
      <c r="A744" s="44"/>
      <c r="B744" s="44"/>
      <c r="C744" s="44"/>
      <c r="D744" s="44"/>
      <c r="E744" s="44"/>
      <c r="F744" s="44"/>
      <c r="G744" s="44"/>
      <c r="H744" s="44"/>
      <c r="I744" s="44"/>
      <c r="J744" s="44"/>
      <c r="K744" s="44"/>
      <c r="L744" s="44"/>
      <c r="M744" s="44"/>
      <c r="N744" s="44"/>
      <c r="O744" s="44"/>
      <c r="P744" s="44"/>
      <c r="Q744" s="44"/>
      <c r="R744" s="44"/>
      <c r="S744" s="44"/>
      <c r="T744" s="44"/>
      <c r="U744" s="44"/>
      <c r="V744" s="44"/>
      <c r="W744" s="44"/>
      <c r="X744" s="44"/>
      <c r="Y744" s="44"/>
      <c r="Z744" s="44"/>
      <c r="AA744" s="44"/>
      <c r="AB744" s="44"/>
      <c r="AC744" s="44"/>
      <c r="AD744" s="44"/>
      <c r="AE744" s="44"/>
      <c r="AF744" s="44"/>
      <c r="AG744" s="44"/>
      <c r="AH744" s="44"/>
      <c r="AI744" s="44"/>
      <c r="AJ744" s="44"/>
      <c r="AK744" s="44"/>
      <c r="AL744" s="44"/>
      <c r="AM744" s="44"/>
      <c r="AN744" s="44"/>
      <c r="AO744" s="44"/>
      <c r="AP744" s="44"/>
      <c r="AQ744" s="44"/>
      <c r="AR744" s="44"/>
      <c r="AS744" s="44"/>
      <c r="AT744" s="44"/>
      <c r="AU744" s="44"/>
      <c r="AV744" s="44"/>
      <c r="AW744" s="44"/>
      <c r="AX744" s="44"/>
    </row>
    <row r="745" spans="1:50" x14ac:dyDescent="0.25">
      <c r="A745" s="44"/>
      <c r="B745" s="44"/>
      <c r="C745" s="44"/>
      <c r="D745" s="44"/>
      <c r="E745" s="44"/>
      <c r="F745" s="44"/>
      <c r="G745" s="44"/>
      <c r="H745" s="44"/>
      <c r="I745" s="44"/>
      <c r="J745" s="44"/>
      <c r="K745" s="44"/>
      <c r="L745" s="44"/>
      <c r="M745" s="44"/>
      <c r="N745" s="44"/>
      <c r="O745" s="44"/>
      <c r="P745" s="44"/>
      <c r="Q745" s="44"/>
      <c r="R745" s="44"/>
      <c r="S745" s="44"/>
      <c r="T745" s="44"/>
      <c r="U745" s="44"/>
      <c r="V745" s="44"/>
      <c r="W745" s="44"/>
      <c r="X745" s="44"/>
      <c r="Y745" s="44"/>
      <c r="Z745" s="44"/>
      <c r="AA745" s="44"/>
      <c r="AB745" s="44"/>
      <c r="AC745" s="44"/>
      <c r="AD745" s="44"/>
      <c r="AE745" s="44"/>
      <c r="AF745" s="44"/>
      <c r="AG745" s="44"/>
      <c r="AH745" s="44"/>
      <c r="AI745" s="44"/>
      <c r="AJ745" s="44"/>
      <c r="AK745" s="44"/>
      <c r="AL745" s="44"/>
      <c r="AM745" s="44"/>
      <c r="AN745" s="44"/>
      <c r="AO745" s="44"/>
      <c r="AP745" s="44"/>
      <c r="AQ745" s="44"/>
      <c r="AR745" s="44"/>
      <c r="AS745" s="44"/>
      <c r="AT745" s="44"/>
      <c r="AU745" s="44"/>
      <c r="AV745" s="44"/>
      <c r="AW745" s="44"/>
      <c r="AX745" s="44"/>
    </row>
    <row r="746" spans="1:50" x14ac:dyDescent="0.25">
      <c r="A746" s="44"/>
      <c r="B746" s="44"/>
      <c r="C746" s="44"/>
      <c r="D746" s="44"/>
      <c r="E746" s="44"/>
      <c r="F746" s="44"/>
      <c r="G746" s="44"/>
      <c r="H746" s="44"/>
      <c r="I746" s="44"/>
      <c r="J746" s="44"/>
      <c r="K746" s="44"/>
      <c r="L746" s="44"/>
      <c r="M746" s="44"/>
      <c r="N746" s="44"/>
      <c r="O746" s="44"/>
      <c r="P746" s="44"/>
      <c r="Q746" s="44"/>
      <c r="R746" s="44"/>
      <c r="S746" s="44"/>
      <c r="T746" s="44"/>
      <c r="U746" s="44"/>
      <c r="V746" s="44"/>
      <c r="W746" s="44"/>
      <c r="X746" s="44"/>
      <c r="Y746" s="44"/>
      <c r="Z746" s="44"/>
      <c r="AA746" s="44"/>
      <c r="AB746" s="44"/>
      <c r="AC746" s="44"/>
      <c r="AD746" s="44"/>
      <c r="AE746" s="44"/>
      <c r="AF746" s="44"/>
      <c r="AG746" s="44"/>
      <c r="AH746" s="44"/>
      <c r="AI746" s="44"/>
      <c r="AJ746" s="44"/>
      <c r="AK746" s="44"/>
      <c r="AL746" s="44"/>
      <c r="AM746" s="44"/>
      <c r="AN746" s="44"/>
      <c r="AO746" s="44"/>
      <c r="AP746" s="44"/>
      <c r="AQ746" s="44"/>
      <c r="AR746" s="44"/>
      <c r="AS746" s="44"/>
      <c r="AT746" s="44"/>
      <c r="AU746" s="44"/>
      <c r="AV746" s="44"/>
      <c r="AW746" s="44"/>
      <c r="AX746" s="44"/>
    </row>
    <row r="747" spans="1:50" x14ac:dyDescent="0.25">
      <c r="A747" s="44"/>
      <c r="B747" s="44"/>
      <c r="C747" s="44"/>
      <c r="D747" s="44"/>
      <c r="E747" s="44"/>
      <c r="F747" s="44"/>
      <c r="G747" s="44"/>
      <c r="H747" s="44"/>
      <c r="I747" s="44"/>
      <c r="J747" s="44"/>
      <c r="K747" s="44"/>
      <c r="L747" s="44"/>
      <c r="M747" s="44"/>
      <c r="N747" s="44"/>
      <c r="O747" s="44"/>
      <c r="P747" s="44"/>
      <c r="Q747" s="44"/>
      <c r="R747" s="44"/>
      <c r="S747" s="44"/>
      <c r="T747" s="44"/>
      <c r="U747" s="44"/>
      <c r="V747" s="44"/>
      <c r="W747" s="44"/>
      <c r="X747" s="44"/>
      <c r="Y747" s="44"/>
      <c r="Z747" s="44"/>
      <c r="AA747" s="44"/>
      <c r="AB747" s="44"/>
      <c r="AC747" s="44"/>
      <c r="AD747" s="44"/>
      <c r="AE747" s="44"/>
      <c r="AF747" s="44"/>
      <c r="AG747" s="44"/>
      <c r="AH747" s="44"/>
      <c r="AI747" s="44"/>
      <c r="AJ747" s="44"/>
      <c r="AK747" s="44"/>
      <c r="AL747" s="44"/>
      <c r="AM747" s="44"/>
      <c r="AN747" s="44"/>
      <c r="AO747" s="44"/>
      <c r="AP747" s="44"/>
      <c r="AQ747" s="44"/>
      <c r="AR747" s="44"/>
      <c r="AS747" s="44"/>
      <c r="AT747" s="44"/>
      <c r="AU747" s="44"/>
      <c r="AV747" s="44"/>
      <c r="AW747" s="44"/>
      <c r="AX747" s="44"/>
    </row>
    <row r="748" spans="1:50" x14ac:dyDescent="0.25">
      <c r="A748" s="44"/>
      <c r="B748" s="44"/>
      <c r="C748" s="44"/>
      <c r="D748" s="44"/>
      <c r="E748" s="44"/>
      <c r="F748" s="44"/>
      <c r="G748" s="44"/>
      <c r="H748" s="44"/>
      <c r="I748" s="44"/>
      <c r="J748" s="44"/>
      <c r="K748" s="44"/>
      <c r="L748" s="44"/>
      <c r="M748" s="44"/>
      <c r="N748" s="44"/>
      <c r="O748" s="44"/>
      <c r="P748" s="44"/>
      <c r="Q748" s="44"/>
      <c r="R748" s="44"/>
      <c r="S748" s="44"/>
      <c r="T748" s="44"/>
      <c r="U748" s="44"/>
      <c r="V748" s="44"/>
      <c r="W748" s="44"/>
      <c r="X748" s="44"/>
      <c r="Y748" s="44"/>
      <c r="Z748" s="44"/>
      <c r="AA748" s="44"/>
      <c r="AB748" s="44"/>
      <c r="AC748" s="44"/>
      <c r="AD748" s="44"/>
      <c r="AE748" s="44"/>
      <c r="AF748" s="44"/>
      <c r="AG748" s="44"/>
      <c r="AH748" s="44"/>
      <c r="AI748" s="44"/>
      <c r="AJ748" s="44"/>
      <c r="AK748" s="44"/>
      <c r="AL748" s="44"/>
      <c r="AM748" s="44"/>
      <c r="AN748" s="44"/>
      <c r="AO748" s="44"/>
      <c r="AP748" s="44"/>
      <c r="AQ748" s="44"/>
      <c r="AR748" s="44"/>
      <c r="AS748" s="44"/>
      <c r="AT748" s="44"/>
      <c r="AU748" s="44"/>
      <c r="AV748" s="44"/>
      <c r="AW748" s="44"/>
      <c r="AX748" s="44"/>
    </row>
    <row r="749" spans="1:50" x14ac:dyDescent="0.25">
      <c r="A749" s="44"/>
      <c r="B749" s="44"/>
      <c r="C749" s="44"/>
      <c r="D749" s="44"/>
      <c r="E749" s="44"/>
      <c r="F749" s="44"/>
      <c r="G749" s="44"/>
      <c r="H749" s="44"/>
      <c r="I749" s="44"/>
      <c r="J749" s="44"/>
      <c r="K749" s="44"/>
      <c r="L749" s="44"/>
      <c r="M749" s="44"/>
      <c r="N749" s="44"/>
      <c r="O749" s="44"/>
      <c r="P749" s="44"/>
      <c r="Q749" s="44"/>
      <c r="R749" s="44"/>
      <c r="S749" s="44"/>
      <c r="T749" s="44"/>
      <c r="U749" s="44"/>
      <c r="V749" s="44"/>
      <c r="W749" s="44"/>
      <c r="X749" s="44"/>
      <c r="Y749" s="44"/>
      <c r="Z749" s="44"/>
      <c r="AA749" s="44"/>
      <c r="AB749" s="44"/>
      <c r="AC749" s="44"/>
      <c r="AD749" s="44"/>
      <c r="AE749" s="44"/>
      <c r="AF749" s="44"/>
      <c r="AG749" s="44"/>
      <c r="AH749" s="44"/>
      <c r="AI749" s="44"/>
      <c r="AJ749" s="44"/>
      <c r="AK749" s="44"/>
      <c r="AL749" s="44"/>
      <c r="AM749" s="44"/>
      <c r="AN749" s="44"/>
      <c r="AO749" s="44"/>
      <c r="AP749" s="44"/>
      <c r="AQ749" s="44"/>
      <c r="AR749" s="44"/>
      <c r="AS749" s="44"/>
      <c r="AT749" s="44"/>
      <c r="AU749" s="44"/>
      <c r="AV749" s="44"/>
      <c r="AW749" s="44"/>
      <c r="AX749" s="44"/>
    </row>
    <row r="750" spans="1:50" x14ac:dyDescent="0.25">
      <c r="A750" s="44"/>
      <c r="B750" s="44"/>
      <c r="C750" s="44"/>
      <c r="D750" s="44"/>
      <c r="E750" s="44"/>
      <c r="F750" s="44"/>
      <c r="G750" s="44"/>
      <c r="H750" s="44"/>
      <c r="I750" s="44"/>
      <c r="J750" s="44"/>
      <c r="K750" s="44"/>
      <c r="L750" s="44"/>
      <c r="M750" s="44"/>
      <c r="N750" s="44"/>
      <c r="O750" s="44"/>
      <c r="P750" s="44"/>
      <c r="Q750" s="44"/>
      <c r="R750" s="44"/>
      <c r="S750" s="44"/>
      <c r="T750" s="44"/>
      <c r="U750" s="44"/>
      <c r="V750" s="44"/>
      <c r="W750" s="44"/>
      <c r="X750" s="44"/>
      <c r="Y750" s="44"/>
      <c r="Z750" s="44"/>
      <c r="AA750" s="44"/>
      <c r="AB750" s="44"/>
      <c r="AC750" s="44"/>
      <c r="AD750" s="44"/>
      <c r="AE750" s="44"/>
      <c r="AF750" s="44"/>
      <c r="AG750" s="44"/>
      <c r="AH750" s="44"/>
      <c r="AI750" s="44"/>
      <c r="AJ750" s="44"/>
      <c r="AK750" s="44"/>
      <c r="AL750" s="44"/>
      <c r="AM750" s="44"/>
      <c r="AN750" s="44"/>
      <c r="AO750" s="44"/>
      <c r="AP750" s="44"/>
      <c r="AQ750" s="44"/>
      <c r="AR750" s="44"/>
      <c r="AS750" s="44"/>
      <c r="AT750" s="44"/>
      <c r="AU750" s="44"/>
      <c r="AV750" s="44"/>
      <c r="AW750" s="44"/>
      <c r="AX750" s="44"/>
    </row>
    <row r="751" spans="1:50" x14ac:dyDescent="0.25">
      <c r="A751" s="44"/>
      <c r="B751" s="44"/>
      <c r="C751" s="44"/>
      <c r="D751" s="44"/>
      <c r="E751" s="44"/>
      <c r="F751" s="44"/>
      <c r="G751" s="44"/>
      <c r="H751" s="44"/>
      <c r="I751" s="44"/>
      <c r="J751" s="44"/>
      <c r="K751" s="44"/>
      <c r="L751" s="44"/>
      <c r="M751" s="44"/>
      <c r="N751" s="44"/>
      <c r="O751" s="44"/>
      <c r="P751" s="44"/>
      <c r="Q751" s="44"/>
      <c r="R751" s="44"/>
      <c r="S751" s="44"/>
      <c r="T751" s="44"/>
      <c r="U751" s="44"/>
      <c r="V751" s="44"/>
      <c r="W751" s="44"/>
      <c r="X751" s="44"/>
      <c r="Y751" s="44"/>
      <c r="Z751" s="44"/>
      <c r="AA751" s="44"/>
      <c r="AB751" s="44"/>
      <c r="AC751" s="44"/>
      <c r="AD751" s="44"/>
      <c r="AE751" s="44"/>
      <c r="AF751" s="44"/>
      <c r="AG751" s="44"/>
      <c r="AH751" s="44"/>
      <c r="AI751" s="44"/>
      <c r="AJ751" s="44"/>
      <c r="AK751" s="44"/>
      <c r="AL751" s="44"/>
      <c r="AM751" s="44"/>
      <c r="AN751" s="44"/>
      <c r="AO751" s="44"/>
      <c r="AP751" s="44"/>
      <c r="AQ751" s="44"/>
      <c r="AR751" s="44"/>
      <c r="AS751" s="44"/>
      <c r="AT751" s="44"/>
      <c r="AU751" s="44"/>
      <c r="AV751" s="44"/>
      <c r="AW751" s="44"/>
      <c r="AX751" s="44"/>
    </row>
    <row r="752" spans="1:50" x14ac:dyDescent="0.25">
      <c r="A752" s="44"/>
      <c r="B752" s="44"/>
      <c r="C752" s="44"/>
      <c r="D752" s="44"/>
      <c r="E752" s="44"/>
      <c r="F752" s="44"/>
      <c r="G752" s="44"/>
      <c r="H752" s="44"/>
      <c r="I752" s="44"/>
      <c r="J752" s="44"/>
      <c r="K752" s="44"/>
      <c r="L752" s="44"/>
      <c r="M752" s="44"/>
      <c r="N752" s="44"/>
      <c r="O752" s="44"/>
      <c r="P752" s="44"/>
      <c r="Q752" s="44"/>
      <c r="R752" s="44"/>
      <c r="S752" s="44"/>
      <c r="T752" s="44"/>
      <c r="U752" s="44"/>
      <c r="V752" s="44"/>
      <c r="W752" s="44"/>
      <c r="X752" s="44"/>
      <c r="Y752" s="44"/>
      <c r="Z752" s="44"/>
      <c r="AA752" s="44"/>
      <c r="AB752" s="44"/>
      <c r="AC752" s="44"/>
      <c r="AD752" s="44"/>
      <c r="AE752" s="44"/>
      <c r="AF752" s="44"/>
      <c r="AG752" s="44"/>
      <c r="AH752" s="44"/>
      <c r="AI752" s="44"/>
      <c r="AJ752" s="44"/>
      <c r="AK752" s="44"/>
      <c r="AL752" s="44"/>
      <c r="AM752" s="44"/>
      <c r="AN752" s="44"/>
      <c r="AO752" s="44"/>
      <c r="AP752" s="44"/>
      <c r="AQ752" s="44"/>
      <c r="AR752" s="44"/>
      <c r="AS752" s="44"/>
      <c r="AT752" s="44"/>
      <c r="AU752" s="44"/>
      <c r="AV752" s="44"/>
      <c r="AW752" s="44"/>
      <c r="AX752" s="44"/>
    </row>
    <row r="753" spans="1:50" x14ac:dyDescent="0.25">
      <c r="A753" s="44"/>
      <c r="B753" s="44"/>
      <c r="C753" s="44"/>
      <c r="D753" s="44"/>
      <c r="E753" s="44"/>
      <c r="F753" s="44"/>
      <c r="G753" s="44"/>
      <c r="H753" s="44"/>
      <c r="I753" s="44"/>
      <c r="J753" s="44"/>
      <c r="K753" s="44"/>
      <c r="L753" s="44"/>
      <c r="M753" s="44"/>
      <c r="N753" s="44"/>
      <c r="O753" s="44"/>
      <c r="P753" s="44"/>
      <c r="Q753" s="44"/>
      <c r="R753" s="44"/>
      <c r="S753" s="44"/>
      <c r="T753" s="44"/>
      <c r="U753" s="44"/>
      <c r="V753" s="44"/>
      <c r="W753" s="44"/>
      <c r="X753" s="44"/>
      <c r="Y753" s="44"/>
      <c r="Z753" s="44"/>
      <c r="AA753" s="44"/>
      <c r="AB753" s="44"/>
      <c r="AC753" s="44"/>
      <c r="AD753" s="44"/>
      <c r="AE753" s="44"/>
      <c r="AF753" s="44"/>
      <c r="AG753" s="44"/>
      <c r="AH753" s="44"/>
      <c r="AI753" s="44"/>
      <c r="AJ753" s="44"/>
      <c r="AK753" s="44"/>
      <c r="AL753" s="44"/>
      <c r="AM753" s="44"/>
      <c r="AN753" s="44"/>
      <c r="AO753" s="44"/>
      <c r="AP753" s="44"/>
      <c r="AQ753" s="44"/>
      <c r="AR753" s="44"/>
      <c r="AS753" s="44"/>
      <c r="AT753" s="44"/>
      <c r="AU753" s="44"/>
      <c r="AV753" s="44"/>
      <c r="AW753" s="44"/>
      <c r="AX753" s="44"/>
    </row>
    <row r="754" spans="1:50" x14ac:dyDescent="0.25">
      <c r="A754" s="44"/>
      <c r="B754" s="44"/>
      <c r="C754" s="44"/>
      <c r="D754" s="44"/>
      <c r="E754" s="44"/>
      <c r="F754" s="44"/>
      <c r="G754" s="44"/>
      <c r="H754" s="44"/>
      <c r="I754" s="44"/>
      <c r="J754" s="44"/>
      <c r="K754" s="44"/>
      <c r="L754" s="44"/>
      <c r="M754" s="44"/>
      <c r="N754" s="44"/>
      <c r="O754" s="44"/>
      <c r="P754" s="44"/>
      <c r="Q754" s="44"/>
      <c r="R754" s="44"/>
      <c r="S754" s="44"/>
      <c r="T754" s="44"/>
      <c r="U754" s="44"/>
      <c r="V754" s="44"/>
      <c r="W754" s="44"/>
      <c r="X754" s="44"/>
      <c r="Y754" s="44"/>
      <c r="Z754" s="44"/>
      <c r="AA754" s="44"/>
      <c r="AB754" s="44"/>
      <c r="AC754" s="44"/>
      <c r="AD754" s="44"/>
      <c r="AE754" s="44"/>
      <c r="AF754" s="44"/>
      <c r="AG754" s="44"/>
      <c r="AH754" s="44"/>
      <c r="AI754" s="44"/>
      <c r="AJ754" s="44"/>
      <c r="AK754" s="44"/>
      <c r="AL754" s="44"/>
      <c r="AM754" s="44"/>
      <c r="AN754" s="44"/>
      <c r="AO754" s="44"/>
      <c r="AP754" s="44"/>
      <c r="AQ754" s="44"/>
      <c r="AR754" s="44"/>
      <c r="AS754" s="44"/>
      <c r="AT754" s="44"/>
      <c r="AU754" s="44"/>
      <c r="AV754" s="44"/>
      <c r="AW754" s="44"/>
      <c r="AX754" s="44"/>
    </row>
    <row r="755" spans="1:50" x14ac:dyDescent="0.25">
      <c r="A755" s="44"/>
      <c r="B755" s="44"/>
      <c r="C755" s="44"/>
      <c r="D755" s="44"/>
      <c r="E755" s="44"/>
      <c r="F755" s="44"/>
      <c r="G755" s="44"/>
      <c r="H755" s="44"/>
      <c r="I755" s="44"/>
      <c r="J755" s="44"/>
      <c r="K755" s="44"/>
      <c r="L755" s="44"/>
      <c r="M755" s="44"/>
      <c r="N755" s="44"/>
      <c r="O755" s="44"/>
      <c r="P755" s="44"/>
      <c r="Q755" s="44"/>
      <c r="R755" s="44"/>
      <c r="S755" s="44"/>
      <c r="T755" s="44"/>
      <c r="U755" s="44"/>
      <c r="V755" s="44"/>
      <c r="W755" s="44"/>
      <c r="X755" s="44"/>
      <c r="Y755" s="44"/>
      <c r="Z755" s="44"/>
      <c r="AA755" s="44"/>
      <c r="AB755" s="44"/>
      <c r="AC755" s="44"/>
      <c r="AD755" s="44"/>
      <c r="AE755" s="44"/>
      <c r="AF755" s="44"/>
      <c r="AG755" s="44"/>
      <c r="AH755" s="44"/>
      <c r="AI755" s="44"/>
      <c r="AJ755" s="44"/>
      <c r="AK755" s="44"/>
      <c r="AL755" s="44"/>
      <c r="AM755" s="44"/>
      <c r="AN755" s="44"/>
      <c r="AO755" s="44"/>
      <c r="AP755" s="44"/>
      <c r="AQ755" s="44"/>
      <c r="AR755" s="44"/>
      <c r="AS755" s="44"/>
      <c r="AT755" s="44"/>
      <c r="AU755" s="44"/>
      <c r="AV755" s="44"/>
      <c r="AW755" s="44"/>
      <c r="AX755" s="44"/>
    </row>
    <row r="756" spans="1:50" x14ac:dyDescent="0.25">
      <c r="A756" s="44"/>
      <c r="B756" s="44"/>
      <c r="C756" s="44"/>
      <c r="D756" s="44"/>
      <c r="E756" s="44"/>
      <c r="F756" s="44"/>
      <c r="G756" s="44"/>
      <c r="H756" s="44"/>
      <c r="I756" s="44"/>
      <c r="J756" s="44"/>
      <c r="K756" s="44"/>
      <c r="L756" s="44"/>
      <c r="M756" s="44"/>
      <c r="N756" s="44"/>
      <c r="O756" s="44"/>
      <c r="P756" s="44"/>
      <c r="Q756" s="44"/>
      <c r="R756" s="44"/>
      <c r="S756" s="44"/>
      <c r="T756" s="44"/>
      <c r="U756" s="44"/>
      <c r="V756" s="44"/>
      <c r="W756" s="44"/>
      <c r="X756" s="44"/>
      <c r="Y756" s="44"/>
      <c r="Z756" s="44"/>
      <c r="AA756" s="44"/>
      <c r="AB756" s="44"/>
      <c r="AC756" s="44"/>
      <c r="AD756" s="44"/>
      <c r="AE756" s="44"/>
      <c r="AF756" s="44"/>
      <c r="AG756" s="44"/>
      <c r="AH756" s="44"/>
      <c r="AI756" s="44"/>
      <c r="AJ756" s="44"/>
      <c r="AK756" s="44"/>
      <c r="AL756" s="44"/>
      <c r="AM756" s="44"/>
      <c r="AN756" s="44"/>
      <c r="AO756" s="44"/>
      <c r="AP756" s="44"/>
      <c r="AQ756" s="44"/>
      <c r="AR756" s="44"/>
      <c r="AS756" s="44"/>
      <c r="AT756" s="44"/>
      <c r="AU756" s="44"/>
      <c r="AV756" s="44"/>
      <c r="AW756" s="44"/>
      <c r="AX756" s="44"/>
    </row>
    <row r="757" spans="1:50" x14ac:dyDescent="0.25">
      <c r="A757" s="44"/>
      <c r="B757" s="44"/>
      <c r="C757" s="44"/>
      <c r="D757" s="44"/>
      <c r="E757" s="44"/>
      <c r="F757" s="44"/>
      <c r="G757" s="44"/>
      <c r="H757" s="44"/>
      <c r="I757" s="44"/>
      <c r="J757" s="44"/>
      <c r="K757" s="44"/>
      <c r="L757" s="44"/>
      <c r="M757" s="44"/>
      <c r="N757" s="44"/>
      <c r="O757" s="44"/>
      <c r="P757" s="44"/>
      <c r="Q757" s="44"/>
      <c r="R757" s="44"/>
      <c r="S757" s="44"/>
      <c r="T757" s="44"/>
      <c r="U757" s="44"/>
      <c r="V757" s="44"/>
      <c r="W757" s="44"/>
      <c r="X757" s="44"/>
      <c r="Y757" s="44"/>
      <c r="Z757" s="44"/>
      <c r="AA757" s="44"/>
      <c r="AB757" s="44"/>
      <c r="AC757" s="44"/>
      <c r="AD757" s="44"/>
      <c r="AE757" s="44"/>
      <c r="AF757" s="44"/>
      <c r="AG757" s="44"/>
      <c r="AH757" s="44"/>
      <c r="AI757" s="44"/>
      <c r="AJ757" s="44"/>
      <c r="AK757" s="44"/>
      <c r="AL757" s="44"/>
      <c r="AM757" s="44"/>
      <c r="AN757" s="44"/>
      <c r="AO757" s="44"/>
      <c r="AP757" s="44"/>
      <c r="AQ757" s="44"/>
      <c r="AR757" s="44"/>
      <c r="AS757" s="44"/>
      <c r="AT757" s="44"/>
      <c r="AU757" s="44"/>
      <c r="AV757" s="44"/>
      <c r="AW757" s="44"/>
      <c r="AX757" s="44"/>
    </row>
    <row r="758" spans="1:50" x14ac:dyDescent="0.25">
      <c r="A758" s="44"/>
      <c r="B758" s="44"/>
      <c r="C758" s="44"/>
      <c r="D758" s="44"/>
      <c r="E758" s="44"/>
      <c r="F758" s="44"/>
      <c r="G758" s="44"/>
      <c r="H758" s="44"/>
      <c r="I758" s="44"/>
      <c r="J758" s="44"/>
      <c r="K758" s="44"/>
      <c r="L758" s="44"/>
      <c r="M758" s="44"/>
      <c r="N758" s="44"/>
      <c r="O758" s="44"/>
      <c r="P758" s="44"/>
      <c r="Q758" s="44"/>
      <c r="R758" s="44"/>
      <c r="S758" s="44"/>
      <c r="T758" s="44"/>
      <c r="U758" s="44"/>
      <c r="V758" s="44"/>
      <c r="W758" s="44"/>
      <c r="X758" s="44"/>
      <c r="Y758" s="44"/>
      <c r="Z758" s="44"/>
      <c r="AA758" s="44"/>
      <c r="AB758" s="44"/>
      <c r="AC758" s="44"/>
      <c r="AD758" s="44"/>
      <c r="AE758" s="44"/>
      <c r="AF758" s="44"/>
      <c r="AG758" s="44"/>
      <c r="AH758" s="44"/>
      <c r="AI758" s="44"/>
      <c r="AJ758" s="44"/>
      <c r="AK758" s="44"/>
      <c r="AL758" s="44"/>
      <c r="AM758" s="44"/>
      <c r="AN758" s="44"/>
      <c r="AO758" s="44"/>
      <c r="AP758" s="44"/>
      <c r="AQ758" s="44"/>
      <c r="AR758" s="44"/>
      <c r="AS758" s="44"/>
      <c r="AT758" s="44"/>
      <c r="AU758" s="44"/>
      <c r="AV758" s="44"/>
      <c r="AW758" s="44"/>
      <c r="AX758" s="44"/>
    </row>
    <row r="759" spans="1:50" x14ac:dyDescent="0.25">
      <c r="A759" s="44"/>
      <c r="B759" s="44"/>
      <c r="C759" s="44"/>
      <c r="D759" s="44"/>
      <c r="E759" s="44"/>
      <c r="F759" s="44"/>
      <c r="G759" s="44"/>
      <c r="H759" s="44"/>
      <c r="I759" s="44"/>
      <c r="J759" s="44"/>
      <c r="K759" s="44"/>
      <c r="L759" s="44"/>
      <c r="M759" s="44"/>
      <c r="N759" s="44"/>
      <c r="O759" s="44"/>
      <c r="P759" s="44"/>
      <c r="Q759" s="44"/>
      <c r="R759" s="44"/>
      <c r="S759" s="44"/>
      <c r="T759" s="44"/>
      <c r="U759" s="44"/>
      <c r="V759" s="44"/>
      <c r="W759" s="44"/>
      <c r="X759" s="44"/>
      <c r="Y759" s="44"/>
      <c r="Z759" s="44"/>
      <c r="AA759" s="44"/>
      <c r="AB759" s="44"/>
      <c r="AC759" s="44"/>
      <c r="AD759" s="44"/>
      <c r="AE759" s="44"/>
      <c r="AF759" s="44"/>
      <c r="AG759" s="44"/>
      <c r="AH759" s="44"/>
      <c r="AI759" s="44"/>
      <c r="AJ759" s="44"/>
      <c r="AK759" s="44"/>
      <c r="AL759" s="44"/>
      <c r="AM759" s="44"/>
      <c r="AN759" s="44"/>
      <c r="AO759" s="44"/>
      <c r="AP759" s="44"/>
      <c r="AQ759" s="44"/>
      <c r="AR759" s="44"/>
      <c r="AS759" s="44"/>
      <c r="AT759" s="44"/>
      <c r="AU759" s="44"/>
      <c r="AV759" s="44"/>
      <c r="AW759" s="44"/>
      <c r="AX759" s="44"/>
    </row>
    <row r="760" spans="1:50" x14ac:dyDescent="0.25">
      <c r="A760" s="44"/>
      <c r="B760" s="44"/>
      <c r="C760" s="44"/>
      <c r="D760" s="44"/>
      <c r="E760" s="44"/>
      <c r="F760" s="44"/>
      <c r="G760" s="44"/>
      <c r="H760" s="44"/>
      <c r="I760" s="44"/>
      <c r="J760" s="44"/>
      <c r="K760" s="44"/>
      <c r="L760" s="44"/>
      <c r="M760" s="44"/>
      <c r="N760" s="44"/>
      <c r="O760" s="44"/>
      <c r="P760" s="44"/>
      <c r="Q760" s="44"/>
      <c r="R760" s="44"/>
      <c r="S760" s="44"/>
      <c r="T760" s="44"/>
      <c r="U760" s="44"/>
      <c r="V760" s="44"/>
      <c r="W760" s="44"/>
      <c r="X760" s="44"/>
      <c r="Y760" s="44"/>
      <c r="Z760" s="44"/>
      <c r="AA760" s="44"/>
      <c r="AB760" s="44"/>
      <c r="AC760" s="44"/>
      <c r="AD760" s="44"/>
      <c r="AE760" s="44"/>
      <c r="AF760" s="44"/>
      <c r="AG760" s="44"/>
      <c r="AH760" s="44"/>
      <c r="AI760" s="44"/>
      <c r="AJ760" s="44"/>
      <c r="AK760" s="44"/>
      <c r="AL760" s="44"/>
      <c r="AM760" s="44"/>
      <c r="AN760" s="44"/>
      <c r="AO760" s="44"/>
      <c r="AP760" s="44"/>
      <c r="AQ760" s="44"/>
      <c r="AR760" s="44"/>
      <c r="AS760" s="44"/>
      <c r="AT760" s="44"/>
      <c r="AU760" s="44"/>
      <c r="AV760" s="44"/>
      <c r="AW760" s="44"/>
      <c r="AX760" s="44"/>
    </row>
    <row r="761" spans="1:50" x14ac:dyDescent="0.25">
      <c r="A761" s="44"/>
      <c r="B761" s="44"/>
      <c r="C761" s="44"/>
      <c r="D761" s="44"/>
      <c r="E761" s="44"/>
      <c r="F761" s="44"/>
      <c r="G761" s="44"/>
      <c r="H761" s="44"/>
      <c r="I761" s="44"/>
      <c r="J761" s="44"/>
      <c r="K761" s="44"/>
      <c r="L761" s="44"/>
      <c r="M761" s="44"/>
      <c r="N761" s="44"/>
      <c r="O761" s="44"/>
      <c r="P761" s="44"/>
      <c r="Q761" s="44"/>
      <c r="R761" s="44"/>
      <c r="S761" s="44"/>
      <c r="T761" s="44"/>
      <c r="U761" s="44"/>
      <c r="V761" s="44"/>
      <c r="W761" s="44"/>
      <c r="X761" s="44"/>
      <c r="Y761" s="44"/>
      <c r="Z761" s="44"/>
      <c r="AA761" s="44"/>
      <c r="AB761" s="44"/>
      <c r="AC761" s="44"/>
      <c r="AD761" s="44"/>
      <c r="AE761" s="44"/>
      <c r="AF761" s="44"/>
      <c r="AG761" s="44"/>
      <c r="AH761" s="44"/>
      <c r="AI761" s="44"/>
      <c r="AJ761" s="44"/>
      <c r="AK761" s="44"/>
      <c r="AL761" s="44"/>
      <c r="AM761" s="44"/>
      <c r="AN761" s="44"/>
      <c r="AO761" s="44"/>
      <c r="AP761" s="44"/>
      <c r="AQ761" s="44"/>
      <c r="AR761" s="44"/>
      <c r="AS761" s="44"/>
      <c r="AT761" s="44"/>
      <c r="AU761" s="44"/>
      <c r="AV761" s="44"/>
      <c r="AW761" s="44"/>
      <c r="AX761" s="44"/>
    </row>
    <row r="762" spans="1:50" x14ac:dyDescent="0.25">
      <c r="A762" s="44"/>
      <c r="B762" s="44"/>
      <c r="C762" s="44"/>
      <c r="D762" s="44"/>
      <c r="E762" s="44"/>
      <c r="F762" s="44"/>
      <c r="G762" s="44"/>
      <c r="H762" s="44"/>
      <c r="I762" s="44"/>
      <c r="J762" s="44"/>
      <c r="K762" s="44"/>
      <c r="L762" s="44"/>
      <c r="M762" s="44"/>
      <c r="N762" s="44"/>
      <c r="O762" s="44"/>
      <c r="P762" s="44"/>
      <c r="Q762" s="44"/>
      <c r="R762" s="44"/>
      <c r="S762" s="44"/>
      <c r="T762" s="44"/>
      <c r="U762" s="44"/>
      <c r="V762" s="44"/>
      <c r="W762" s="44"/>
      <c r="X762" s="44"/>
      <c r="Y762" s="44"/>
      <c r="Z762" s="44"/>
      <c r="AA762" s="44"/>
      <c r="AB762" s="44"/>
      <c r="AC762" s="44"/>
      <c r="AD762" s="44"/>
      <c r="AE762" s="44"/>
      <c r="AF762" s="44"/>
      <c r="AG762" s="44"/>
      <c r="AH762" s="44"/>
      <c r="AI762" s="44"/>
      <c r="AJ762" s="44"/>
      <c r="AK762" s="44"/>
      <c r="AL762" s="44"/>
      <c r="AM762" s="44"/>
      <c r="AN762" s="44"/>
      <c r="AO762" s="44"/>
      <c r="AP762" s="44"/>
      <c r="AQ762" s="44"/>
      <c r="AR762" s="44"/>
      <c r="AS762" s="44"/>
      <c r="AT762" s="44"/>
      <c r="AU762" s="44"/>
      <c r="AV762" s="44"/>
      <c r="AW762" s="44"/>
      <c r="AX762" s="44"/>
    </row>
    <row r="763" spans="1:50" x14ac:dyDescent="0.25">
      <c r="A763" s="44"/>
      <c r="B763" s="44"/>
      <c r="C763" s="44"/>
      <c r="D763" s="44"/>
      <c r="E763" s="44"/>
      <c r="F763" s="44"/>
      <c r="G763" s="44"/>
      <c r="H763" s="44"/>
      <c r="I763" s="44"/>
      <c r="J763" s="44"/>
      <c r="K763" s="44"/>
      <c r="L763" s="44"/>
      <c r="M763" s="44"/>
      <c r="N763" s="44"/>
      <c r="O763" s="44"/>
      <c r="P763" s="44"/>
      <c r="Q763" s="44"/>
      <c r="R763" s="44"/>
      <c r="S763" s="44"/>
      <c r="T763" s="44"/>
      <c r="U763" s="44"/>
      <c r="V763" s="44"/>
      <c r="W763" s="44"/>
      <c r="X763" s="44"/>
      <c r="Y763" s="44"/>
      <c r="Z763" s="44"/>
      <c r="AA763" s="44"/>
      <c r="AB763" s="44"/>
      <c r="AC763" s="44"/>
      <c r="AD763" s="44"/>
      <c r="AE763" s="44"/>
      <c r="AF763" s="44"/>
      <c r="AG763" s="44"/>
      <c r="AH763" s="44"/>
      <c r="AI763" s="44"/>
      <c r="AJ763" s="44"/>
      <c r="AK763" s="44"/>
      <c r="AL763" s="44"/>
      <c r="AM763" s="44"/>
      <c r="AN763" s="44"/>
      <c r="AO763" s="44"/>
      <c r="AP763" s="44"/>
      <c r="AQ763" s="44"/>
      <c r="AR763" s="44"/>
      <c r="AS763" s="44"/>
      <c r="AT763" s="44"/>
      <c r="AU763" s="44"/>
      <c r="AV763" s="44"/>
      <c r="AW763" s="44"/>
      <c r="AX763" s="44"/>
    </row>
    <row r="764" spans="1:50" x14ac:dyDescent="0.25">
      <c r="A764" s="44"/>
      <c r="B764" s="44"/>
      <c r="C764" s="44"/>
      <c r="D764" s="44"/>
      <c r="E764" s="44"/>
      <c r="F764" s="44"/>
      <c r="G764" s="44"/>
      <c r="H764" s="44"/>
      <c r="I764" s="44"/>
      <c r="J764" s="44"/>
      <c r="K764" s="44"/>
      <c r="L764" s="44"/>
      <c r="M764" s="44"/>
      <c r="N764" s="44"/>
      <c r="O764" s="44"/>
      <c r="P764" s="44"/>
      <c r="Q764" s="44"/>
      <c r="R764" s="44"/>
      <c r="S764" s="44"/>
      <c r="T764" s="44"/>
      <c r="U764" s="44"/>
      <c r="V764" s="44"/>
      <c r="W764" s="44"/>
      <c r="X764" s="44"/>
      <c r="Y764" s="44"/>
      <c r="Z764" s="44"/>
      <c r="AA764" s="44"/>
      <c r="AB764" s="44"/>
      <c r="AC764" s="44"/>
      <c r="AD764" s="44"/>
      <c r="AE764" s="44"/>
      <c r="AF764" s="44"/>
      <c r="AG764" s="44"/>
      <c r="AH764" s="44"/>
      <c r="AI764" s="44"/>
      <c r="AJ764" s="44"/>
      <c r="AK764" s="44"/>
      <c r="AL764" s="44"/>
      <c r="AM764" s="44"/>
      <c r="AN764" s="44"/>
      <c r="AO764" s="44"/>
      <c r="AP764" s="44"/>
      <c r="AQ764" s="44"/>
      <c r="AR764" s="44"/>
      <c r="AS764" s="44"/>
      <c r="AT764" s="44"/>
      <c r="AU764" s="44"/>
      <c r="AV764" s="44"/>
      <c r="AW764" s="44"/>
      <c r="AX764" s="44"/>
    </row>
    <row r="765" spans="1:50" x14ac:dyDescent="0.25">
      <c r="A765" s="44"/>
      <c r="B765" s="44"/>
      <c r="C765" s="44"/>
      <c r="D765" s="44"/>
      <c r="E765" s="44"/>
      <c r="F765" s="44"/>
      <c r="G765" s="44"/>
      <c r="H765" s="44"/>
      <c r="I765" s="44"/>
      <c r="J765" s="44"/>
      <c r="K765" s="44"/>
      <c r="L765" s="44"/>
      <c r="M765" s="44"/>
      <c r="N765" s="44"/>
      <c r="O765" s="44"/>
      <c r="P765" s="44"/>
      <c r="Q765" s="44"/>
      <c r="R765" s="44"/>
      <c r="S765" s="44"/>
      <c r="T765" s="44"/>
      <c r="U765" s="44"/>
      <c r="V765" s="44"/>
      <c r="W765" s="44"/>
      <c r="X765" s="44"/>
      <c r="Y765" s="44"/>
      <c r="Z765" s="44"/>
      <c r="AA765" s="44"/>
      <c r="AB765" s="44"/>
      <c r="AC765" s="44"/>
      <c r="AD765" s="44"/>
      <c r="AE765" s="44"/>
      <c r="AF765" s="44"/>
      <c r="AG765" s="44"/>
      <c r="AH765" s="44"/>
      <c r="AI765" s="44"/>
      <c r="AJ765" s="44"/>
      <c r="AK765" s="44"/>
      <c r="AL765" s="44"/>
      <c r="AM765" s="44"/>
      <c r="AN765" s="44"/>
      <c r="AO765" s="44"/>
      <c r="AP765" s="44"/>
      <c r="AQ765" s="44"/>
      <c r="AR765" s="44"/>
      <c r="AS765" s="44"/>
      <c r="AT765" s="44"/>
      <c r="AU765" s="44"/>
      <c r="AV765" s="44"/>
      <c r="AW765" s="44"/>
      <c r="AX765" s="44"/>
    </row>
    <row r="766" spans="1:50" x14ac:dyDescent="0.25">
      <c r="A766" s="44"/>
      <c r="B766" s="44"/>
      <c r="C766" s="44"/>
      <c r="D766" s="44"/>
      <c r="E766" s="44"/>
      <c r="F766" s="44"/>
      <c r="G766" s="44"/>
      <c r="H766" s="44"/>
      <c r="I766" s="44"/>
      <c r="J766" s="44"/>
      <c r="K766" s="44"/>
      <c r="L766" s="44"/>
      <c r="M766" s="44"/>
      <c r="N766" s="44"/>
      <c r="O766" s="44"/>
      <c r="P766" s="44"/>
      <c r="Q766" s="44"/>
      <c r="R766" s="44"/>
      <c r="S766" s="44"/>
      <c r="T766" s="44"/>
      <c r="U766" s="44"/>
      <c r="V766" s="44"/>
      <c r="W766" s="44"/>
      <c r="X766" s="44"/>
      <c r="Y766" s="44"/>
      <c r="Z766" s="44"/>
      <c r="AA766" s="44"/>
      <c r="AB766" s="44"/>
      <c r="AC766" s="44"/>
      <c r="AD766" s="44"/>
      <c r="AE766" s="44"/>
      <c r="AF766" s="44"/>
      <c r="AG766" s="44"/>
      <c r="AH766" s="44"/>
      <c r="AI766" s="44"/>
      <c r="AJ766" s="44"/>
      <c r="AK766" s="44"/>
      <c r="AL766" s="44"/>
      <c r="AM766" s="44"/>
      <c r="AN766" s="44"/>
      <c r="AO766" s="44"/>
      <c r="AP766" s="44"/>
      <c r="AQ766" s="44"/>
      <c r="AR766" s="44"/>
      <c r="AS766" s="44"/>
      <c r="AT766" s="44"/>
      <c r="AU766" s="44"/>
      <c r="AV766" s="44"/>
      <c r="AW766" s="44"/>
      <c r="AX766" s="44"/>
    </row>
    <row r="767" spans="1:50" x14ac:dyDescent="0.25">
      <c r="A767" s="44"/>
      <c r="B767" s="44"/>
      <c r="C767" s="44"/>
      <c r="D767" s="44"/>
      <c r="E767" s="44"/>
      <c r="F767" s="44"/>
      <c r="G767" s="44"/>
      <c r="H767" s="44"/>
      <c r="I767" s="44"/>
      <c r="J767" s="44"/>
      <c r="K767" s="44"/>
      <c r="L767" s="44"/>
      <c r="M767" s="44"/>
      <c r="N767" s="44"/>
      <c r="O767" s="44"/>
      <c r="P767" s="44"/>
      <c r="Q767" s="44"/>
      <c r="R767" s="44"/>
      <c r="S767" s="44"/>
      <c r="T767" s="44"/>
      <c r="U767" s="44"/>
      <c r="V767" s="44"/>
      <c r="W767" s="44"/>
      <c r="X767" s="44"/>
      <c r="Y767" s="44"/>
      <c r="Z767" s="44"/>
      <c r="AA767" s="44"/>
      <c r="AB767" s="44"/>
      <c r="AC767" s="44"/>
      <c r="AD767" s="44"/>
      <c r="AE767" s="44"/>
      <c r="AF767" s="44"/>
      <c r="AG767" s="44"/>
      <c r="AH767" s="44"/>
      <c r="AI767" s="44"/>
      <c r="AJ767" s="44"/>
      <c r="AK767" s="44"/>
      <c r="AL767" s="44"/>
      <c r="AM767" s="44"/>
      <c r="AN767" s="44"/>
      <c r="AO767" s="44"/>
      <c r="AP767" s="44"/>
      <c r="AQ767" s="44"/>
      <c r="AR767" s="44"/>
      <c r="AS767" s="44"/>
      <c r="AT767" s="44"/>
      <c r="AU767" s="44"/>
      <c r="AV767" s="44"/>
      <c r="AW767" s="44"/>
      <c r="AX767" s="44"/>
    </row>
    <row r="768" spans="1:50" x14ac:dyDescent="0.25">
      <c r="A768" s="44"/>
      <c r="B768" s="44"/>
      <c r="C768" s="44"/>
      <c r="D768" s="44"/>
      <c r="E768" s="44"/>
      <c r="F768" s="44"/>
      <c r="G768" s="44"/>
      <c r="H768" s="44"/>
      <c r="I768" s="44"/>
      <c r="J768" s="44"/>
      <c r="K768" s="44"/>
      <c r="L768" s="44"/>
      <c r="M768" s="44"/>
      <c r="N768" s="44"/>
      <c r="O768" s="44"/>
      <c r="P768" s="44"/>
      <c r="Q768" s="44"/>
      <c r="R768" s="44"/>
      <c r="S768" s="44"/>
      <c r="T768" s="44"/>
      <c r="U768" s="44"/>
      <c r="V768" s="44"/>
      <c r="W768" s="44"/>
      <c r="X768" s="44"/>
      <c r="Y768" s="44"/>
      <c r="Z768" s="44"/>
      <c r="AA768" s="44"/>
      <c r="AB768" s="44"/>
      <c r="AC768" s="44"/>
      <c r="AD768" s="44"/>
      <c r="AE768" s="44"/>
      <c r="AF768" s="44"/>
      <c r="AG768" s="44"/>
      <c r="AH768" s="44"/>
      <c r="AI768" s="44"/>
      <c r="AJ768" s="44"/>
      <c r="AK768" s="44"/>
      <c r="AL768" s="44"/>
      <c r="AM768" s="44"/>
      <c r="AN768" s="44"/>
      <c r="AO768" s="44"/>
      <c r="AP768" s="44"/>
      <c r="AQ768" s="44"/>
      <c r="AR768" s="44"/>
      <c r="AS768" s="44"/>
      <c r="AT768" s="44"/>
      <c r="AU768" s="44"/>
      <c r="AV768" s="44"/>
      <c r="AW768" s="44"/>
      <c r="AX768" s="44"/>
    </row>
    <row r="769" spans="1:50" x14ac:dyDescent="0.25">
      <c r="A769" s="44"/>
      <c r="B769" s="44"/>
      <c r="C769" s="44"/>
      <c r="D769" s="44"/>
      <c r="E769" s="44"/>
      <c r="F769" s="44"/>
      <c r="G769" s="44"/>
      <c r="H769" s="44"/>
      <c r="I769" s="44"/>
      <c r="J769" s="44"/>
      <c r="K769" s="44"/>
      <c r="L769" s="44"/>
      <c r="M769" s="44"/>
      <c r="N769" s="44"/>
      <c r="O769" s="44"/>
      <c r="P769" s="44"/>
      <c r="Q769" s="44"/>
      <c r="R769" s="44"/>
      <c r="S769" s="44"/>
      <c r="T769" s="44"/>
      <c r="U769" s="44"/>
      <c r="V769" s="44"/>
      <c r="W769" s="44"/>
      <c r="X769" s="44"/>
      <c r="Y769" s="44"/>
      <c r="Z769" s="44"/>
      <c r="AA769" s="44"/>
      <c r="AB769" s="44"/>
      <c r="AC769" s="44"/>
      <c r="AD769" s="44"/>
      <c r="AE769" s="44"/>
      <c r="AF769" s="44"/>
      <c r="AG769" s="44"/>
      <c r="AH769" s="44"/>
      <c r="AI769" s="44"/>
      <c r="AJ769" s="44"/>
      <c r="AK769" s="44"/>
      <c r="AL769" s="44"/>
      <c r="AM769" s="44"/>
      <c r="AN769" s="44"/>
      <c r="AO769" s="44"/>
      <c r="AP769" s="44"/>
      <c r="AQ769" s="44"/>
      <c r="AR769" s="44"/>
      <c r="AS769" s="44"/>
      <c r="AT769" s="44"/>
      <c r="AU769" s="44"/>
      <c r="AV769" s="44"/>
      <c r="AW769" s="44"/>
      <c r="AX769" s="44"/>
    </row>
    <row r="770" spans="1:50" x14ac:dyDescent="0.25">
      <c r="A770" s="44"/>
      <c r="B770" s="44"/>
      <c r="C770" s="44"/>
      <c r="D770" s="44"/>
      <c r="E770" s="44"/>
      <c r="F770" s="44"/>
      <c r="G770" s="44"/>
      <c r="H770" s="44"/>
      <c r="I770" s="44"/>
      <c r="J770" s="44"/>
      <c r="K770" s="44"/>
      <c r="L770" s="44"/>
      <c r="M770" s="44"/>
      <c r="N770" s="44"/>
      <c r="O770" s="44"/>
      <c r="P770" s="44"/>
      <c r="Q770" s="44"/>
      <c r="R770" s="44"/>
      <c r="S770" s="44"/>
      <c r="T770" s="44"/>
      <c r="U770" s="44"/>
      <c r="V770" s="44"/>
      <c r="W770" s="44"/>
      <c r="X770" s="44"/>
      <c r="Y770" s="44"/>
      <c r="Z770" s="44"/>
      <c r="AA770" s="44"/>
      <c r="AB770" s="44"/>
      <c r="AC770" s="44"/>
      <c r="AD770" s="44"/>
      <c r="AE770" s="44"/>
      <c r="AF770" s="44"/>
      <c r="AG770" s="44"/>
      <c r="AH770" s="44"/>
      <c r="AI770" s="44"/>
      <c r="AJ770" s="44"/>
      <c r="AK770" s="44"/>
      <c r="AL770" s="44"/>
      <c r="AM770" s="44"/>
      <c r="AN770" s="44"/>
      <c r="AO770" s="44"/>
      <c r="AP770" s="44"/>
      <c r="AQ770" s="44"/>
      <c r="AR770" s="44"/>
      <c r="AS770" s="44"/>
      <c r="AT770" s="44"/>
      <c r="AU770" s="44"/>
      <c r="AV770" s="44"/>
      <c r="AW770" s="44"/>
      <c r="AX770" s="44"/>
    </row>
    <row r="771" spans="1:50" x14ac:dyDescent="0.25">
      <c r="A771" s="44"/>
      <c r="B771" s="44"/>
      <c r="C771" s="44"/>
      <c r="D771" s="44"/>
      <c r="E771" s="44"/>
      <c r="F771" s="44"/>
      <c r="G771" s="44"/>
      <c r="H771" s="44"/>
      <c r="I771" s="44"/>
      <c r="J771" s="44"/>
      <c r="K771" s="44"/>
      <c r="L771" s="44"/>
      <c r="M771" s="44"/>
      <c r="N771" s="44"/>
      <c r="O771" s="44"/>
      <c r="P771" s="44"/>
      <c r="Q771" s="44"/>
      <c r="R771" s="44"/>
      <c r="S771" s="44"/>
      <c r="T771" s="44"/>
      <c r="U771" s="44"/>
      <c r="V771" s="44"/>
      <c r="W771" s="44"/>
      <c r="X771" s="44"/>
      <c r="Y771" s="44"/>
      <c r="Z771" s="44"/>
      <c r="AA771" s="44"/>
      <c r="AB771" s="44"/>
      <c r="AC771" s="44"/>
      <c r="AD771" s="44"/>
      <c r="AE771" s="44"/>
      <c r="AF771" s="44"/>
      <c r="AG771" s="44"/>
      <c r="AH771" s="44"/>
      <c r="AI771" s="44"/>
      <c r="AJ771" s="44"/>
      <c r="AK771" s="44"/>
      <c r="AL771" s="44"/>
      <c r="AM771" s="44"/>
      <c r="AN771" s="44"/>
      <c r="AO771" s="44"/>
      <c r="AP771" s="44"/>
      <c r="AQ771" s="44"/>
      <c r="AR771" s="44"/>
      <c r="AS771" s="44"/>
      <c r="AT771" s="44"/>
      <c r="AU771" s="44"/>
      <c r="AV771" s="44"/>
      <c r="AW771" s="44"/>
      <c r="AX771" s="44"/>
    </row>
    <row r="772" spans="1:50" x14ac:dyDescent="0.25">
      <c r="A772" s="44"/>
      <c r="B772" s="44"/>
      <c r="C772" s="44"/>
      <c r="D772" s="44"/>
      <c r="E772" s="44"/>
      <c r="F772" s="44"/>
      <c r="G772" s="44"/>
      <c r="H772" s="44"/>
      <c r="I772" s="44"/>
      <c r="J772" s="44"/>
      <c r="K772" s="44"/>
      <c r="L772" s="44"/>
      <c r="M772" s="44"/>
      <c r="N772" s="44"/>
      <c r="O772" s="44"/>
      <c r="P772" s="44"/>
      <c r="Q772" s="44"/>
      <c r="R772" s="44"/>
      <c r="S772" s="44"/>
      <c r="T772" s="44"/>
      <c r="U772" s="44"/>
      <c r="V772" s="44"/>
      <c r="W772" s="44"/>
      <c r="X772" s="44"/>
      <c r="Y772" s="44"/>
      <c r="Z772" s="44"/>
      <c r="AA772" s="44"/>
      <c r="AB772" s="44"/>
      <c r="AC772" s="44"/>
      <c r="AD772" s="44"/>
      <c r="AE772" s="44"/>
      <c r="AF772" s="44"/>
      <c r="AG772" s="44"/>
      <c r="AH772" s="44"/>
      <c r="AI772" s="44"/>
      <c r="AJ772" s="44"/>
      <c r="AK772" s="44"/>
      <c r="AL772" s="44"/>
      <c r="AM772" s="44"/>
      <c r="AN772" s="44"/>
      <c r="AO772" s="44"/>
      <c r="AP772" s="44"/>
      <c r="AQ772" s="44"/>
      <c r="AR772" s="44"/>
      <c r="AS772" s="44"/>
      <c r="AT772" s="44"/>
      <c r="AU772" s="44"/>
      <c r="AV772" s="44"/>
      <c r="AW772" s="44"/>
      <c r="AX772" s="44"/>
    </row>
    <row r="773" spans="1:50" x14ac:dyDescent="0.25">
      <c r="A773" s="44"/>
      <c r="B773" s="44"/>
      <c r="C773" s="44"/>
      <c r="D773" s="44"/>
      <c r="E773" s="44"/>
      <c r="F773" s="44"/>
      <c r="G773" s="44"/>
      <c r="H773" s="44"/>
      <c r="I773" s="44"/>
      <c r="J773" s="44"/>
      <c r="K773" s="44"/>
      <c r="L773" s="44"/>
      <c r="M773" s="44"/>
      <c r="N773" s="44"/>
      <c r="O773" s="44"/>
      <c r="P773" s="44"/>
      <c r="Q773" s="44"/>
      <c r="R773" s="44"/>
      <c r="S773" s="44"/>
      <c r="T773" s="44"/>
      <c r="U773" s="44"/>
      <c r="V773" s="44"/>
      <c r="W773" s="44"/>
      <c r="X773" s="44"/>
      <c r="Y773" s="44"/>
      <c r="Z773" s="44"/>
      <c r="AA773" s="44"/>
      <c r="AB773" s="44"/>
      <c r="AC773" s="44"/>
      <c r="AD773" s="44"/>
      <c r="AE773" s="44"/>
      <c r="AF773" s="44"/>
      <c r="AG773" s="44"/>
      <c r="AH773" s="44"/>
      <c r="AI773" s="44"/>
      <c r="AJ773" s="44"/>
      <c r="AK773" s="44"/>
      <c r="AL773" s="44"/>
      <c r="AM773" s="44"/>
      <c r="AN773" s="44"/>
      <c r="AO773" s="44"/>
      <c r="AP773" s="44"/>
      <c r="AQ773" s="44"/>
      <c r="AR773" s="44"/>
      <c r="AS773" s="44"/>
      <c r="AT773" s="44"/>
      <c r="AU773" s="44"/>
      <c r="AV773" s="44"/>
      <c r="AW773" s="44"/>
      <c r="AX773" s="44"/>
    </row>
    <row r="774" spans="1:50" x14ac:dyDescent="0.25">
      <c r="A774" s="44"/>
      <c r="B774" s="44"/>
      <c r="C774" s="44"/>
      <c r="D774" s="44"/>
      <c r="E774" s="44"/>
      <c r="F774" s="44"/>
      <c r="G774" s="44"/>
      <c r="H774" s="44"/>
      <c r="I774" s="44"/>
      <c r="J774" s="44"/>
      <c r="K774" s="44"/>
      <c r="L774" s="44"/>
      <c r="M774" s="44"/>
      <c r="N774" s="44"/>
      <c r="O774" s="44"/>
      <c r="P774" s="44"/>
      <c r="Q774" s="44"/>
      <c r="R774" s="44"/>
      <c r="S774" s="44"/>
      <c r="T774" s="44"/>
      <c r="U774" s="44"/>
      <c r="V774" s="44"/>
      <c r="W774" s="44"/>
      <c r="X774" s="44"/>
      <c r="Y774" s="44"/>
      <c r="Z774" s="44"/>
      <c r="AA774" s="44"/>
      <c r="AB774" s="44"/>
      <c r="AC774" s="44"/>
      <c r="AD774" s="44"/>
      <c r="AE774" s="44"/>
      <c r="AF774" s="44"/>
      <c r="AG774" s="44"/>
      <c r="AH774" s="44"/>
      <c r="AI774" s="44"/>
      <c r="AJ774" s="44"/>
      <c r="AK774" s="44"/>
      <c r="AL774" s="44"/>
      <c r="AM774" s="44"/>
      <c r="AN774" s="44"/>
      <c r="AO774" s="44"/>
      <c r="AP774" s="44"/>
      <c r="AQ774" s="44"/>
      <c r="AR774" s="44"/>
      <c r="AS774" s="44"/>
      <c r="AT774" s="44"/>
      <c r="AU774" s="44"/>
      <c r="AV774" s="44"/>
      <c r="AW774" s="44"/>
      <c r="AX774" s="44"/>
    </row>
    <row r="775" spans="1:50" x14ac:dyDescent="0.25">
      <c r="A775" s="44"/>
      <c r="B775" s="44"/>
      <c r="C775" s="44"/>
      <c r="D775" s="44"/>
      <c r="E775" s="44"/>
      <c r="F775" s="44"/>
      <c r="G775" s="44"/>
      <c r="H775" s="44"/>
      <c r="I775" s="44"/>
      <c r="J775" s="44"/>
      <c r="K775" s="44"/>
      <c r="L775" s="44"/>
      <c r="M775" s="44"/>
      <c r="N775" s="44"/>
      <c r="O775" s="44"/>
      <c r="P775" s="44"/>
      <c r="Q775" s="44"/>
      <c r="R775" s="44"/>
      <c r="S775" s="44"/>
      <c r="T775" s="44"/>
      <c r="U775" s="44"/>
      <c r="V775" s="44"/>
      <c r="W775" s="44"/>
      <c r="X775" s="44"/>
      <c r="Y775" s="44"/>
      <c r="Z775" s="44"/>
      <c r="AA775" s="44"/>
      <c r="AB775" s="44"/>
      <c r="AC775" s="44"/>
      <c r="AD775" s="44"/>
      <c r="AE775" s="44"/>
      <c r="AF775" s="44"/>
      <c r="AG775" s="44"/>
      <c r="AH775" s="44"/>
      <c r="AI775" s="44"/>
      <c r="AJ775" s="44"/>
      <c r="AK775" s="44"/>
      <c r="AL775" s="44"/>
      <c r="AM775" s="44"/>
      <c r="AN775" s="44"/>
      <c r="AO775" s="44"/>
      <c r="AP775" s="44"/>
      <c r="AQ775" s="44"/>
      <c r="AR775" s="44"/>
      <c r="AS775" s="44"/>
      <c r="AT775" s="44"/>
      <c r="AU775" s="44"/>
      <c r="AV775" s="44"/>
      <c r="AW775" s="44"/>
      <c r="AX775" s="44"/>
    </row>
    <row r="776" spans="1:50" x14ac:dyDescent="0.25">
      <c r="A776" s="44"/>
      <c r="B776" s="44"/>
      <c r="C776" s="44"/>
      <c r="D776" s="44"/>
      <c r="E776" s="44"/>
      <c r="F776" s="44"/>
      <c r="G776" s="44"/>
      <c r="H776" s="44"/>
      <c r="I776" s="44"/>
      <c r="J776" s="44"/>
      <c r="K776" s="44"/>
      <c r="L776" s="44"/>
      <c r="M776" s="44"/>
      <c r="N776" s="44"/>
      <c r="O776" s="44"/>
      <c r="P776" s="44"/>
      <c r="Q776" s="44"/>
      <c r="R776" s="44"/>
      <c r="S776" s="44"/>
      <c r="T776" s="44"/>
      <c r="U776" s="44"/>
      <c r="V776" s="44"/>
      <c r="W776" s="44"/>
      <c r="X776" s="44"/>
      <c r="Y776" s="44"/>
      <c r="Z776" s="44"/>
      <c r="AA776" s="44"/>
      <c r="AB776" s="44"/>
      <c r="AC776" s="44"/>
      <c r="AD776" s="44"/>
      <c r="AE776" s="44"/>
      <c r="AF776" s="44"/>
      <c r="AG776" s="44"/>
      <c r="AH776" s="44"/>
      <c r="AI776" s="44"/>
      <c r="AJ776" s="44"/>
      <c r="AK776" s="44"/>
      <c r="AL776" s="44"/>
      <c r="AM776" s="44"/>
      <c r="AN776" s="44"/>
      <c r="AO776" s="44"/>
      <c r="AP776" s="44"/>
      <c r="AQ776" s="44"/>
      <c r="AR776" s="44"/>
      <c r="AS776" s="44"/>
      <c r="AT776" s="44"/>
      <c r="AU776" s="44"/>
      <c r="AV776" s="44"/>
      <c r="AW776" s="44"/>
      <c r="AX776" s="44"/>
    </row>
    <row r="777" spans="1:50" x14ac:dyDescent="0.25">
      <c r="A777" s="44"/>
      <c r="B777" s="44"/>
      <c r="C777" s="44"/>
      <c r="D777" s="44"/>
      <c r="E777" s="44"/>
      <c r="F777" s="44"/>
      <c r="G777" s="44"/>
      <c r="H777" s="44"/>
      <c r="I777" s="44"/>
      <c r="J777" s="44"/>
      <c r="K777" s="44"/>
      <c r="L777" s="44"/>
      <c r="M777" s="44"/>
      <c r="N777" s="44"/>
      <c r="O777" s="44"/>
      <c r="P777" s="44"/>
      <c r="Q777" s="44"/>
      <c r="R777" s="44"/>
      <c r="S777" s="44"/>
      <c r="T777" s="44"/>
      <c r="U777" s="44"/>
      <c r="V777" s="44"/>
      <c r="W777" s="44"/>
      <c r="X777" s="44"/>
      <c r="Y777" s="44"/>
      <c r="Z777" s="44"/>
      <c r="AA777" s="44"/>
      <c r="AB777" s="44"/>
      <c r="AC777" s="44"/>
      <c r="AD777" s="44"/>
      <c r="AE777" s="44"/>
      <c r="AF777" s="44"/>
      <c r="AG777" s="44"/>
      <c r="AH777" s="44"/>
      <c r="AI777" s="44"/>
      <c r="AJ777" s="44"/>
      <c r="AK777" s="44"/>
      <c r="AL777" s="44"/>
      <c r="AM777" s="44"/>
      <c r="AN777" s="44"/>
      <c r="AO777" s="44"/>
      <c r="AP777" s="44"/>
      <c r="AQ777" s="44"/>
      <c r="AR777" s="44"/>
      <c r="AS777" s="44"/>
      <c r="AT777" s="44"/>
      <c r="AU777" s="44"/>
      <c r="AV777" s="44"/>
      <c r="AW777" s="44"/>
      <c r="AX777" s="44"/>
    </row>
    <row r="778" spans="1:50" x14ac:dyDescent="0.25">
      <c r="A778" s="44"/>
      <c r="B778" s="44"/>
      <c r="C778" s="44"/>
      <c r="D778" s="44"/>
      <c r="E778" s="44"/>
      <c r="F778" s="44"/>
      <c r="G778" s="44"/>
      <c r="H778" s="44"/>
      <c r="I778" s="44"/>
      <c r="J778" s="44"/>
      <c r="K778" s="44"/>
      <c r="L778" s="44"/>
      <c r="M778" s="44"/>
      <c r="N778" s="44"/>
      <c r="O778" s="44"/>
      <c r="P778" s="44"/>
      <c r="Q778" s="44"/>
      <c r="R778" s="44"/>
      <c r="S778" s="44"/>
      <c r="T778" s="44"/>
      <c r="U778" s="44"/>
      <c r="V778" s="44"/>
      <c r="W778" s="44"/>
      <c r="X778" s="44"/>
      <c r="Y778" s="44"/>
      <c r="Z778" s="44"/>
      <c r="AA778" s="44"/>
      <c r="AB778" s="44"/>
      <c r="AC778" s="44"/>
      <c r="AD778" s="44"/>
      <c r="AE778" s="44"/>
      <c r="AF778" s="44"/>
      <c r="AG778" s="44"/>
      <c r="AH778" s="44"/>
      <c r="AI778" s="44"/>
      <c r="AJ778" s="44"/>
      <c r="AK778" s="44"/>
      <c r="AL778" s="44"/>
      <c r="AM778" s="44"/>
      <c r="AN778" s="44"/>
      <c r="AO778" s="44"/>
      <c r="AP778" s="44"/>
      <c r="AQ778" s="44"/>
      <c r="AR778" s="44"/>
      <c r="AS778" s="44"/>
      <c r="AT778" s="44"/>
      <c r="AU778" s="44"/>
      <c r="AV778" s="44"/>
      <c r="AW778" s="44"/>
      <c r="AX778" s="44"/>
    </row>
    <row r="779" spans="1:50" x14ac:dyDescent="0.25">
      <c r="A779" s="44"/>
      <c r="B779" s="44"/>
      <c r="C779" s="44"/>
      <c r="D779" s="44"/>
      <c r="E779" s="44"/>
      <c r="F779" s="44"/>
      <c r="G779" s="44"/>
      <c r="H779" s="44"/>
      <c r="I779" s="44"/>
      <c r="J779" s="44"/>
      <c r="K779" s="44"/>
      <c r="L779" s="44"/>
      <c r="M779" s="44"/>
      <c r="N779" s="44"/>
      <c r="O779" s="44"/>
      <c r="P779" s="44"/>
      <c r="Q779" s="44"/>
      <c r="R779" s="44"/>
      <c r="S779" s="44"/>
      <c r="T779" s="44"/>
      <c r="U779" s="44"/>
      <c r="V779" s="44"/>
      <c r="W779" s="44"/>
      <c r="X779" s="44"/>
      <c r="Y779" s="44"/>
      <c r="Z779" s="44"/>
      <c r="AA779" s="44"/>
      <c r="AB779" s="44"/>
      <c r="AC779" s="44"/>
      <c r="AD779" s="44"/>
      <c r="AE779" s="44"/>
      <c r="AF779" s="44"/>
      <c r="AG779" s="44"/>
      <c r="AH779" s="44"/>
      <c r="AI779" s="44"/>
      <c r="AJ779" s="44"/>
      <c r="AK779" s="44"/>
      <c r="AL779" s="44"/>
      <c r="AM779" s="44"/>
      <c r="AN779" s="44"/>
      <c r="AO779" s="44"/>
      <c r="AP779" s="44"/>
      <c r="AQ779" s="44"/>
      <c r="AR779" s="44"/>
      <c r="AS779" s="44"/>
      <c r="AT779" s="44"/>
      <c r="AU779" s="44"/>
      <c r="AV779" s="44"/>
      <c r="AW779" s="44"/>
      <c r="AX779" s="44"/>
    </row>
    <row r="780" spans="1:50" x14ac:dyDescent="0.25">
      <c r="A780" s="44"/>
      <c r="B780" s="44"/>
      <c r="C780" s="44"/>
      <c r="D780" s="44"/>
      <c r="E780" s="44"/>
      <c r="F780" s="44"/>
      <c r="G780" s="44"/>
      <c r="H780" s="44"/>
      <c r="I780" s="44"/>
      <c r="J780" s="44"/>
      <c r="K780" s="44"/>
      <c r="L780" s="44"/>
      <c r="M780" s="44"/>
      <c r="N780" s="44"/>
      <c r="O780" s="44"/>
      <c r="P780" s="44"/>
      <c r="Q780" s="44"/>
      <c r="R780" s="44"/>
      <c r="S780" s="44"/>
      <c r="T780" s="44"/>
      <c r="U780" s="44"/>
      <c r="V780" s="44"/>
      <c r="W780" s="44"/>
      <c r="X780" s="44"/>
      <c r="Y780" s="44"/>
      <c r="Z780" s="44"/>
      <c r="AA780" s="44"/>
      <c r="AB780" s="44"/>
      <c r="AC780" s="44"/>
      <c r="AD780" s="44"/>
      <c r="AE780" s="44"/>
      <c r="AF780" s="44"/>
      <c r="AG780" s="44"/>
      <c r="AH780" s="44"/>
      <c r="AI780" s="44"/>
      <c r="AJ780" s="44"/>
      <c r="AK780" s="44"/>
      <c r="AL780" s="44"/>
      <c r="AM780" s="44"/>
      <c r="AN780" s="44"/>
      <c r="AO780" s="44"/>
      <c r="AP780" s="44"/>
      <c r="AQ780" s="44"/>
      <c r="AR780" s="44"/>
      <c r="AS780" s="44"/>
      <c r="AT780" s="44"/>
      <c r="AU780" s="44"/>
      <c r="AV780" s="44"/>
      <c r="AW780" s="44"/>
      <c r="AX780" s="44"/>
    </row>
    <row r="781" spans="1:50" x14ac:dyDescent="0.25">
      <c r="A781" s="44"/>
      <c r="B781" s="44"/>
      <c r="C781" s="44"/>
      <c r="D781" s="44"/>
      <c r="E781" s="44"/>
      <c r="F781" s="44"/>
      <c r="G781" s="44"/>
      <c r="H781" s="44"/>
      <c r="I781" s="44"/>
      <c r="J781" s="44"/>
      <c r="K781" s="44"/>
      <c r="L781" s="44"/>
      <c r="M781" s="44"/>
      <c r="N781" s="44"/>
      <c r="O781" s="44"/>
      <c r="P781" s="44"/>
      <c r="Q781" s="44"/>
      <c r="R781" s="44"/>
      <c r="S781" s="44"/>
      <c r="T781" s="44"/>
      <c r="U781" s="44"/>
      <c r="V781" s="44"/>
      <c r="W781" s="44"/>
      <c r="X781" s="44"/>
      <c r="Y781" s="44"/>
      <c r="Z781" s="44"/>
      <c r="AA781" s="44"/>
      <c r="AB781" s="44"/>
      <c r="AC781" s="44"/>
      <c r="AD781" s="44"/>
      <c r="AE781" s="44"/>
      <c r="AF781" s="44"/>
      <c r="AG781" s="44"/>
      <c r="AH781" s="44"/>
      <c r="AI781" s="44"/>
      <c r="AJ781" s="44"/>
      <c r="AK781" s="44"/>
      <c r="AL781" s="44"/>
      <c r="AM781" s="44"/>
      <c r="AN781" s="44"/>
      <c r="AO781" s="44"/>
      <c r="AP781" s="44"/>
      <c r="AQ781" s="44"/>
      <c r="AR781" s="44"/>
      <c r="AS781" s="44"/>
      <c r="AT781" s="44"/>
      <c r="AU781" s="44"/>
      <c r="AV781" s="44"/>
      <c r="AW781" s="44"/>
      <c r="AX781" s="44"/>
    </row>
    <row r="782" spans="1:50" x14ac:dyDescent="0.25">
      <c r="A782" s="44"/>
      <c r="B782" s="44"/>
      <c r="C782" s="44"/>
      <c r="D782" s="44"/>
      <c r="E782" s="44"/>
      <c r="F782" s="44"/>
      <c r="G782" s="44"/>
      <c r="H782" s="44"/>
      <c r="I782" s="44"/>
      <c r="J782" s="44"/>
      <c r="K782" s="44"/>
      <c r="L782" s="44"/>
      <c r="M782" s="44"/>
      <c r="N782" s="44"/>
      <c r="O782" s="44"/>
      <c r="P782" s="44"/>
      <c r="Q782" s="44"/>
      <c r="R782" s="44"/>
      <c r="S782" s="44"/>
      <c r="T782" s="44"/>
      <c r="U782" s="44"/>
      <c r="V782" s="44"/>
      <c r="W782" s="44"/>
      <c r="X782" s="44"/>
      <c r="Y782" s="44"/>
      <c r="Z782" s="44"/>
      <c r="AA782" s="44"/>
      <c r="AB782" s="44"/>
      <c r="AC782" s="44"/>
      <c r="AD782" s="44"/>
      <c r="AE782" s="44"/>
      <c r="AF782" s="44"/>
      <c r="AG782" s="44"/>
      <c r="AH782" s="44"/>
      <c r="AI782" s="44"/>
      <c r="AJ782" s="44"/>
      <c r="AK782" s="44"/>
      <c r="AL782" s="44"/>
      <c r="AM782" s="44"/>
      <c r="AN782" s="44"/>
      <c r="AO782" s="44"/>
      <c r="AP782" s="44"/>
      <c r="AQ782" s="44"/>
      <c r="AR782" s="44"/>
      <c r="AS782" s="44"/>
      <c r="AT782" s="44"/>
      <c r="AU782" s="44"/>
      <c r="AV782" s="44"/>
      <c r="AW782" s="44"/>
      <c r="AX782" s="44"/>
    </row>
    <row r="783" spans="1:50" x14ac:dyDescent="0.25">
      <c r="A783" s="44"/>
      <c r="B783" s="44"/>
      <c r="C783" s="44"/>
      <c r="D783" s="44"/>
      <c r="E783" s="44"/>
      <c r="F783" s="44"/>
      <c r="G783" s="44"/>
      <c r="H783" s="44"/>
      <c r="I783" s="44"/>
      <c r="J783" s="44"/>
      <c r="K783" s="44"/>
      <c r="L783" s="44"/>
      <c r="M783" s="44"/>
      <c r="N783" s="44"/>
      <c r="O783" s="44"/>
      <c r="P783" s="44"/>
      <c r="Q783" s="44"/>
      <c r="R783" s="44"/>
      <c r="S783" s="44"/>
      <c r="T783" s="44"/>
      <c r="U783" s="44"/>
      <c r="V783" s="44"/>
      <c r="W783" s="44"/>
      <c r="X783" s="44"/>
      <c r="Y783" s="44"/>
      <c r="Z783" s="44"/>
      <c r="AA783" s="44"/>
      <c r="AB783" s="44"/>
      <c r="AC783" s="44"/>
      <c r="AD783" s="44"/>
      <c r="AE783" s="44"/>
      <c r="AF783" s="44"/>
      <c r="AG783" s="44"/>
      <c r="AH783" s="44"/>
      <c r="AI783" s="44"/>
      <c r="AJ783" s="44"/>
      <c r="AK783" s="44"/>
      <c r="AL783" s="44"/>
      <c r="AM783" s="44"/>
      <c r="AN783" s="44"/>
      <c r="AO783" s="44"/>
      <c r="AP783" s="44"/>
      <c r="AQ783" s="44"/>
      <c r="AR783" s="44"/>
      <c r="AS783" s="44"/>
      <c r="AT783" s="44"/>
      <c r="AU783" s="44"/>
      <c r="AV783" s="44"/>
      <c r="AW783" s="44"/>
      <c r="AX783" s="44"/>
    </row>
    <row r="784" spans="1:50" x14ac:dyDescent="0.25">
      <c r="A784" s="44"/>
      <c r="B784" s="44"/>
      <c r="C784" s="44"/>
      <c r="D784" s="44"/>
      <c r="E784" s="44"/>
      <c r="F784" s="44"/>
      <c r="G784" s="44"/>
      <c r="H784" s="44"/>
      <c r="I784" s="44"/>
      <c r="J784" s="44"/>
      <c r="K784" s="44"/>
      <c r="L784" s="44"/>
      <c r="M784" s="44"/>
      <c r="N784" s="44"/>
      <c r="O784" s="44"/>
      <c r="P784" s="44"/>
      <c r="Q784" s="44"/>
      <c r="R784" s="44"/>
      <c r="S784" s="44"/>
      <c r="T784" s="44"/>
      <c r="U784" s="44"/>
      <c r="V784" s="44"/>
      <c r="W784" s="44"/>
      <c r="X784" s="44"/>
      <c r="Y784" s="44"/>
      <c r="Z784" s="44"/>
      <c r="AA784" s="44"/>
      <c r="AB784" s="44"/>
      <c r="AC784" s="44"/>
      <c r="AD784" s="44"/>
      <c r="AE784" s="44"/>
      <c r="AF784" s="44"/>
      <c r="AG784" s="44"/>
      <c r="AH784" s="44"/>
      <c r="AI784" s="44"/>
      <c r="AJ784" s="44"/>
      <c r="AK784" s="44"/>
      <c r="AL784" s="44"/>
      <c r="AM784" s="44"/>
      <c r="AN784" s="44"/>
      <c r="AO784" s="44"/>
      <c r="AP784" s="44"/>
      <c r="AQ784" s="44"/>
      <c r="AR784" s="44"/>
      <c r="AS784" s="44"/>
      <c r="AT784" s="44"/>
      <c r="AU784" s="44"/>
      <c r="AV784" s="44"/>
      <c r="AW784" s="44"/>
      <c r="AX784" s="44"/>
    </row>
    <row r="785" spans="1:50" x14ac:dyDescent="0.25">
      <c r="A785" s="44"/>
      <c r="B785" s="44"/>
      <c r="C785" s="44"/>
      <c r="D785" s="44"/>
      <c r="E785" s="44"/>
      <c r="F785" s="44"/>
      <c r="G785" s="44"/>
      <c r="H785" s="44"/>
      <c r="I785" s="44"/>
      <c r="J785" s="44"/>
      <c r="K785" s="44"/>
      <c r="L785" s="44"/>
      <c r="M785" s="44"/>
      <c r="N785" s="44"/>
      <c r="O785" s="44"/>
      <c r="P785" s="44"/>
      <c r="Q785" s="44"/>
      <c r="R785" s="44"/>
      <c r="S785" s="44"/>
      <c r="T785" s="44"/>
      <c r="U785" s="44"/>
      <c r="V785" s="44"/>
      <c r="W785" s="44"/>
      <c r="X785" s="44"/>
      <c r="Y785" s="44"/>
      <c r="Z785" s="44"/>
      <c r="AA785" s="44"/>
      <c r="AB785" s="44"/>
      <c r="AC785" s="44"/>
      <c r="AD785" s="44"/>
      <c r="AE785" s="44"/>
      <c r="AF785" s="44"/>
      <c r="AG785" s="44"/>
      <c r="AH785" s="44"/>
      <c r="AI785" s="44"/>
      <c r="AJ785" s="44"/>
      <c r="AK785" s="44"/>
      <c r="AL785" s="44"/>
      <c r="AM785" s="44"/>
      <c r="AN785" s="44"/>
      <c r="AO785" s="44"/>
      <c r="AP785" s="44"/>
      <c r="AQ785" s="44"/>
      <c r="AR785" s="44"/>
      <c r="AS785" s="44"/>
      <c r="AT785" s="44"/>
      <c r="AU785" s="44"/>
      <c r="AV785" s="44"/>
      <c r="AW785" s="44"/>
      <c r="AX785" s="44"/>
    </row>
    <row r="786" spans="1:50" x14ac:dyDescent="0.25">
      <c r="A786" s="44"/>
      <c r="B786" s="44"/>
      <c r="C786" s="44"/>
      <c r="D786" s="44"/>
      <c r="E786" s="44"/>
      <c r="F786" s="44"/>
      <c r="G786" s="44"/>
      <c r="H786" s="44"/>
      <c r="I786" s="44"/>
      <c r="J786" s="44"/>
      <c r="K786" s="44"/>
      <c r="L786" s="44"/>
      <c r="M786" s="44"/>
      <c r="N786" s="44"/>
      <c r="O786" s="44"/>
      <c r="P786" s="44"/>
      <c r="Q786" s="44"/>
      <c r="R786" s="44"/>
      <c r="S786" s="44"/>
      <c r="T786" s="44"/>
      <c r="U786" s="44"/>
      <c r="V786" s="44"/>
      <c r="W786" s="44"/>
      <c r="X786" s="44"/>
      <c r="Y786" s="44"/>
      <c r="Z786" s="44"/>
      <c r="AA786" s="44"/>
      <c r="AB786" s="44"/>
      <c r="AC786" s="44"/>
      <c r="AD786" s="44"/>
      <c r="AE786" s="44"/>
      <c r="AF786" s="44"/>
      <c r="AG786" s="44"/>
      <c r="AH786" s="44"/>
      <c r="AI786" s="44"/>
      <c r="AJ786" s="44"/>
      <c r="AK786" s="44"/>
      <c r="AL786" s="44"/>
      <c r="AM786" s="44"/>
      <c r="AN786" s="44"/>
      <c r="AO786" s="44"/>
      <c r="AP786" s="44"/>
      <c r="AQ786" s="44"/>
      <c r="AR786" s="44"/>
      <c r="AS786" s="44"/>
      <c r="AT786" s="44"/>
      <c r="AU786" s="44"/>
      <c r="AV786" s="44"/>
      <c r="AW786" s="44"/>
      <c r="AX786" s="44"/>
    </row>
    <row r="787" spans="1:50" x14ac:dyDescent="0.25">
      <c r="A787" s="44"/>
      <c r="B787" s="44"/>
      <c r="C787" s="44"/>
      <c r="D787" s="44"/>
      <c r="E787" s="44"/>
      <c r="F787" s="44"/>
      <c r="G787" s="44"/>
      <c r="H787" s="44"/>
      <c r="I787" s="44"/>
      <c r="J787" s="44"/>
      <c r="K787" s="44"/>
      <c r="L787" s="44"/>
      <c r="M787" s="44"/>
      <c r="N787" s="44"/>
      <c r="O787" s="44"/>
      <c r="P787" s="44"/>
      <c r="Q787" s="44"/>
      <c r="R787" s="44"/>
      <c r="S787" s="44"/>
      <c r="T787" s="44"/>
      <c r="U787" s="44"/>
      <c r="V787" s="44"/>
      <c r="W787" s="44"/>
      <c r="X787" s="44"/>
      <c r="Y787" s="44"/>
      <c r="Z787" s="44"/>
      <c r="AA787" s="44"/>
      <c r="AB787" s="44"/>
      <c r="AC787" s="44"/>
      <c r="AD787" s="44"/>
      <c r="AE787" s="44"/>
      <c r="AF787" s="44"/>
      <c r="AG787" s="44"/>
      <c r="AH787" s="44"/>
      <c r="AI787" s="44"/>
      <c r="AJ787" s="44"/>
      <c r="AK787" s="44"/>
      <c r="AL787" s="44"/>
      <c r="AM787" s="44"/>
      <c r="AN787" s="44"/>
      <c r="AO787" s="44"/>
      <c r="AP787" s="44"/>
      <c r="AQ787" s="44"/>
      <c r="AR787" s="44"/>
      <c r="AS787" s="44"/>
      <c r="AT787" s="44"/>
      <c r="AU787" s="44"/>
      <c r="AV787" s="44"/>
      <c r="AW787" s="44"/>
      <c r="AX787" s="44"/>
    </row>
    <row r="788" spans="1:50" x14ac:dyDescent="0.25">
      <c r="A788" s="44"/>
      <c r="B788" s="44"/>
      <c r="C788" s="44"/>
      <c r="D788" s="44"/>
      <c r="E788" s="44"/>
      <c r="F788" s="44"/>
      <c r="G788" s="44"/>
      <c r="H788" s="44"/>
      <c r="I788" s="44"/>
      <c r="J788" s="44"/>
      <c r="K788" s="44"/>
      <c r="L788" s="44"/>
      <c r="M788" s="44"/>
      <c r="N788" s="44"/>
      <c r="O788" s="44"/>
      <c r="P788" s="44"/>
      <c r="Q788" s="44"/>
      <c r="R788" s="44"/>
      <c r="S788" s="44"/>
      <c r="T788" s="44"/>
      <c r="U788" s="44"/>
      <c r="V788" s="44"/>
      <c r="W788" s="44"/>
      <c r="X788" s="44"/>
      <c r="Y788" s="44"/>
      <c r="Z788" s="44"/>
      <c r="AA788" s="44"/>
      <c r="AB788" s="44"/>
      <c r="AC788" s="44"/>
      <c r="AD788" s="44"/>
      <c r="AE788" s="44"/>
      <c r="AF788" s="44"/>
      <c r="AG788" s="44"/>
      <c r="AH788" s="44"/>
      <c r="AI788" s="44"/>
      <c r="AJ788" s="44"/>
      <c r="AK788" s="44"/>
      <c r="AL788" s="44"/>
      <c r="AM788" s="44"/>
      <c r="AN788" s="44"/>
      <c r="AO788" s="44"/>
      <c r="AP788" s="44"/>
      <c r="AQ788" s="44"/>
      <c r="AR788" s="44"/>
      <c r="AS788" s="44"/>
      <c r="AT788" s="44"/>
      <c r="AU788" s="44"/>
      <c r="AV788" s="44"/>
      <c r="AW788" s="44"/>
      <c r="AX788" s="44"/>
    </row>
    <row r="789" spans="1:50" x14ac:dyDescent="0.25">
      <c r="A789" s="44"/>
      <c r="B789" s="44"/>
      <c r="C789" s="44"/>
      <c r="D789" s="44"/>
      <c r="E789" s="44"/>
      <c r="F789" s="44"/>
      <c r="G789" s="44"/>
      <c r="H789" s="44"/>
      <c r="I789" s="44"/>
      <c r="J789" s="44"/>
      <c r="K789" s="44"/>
      <c r="L789" s="44"/>
      <c r="M789" s="44"/>
      <c r="N789" s="44"/>
      <c r="O789" s="44"/>
      <c r="P789" s="44"/>
      <c r="Q789" s="44"/>
      <c r="R789" s="44"/>
      <c r="S789" s="44"/>
      <c r="T789" s="44"/>
      <c r="U789" s="44"/>
      <c r="V789" s="44"/>
      <c r="W789" s="44"/>
      <c r="X789" s="44"/>
      <c r="Y789" s="44"/>
      <c r="Z789" s="44"/>
      <c r="AA789" s="44"/>
      <c r="AB789" s="44"/>
      <c r="AC789" s="44"/>
      <c r="AD789" s="44"/>
      <c r="AE789" s="44"/>
      <c r="AF789" s="44"/>
      <c r="AG789" s="44"/>
      <c r="AH789" s="44"/>
      <c r="AI789" s="44"/>
      <c r="AJ789" s="44"/>
      <c r="AK789" s="44"/>
      <c r="AL789" s="44"/>
      <c r="AM789" s="44"/>
      <c r="AN789" s="44"/>
      <c r="AO789" s="44"/>
      <c r="AP789" s="44"/>
      <c r="AQ789" s="44"/>
      <c r="AR789" s="44"/>
      <c r="AS789" s="44"/>
      <c r="AT789" s="44"/>
      <c r="AU789" s="44"/>
      <c r="AV789" s="44"/>
      <c r="AW789" s="44"/>
      <c r="AX789" s="44"/>
    </row>
    <row r="790" spans="1:50" x14ac:dyDescent="0.25">
      <c r="A790" s="44"/>
      <c r="B790" s="44"/>
      <c r="C790" s="44"/>
      <c r="D790" s="44"/>
      <c r="E790" s="44"/>
      <c r="F790" s="44"/>
      <c r="G790" s="44"/>
      <c r="H790" s="44"/>
      <c r="I790" s="44"/>
      <c r="J790" s="44"/>
      <c r="K790" s="44"/>
      <c r="L790" s="44"/>
      <c r="M790" s="44"/>
      <c r="N790" s="44"/>
      <c r="O790" s="44"/>
      <c r="P790" s="44"/>
      <c r="Q790" s="44"/>
      <c r="R790" s="44"/>
      <c r="S790" s="44"/>
      <c r="T790" s="44"/>
      <c r="U790" s="44"/>
      <c r="V790" s="44"/>
      <c r="W790" s="44"/>
      <c r="X790" s="44"/>
      <c r="Y790" s="44"/>
      <c r="Z790" s="44"/>
      <c r="AA790" s="44"/>
      <c r="AB790" s="44"/>
      <c r="AC790" s="44"/>
      <c r="AD790" s="44"/>
      <c r="AE790" s="44"/>
      <c r="AF790" s="44"/>
      <c r="AG790" s="44"/>
      <c r="AH790" s="44"/>
      <c r="AI790" s="44"/>
      <c r="AJ790" s="44"/>
      <c r="AK790" s="44"/>
      <c r="AL790" s="44"/>
      <c r="AM790" s="44"/>
      <c r="AN790" s="44"/>
      <c r="AO790" s="44"/>
      <c r="AP790" s="44"/>
      <c r="AQ790" s="44"/>
      <c r="AR790" s="44"/>
      <c r="AS790" s="44"/>
      <c r="AT790" s="44"/>
      <c r="AU790" s="44"/>
      <c r="AV790" s="44"/>
      <c r="AW790" s="44"/>
      <c r="AX790" s="44"/>
    </row>
    <row r="791" spans="1:50" x14ac:dyDescent="0.25">
      <c r="A791" s="44"/>
      <c r="B791" s="44"/>
      <c r="C791" s="44"/>
      <c r="D791" s="44"/>
      <c r="E791" s="44"/>
      <c r="F791" s="44"/>
      <c r="G791" s="44"/>
      <c r="H791" s="44"/>
      <c r="I791" s="44"/>
      <c r="J791" s="44"/>
      <c r="K791" s="44"/>
      <c r="L791" s="44"/>
      <c r="M791" s="44"/>
      <c r="N791" s="44"/>
      <c r="O791" s="44"/>
      <c r="P791" s="44"/>
      <c r="Q791" s="44"/>
      <c r="R791" s="44"/>
      <c r="S791" s="44"/>
      <c r="T791" s="44"/>
      <c r="U791" s="44"/>
      <c r="V791" s="44"/>
      <c r="W791" s="44"/>
      <c r="X791" s="44"/>
      <c r="Y791" s="44"/>
      <c r="Z791" s="44"/>
      <c r="AA791" s="44"/>
      <c r="AB791" s="44"/>
      <c r="AC791" s="44"/>
      <c r="AD791" s="44"/>
      <c r="AE791" s="44"/>
      <c r="AF791" s="44"/>
      <c r="AG791" s="44"/>
      <c r="AH791" s="44"/>
      <c r="AI791" s="44"/>
      <c r="AJ791" s="44"/>
      <c r="AK791" s="44"/>
      <c r="AL791" s="44"/>
      <c r="AM791" s="44"/>
      <c r="AN791" s="44"/>
      <c r="AO791" s="44"/>
      <c r="AP791" s="44"/>
      <c r="AQ791" s="44"/>
      <c r="AR791" s="44"/>
      <c r="AS791" s="44"/>
      <c r="AT791" s="44"/>
      <c r="AU791" s="44"/>
      <c r="AV791" s="44"/>
      <c r="AW791" s="44"/>
      <c r="AX791" s="44"/>
    </row>
    <row r="792" spans="1:50" x14ac:dyDescent="0.25">
      <c r="A792" s="44"/>
      <c r="B792" s="44"/>
      <c r="C792" s="44"/>
      <c r="D792" s="44"/>
      <c r="E792" s="44"/>
      <c r="F792" s="44"/>
      <c r="G792" s="44"/>
      <c r="H792" s="44"/>
      <c r="I792" s="44"/>
      <c r="J792" s="44"/>
      <c r="K792" s="44"/>
      <c r="L792" s="44"/>
      <c r="M792" s="44"/>
      <c r="N792" s="44"/>
      <c r="O792" s="44"/>
      <c r="P792" s="44"/>
      <c r="Q792" s="44"/>
      <c r="R792" s="44"/>
      <c r="S792" s="44"/>
      <c r="T792" s="44"/>
      <c r="U792" s="44"/>
      <c r="V792" s="44"/>
      <c r="W792" s="44"/>
      <c r="X792" s="44"/>
      <c r="Y792" s="44"/>
      <c r="Z792" s="44"/>
      <c r="AA792" s="44"/>
      <c r="AB792" s="44"/>
      <c r="AC792" s="44"/>
      <c r="AD792" s="44"/>
      <c r="AE792" s="44"/>
      <c r="AF792" s="44"/>
      <c r="AG792" s="44"/>
      <c r="AH792" s="44"/>
      <c r="AI792" s="44"/>
      <c r="AJ792" s="44"/>
      <c r="AK792" s="44"/>
      <c r="AL792" s="44"/>
      <c r="AM792" s="44"/>
      <c r="AN792" s="44"/>
      <c r="AO792" s="44"/>
      <c r="AP792" s="44"/>
      <c r="AQ792" s="44"/>
      <c r="AR792" s="44"/>
      <c r="AS792" s="44"/>
      <c r="AT792" s="44"/>
      <c r="AU792" s="44"/>
      <c r="AV792" s="44"/>
      <c r="AW792" s="44"/>
      <c r="AX792" s="44"/>
    </row>
    <row r="793" spans="1:50" x14ac:dyDescent="0.25">
      <c r="A793" s="44"/>
      <c r="B793" s="44"/>
      <c r="C793" s="44"/>
      <c r="D793" s="44"/>
      <c r="E793" s="44"/>
      <c r="F793" s="44"/>
      <c r="G793" s="44"/>
      <c r="H793" s="44"/>
      <c r="I793" s="44"/>
      <c r="J793" s="44"/>
      <c r="K793" s="44"/>
      <c r="L793" s="44"/>
      <c r="M793" s="44"/>
      <c r="N793" s="44"/>
      <c r="O793" s="44"/>
      <c r="P793" s="44"/>
      <c r="Q793" s="44"/>
      <c r="R793" s="44"/>
      <c r="S793" s="44"/>
      <c r="T793" s="44"/>
      <c r="U793" s="44"/>
      <c r="V793" s="44"/>
      <c r="W793" s="44"/>
      <c r="X793" s="44"/>
      <c r="Y793" s="44"/>
      <c r="Z793" s="44"/>
      <c r="AA793" s="44"/>
      <c r="AB793" s="44"/>
      <c r="AC793" s="44"/>
      <c r="AD793" s="44"/>
      <c r="AE793" s="44"/>
      <c r="AF793" s="44"/>
      <c r="AG793" s="44"/>
      <c r="AH793" s="44"/>
      <c r="AI793" s="44"/>
      <c r="AJ793" s="44"/>
      <c r="AK793" s="44"/>
      <c r="AL793" s="44"/>
      <c r="AM793" s="44"/>
      <c r="AN793" s="44"/>
      <c r="AO793" s="44"/>
      <c r="AP793" s="44"/>
      <c r="AQ793" s="44"/>
      <c r="AR793" s="44"/>
      <c r="AS793" s="44"/>
      <c r="AT793" s="44"/>
      <c r="AU793" s="44"/>
      <c r="AV793" s="44"/>
      <c r="AW793" s="44"/>
      <c r="AX793" s="44"/>
    </row>
    <row r="794" spans="1:50" x14ac:dyDescent="0.25">
      <c r="A794" s="44"/>
      <c r="B794" s="44"/>
      <c r="C794" s="44"/>
      <c r="D794" s="44"/>
      <c r="E794" s="44"/>
      <c r="F794" s="44"/>
      <c r="G794" s="44"/>
      <c r="H794" s="44"/>
      <c r="I794" s="44"/>
      <c r="J794" s="44"/>
      <c r="K794" s="44"/>
      <c r="L794" s="44"/>
      <c r="M794" s="44"/>
      <c r="N794" s="44"/>
      <c r="O794" s="44"/>
      <c r="P794" s="44"/>
      <c r="Q794" s="44"/>
      <c r="R794" s="44"/>
      <c r="S794" s="44"/>
      <c r="T794" s="44"/>
      <c r="U794" s="44"/>
      <c r="V794" s="44"/>
      <c r="W794" s="44"/>
      <c r="X794" s="44"/>
      <c r="Y794" s="44"/>
      <c r="Z794" s="44"/>
      <c r="AA794" s="44"/>
      <c r="AB794" s="44"/>
      <c r="AC794" s="44"/>
      <c r="AD794" s="44"/>
      <c r="AE794" s="44"/>
      <c r="AF794" s="44"/>
      <c r="AG794" s="44"/>
      <c r="AH794" s="44"/>
      <c r="AI794" s="44"/>
      <c r="AJ794" s="44"/>
      <c r="AK794" s="44"/>
      <c r="AL794" s="44"/>
      <c r="AM794" s="44"/>
      <c r="AN794" s="44"/>
      <c r="AO794" s="44"/>
      <c r="AP794" s="44"/>
      <c r="AQ794" s="44"/>
      <c r="AR794" s="44"/>
      <c r="AS794" s="44"/>
      <c r="AT794" s="44"/>
      <c r="AU794" s="44"/>
      <c r="AV794" s="44"/>
      <c r="AW794" s="44"/>
      <c r="AX794" s="44"/>
    </row>
    <row r="795" spans="1:50" x14ac:dyDescent="0.25">
      <c r="A795" s="44"/>
      <c r="B795" s="44"/>
      <c r="C795" s="44"/>
      <c r="D795" s="44"/>
      <c r="E795" s="44"/>
      <c r="F795" s="44"/>
      <c r="G795" s="44"/>
      <c r="H795" s="44"/>
      <c r="I795" s="44"/>
      <c r="J795" s="44"/>
      <c r="K795" s="44"/>
      <c r="L795" s="44"/>
      <c r="M795" s="44"/>
      <c r="N795" s="44"/>
      <c r="O795" s="44"/>
      <c r="P795" s="44"/>
      <c r="Q795" s="44"/>
      <c r="R795" s="44"/>
      <c r="S795" s="44"/>
      <c r="T795" s="44"/>
      <c r="U795" s="44"/>
      <c r="V795" s="44"/>
      <c r="W795" s="44"/>
      <c r="X795" s="44"/>
      <c r="Y795" s="44"/>
      <c r="Z795" s="44"/>
      <c r="AA795" s="44"/>
      <c r="AB795" s="44"/>
      <c r="AC795" s="44"/>
      <c r="AD795" s="44"/>
      <c r="AE795" s="44"/>
      <c r="AF795" s="44"/>
      <c r="AG795" s="44"/>
      <c r="AH795" s="44"/>
      <c r="AI795" s="44"/>
      <c r="AJ795" s="44"/>
      <c r="AK795" s="44"/>
      <c r="AL795" s="44"/>
      <c r="AM795" s="44"/>
      <c r="AN795" s="44"/>
      <c r="AO795" s="44"/>
      <c r="AP795" s="44"/>
      <c r="AQ795" s="44"/>
      <c r="AR795" s="44"/>
      <c r="AS795" s="44"/>
      <c r="AT795" s="44"/>
      <c r="AU795" s="44"/>
      <c r="AV795" s="44"/>
      <c r="AW795" s="44"/>
      <c r="AX795" s="44"/>
    </row>
    <row r="796" spans="1:50" x14ac:dyDescent="0.25">
      <c r="A796" s="44"/>
      <c r="B796" s="44"/>
      <c r="C796" s="44"/>
      <c r="D796" s="44"/>
      <c r="E796" s="44"/>
      <c r="F796" s="44"/>
      <c r="G796" s="44"/>
      <c r="H796" s="44"/>
      <c r="I796" s="44"/>
      <c r="J796" s="44"/>
      <c r="K796" s="44"/>
      <c r="L796" s="44"/>
      <c r="M796" s="44"/>
      <c r="N796" s="44"/>
      <c r="O796" s="44"/>
      <c r="P796" s="44"/>
      <c r="Q796" s="44"/>
      <c r="R796" s="44"/>
      <c r="S796" s="44"/>
      <c r="T796" s="44"/>
      <c r="U796" s="44"/>
      <c r="V796" s="44"/>
      <c r="W796" s="44"/>
      <c r="X796" s="44"/>
      <c r="Y796" s="44"/>
      <c r="Z796" s="44"/>
      <c r="AA796" s="44"/>
      <c r="AB796" s="44"/>
      <c r="AC796" s="44"/>
      <c r="AD796" s="44"/>
      <c r="AE796" s="44"/>
      <c r="AF796" s="44"/>
      <c r="AG796" s="44"/>
      <c r="AH796" s="44"/>
      <c r="AI796" s="44"/>
      <c r="AJ796" s="44"/>
      <c r="AK796" s="44"/>
      <c r="AL796" s="44"/>
      <c r="AM796" s="44"/>
      <c r="AN796" s="44"/>
      <c r="AO796" s="44"/>
      <c r="AP796" s="44"/>
      <c r="AQ796" s="44"/>
      <c r="AR796" s="44"/>
      <c r="AS796" s="44"/>
      <c r="AT796" s="44"/>
      <c r="AU796" s="44"/>
      <c r="AV796" s="44"/>
      <c r="AW796" s="44"/>
      <c r="AX796" s="44"/>
    </row>
    <row r="797" spans="1:50" x14ac:dyDescent="0.25">
      <c r="A797" s="44"/>
      <c r="B797" s="44"/>
      <c r="C797" s="44"/>
      <c r="D797" s="44"/>
      <c r="E797" s="44"/>
      <c r="F797" s="44"/>
      <c r="G797" s="44"/>
      <c r="H797" s="44"/>
      <c r="I797" s="44"/>
      <c r="J797" s="44"/>
      <c r="K797" s="44"/>
      <c r="L797" s="44"/>
      <c r="M797" s="44"/>
      <c r="N797" s="44"/>
      <c r="O797" s="44"/>
      <c r="P797" s="44"/>
      <c r="Q797" s="44"/>
      <c r="R797" s="44"/>
      <c r="S797" s="44"/>
      <c r="T797" s="44"/>
      <c r="U797" s="44"/>
      <c r="V797" s="44"/>
      <c r="W797" s="44"/>
      <c r="X797" s="44"/>
      <c r="Y797" s="44"/>
      <c r="Z797" s="44"/>
      <c r="AA797" s="44"/>
      <c r="AB797" s="44"/>
      <c r="AC797" s="44"/>
      <c r="AD797" s="44"/>
      <c r="AE797" s="44"/>
      <c r="AF797" s="44"/>
      <c r="AG797" s="44"/>
      <c r="AH797" s="44"/>
      <c r="AI797" s="44"/>
      <c r="AJ797" s="44"/>
      <c r="AK797" s="44"/>
      <c r="AL797" s="44"/>
      <c r="AM797" s="44"/>
      <c r="AN797" s="44"/>
      <c r="AO797" s="44"/>
      <c r="AP797" s="44"/>
      <c r="AQ797" s="44"/>
      <c r="AR797" s="44"/>
      <c r="AS797" s="44"/>
      <c r="AT797" s="44"/>
      <c r="AU797" s="44"/>
      <c r="AV797" s="44"/>
      <c r="AW797" s="44"/>
      <c r="AX797" s="44"/>
    </row>
    <row r="798" spans="1:50" x14ac:dyDescent="0.25">
      <c r="A798" s="44"/>
      <c r="B798" s="44"/>
      <c r="C798" s="44"/>
      <c r="D798" s="44"/>
      <c r="E798" s="44"/>
      <c r="F798" s="44"/>
      <c r="G798" s="44"/>
      <c r="H798" s="44"/>
      <c r="I798" s="44"/>
      <c r="J798" s="44"/>
      <c r="K798" s="44"/>
      <c r="L798" s="44"/>
      <c r="M798" s="44"/>
      <c r="N798" s="44"/>
      <c r="O798" s="44"/>
      <c r="P798" s="44"/>
      <c r="Q798" s="44"/>
      <c r="R798" s="44"/>
      <c r="S798" s="44"/>
      <c r="T798" s="44"/>
      <c r="U798" s="44"/>
      <c r="V798" s="44"/>
      <c r="W798" s="44"/>
      <c r="X798" s="44"/>
      <c r="Y798" s="44"/>
      <c r="Z798" s="44"/>
      <c r="AA798" s="44"/>
      <c r="AB798" s="44"/>
      <c r="AC798" s="44"/>
      <c r="AD798" s="44"/>
      <c r="AE798" s="44"/>
      <c r="AF798" s="44"/>
      <c r="AG798" s="44"/>
      <c r="AH798" s="44"/>
      <c r="AI798" s="44"/>
      <c r="AJ798" s="44"/>
      <c r="AK798" s="44"/>
      <c r="AL798" s="44"/>
      <c r="AM798" s="44"/>
      <c r="AN798" s="44"/>
      <c r="AO798" s="44"/>
      <c r="AP798" s="44"/>
      <c r="AQ798" s="44"/>
      <c r="AR798" s="44"/>
      <c r="AS798" s="44"/>
      <c r="AT798" s="44"/>
      <c r="AU798" s="44"/>
      <c r="AV798" s="44"/>
      <c r="AW798" s="44"/>
      <c r="AX798" s="44"/>
    </row>
    <row r="799" spans="1:50" x14ac:dyDescent="0.25">
      <c r="A799" s="44"/>
      <c r="B799" s="44"/>
      <c r="C799" s="44"/>
      <c r="D799" s="44"/>
      <c r="E799" s="44"/>
      <c r="F799" s="44"/>
      <c r="G799" s="44"/>
      <c r="H799" s="44"/>
      <c r="I799" s="44"/>
      <c r="J799" s="44"/>
      <c r="K799" s="44"/>
      <c r="L799" s="44"/>
      <c r="M799" s="44"/>
      <c r="N799" s="44"/>
      <c r="O799" s="44"/>
      <c r="P799" s="44"/>
      <c r="Q799" s="44"/>
      <c r="R799" s="44"/>
      <c r="S799" s="44"/>
      <c r="T799" s="44"/>
      <c r="U799" s="44"/>
      <c r="V799" s="44"/>
      <c r="W799" s="44"/>
      <c r="X799" s="44"/>
      <c r="Y799" s="44"/>
      <c r="Z799" s="44"/>
      <c r="AA799" s="44"/>
      <c r="AB799" s="44"/>
      <c r="AC799" s="44"/>
      <c r="AD799" s="44"/>
      <c r="AE799" s="44"/>
      <c r="AF799" s="44"/>
      <c r="AG799" s="44"/>
      <c r="AH799" s="44"/>
      <c r="AI799" s="44"/>
      <c r="AJ799" s="44"/>
      <c r="AK799" s="44"/>
      <c r="AL799" s="44"/>
      <c r="AM799" s="44"/>
      <c r="AN799" s="44"/>
      <c r="AO799" s="44"/>
      <c r="AP799" s="44"/>
      <c r="AQ799" s="44"/>
      <c r="AR799" s="44"/>
      <c r="AS799" s="44"/>
      <c r="AT799" s="44"/>
      <c r="AU799" s="44"/>
      <c r="AV799" s="44"/>
      <c r="AW799" s="44"/>
      <c r="AX799" s="44"/>
    </row>
    <row r="800" spans="1:50" x14ac:dyDescent="0.25">
      <c r="A800" s="44"/>
      <c r="B800" s="44"/>
      <c r="C800" s="44"/>
      <c r="D800" s="44"/>
      <c r="E800" s="44"/>
      <c r="F800" s="44"/>
      <c r="G800" s="44"/>
      <c r="H800" s="44"/>
      <c r="I800" s="44"/>
      <c r="J800" s="44"/>
      <c r="K800" s="44"/>
      <c r="L800" s="44"/>
      <c r="M800" s="44"/>
      <c r="N800" s="44"/>
      <c r="O800" s="44"/>
      <c r="P800" s="44"/>
      <c r="Q800" s="44"/>
      <c r="R800" s="44"/>
      <c r="S800" s="44"/>
      <c r="T800" s="44"/>
      <c r="U800" s="44"/>
      <c r="V800" s="44"/>
      <c r="W800" s="44"/>
      <c r="X800" s="44"/>
      <c r="Y800" s="44"/>
      <c r="Z800" s="44"/>
      <c r="AA800" s="44"/>
      <c r="AB800" s="44"/>
      <c r="AC800" s="44"/>
      <c r="AD800" s="44"/>
      <c r="AE800" s="44"/>
      <c r="AF800" s="44"/>
      <c r="AG800" s="44"/>
      <c r="AH800" s="44"/>
      <c r="AI800" s="44"/>
      <c r="AJ800" s="44"/>
      <c r="AK800" s="44"/>
      <c r="AL800" s="44"/>
      <c r="AM800" s="44"/>
      <c r="AN800" s="44"/>
      <c r="AO800" s="44"/>
      <c r="AP800" s="44"/>
      <c r="AQ800" s="44"/>
      <c r="AR800" s="44"/>
      <c r="AS800" s="44"/>
      <c r="AT800" s="44"/>
      <c r="AU800" s="44"/>
      <c r="AV800" s="44"/>
      <c r="AW800" s="44"/>
      <c r="AX800" s="44"/>
    </row>
    <row r="801" spans="1:50" x14ac:dyDescent="0.25">
      <c r="A801" s="44"/>
      <c r="B801" s="44"/>
      <c r="C801" s="44"/>
      <c r="D801" s="44"/>
      <c r="E801" s="44"/>
      <c r="F801" s="44"/>
      <c r="G801" s="44"/>
      <c r="H801" s="44"/>
      <c r="I801" s="44"/>
      <c r="J801" s="44"/>
      <c r="K801" s="44"/>
      <c r="L801" s="44"/>
      <c r="M801" s="44"/>
      <c r="N801" s="44"/>
      <c r="O801" s="44"/>
      <c r="P801" s="44"/>
      <c r="Q801" s="44"/>
      <c r="R801" s="44"/>
      <c r="S801" s="44"/>
      <c r="T801" s="44"/>
      <c r="U801" s="44"/>
      <c r="V801" s="44"/>
      <c r="W801" s="44"/>
      <c r="X801" s="44"/>
      <c r="Y801" s="44"/>
      <c r="Z801" s="44"/>
      <c r="AA801" s="44"/>
      <c r="AB801" s="44"/>
      <c r="AC801" s="44"/>
      <c r="AD801" s="44"/>
      <c r="AE801" s="44"/>
      <c r="AF801" s="44"/>
      <c r="AG801" s="44"/>
      <c r="AH801" s="44"/>
      <c r="AI801" s="44"/>
      <c r="AJ801" s="44"/>
      <c r="AK801" s="44"/>
      <c r="AL801" s="44"/>
      <c r="AM801" s="44"/>
      <c r="AN801" s="44"/>
      <c r="AO801" s="44"/>
      <c r="AP801" s="44"/>
      <c r="AQ801" s="44"/>
      <c r="AR801" s="44"/>
      <c r="AS801" s="44"/>
      <c r="AT801" s="44"/>
      <c r="AU801" s="44"/>
      <c r="AV801" s="44"/>
      <c r="AW801" s="44"/>
      <c r="AX801" s="44"/>
    </row>
    <row r="802" spans="1:50" x14ac:dyDescent="0.25">
      <c r="A802" s="44"/>
      <c r="B802" s="44"/>
      <c r="C802" s="44"/>
      <c r="D802" s="44"/>
      <c r="E802" s="44"/>
      <c r="F802" s="44"/>
      <c r="G802" s="44"/>
      <c r="H802" s="44"/>
      <c r="I802" s="44"/>
      <c r="J802" s="44"/>
      <c r="K802" s="44"/>
      <c r="L802" s="44"/>
      <c r="M802" s="44"/>
      <c r="N802" s="44"/>
      <c r="O802" s="44"/>
      <c r="P802" s="44"/>
      <c r="Q802" s="44"/>
      <c r="R802" s="44"/>
      <c r="S802" s="44"/>
      <c r="T802" s="44"/>
      <c r="U802" s="44"/>
      <c r="V802" s="44"/>
      <c r="W802" s="44"/>
      <c r="X802" s="44"/>
      <c r="Y802" s="44"/>
      <c r="Z802" s="44"/>
      <c r="AA802" s="44"/>
      <c r="AB802" s="44"/>
      <c r="AC802" s="44"/>
      <c r="AD802" s="44"/>
      <c r="AE802" s="44"/>
      <c r="AF802" s="44"/>
      <c r="AG802" s="44"/>
      <c r="AH802" s="44"/>
      <c r="AI802" s="44"/>
      <c r="AJ802" s="44"/>
      <c r="AK802" s="44"/>
      <c r="AL802" s="44"/>
      <c r="AM802" s="44"/>
      <c r="AN802" s="44"/>
      <c r="AO802" s="44"/>
      <c r="AP802" s="44"/>
      <c r="AQ802" s="44"/>
      <c r="AR802" s="44"/>
      <c r="AS802" s="44"/>
      <c r="AT802" s="44"/>
      <c r="AU802" s="44"/>
      <c r="AV802" s="44"/>
      <c r="AW802" s="44"/>
      <c r="AX802" s="44"/>
    </row>
    <row r="803" spans="1:50" x14ac:dyDescent="0.25">
      <c r="A803" s="44"/>
      <c r="B803" s="44"/>
      <c r="C803" s="44"/>
      <c r="D803" s="44"/>
      <c r="E803" s="44"/>
      <c r="F803" s="44"/>
      <c r="G803" s="44"/>
      <c r="H803" s="44"/>
      <c r="I803" s="44"/>
      <c r="J803" s="44"/>
      <c r="K803" s="44"/>
      <c r="L803" s="44"/>
      <c r="M803" s="44"/>
      <c r="N803" s="44"/>
      <c r="O803" s="44"/>
      <c r="P803" s="44"/>
      <c r="Q803" s="44"/>
      <c r="R803" s="44"/>
      <c r="S803" s="44"/>
      <c r="T803" s="44"/>
      <c r="U803" s="44"/>
      <c r="V803" s="44"/>
      <c r="W803" s="44"/>
      <c r="X803" s="44"/>
      <c r="Y803" s="44"/>
      <c r="Z803" s="44"/>
      <c r="AA803" s="44"/>
      <c r="AB803" s="44"/>
      <c r="AC803" s="44"/>
      <c r="AD803" s="44"/>
      <c r="AE803" s="44"/>
      <c r="AF803" s="44"/>
      <c r="AG803" s="44"/>
      <c r="AH803" s="44"/>
      <c r="AI803" s="44"/>
      <c r="AJ803" s="44"/>
      <c r="AK803" s="44"/>
      <c r="AL803" s="44"/>
      <c r="AM803" s="44"/>
      <c r="AN803" s="44"/>
      <c r="AO803" s="44"/>
      <c r="AP803" s="44"/>
      <c r="AQ803" s="44"/>
      <c r="AR803" s="44"/>
      <c r="AS803" s="44"/>
      <c r="AT803" s="44"/>
      <c r="AU803" s="44"/>
      <c r="AV803" s="44"/>
      <c r="AW803" s="44"/>
      <c r="AX803" s="44"/>
    </row>
    <row r="804" spans="1:50" x14ac:dyDescent="0.25">
      <c r="A804" s="44"/>
      <c r="B804" s="44"/>
      <c r="C804" s="44"/>
      <c r="D804" s="44"/>
      <c r="E804" s="44"/>
      <c r="F804" s="44"/>
      <c r="G804" s="44"/>
      <c r="H804" s="44"/>
      <c r="I804" s="44"/>
      <c r="J804" s="44"/>
      <c r="K804" s="44"/>
      <c r="L804" s="44"/>
      <c r="M804" s="44"/>
      <c r="N804" s="44"/>
      <c r="O804" s="44"/>
      <c r="P804" s="44"/>
      <c r="Q804" s="44"/>
      <c r="R804" s="44"/>
      <c r="S804" s="44"/>
      <c r="T804" s="44"/>
      <c r="U804" s="44"/>
      <c r="V804" s="44"/>
      <c r="W804" s="44"/>
      <c r="X804" s="44"/>
      <c r="Y804" s="44"/>
      <c r="Z804" s="44"/>
      <c r="AA804" s="44"/>
      <c r="AB804" s="44"/>
      <c r="AC804" s="44"/>
      <c r="AD804" s="44"/>
      <c r="AE804" s="44"/>
      <c r="AF804" s="44"/>
      <c r="AG804" s="44"/>
      <c r="AH804" s="44"/>
      <c r="AI804" s="44"/>
      <c r="AJ804" s="44"/>
      <c r="AK804" s="44"/>
      <c r="AL804" s="44"/>
      <c r="AM804" s="44"/>
      <c r="AN804" s="44"/>
      <c r="AO804" s="44"/>
      <c r="AP804" s="44"/>
      <c r="AQ804" s="44"/>
      <c r="AR804" s="44"/>
      <c r="AS804" s="44"/>
      <c r="AT804" s="44"/>
      <c r="AU804" s="44"/>
      <c r="AV804" s="44"/>
      <c r="AW804" s="44"/>
      <c r="AX804" s="44"/>
    </row>
    <row r="805" spans="1:50" x14ac:dyDescent="0.25">
      <c r="A805" s="44"/>
      <c r="B805" s="44"/>
      <c r="C805" s="44"/>
      <c r="D805" s="44"/>
      <c r="E805" s="44"/>
      <c r="F805" s="44"/>
      <c r="G805" s="44"/>
      <c r="H805" s="44"/>
      <c r="I805" s="44"/>
      <c r="J805" s="44"/>
      <c r="K805" s="44"/>
      <c r="L805" s="44"/>
      <c r="M805" s="44"/>
      <c r="N805" s="44"/>
      <c r="O805" s="44"/>
      <c r="P805" s="44"/>
      <c r="Q805" s="44"/>
      <c r="R805" s="44"/>
      <c r="S805" s="44"/>
      <c r="T805" s="44"/>
      <c r="U805" s="44"/>
      <c r="V805" s="44"/>
      <c r="W805" s="44"/>
      <c r="X805" s="44"/>
      <c r="Y805" s="44"/>
      <c r="Z805" s="44"/>
      <c r="AA805" s="44"/>
      <c r="AB805" s="44"/>
      <c r="AC805" s="44"/>
      <c r="AD805" s="44"/>
      <c r="AE805" s="44"/>
      <c r="AF805" s="44"/>
      <c r="AG805" s="44"/>
      <c r="AH805" s="44"/>
      <c r="AI805" s="44"/>
      <c r="AJ805" s="44"/>
      <c r="AK805" s="44"/>
      <c r="AL805" s="44"/>
      <c r="AM805" s="44"/>
      <c r="AN805" s="44"/>
      <c r="AO805" s="44"/>
      <c r="AP805" s="44"/>
      <c r="AQ805" s="44"/>
      <c r="AR805" s="44"/>
      <c r="AS805" s="44"/>
      <c r="AT805" s="44"/>
      <c r="AU805" s="44"/>
      <c r="AV805" s="44"/>
      <c r="AW805" s="44"/>
      <c r="AX805" s="44"/>
    </row>
    <row r="806" spans="1:50" x14ac:dyDescent="0.25">
      <c r="A806" s="44"/>
      <c r="B806" s="44"/>
      <c r="C806" s="44"/>
      <c r="D806" s="44"/>
      <c r="E806" s="44"/>
      <c r="F806" s="44"/>
      <c r="G806" s="44"/>
      <c r="H806" s="44"/>
      <c r="I806" s="44"/>
      <c r="J806" s="44"/>
      <c r="K806" s="44"/>
      <c r="L806" s="44"/>
      <c r="M806" s="44"/>
      <c r="N806" s="44"/>
      <c r="O806" s="44"/>
      <c r="P806" s="44"/>
      <c r="Q806" s="44"/>
      <c r="R806" s="44"/>
      <c r="S806" s="44"/>
      <c r="T806" s="44"/>
      <c r="U806" s="44"/>
      <c r="V806" s="44"/>
      <c r="W806" s="44"/>
      <c r="X806" s="44"/>
      <c r="Y806" s="44"/>
      <c r="Z806" s="44"/>
      <c r="AA806" s="44"/>
      <c r="AB806" s="44"/>
      <c r="AC806" s="44"/>
      <c r="AD806" s="44"/>
      <c r="AE806" s="44"/>
      <c r="AF806" s="44"/>
      <c r="AG806" s="44"/>
      <c r="AH806" s="44"/>
      <c r="AI806" s="44"/>
      <c r="AJ806" s="44"/>
      <c r="AK806" s="44"/>
      <c r="AL806" s="44"/>
      <c r="AM806" s="44"/>
      <c r="AN806" s="44"/>
      <c r="AO806" s="44"/>
      <c r="AP806" s="44"/>
      <c r="AQ806" s="44"/>
      <c r="AR806" s="44"/>
      <c r="AS806" s="44"/>
      <c r="AT806" s="44"/>
      <c r="AU806" s="44"/>
      <c r="AV806" s="44"/>
      <c r="AW806" s="44"/>
      <c r="AX806" s="44"/>
    </row>
    <row r="807" spans="1:50" x14ac:dyDescent="0.25">
      <c r="A807" s="44"/>
      <c r="B807" s="44"/>
      <c r="C807" s="44"/>
      <c r="D807" s="44"/>
      <c r="E807" s="44"/>
      <c r="F807" s="44"/>
      <c r="G807" s="44"/>
      <c r="H807" s="44"/>
      <c r="I807" s="44"/>
      <c r="J807" s="44"/>
      <c r="K807" s="44"/>
      <c r="L807" s="44"/>
      <c r="M807" s="44"/>
      <c r="N807" s="44"/>
      <c r="O807" s="44"/>
      <c r="P807" s="44"/>
      <c r="Q807" s="44"/>
      <c r="R807" s="44"/>
      <c r="S807" s="44"/>
      <c r="T807" s="44"/>
      <c r="U807" s="44"/>
      <c r="V807" s="44"/>
      <c r="W807" s="44"/>
      <c r="X807" s="44"/>
      <c r="Y807" s="44"/>
      <c r="Z807" s="44"/>
      <c r="AA807" s="44"/>
      <c r="AB807" s="44"/>
      <c r="AC807" s="44"/>
      <c r="AD807" s="44"/>
      <c r="AE807" s="44"/>
      <c r="AF807" s="44"/>
      <c r="AG807" s="44"/>
      <c r="AH807" s="44"/>
      <c r="AI807" s="44"/>
      <c r="AJ807" s="44"/>
      <c r="AK807" s="44"/>
      <c r="AL807" s="44"/>
      <c r="AM807" s="44"/>
      <c r="AN807" s="44"/>
      <c r="AO807" s="44"/>
      <c r="AP807" s="44"/>
      <c r="AQ807" s="44"/>
      <c r="AR807" s="44"/>
      <c r="AS807" s="44"/>
      <c r="AT807" s="44"/>
      <c r="AU807" s="44"/>
      <c r="AV807" s="44"/>
      <c r="AW807" s="44"/>
      <c r="AX807" s="44"/>
    </row>
    <row r="808" spans="1:50" x14ac:dyDescent="0.25">
      <c r="A808" s="44"/>
      <c r="B808" s="44"/>
      <c r="C808" s="44"/>
      <c r="D808" s="44"/>
      <c r="E808" s="44"/>
      <c r="F808" s="44"/>
      <c r="G808" s="44"/>
      <c r="H808" s="44"/>
      <c r="I808" s="44"/>
      <c r="J808" s="44"/>
      <c r="K808" s="44"/>
      <c r="L808" s="44"/>
      <c r="M808" s="44"/>
      <c r="N808" s="44"/>
      <c r="O808" s="44"/>
      <c r="P808" s="44"/>
      <c r="Q808" s="44"/>
      <c r="R808" s="44"/>
      <c r="S808" s="44"/>
      <c r="T808" s="44"/>
      <c r="U808" s="44"/>
      <c r="V808" s="44"/>
      <c r="W808" s="44"/>
      <c r="X808" s="44"/>
      <c r="Y808" s="44"/>
      <c r="Z808" s="44"/>
      <c r="AA808" s="44"/>
      <c r="AB808" s="44"/>
      <c r="AC808" s="44"/>
      <c r="AD808" s="44"/>
      <c r="AE808" s="44"/>
      <c r="AF808" s="44"/>
      <c r="AG808" s="44"/>
      <c r="AH808" s="44"/>
      <c r="AI808" s="44"/>
      <c r="AJ808" s="44"/>
      <c r="AK808" s="44"/>
      <c r="AL808" s="44"/>
      <c r="AM808" s="44"/>
      <c r="AN808" s="44"/>
      <c r="AO808" s="44"/>
      <c r="AP808" s="44"/>
      <c r="AQ808" s="44"/>
      <c r="AR808" s="44"/>
      <c r="AS808" s="44"/>
      <c r="AT808" s="44"/>
      <c r="AU808" s="44"/>
      <c r="AV808" s="44"/>
      <c r="AW808" s="44"/>
      <c r="AX808" s="44"/>
    </row>
    <row r="809" spans="1:50" x14ac:dyDescent="0.25">
      <c r="A809" s="44"/>
      <c r="B809" s="44"/>
      <c r="C809" s="44"/>
      <c r="D809" s="44"/>
      <c r="E809" s="44"/>
      <c r="F809" s="44"/>
      <c r="G809" s="44"/>
      <c r="H809" s="44"/>
      <c r="I809" s="44"/>
      <c r="J809" s="44"/>
      <c r="K809" s="44"/>
      <c r="L809" s="44"/>
      <c r="M809" s="44"/>
      <c r="N809" s="44"/>
      <c r="O809" s="44"/>
      <c r="P809" s="44"/>
      <c r="Q809" s="44"/>
      <c r="R809" s="44"/>
      <c r="S809" s="44"/>
      <c r="T809" s="44"/>
      <c r="U809" s="44"/>
      <c r="V809" s="44"/>
      <c r="W809" s="44"/>
      <c r="X809" s="44"/>
      <c r="Y809" s="44"/>
      <c r="Z809" s="44"/>
      <c r="AA809" s="44"/>
      <c r="AB809" s="44"/>
      <c r="AC809" s="44"/>
      <c r="AD809" s="44"/>
      <c r="AE809" s="44"/>
      <c r="AF809" s="44"/>
      <c r="AG809" s="44"/>
      <c r="AH809" s="44"/>
      <c r="AI809" s="44"/>
      <c r="AJ809" s="44"/>
      <c r="AK809" s="44"/>
      <c r="AL809" s="44"/>
      <c r="AM809" s="44"/>
      <c r="AN809" s="44"/>
      <c r="AO809" s="44"/>
      <c r="AP809" s="44"/>
      <c r="AQ809" s="44"/>
      <c r="AR809" s="44"/>
      <c r="AS809" s="44"/>
      <c r="AT809" s="44"/>
      <c r="AU809" s="44"/>
      <c r="AV809" s="44"/>
      <c r="AW809" s="44"/>
      <c r="AX809" s="44"/>
    </row>
    <row r="810" spans="1:50" x14ac:dyDescent="0.25">
      <c r="A810" s="44"/>
      <c r="B810" s="44"/>
      <c r="C810" s="44"/>
      <c r="D810" s="44"/>
      <c r="E810" s="44"/>
      <c r="F810" s="44"/>
      <c r="G810" s="44"/>
      <c r="H810" s="44"/>
      <c r="I810" s="44"/>
      <c r="J810" s="44"/>
      <c r="K810" s="44"/>
      <c r="L810" s="44"/>
      <c r="M810" s="44"/>
      <c r="N810" s="44"/>
      <c r="O810" s="44"/>
      <c r="P810" s="44"/>
      <c r="Q810" s="44"/>
      <c r="R810" s="44"/>
      <c r="S810" s="44"/>
      <c r="T810" s="44"/>
      <c r="U810" s="44"/>
      <c r="V810" s="44"/>
      <c r="W810" s="44"/>
      <c r="X810" s="44"/>
      <c r="Y810" s="44"/>
      <c r="Z810" s="44"/>
      <c r="AA810" s="44"/>
      <c r="AB810" s="44"/>
      <c r="AC810" s="44"/>
      <c r="AD810" s="44"/>
      <c r="AE810" s="44"/>
      <c r="AF810" s="44"/>
      <c r="AG810" s="44"/>
      <c r="AH810" s="44"/>
      <c r="AI810" s="44"/>
      <c r="AJ810" s="44"/>
      <c r="AK810" s="44"/>
      <c r="AL810" s="44"/>
      <c r="AM810" s="44"/>
      <c r="AN810" s="44"/>
      <c r="AO810" s="44"/>
      <c r="AP810" s="44"/>
      <c r="AQ810" s="44"/>
      <c r="AR810" s="44"/>
      <c r="AS810" s="44"/>
      <c r="AT810" s="44"/>
      <c r="AU810" s="44"/>
      <c r="AV810" s="44"/>
      <c r="AW810" s="44"/>
      <c r="AX810" s="44"/>
    </row>
    <row r="811" spans="1:50" x14ac:dyDescent="0.25">
      <c r="A811" s="44"/>
      <c r="B811" s="44"/>
      <c r="C811" s="44"/>
      <c r="D811" s="44"/>
      <c r="E811" s="44"/>
      <c r="F811" s="44"/>
      <c r="G811" s="44"/>
      <c r="H811" s="44"/>
      <c r="I811" s="44"/>
      <c r="J811" s="44"/>
      <c r="K811" s="44"/>
      <c r="L811" s="44"/>
      <c r="M811" s="44"/>
      <c r="N811" s="44"/>
      <c r="O811" s="44"/>
      <c r="P811" s="44"/>
      <c r="Q811" s="44"/>
      <c r="R811" s="44"/>
      <c r="S811" s="44"/>
      <c r="T811" s="44"/>
      <c r="U811" s="44"/>
      <c r="V811" s="44"/>
      <c r="W811" s="44"/>
      <c r="X811" s="44"/>
      <c r="Y811" s="44"/>
      <c r="Z811" s="44"/>
      <c r="AA811" s="44"/>
      <c r="AB811" s="44"/>
      <c r="AC811" s="44"/>
      <c r="AD811" s="44"/>
      <c r="AE811" s="44"/>
      <c r="AF811" s="44"/>
      <c r="AG811" s="44"/>
      <c r="AH811" s="44"/>
      <c r="AI811" s="44"/>
      <c r="AJ811" s="44"/>
      <c r="AK811" s="44"/>
      <c r="AL811" s="44"/>
      <c r="AM811" s="44"/>
      <c r="AN811" s="44"/>
      <c r="AO811" s="44"/>
      <c r="AP811" s="44"/>
      <c r="AQ811" s="44"/>
      <c r="AR811" s="44"/>
      <c r="AS811" s="44"/>
      <c r="AT811" s="44"/>
      <c r="AU811" s="44"/>
      <c r="AV811" s="44"/>
      <c r="AW811" s="44"/>
      <c r="AX811" s="44"/>
    </row>
    <row r="812" spans="1:50" x14ac:dyDescent="0.25">
      <c r="A812" s="44"/>
      <c r="B812" s="44"/>
      <c r="C812" s="44"/>
      <c r="D812" s="44"/>
      <c r="E812" s="44"/>
      <c r="F812" s="44"/>
      <c r="G812" s="44"/>
      <c r="H812" s="44"/>
      <c r="I812" s="44"/>
      <c r="J812" s="44"/>
      <c r="K812" s="44"/>
      <c r="L812" s="44"/>
      <c r="M812" s="44"/>
      <c r="N812" s="44"/>
      <c r="O812" s="44"/>
      <c r="P812" s="44"/>
      <c r="Q812" s="44"/>
      <c r="R812" s="44"/>
      <c r="S812" s="44"/>
      <c r="T812" s="44"/>
      <c r="U812" s="44"/>
      <c r="V812" s="44"/>
      <c r="W812" s="44"/>
      <c r="X812" s="44"/>
      <c r="Y812" s="44"/>
      <c r="Z812" s="44"/>
      <c r="AA812" s="44"/>
      <c r="AB812" s="44"/>
      <c r="AC812" s="44"/>
      <c r="AD812" s="44"/>
      <c r="AE812" s="44"/>
      <c r="AF812" s="44"/>
      <c r="AG812" s="44"/>
      <c r="AH812" s="44"/>
      <c r="AI812" s="44"/>
      <c r="AJ812" s="44"/>
      <c r="AK812" s="44"/>
      <c r="AL812" s="44"/>
      <c r="AM812" s="44"/>
      <c r="AN812" s="44"/>
      <c r="AO812" s="44"/>
      <c r="AP812" s="44"/>
      <c r="AQ812" s="44"/>
      <c r="AR812" s="44"/>
      <c r="AS812" s="44"/>
      <c r="AT812" s="44"/>
      <c r="AU812" s="44"/>
      <c r="AV812" s="44"/>
      <c r="AW812" s="44"/>
      <c r="AX812" s="44"/>
    </row>
    <row r="813" spans="1:50" x14ac:dyDescent="0.25">
      <c r="A813" s="44"/>
      <c r="B813" s="44"/>
      <c r="C813" s="44"/>
      <c r="D813" s="44"/>
      <c r="E813" s="44"/>
      <c r="F813" s="44"/>
      <c r="G813" s="44"/>
      <c r="H813" s="44"/>
      <c r="I813" s="44"/>
      <c r="J813" s="44"/>
      <c r="K813" s="44"/>
      <c r="L813" s="44"/>
      <c r="M813" s="44"/>
      <c r="N813" s="44"/>
      <c r="O813" s="44"/>
      <c r="P813" s="44"/>
      <c r="Q813" s="44"/>
      <c r="R813" s="44"/>
      <c r="S813" s="44"/>
      <c r="T813" s="44"/>
      <c r="U813" s="44"/>
      <c r="V813" s="44"/>
      <c r="W813" s="44"/>
      <c r="X813" s="44"/>
      <c r="Y813" s="44"/>
      <c r="Z813" s="44"/>
      <c r="AA813" s="44"/>
      <c r="AB813" s="44"/>
      <c r="AC813" s="44"/>
      <c r="AD813" s="44"/>
      <c r="AE813" s="44"/>
      <c r="AF813" s="44"/>
      <c r="AG813" s="44"/>
      <c r="AH813" s="44"/>
      <c r="AI813" s="44"/>
      <c r="AJ813" s="44"/>
      <c r="AK813" s="44"/>
      <c r="AL813" s="44"/>
      <c r="AM813" s="44"/>
      <c r="AN813" s="44"/>
      <c r="AO813" s="44"/>
      <c r="AP813" s="44"/>
      <c r="AQ813" s="44"/>
      <c r="AR813" s="44"/>
      <c r="AS813" s="44"/>
      <c r="AT813" s="44"/>
      <c r="AU813" s="44"/>
      <c r="AV813" s="44"/>
      <c r="AW813" s="44"/>
      <c r="AX813" s="44"/>
    </row>
    <row r="814" spans="1:50" x14ac:dyDescent="0.25">
      <c r="A814" s="44"/>
      <c r="B814" s="44"/>
      <c r="C814" s="44"/>
      <c r="D814" s="44"/>
      <c r="E814" s="44"/>
      <c r="F814" s="44"/>
      <c r="G814" s="44"/>
      <c r="H814" s="44"/>
      <c r="I814" s="44"/>
      <c r="J814" s="44"/>
      <c r="K814" s="44"/>
      <c r="L814" s="44"/>
      <c r="M814" s="44"/>
      <c r="N814" s="44"/>
      <c r="O814" s="44"/>
      <c r="P814" s="44"/>
      <c r="Q814" s="44"/>
      <c r="R814" s="44"/>
      <c r="S814" s="44"/>
      <c r="T814" s="44"/>
      <c r="U814" s="44"/>
      <c r="V814" s="44"/>
      <c r="W814" s="44"/>
      <c r="X814" s="44"/>
      <c r="Y814" s="44"/>
      <c r="Z814" s="44"/>
      <c r="AA814" s="44"/>
      <c r="AB814" s="44"/>
      <c r="AC814" s="44"/>
      <c r="AD814" s="44"/>
      <c r="AE814" s="44"/>
      <c r="AF814" s="44"/>
      <c r="AG814" s="44"/>
      <c r="AH814" s="44"/>
      <c r="AI814" s="44"/>
      <c r="AJ814" s="44"/>
      <c r="AK814" s="44"/>
      <c r="AL814" s="44"/>
      <c r="AM814" s="44"/>
      <c r="AN814" s="44"/>
      <c r="AO814" s="44"/>
      <c r="AP814" s="44"/>
      <c r="AQ814" s="44"/>
      <c r="AR814" s="44"/>
      <c r="AS814" s="44"/>
      <c r="AT814" s="44"/>
      <c r="AU814" s="44"/>
      <c r="AV814" s="44"/>
      <c r="AW814" s="44"/>
      <c r="AX814" s="44"/>
    </row>
    <row r="815" spans="1:50" x14ac:dyDescent="0.25">
      <c r="A815" s="44"/>
      <c r="B815" s="44"/>
      <c r="C815" s="44"/>
      <c r="D815" s="44"/>
      <c r="E815" s="44"/>
      <c r="F815" s="44"/>
      <c r="G815" s="44"/>
      <c r="H815" s="44"/>
      <c r="I815" s="44"/>
      <c r="J815" s="44"/>
      <c r="K815" s="44"/>
      <c r="L815" s="44"/>
      <c r="M815" s="44"/>
      <c r="N815" s="44"/>
      <c r="O815" s="44"/>
      <c r="P815" s="44"/>
      <c r="Q815" s="44"/>
      <c r="R815" s="44"/>
      <c r="S815" s="44"/>
      <c r="T815" s="44"/>
      <c r="U815" s="44"/>
      <c r="V815" s="44"/>
      <c r="W815" s="44"/>
      <c r="X815" s="44"/>
      <c r="Y815" s="44"/>
      <c r="Z815" s="44"/>
      <c r="AA815" s="44"/>
      <c r="AB815" s="44"/>
      <c r="AC815" s="44"/>
      <c r="AD815" s="44"/>
      <c r="AE815" s="44"/>
      <c r="AF815" s="44"/>
      <c r="AG815" s="44"/>
      <c r="AH815" s="44"/>
      <c r="AI815" s="44"/>
      <c r="AJ815" s="44"/>
      <c r="AK815" s="44"/>
      <c r="AL815" s="44"/>
      <c r="AM815" s="44"/>
      <c r="AN815" s="44"/>
      <c r="AO815" s="44"/>
      <c r="AP815" s="44"/>
      <c r="AQ815" s="44"/>
      <c r="AR815" s="44"/>
      <c r="AS815" s="44"/>
      <c r="AT815" s="44"/>
      <c r="AU815" s="44"/>
      <c r="AV815" s="44"/>
      <c r="AW815" s="44"/>
      <c r="AX815" s="44"/>
    </row>
    <row r="816" spans="1:50" x14ac:dyDescent="0.25">
      <c r="A816" s="44"/>
      <c r="B816" s="44"/>
      <c r="C816" s="44"/>
      <c r="D816" s="44"/>
      <c r="E816" s="44"/>
      <c r="F816" s="44"/>
      <c r="G816" s="44"/>
      <c r="H816" s="44"/>
      <c r="I816" s="44"/>
      <c r="J816" s="44"/>
      <c r="K816" s="44"/>
      <c r="L816" s="44"/>
      <c r="M816" s="44"/>
      <c r="N816" s="44"/>
      <c r="O816" s="44"/>
      <c r="P816" s="44"/>
      <c r="Q816" s="44"/>
      <c r="R816" s="44"/>
      <c r="S816" s="44"/>
      <c r="T816" s="44"/>
      <c r="U816" s="44"/>
      <c r="V816" s="44"/>
      <c r="W816" s="44"/>
      <c r="X816" s="44"/>
      <c r="Y816" s="44"/>
      <c r="Z816" s="44"/>
      <c r="AA816" s="44"/>
      <c r="AB816" s="44"/>
      <c r="AC816" s="44"/>
      <c r="AD816" s="44"/>
      <c r="AE816" s="44"/>
      <c r="AF816" s="44"/>
      <c r="AG816" s="44"/>
      <c r="AH816" s="44"/>
      <c r="AI816" s="44"/>
      <c r="AJ816" s="44"/>
      <c r="AK816" s="44"/>
      <c r="AL816" s="44"/>
      <c r="AM816" s="44"/>
      <c r="AN816" s="44"/>
      <c r="AO816" s="44"/>
      <c r="AP816" s="44"/>
      <c r="AQ816" s="44"/>
      <c r="AR816" s="44"/>
      <c r="AS816" s="44"/>
      <c r="AT816" s="44"/>
      <c r="AU816" s="44"/>
      <c r="AV816" s="44"/>
      <c r="AW816" s="44"/>
      <c r="AX816" s="44"/>
    </row>
    <row r="817" spans="1:50" x14ac:dyDescent="0.25">
      <c r="A817" s="44"/>
      <c r="B817" s="44"/>
      <c r="C817" s="44"/>
      <c r="D817" s="44"/>
      <c r="E817" s="44"/>
      <c r="F817" s="44"/>
      <c r="G817" s="44"/>
      <c r="H817" s="44"/>
      <c r="I817" s="44"/>
      <c r="J817" s="44"/>
      <c r="K817" s="44"/>
      <c r="L817" s="44"/>
      <c r="M817" s="44"/>
      <c r="N817" s="44"/>
      <c r="O817" s="44"/>
      <c r="P817" s="44"/>
      <c r="Q817" s="44"/>
      <c r="R817" s="44"/>
      <c r="S817" s="44"/>
      <c r="T817" s="44"/>
      <c r="U817" s="44"/>
      <c r="V817" s="44"/>
      <c r="W817" s="44"/>
      <c r="X817" s="44"/>
      <c r="Y817" s="44"/>
      <c r="Z817" s="44"/>
      <c r="AA817" s="44"/>
      <c r="AB817" s="44"/>
      <c r="AC817" s="44"/>
      <c r="AD817" s="44"/>
      <c r="AE817" s="44"/>
      <c r="AF817" s="44"/>
      <c r="AG817" s="44"/>
      <c r="AH817" s="44"/>
      <c r="AI817" s="44"/>
      <c r="AJ817" s="44"/>
      <c r="AK817" s="44"/>
      <c r="AL817" s="44"/>
      <c r="AM817" s="44"/>
      <c r="AN817" s="44"/>
      <c r="AO817" s="44"/>
      <c r="AP817" s="44"/>
      <c r="AQ817" s="44"/>
      <c r="AR817" s="44"/>
      <c r="AS817" s="44"/>
      <c r="AT817" s="44"/>
      <c r="AU817" s="44"/>
      <c r="AV817" s="44"/>
      <c r="AW817" s="44"/>
      <c r="AX817" s="44"/>
    </row>
    <row r="818" spans="1:50" x14ac:dyDescent="0.25">
      <c r="A818" s="44"/>
      <c r="B818" s="44"/>
      <c r="C818" s="44"/>
      <c r="D818" s="44"/>
      <c r="E818" s="44"/>
      <c r="F818" s="44"/>
      <c r="G818" s="44"/>
      <c r="H818" s="44"/>
      <c r="I818" s="44"/>
      <c r="J818" s="44"/>
      <c r="K818" s="44"/>
      <c r="L818" s="44"/>
      <c r="M818" s="44"/>
      <c r="N818" s="44"/>
      <c r="O818" s="44"/>
      <c r="P818" s="44"/>
      <c r="Q818" s="44"/>
      <c r="R818" s="44"/>
      <c r="S818" s="44"/>
      <c r="T818" s="44"/>
      <c r="U818" s="44"/>
      <c r="V818" s="44"/>
      <c r="W818" s="44"/>
      <c r="X818" s="44"/>
      <c r="Y818" s="44"/>
      <c r="Z818" s="44"/>
      <c r="AA818" s="44"/>
      <c r="AB818" s="44"/>
      <c r="AC818" s="44"/>
      <c r="AD818" s="44"/>
      <c r="AE818" s="44"/>
      <c r="AF818" s="44"/>
      <c r="AG818" s="44"/>
      <c r="AH818" s="44"/>
      <c r="AI818" s="44"/>
      <c r="AJ818" s="44"/>
      <c r="AK818" s="44"/>
      <c r="AL818" s="44"/>
      <c r="AM818" s="44"/>
      <c r="AN818" s="44"/>
      <c r="AO818" s="44"/>
      <c r="AP818" s="44"/>
      <c r="AQ818" s="44"/>
      <c r="AR818" s="44"/>
      <c r="AS818" s="44"/>
      <c r="AT818" s="44"/>
      <c r="AU818" s="44"/>
      <c r="AV818" s="44"/>
      <c r="AW818" s="44"/>
      <c r="AX818" s="44"/>
    </row>
    <row r="819" spans="1:50" x14ac:dyDescent="0.25">
      <c r="A819" s="44"/>
      <c r="B819" s="44"/>
      <c r="C819" s="44"/>
      <c r="D819" s="44"/>
      <c r="E819" s="44"/>
      <c r="F819" s="44"/>
      <c r="G819" s="44"/>
      <c r="H819" s="44"/>
      <c r="I819" s="44"/>
      <c r="J819" s="44"/>
      <c r="K819" s="44"/>
      <c r="L819" s="44"/>
      <c r="M819" s="44"/>
      <c r="N819" s="44"/>
      <c r="O819" s="44"/>
      <c r="P819" s="44"/>
      <c r="Q819" s="44"/>
      <c r="R819" s="44"/>
      <c r="S819" s="44"/>
      <c r="T819" s="44"/>
      <c r="U819" s="44"/>
      <c r="V819" s="44"/>
      <c r="W819" s="44"/>
      <c r="X819" s="44"/>
      <c r="Y819" s="44"/>
      <c r="Z819" s="44"/>
      <c r="AA819" s="44"/>
      <c r="AB819" s="44"/>
      <c r="AC819" s="44"/>
      <c r="AD819" s="44"/>
      <c r="AE819" s="44"/>
      <c r="AF819" s="44"/>
      <c r="AG819" s="44"/>
      <c r="AH819" s="44"/>
      <c r="AI819" s="44"/>
      <c r="AJ819" s="44"/>
      <c r="AK819" s="44"/>
      <c r="AL819" s="44"/>
      <c r="AM819" s="44"/>
      <c r="AN819" s="44"/>
      <c r="AO819" s="44"/>
      <c r="AP819" s="44"/>
      <c r="AQ819" s="44"/>
      <c r="AR819" s="44"/>
      <c r="AS819" s="44"/>
      <c r="AT819" s="44"/>
      <c r="AU819" s="44"/>
      <c r="AV819" s="44"/>
      <c r="AW819" s="44"/>
      <c r="AX819" s="44"/>
    </row>
    <row r="820" spans="1:50" x14ac:dyDescent="0.25">
      <c r="A820" s="44"/>
      <c r="B820" s="44"/>
      <c r="C820" s="44"/>
      <c r="D820" s="44"/>
      <c r="E820" s="44"/>
      <c r="F820" s="44"/>
      <c r="G820" s="44"/>
      <c r="H820" s="44"/>
      <c r="I820" s="44"/>
      <c r="J820" s="44"/>
      <c r="K820" s="44"/>
      <c r="L820" s="44"/>
      <c r="M820" s="44"/>
      <c r="N820" s="44"/>
      <c r="O820" s="44"/>
      <c r="P820" s="44"/>
      <c r="Q820" s="44"/>
      <c r="R820" s="44"/>
      <c r="S820" s="44"/>
      <c r="T820" s="44"/>
      <c r="U820" s="44"/>
      <c r="V820" s="44"/>
      <c r="W820" s="44"/>
      <c r="X820" s="44"/>
      <c r="Y820" s="44"/>
      <c r="Z820" s="44"/>
      <c r="AA820" s="44"/>
      <c r="AB820" s="44"/>
      <c r="AC820" s="44"/>
      <c r="AD820" s="44"/>
      <c r="AE820" s="44"/>
      <c r="AF820" s="44"/>
      <c r="AG820" s="44"/>
      <c r="AH820" s="44"/>
      <c r="AI820" s="44"/>
      <c r="AJ820" s="44"/>
      <c r="AK820" s="44"/>
      <c r="AL820" s="44"/>
      <c r="AM820" s="44"/>
      <c r="AN820" s="44"/>
      <c r="AO820" s="44"/>
      <c r="AP820" s="44"/>
      <c r="AQ820" s="44"/>
      <c r="AR820" s="44"/>
      <c r="AS820" s="44"/>
      <c r="AT820" s="44"/>
      <c r="AU820" s="44"/>
      <c r="AV820" s="44"/>
      <c r="AW820" s="44"/>
      <c r="AX820" s="44"/>
    </row>
    <row r="821" spans="1:50" x14ac:dyDescent="0.25">
      <c r="A821" s="44"/>
      <c r="B821" s="44"/>
      <c r="C821" s="44"/>
      <c r="D821" s="44"/>
      <c r="E821" s="44"/>
      <c r="F821" s="44"/>
      <c r="G821" s="44"/>
      <c r="H821" s="44"/>
      <c r="I821" s="44"/>
      <c r="J821" s="44"/>
      <c r="K821" s="44"/>
      <c r="L821" s="44"/>
      <c r="M821" s="44"/>
      <c r="N821" s="44"/>
      <c r="O821" s="44"/>
      <c r="P821" s="44"/>
      <c r="Q821" s="44"/>
      <c r="R821" s="44"/>
      <c r="S821" s="44"/>
      <c r="T821" s="44"/>
      <c r="U821" s="44"/>
      <c r="V821" s="44"/>
      <c r="W821" s="44"/>
      <c r="X821" s="44"/>
      <c r="Y821" s="44"/>
      <c r="Z821" s="44"/>
      <c r="AA821" s="44"/>
      <c r="AB821" s="44"/>
      <c r="AC821" s="44"/>
      <c r="AD821" s="44"/>
      <c r="AE821" s="44"/>
      <c r="AF821" s="44"/>
      <c r="AG821" s="44"/>
      <c r="AH821" s="44"/>
      <c r="AI821" s="44"/>
      <c r="AJ821" s="44"/>
      <c r="AK821" s="44"/>
      <c r="AL821" s="44"/>
      <c r="AM821" s="44"/>
      <c r="AN821" s="44"/>
      <c r="AO821" s="44"/>
      <c r="AP821" s="44"/>
      <c r="AQ821" s="44"/>
      <c r="AR821" s="44"/>
      <c r="AS821" s="44"/>
      <c r="AT821" s="44"/>
      <c r="AU821" s="44"/>
      <c r="AV821" s="44"/>
      <c r="AW821" s="44"/>
      <c r="AX821" s="44"/>
    </row>
    <row r="822" spans="1:50" x14ac:dyDescent="0.25">
      <c r="A822" s="44"/>
      <c r="B822" s="44"/>
      <c r="C822" s="44"/>
      <c r="D822" s="44"/>
      <c r="E822" s="44"/>
      <c r="F822" s="44"/>
      <c r="G822" s="44"/>
      <c r="H822" s="44"/>
      <c r="I822" s="44"/>
      <c r="J822" s="44"/>
      <c r="K822" s="44"/>
      <c r="L822" s="44"/>
      <c r="M822" s="44"/>
      <c r="N822" s="44"/>
      <c r="O822" s="44"/>
      <c r="P822" s="44"/>
      <c r="Q822" s="44"/>
      <c r="R822" s="44"/>
      <c r="S822" s="44"/>
      <c r="T822" s="44"/>
      <c r="U822" s="44"/>
      <c r="V822" s="44"/>
      <c r="W822" s="44"/>
      <c r="X822" s="44"/>
      <c r="Y822" s="44"/>
      <c r="Z822" s="44"/>
      <c r="AA822" s="44"/>
      <c r="AB822" s="44"/>
      <c r="AC822" s="44"/>
      <c r="AD822" s="44"/>
      <c r="AE822" s="44"/>
      <c r="AF822" s="44"/>
      <c r="AG822" s="44"/>
      <c r="AH822" s="44"/>
      <c r="AI822" s="44"/>
      <c r="AJ822" s="44"/>
      <c r="AK822" s="44"/>
      <c r="AL822" s="44"/>
      <c r="AM822" s="44"/>
      <c r="AN822" s="44"/>
      <c r="AO822" s="44"/>
      <c r="AP822" s="44"/>
      <c r="AQ822" s="44"/>
      <c r="AR822" s="44"/>
      <c r="AS822" s="44"/>
      <c r="AT822" s="44"/>
      <c r="AU822" s="44"/>
      <c r="AV822" s="44"/>
      <c r="AW822" s="44"/>
      <c r="AX822" s="44"/>
    </row>
    <row r="823" spans="1:50" x14ac:dyDescent="0.25">
      <c r="A823" s="44"/>
      <c r="B823" s="44"/>
      <c r="C823" s="44"/>
      <c r="D823" s="44"/>
      <c r="E823" s="44"/>
      <c r="F823" s="44"/>
      <c r="G823" s="44"/>
      <c r="H823" s="44"/>
      <c r="I823" s="44"/>
      <c r="J823" s="44"/>
      <c r="K823" s="44"/>
      <c r="L823" s="44"/>
      <c r="M823" s="44"/>
      <c r="N823" s="44"/>
      <c r="O823" s="44"/>
      <c r="P823" s="44"/>
      <c r="Q823" s="44"/>
      <c r="R823" s="44"/>
      <c r="S823" s="44"/>
      <c r="T823" s="44"/>
      <c r="U823" s="44"/>
      <c r="V823" s="44"/>
      <c r="W823" s="44"/>
      <c r="X823" s="44"/>
      <c r="Y823" s="44"/>
      <c r="Z823" s="44"/>
      <c r="AA823" s="44"/>
      <c r="AB823" s="44"/>
      <c r="AC823" s="44"/>
      <c r="AD823" s="44"/>
      <c r="AE823" s="44"/>
      <c r="AF823" s="44"/>
      <c r="AG823" s="44"/>
      <c r="AH823" s="44"/>
      <c r="AI823" s="44"/>
      <c r="AJ823" s="44"/>
      <c r="AK823" s="44"/>
      <c r="AL823" s="44"/>
      <c r="AM823" s="44"/>
      <c r="AN823" s="44"/>
      <c r="AO823" s="44"/>
      <c r="AP823" s="44"/>
      <c r="AQ823" s="44"/>
      <c r="AR823" s="44"/>
      <c r="AS823" s="44"/>
      <c r="AT823" s="44"/>
      <c r="AU823" s="44"/>
      <c r="AV823" s="44"/>
      <c r="AW823" s="44"/>
      <c r="AX823" s="44"/>
    </row>
    <row r="824" spans="1:50" x14ac:dyDescent="0.25">
      <c r="A824" s="44"/>
      <c r="B824" s="44"/>
      <c r="C824" s="44"/>
      <c r="D824" s="44"/>
      <c r="E824" s="44"/>
      <c r="F824" s="44"/>
      <c r="G824" s="44"/>
      <c r="H824" s="44"/>
      <c r="I824" s="44"/>
      <c r="J824" s="44"/>
      <c r="K824" s="44"/>
      <c r="L824" s="44"/>
      <c r="M824" s="44"/>
      <c r="N824" s="44"/>
      <c r="O824" s="44"/>
      <c r="P824" s="44"/>
      <c r="Q824" s="44"/>
      <c r="R824" s="44"/>
      <c r="S824" s="44"/>
      <c r="T824" s="44"/>
      <c r="U824" s="44"/>
      <c r="V824" s="44"/>
      <c r="W824" s="44"/>
      <c r="X824" s="44"/>
      <c r="Y824" s="44"/>
      <c r="Z824" s="44"/>
      <c r="AA824" s="44"/>
      <c r="AB824" s="44"/>
      <c r="AC824" s="44"/>
      <c r="AD824" s="44"/>
      <c r="AE824" s="44"/>
      <c r="AF824" s="44"/>
      <c r="AG824" s="44"/>
      <c r="AH824" s="44"/>
      <c r="AI824" s="44"/>
      <c r="AJ824" s="44"/>
      <c r="AK824" s="44"/>
      <c r="AL824" s="44"/>
      <c r="AM824" s="44"/>
      <c r="AN824" s="44"/>
      <c r="AO824" s="44"/>
      <c r="AP824" s="44"/>
      <c r="AQ824" s="44"/>
      <c r="AR824" s="44"/>
      <c r="AS824" s="44"/>
      <c r="AT824" s="44"/>
      <c r="AU824" s="44"/>
      <c r="AV824" s="44"/>
      <c r="AW824" s="44"/>
      <c r="AX824" s="44"/>
    </row>
    <row r="825" spans="1:50" x14ac:dyDescent="0.25">
      <c r="A825" s="44"/>
      <c r="B825" s="44"/>
      <c r="C825" s="44"/>
      <c r="D825" s="44"/>
      <c r="E825" s="44"/>
      <c r="F825" s="44"/>
      <c r="G825" s="44"/>
      <c r="H825" s="44"/>
      <c r="I825" s="44"/>
      <c r="J825" s="44"/>
      <c r="K825" s="44"/>
      <c r="L825" s="44"/>
      <c r="M825" s="44"/>
      <c r="N825" s="44"/>
      <c r="O825" s="44"/>
      <c r="P825" s="44"/>
      <c r="Q825" s="44"/>
      <c r="R825" s="44"/>
      <c r="S825" s="44"/>
      <c r="T825" s="44"/>
      <c r="U825" s="44"/>
      <c r="V825" s="44"/>
      <c r="W825" s="44"/>
      <c r="X825" s="44"/>
      <c r="Y825" s="44"/>
      <c r="Z825" s="44"/>
      <c r="AA825" s="44"/>
      <c r="AB825" s="44"/>
      <c r="AC825" s="44"/>
      <c r="AD825" s="44"/>
      <c r="AE825" s="44"/>
      <c r="AF825" s="44"/>
      <c r="AG825" s="44"/>
      <c r="AH825" s="44"/>
      <c r="AI825" s="44"/>
      <c r="AJ825" s="44"/>
      <c r="AK825" s="44"/>
      <c r="AL825" s="44"/>
      <c r="AM825" s="44"/>
      <c r="AN825" s="44"/>
      <c r="AO825" s="44"/>
      <c r="AP825" s="44"/>
      <c r="AQ825" s="44"/>
      <c r="AR825" s="44"/>
      <c r="AS825" s="44"/>
      <c r="AT825" s="44"/>
      <c r="AU825" s="44"/>
      <c r="AV825" s="44"/>
      <c r="AW825" s="44"/>
      <c r="AX825" s="44"/>
    </row>
    <row r="826" spans="1:50" x14ac:dyDescent="0.25">
      <c r="A826" s="44"/>
      <c r="B826" s="44"/>
      <c r="C826" s="44"/>
      <c r="D826" s="44"/>
      <c r="E826" s="44"/>
      <c r="F826" s="44"/>
      <c r="G826" s="44"/>
      <c r="H826" s="44"/>
      <c r="I826" s="44"/>
      <c r="J826" s="44"/>
      <c r="K826" s="44"/>
      <c r="L826" s="44"/>
      <c r="M826" s="44"/>
      <c r="N826" s="44"/>
      <c r="O826" s="44"/>
      <c r="P826" s="44"/>
      <c r="Q826" s="44"/>
      <c r="R826" s="44"/>
      <c r="S826" s="44"/>
      <c r="T826" s="44"/>
      <c r="U826" s="44"/>
      <c r="V826" s="44"/>
      <c r="W826" s="44"/>
      <c r="X826" s="44"/>
      <c r="Y826" s="44"/>
      <c r="Z826" s="44"/>
      <c r="AA826" s="44"/>
      <c r="AB826" s="44"/>
      <c r="AC826" s="44"/>
      <c r="AD826" s="44"/>
      <c r="AE826" s="44"/>
      <c r="AF826" s="44"/>
      <c r="AG826" s="44"/>
      <c r="AH826" s="44"/>
      <c r="AI826" s="44"/>
      <c r="AJ826" s="44"/>
      <c r="AK826" s="44"/>
      <c r="AL826" s="44"/>
      <c r="AM826" s="44"/>
      <c r="AN826" s="44"/>
      <c r="AO826" s="44"/>
      <c r="AP826" s="44"/>
      <c r="AQ826" s="44"/>
      <c r="AR826" s="44"/>
      <c r="AS826" s="44"/>
      <c r="AT826" s="44"/>
      <c r="AU826" s="44"/>
      <c r="AV826" s="44"/>
      <c r="AW826" s="44"/>
      <c r="AX826" s="44"/>
    </row>
    <row r="827" spans="1:50" x14ac:dyDescent="0.25">
      <c r="A827" s="44"/>
      <c r="B827" s="44"/>
      <c r="C827" s="44"/>
      <c r="D827" s="44"/>
      <c r="E827" s="44"/>
      <c r="F827" s="44"/>
      <c r="G827" s="44"/>
      <c r="H827" s="44"/>
      <c r="I827" s="44"/>
      <c r="J827" s="44"/>
      <c r="K827" s="44"/>
      <c r="L827" s="44"/>
      <c r="M827" s="44"/>
      <c r="N827" s="44"/>
      <c r="O827" s="44"/>
      <c r="P827" s="44"/>
      <c r="Q827" s="44"/>
      <c r="R827" s="44"/>
      <c r="S827" s="44"/>
      <c r="T827" s="44"/>
      <c r="U827" s="44"/>
      <c r="V827" s="44"/>
      <c r="W827" s="44"/>
      <c r="X827" s="44"/>
      <c r="Y827" s="44"/>
      <c r="Z827" s="44"/>
      <c r="AA827" s="44"/>
      <c r="AB827" s="44"/>
      <c r="AC827" s="44"/>
      <c r="AD827" s="44"/>
      <c r="AE827" s="44"/>
      <c r="AF827" s="44"/>
      <c r="AG827" s="44"/>
      <c r="AH827" s="44"/>
      <c r="AI827" s="44"/>
      <c r="AJ827" s="44"/>
      <c r="AK827" s="44"/>
      <c r="AL827" s="44"/>
      <c r="AM827" s="44"/>
      <c r="AN827" s="44"/>
      <c r="AO827" s="44"/>
      <c r="AP827" s="44"/>
      <c r="AQ827" s="44"/>
      <c r="AR827" s="44"/>
      <c r="AS827" s="44"/>
      <c r="AT827" s="44"/>
      <c r="AU827" s="44"/>
      <c r="AV827" s="44"/>
      <c r="AW827" s="44"/>
      <c r="AX827" s="44"/>
    </row>
    <row r="828" spans="1:50" x14ac:dyDescent="0.25">
      <c r="A828" s="44"/>
      <c r="B828" s="44"/>
      <c r="C828" s="44"/>
      <c r="D828" s="44"/>
      <c r="E828" s="44"/>
      <c r="F828" s="44"/>
      <c r="G828" s="44"/>
      <c r="H828" s="44"/>
      <c r="I828" s="44"/>
      <c r="J828" s="44"/>
      <c r="K828" s="44"/>
      <c r="L828" s="44"/>
      <c r="M828" s="44"/>
      <c r="N828" s="44"/>
      <c r="O828" s="44"/>
      <c r="P828" s="44"/>
      <c r="Q828" s="44"/>
      <c r="R828" s="44"/>
      <c r="S828" s="44"/>
      <c r="T828" s="44"/>
      <c r="U828" s="44"/>
      <c r="V828" s="44"/>
      <c r="W828" s="44"/>
      <c r="X828" s="44"/>
      <c r="Y828" s="44"/>
      <c r="Z828" s="44"/>
      <c r="AA828" s="44"/>
      <c r="AB828" s="44"/>
      <c r="AC828" s="44"/>
      <c r="AD828" s="44"/>
      <c r="AE828" s="44"/>
      <c r="AF828" s="44"/>
      <c r="AG828" s="44"/>
      <c r="AH828" s="44"/>
      <c r="AI828" s="44"/>
      <c r="AJ828" s="44"/>
      <c r="AK828" s="44"/>
      <c r="AL828" s="44"/>
      <c r="AM828" s="44"/>
      <c r="AN828" s="44"/>
      <c r="AO828" s="44"/>
      <c r="AP828" s="44"/>
      <c r="AQ828" s="44"/>
      <c r="AR828" s="44"/>
      <c r="AS828" s="44"/>
      <c r="AT828" s="44"/>
      <c r="AU828" s="44"/>
      <c r="AV828" s="44"/>
      <c r="AW828" s="44"/>
      <c r="AX828" s="44"/>
    </row>
    <row r="829" spans="1:50" x14ac:dyDescent="0.25">
      <c r="A829" s="44"/>
      <c r="B829" s="44"/>
      <c r="C829" s="44"/>
      <c r="D829" s="44"/>
      <c r="E829" s="44"/>
      <c r="F829" s="44"/>
      <c r="G829" s="44"/>
      <c r="H829" s="44"/>
      <c r="I829" s="44"/>
      <c r="J829" s="44"/>
      <c r="K829" s="44"/>
      <c r="L829" s="44"/>
      <c r="M829" s="44"/>
      <c r="N829" s="44"/>
      <c r="O829" s="44"/>
      <c r="P829" s="44"/>
      <c r="Q829" s="44"/>
      <c r="R829" s="44"/>
      <c r="S829" s="44"/>
      <c r="T829" s="44"/>
      <c r="U829" s="44"/>
      <c r="V829" s="44"/>
      <c r="W829" s="44"/>
      <c r="X829" s="44"/>
      <c r="Y829" s="44"/>
      <c r="Z829" s="44"/>
      <c r="AA829" s="44"/>
      <c r="AB829" s="44"/>
      <c r="AC829" s="44"/>
      <c r="AD829" s="44"/>
      <c r="AE829" s="44"/>
      <c r="AF829" s="44"/>
      <c r="AG829" s="44"/>
      <c r="AH829" s="44"/>
      <c r="AI829" s="44"/>
      <c r="AJ829" s="44"/>
      <c r="AK829" s="44"/>
      <c r="AL829" s="44"/>
      <c r="AM829" s="44"/>
      <c r="AN829" s="44"/>
      <c r="AO829" s="44"/>
      <c r="AP829" s="44"/>
      <c r="AQ829" s="44"/>
      <c r="AR829" s="44"/>
      <c r="AS829" s="44"/>
      <c r="AT829" s="44"/>
      <c r="AU829" s="44"/>
      <c r="AV829" s="44"/>
      <c r="AW829" s="44"/>
      <c r="AX829" s="44"/>
    </row>
    <row r="830" spans="1:50" x14ac:dyDescent="0.25">
      <c r="A830" s="44"/>
      <c r="B830" s="44"/>
      <c r="C830" s="44"/>
      <c r="D830" s="44"/>
      <c r="E830" s="44"/>
      <c r="F830" s="44"/>
      <c r="G830" s="44"/>
      <c r="H830" s="44"/>
      <c r="I830" s="44"/>
      <c r="J830" s="44"/>
      <c r="K830" s="44"/>
      <c r="L830" s="44"/>
      <c r="M830" s="44"/>
      <c r="N830" s="44"/>
      <c r="O830" s="44"/>
      <c r="P830" s="44"/>
      <c r="Q830" s="44"/>
      <c r="R830" s="44"/>
      <c r="S830" s="44"/>
      <c r="T830" s="44"/>
      <c r="U830" s="44"/>
      <c r="V830" s="44"/>
      <c r="W830" s="44"/>
      <c r="X830" s="44"/>
      <c r="Y830" s="44"/>
      <c r="Z830" s="44"/>
      <c r="AA830" s="44"/>
      <c r="AB830" s="44"/>
      <c r="AC830" s="44"/>
      <c r="AD830" s="44"/>
      <c r="AE830" s="44"/>
      <c r="AF830" s="44"/>
      <c r="AG830" s="44"/>
      <c r="AH830" s="44"/>
      <c r="AI830" s="44"/>
      <c r="AJ830" s="44"/>
      <c r="AK830" s="44"/>
      <c r="AL830" s="44"/>
      <c r="AM830" s="44"/>
      <c r="AN830" s="44"/>
      <c r="AO830" s="44"/>
      <c r="AP830" s="44"/>
      <c r="AQ830" s="44"/>
      <c r="AR830" s="44"/>
      <c r="AS830" s="44"/>
      <c r="AT830" s="44"/>
      <c r="AU830" s="44"/>
      <c r="AV830" s="44"/>
      <c r="AW830" s="44"/>
      <c r="AX830" s="44"/>
    </row>
    <row r="831" spans="1:50" x14ac:dyDescent="0.25">
      <c r="A831" s="44"/>
      <c r="B831" s="44"/>
      <c r="C831" s="44"/>
      <c r="D831" s="44"/>
      <c r="E831" s="44"/>
      <c r="F831" s="44"/>
      <c r="G831" s="44"/>
      <c r="H831" s="44"/>
      <c r="I831" s="44"/>
      <c r="J831" s="44"/>
      <c r="K831" s="44"/>
      <c r="L831" s="44"/>
      <c r="M831" s="44"/>
      <c r="N831" s="44"/>
      <c r="O831" s="44"/>
      <c r="P831" s="44"/>
      <c r="Q831" s="44"/>
      <c r="R831" s="44"/>
      <c r="S831" s="44"/>
      <c r="T831" s="44"/>
      <c r="U831" s="44"/>
      <c r="V831" s="44"/>
      <c r="W831" s="44"/>
      <c r="X831" s="44"/>
      <c r="Y831" s="44"/>
      <c r="Z831" s="44"/>
      <c r="AA831" s="44"/>
      <c r="AB831" s="44"/>
      <c r="AC831" s="44"/>
      <c r="AD831" s="44"/>
      <c r="AE831" s="44"/>
      <c r="AF831" s="44"/>
      <c r="AG831" s="44"/>
      <c r="AH831" s="44"/>
      <c r="AI831" s="44"/>
      <c r="AJ831" s="44"/>
      <c r="AK831" s="44"/>
      <c r="AL831" s="44"/>
      <c r="AM831" s="44"/>
      <c r="AN831" s="44"/>
      <c r="AO831" s="44"/>
      <c r="AP831" s="44"/>
      <c r="AQ831" s="44"/>
      <c r="AR831" s="44"/>
      <c r="AS831" s="44"/>
      <c r="AT831" s="44"/>
      <c r="AU831" s="44"/>
      <c r="AV831" s="44"/>
      <c r="AW831" s="44"/>
      <c r="AX831" s="44"/>
    </row>
    <row r="832" spans="1:50" x14ac:dyDescent="0.25">
      <c r="A832" s="44"/>
      <c r="B832" s="44"/>
      <c r="C832" s="44"/>
      <c r="D832" s="44"/>
      <c r="E832" s="44"/>
      <c r="F832" s="44"/>
      <c r="G832" s="44"/>
      <c r="H832" s="44"/>
      <c r="I832" s="44"/>
      <c r="J832" s="44"/>
      <c r="K832" s="44"/>
      <c r="L832" s="44"/>
      <c r="M832" s="44"/>
      <c r="N832" s="44"/>
      <c r="O832" s="44"/>
      <c r="P832" s="44"/>
      <c r="Q832" s="44"/>
      <c r="R832" s="44"/>
      <c r="S832" s="44"/>
      <c r="T832" s="44"/>
      <c r="U832" s="44"/>
      <c r="V832" s="44"/>
      <c r="W832" s="44"/>
      <c r="X832" s="44"/>
      <c r="Y832" s="44"/>
      <c r="Z832" s="44"/>
      <c r="AA832" s="44"/>
      <c r="AB832" s="44"/>
      <c r="AC832" s="44"/>
      <c r="AD832" s="44"/>
      <c r="AE832" s="44"/>
      <c r="AF832" s="44"/>
      <c r="AG832" s="44"/>
      <c r="AH832" s="44"/>
      <c r="AI832" s="44"/>
      <c r="AJ832" s="44"/>
      <c r="AK832" s="44"/>
      <c r="AL832" s="44"/>
      <c r="AM832" s="44"/>
      <c r="AN832" s="44"/>
      <c r="AO832" s="44"/>
      <c r="AP832" s="44"/>
      <c r="AQ832" s="44"/>
      <c r="AR832" s="44"/>
      <c r="AS832" s="44"/>
      <c r="AT832" s="44"/>
      <c r="AU832" s="44"/>
      <c r="AV832" s="44"/>
      <c r="AW832" s="44"/>
      <c r="AX832" s="44"/>
    </row>
    <row r="833" spans="1:50" x14ac:dyDescent="0.25">
      <c r="A833" s="44"/>
      <c r="B833" s="44"/>
      <c r="C833" s="44"/>
      <c r="D833" s="44"/>
      <c r="E833" s="44"/>
      <c r="F833" s="44"/>
      <c r="G833" s="44"/>
      <c r="H833" s="44"/>
      <c r="I833" s="44"/>
      <c r="J833" s="44"/>
      <c r="K833" s="44"/>
      <c r="L833" s="44"/>
      <c r="M833" s="44"/>
      <c r="N833" s="44"/>
      <c r="O833" s="44"/>
      <c r="P833" s="44"/>
      <c r="Q833" s="44"/>
      <c r="R833" s="44"/>
      <c r="S833" s="44"/>
      <c r="T833" s="44"/>
      <c r="U833" s="44"/>
      <c r="V833" s="44"/>
      <c r="W833" s="44"/>
      <c r="X833" s="44"/>
      <c r="Y833" s="44"/>
      <c r="Z833" s="44"/>
      <c r="AA833" s="44"/>
      <c r="AB833" s="44"/>
      <c r="AC833" s="44"/>
      <c r="AD833" s="44"/>
      <c r="AE833" s="44"/>
      <c r="AF833" s="44"/>
      <c r="AG833" s="44"/>
      <c r="AH833" s="44"/>
      <c r="AI833" s="44"/>
      <c r="AJ833" s="44"/>
      <c r="AK833" s="44"/>
      <c r="AL833" s="44"/>
      <c r="AM833" s="44"/>
      <c r="AN833" s="44"/>
      <c r="AO833" s="44"/>
      <c r="AP833" s="44"/>
      <c r="AQ833" s="44"/>
      <c r="AR833" s="44"/>
      <c r="AS833" s="44"/>
      <c r="AT833" s="44"/>
      <c r="AU833" s="44"/>
      <c r="AV833" s="44"/>
      <c r="AW833" s="44"/>
      <c r="AX833" s="44"/>
    </row>
    <row r="834" spans="1:50" x14ac:dyDescent="0.25">
      <c r="A834" s="44"/>
      <c r="B834" s="44"/>
      <c r="C834" s="44"/>
      <c r="D834" s="44"/>
      <c r="E834" s="44"/>
      <c r="F834" s="44"/>
      <c r="G834" s="44"/>
      <c r="H834" s="44"/>
      <c r="I834" s="44"/>
      <c r="J834" s="44"/>
      <c r="K834" s="44"/>
      <c r="L834" s="44"/>
      <c r="M834" s="44"/>
      <c r="N834" s="44"/>
      <c r="O834" s="44"/>
      <c r="P834" s="44"/>
      <c r="Q834" s="44"/>
      <c r="R834" s="44"/>
      <c r="S834" s="44"/>
      <c r="T834" s="44"/>
      <c r="U834" s="44"/>
      <c r="V834" s="44"/>
      <c r="W834" s="44"/>
      <c r="X834" s="44"/>
      <c r="Y834" s="44"/>
      <c r="Z834" s="44"/>
      <c r="AA834" s="44"/>
      <c r="AB834" s="44"/>
      <c r="AC834" s="44"/>
      <c r="AD834" s="44"/>
      <c r="AE834" s="44"/>
      <c r="AF834" s="44"/>
      <c r="AG834" s="44"/>
      <c r="AH834" s="44"/>
      <c r="AI834" s="44"/>
      <c r="AJ834" s="44"/>
      <c r="AK834" s="44"/>
      <c r="AL834" s="44"/>
      <c r="AM834" s="44"/>
      <c r="AN834" s="44"/>
      <c r="AO834" s="44"/>
      <c r="AP834" s="44"/>
      <c r="AQ834" s="44"/>
      <c r="AR834" s="44"/>
      <c r="AS834" s="44"/>
      <c r="AT834" s="44"/>
      <c r="AU834" s="44"/>
      <c r="AV834" s="44"/>
      <c r="AW834" s="44"/>
      <c r="AX834" s="44"/>
    </row>
    <row r="835" spans="1:50" x14ac:dyDescent="0.25">
      <c r="A835" s="44"/>
      <c r="B835" s="44"/>
      <c r="C835" s="44"/>
      <c r="D835" s="44"/>
      <c r="E835" s="44"/>
      <c r="F835" s="44"/>
      <c r="G835" s="44"/>
      <c r="H835" s="44"/>
      <c r="I835" s="44"/>
      <c r="J835" s="44"/>
      <c r="K835" s="44"/>
      <c r="L835" s="44"/>
      <c r="M835" s="44"/>
      <c r="N835" s="44"/>
      <c r="O835" s="44"/>
      <c r="P835" s="44"/>
      <c r="Q835" s="44"/>
      <c r="R835" s="44"/>
      <c r="S835" s="44"/>
      <c r="T835" s="44"/>
      <c r="U835" s="44"/>
      <c r="V835" s="44"/>
      <c r="W835" s="44"/>
      <c r="X835" s="44"/>
      <c r="Y835" s="44"/>
      <c r="Z835" s="44"/>
      <c r="AA835" s="44"/>
      <c r="AB835" s="44"/>
      <c r="AC835" s="44"/>
      <c r="AD835" s="44"/>
      <c r="AE835" s="44"/>
      <c r="AF835" s="44"/>
      <c r="AG835" s="44"/>
      <c r="AH835" s="44"/>
      <c r="AI835" s="44"/>
      <c r="AJ835" s="44"/>
      <c r="AK835" s="44"/>
      <c r="AL835" s="44"/>
      <c r="AM835" s="44"/>
      <c r="AN835" s="44"/>
      <c r="AO835" s="44"/>
      <c r="AP835" s="44"/>
      <c r="AQ835" s="44"/>
      <c r="AR835" s="44"/>
      <c r="AS835" s="44"/>
      <c r="AT835" s="44"/>
      <c r="AU835" s="44"/>
      <c r="AV835" s="44"/>
      <c r="AW835" s="44"/>
      <c r="AX835" s="44"/>
    </row>
    <row r="836" spans="1:50" x14ac:dyDescent="0.25">
      <c r="A836" s="44"/>
      <c r="B836" s="44"/>
      <c r="C836" s="44"/>
      <c r="D836" s="44"/>
      <c r="E836" s="44"/>
      <c r="F836" s="44"/>
      <c r="G836" s="44"/>
      <c r="H836" s="44"/>
      <c r="I836" s="44"/>
      <c r="J836" s="44"/>
      <c r="K836" s="44"/>
      <c r="L836" s="44"/>
      <c r="M836" s="44"/>
      <c r="N836" s="44"/>
      <c r="O836" s="44"/>
      <c r="P836" s="44"/>
      <c r="Q836" s="44"/>
      <c r="R836" s="44"/>
      <c r="S836" s="44"/>
      <c r="T836" s="44"/>
      <c r="U836" s="44"/>
      <c r="V836" s="44"/>
      <c r="W836" s="44"/>
      <c r="X836" s="44"/>
      <c r="Y836" s="44"/>
      <c r="Z836" s="44"/>
      <c r="AA836" s="44"/>
      <c r="AB836" s="44"/>
      <c r="AC836" s="44"/>
      <c r="AD836" s="44"/>
      <c r="AE836" s="44"/>
      <c r="AF836" s="44"/>
      <c r="AG836" s="44"/>
      <c r="AH836" s="44"/>
      <c r="AI836" s="44"/>
      <c r="AJ836" s="44"/>
      <c r="AK836" s="44"/>
      <c r="AL836" s="44"/>
      <c r="AM836" s="44"/>
      <c r="AN836" s="44"/>
      <c r="AO836" s="44"/>
      <c r="AP836" s="44"/>
      <c r="AQ836" s="44"/>
      <c r="AR836" s="44"/>
      <c r="AS836" s="44"/>
      <c r="AT836" s="44"/>
      <c r="AU836" s="44"/>
      <c r="AV836" s="44"/>
      <c r="AW836" s="44"/>
      <c r="AX836" s="44"/>
    </row>
    <row r="837" spans="1:50" x14ac:dyDescent="0.25">
      <c r="A837" s="44"/>
      <c r="B837" s="44"/>
      <c r="C837" s="44"/>
      <c r="D837" s="44"/>
      <c r="E837" s="44"/>
      <c r="F837" s="44"/>
      <c r="G837" s="44"/>
      <c r="H837" s="44"/>
      <c r="I837" s="44"/>
      <c r="J837" s="44"/>
      <c r="K837" s="44"/>
      <c r="L837" s="44"/>
      <c r="M837" s="44"/>
      <c r="N837" s="44"/>
      <c r="O837" s="44"/>
      <c r="P837" s="44"/>
      <c r="Q837" s="44"/>
      <c r="R837" s="44"/>
      <c r="S837" s="44"/>
      <c r="T837" s="44"/>
      <c r="U837" s="44"/>
      <c r="V837" s="44"/>
      <c r="W837" s="44"/>
      <c r="X837" s="44"/>
      <c r="Y837" s="44"/>
      <c r="Z837" s="44"/>
      <c r="AA837" s="44"/>
      <c r="AB837" s="44"/>
      <c r="AC837" s="44"/>
      <c r="AD837" s="44"/>
      <c r="AE837" s="44"/>
      <c r="AF837" s="44"/>
      <c r="AG837" s="44"/>
      <c r="AH837" s="44"/>
      <c r="AI837" s="44"/>
      <c r="AJ837" s="44"/>
      <c r="AK837" s="44"/>
      <c r="AL837" s="44"/>
      <c r="AM837" s="44"/>
      <c r="AN837" s="44"/>
      <c r="AO837" s="44"/>
      <c r="AP837" s="44"/>
      <c r="AQ837" s="44"/>
      <c r="AR837" s="44"/>
      <c r="AS837" s="44"/>
      <c r="AT837" s="44"/>
      <c r="AU837" s="44"/>
      <c r="AV837" s="44"/>
      <c r="AW837" s="44"/>
      <c r="AX837" s="44"/>
    </row>
    <row r="838" spans="1:50" x14ac:dyDescent="0.25">
      <c r="A838" s="44"/>
      <c r="B838" s="44"/>
      <c r="C838" s="44"/>
      <c r="D838" s="44"/>
      <c r="E838" s="44"/>
      <c r="F838" s="44"/>
      <c r="G838" s="44"/>
      <c r="H838" s="44"/>
      <c r="I838" s="44"/>
      <c r="J838" s="44"/>
      <c r="K838" s="44"/>
      <c r="L838" s="44"/>
      <c r="M838" s="44"/>
      <c r="N838" s="44"/>
      <c r="O838" s="44"/>
      <c r="P838" s="44"/>
      <c r="Q838" s="44"/>
      <c r="R838" s="44"/>
      <c r="S838" s="44"/>
      <c r="T838" s="44"/>
      <c r="U838" s="44"/>
      <c r="V838" s="44"/>
      <c r="W838" s="44"/>
      <c r="X838" s="44"/>
      <c r="Y838" s="44"/>
      <c r="Z838" s="44"/>
      <c r="AA838" s="44"/>
      <c r="AB838" s="44"/>
      <c r="AC838" s="44"/>
      <c r="AD838" s="44"/>
      <c r="AE838" s="44"/>
      <c r="AF838" s="44"/>
      <c r="AG838" s="44"/>
      <c r="AH838" s="44"/>
      <c r="AI838" s="44"/>
      <c r="AJ838" s="44"/>
      <c r="AK838" s="44"/>
      <c r="AL838" s="44"/>
      <c r="AM838" s="44"/>
      <c r="AN838" s="44"/>
      <c r="AO838" s="44"/>
      <c r="AP838" s="44"/>
      <c r="AQ838" s="44"/>
      <c r="AR838" s="44"/>
      <c r="AS838" s="44"/>
      <c r="AT838" s="44"/>
      <c r="AU838" s="44"/>
      <c r="AV838" s="44"/>
      <c r="AW838" s="44"/>
      <c r="AX838" s="44"/>
    </row>
    <row r="839" spans="1:50" x14ac:dyDescent="0.25">
      <c r="A839" s="44"/>
      <c r="B839" s="44"/>
      <c r="C839" s="44"/>
      <c r="D839" s="44"/>
      <c r="E839" s="44"/>
      <c r="F839" s="44"/>
      <c r="G839" s="44"/>
      <c r="H839" s="44"/>
      <c r="I839" s="44"/>
      <c r="J839" s="44"/>
      <c r="K839" s="44"/>
      <c r="L839" s="44"/>
      <c r="M839" s="44"/>
      <c r="N839" s="44"/>
      <c r="O839" s="44"/>
      <c r="P839" s="44"/>
      <c r="Q839" s="44"/>
      <c r="R839" s="44"/>
      <c r="S839" s="44"/>
      <c r="T839" s="44"/>
      <c r="U839" s="44"/>
      <c r="V839" s="44"/>
      <c r="W839" s="44"/>
      <c r="X839" s="44"/>
      <c r="Y839" s="44"/>
      <c r="Z839" s="44"/>
      <c r="AA839" s="44"/>
      <c r="AB839" s="44"/>
      <c r="AC839" s="44"/>
      <c r="AD839" s="44"/>
      <c r="AE839" s="44"/>
      <c r="AF839" s="44"/>
      <c r="AG839" s="44"/>
      <c r="AH839" s="44"/>
      <c r="AI839" s="44"/>
      <c r="AJ839" s="44"/>
      <c r="AK839" s="44"/>
      <c r="AL839" s="44"/>
      <c r="AM839" s="44"/>
      <c r="AN839" s="44"/>
      <c r="AO839" s="44"/>
      <c r="AP839" s="44"/>
      <c r="AQ839" s="44"/>
      <c r="AR839" s="44"/>
      <c r="AS839" s="44"/>
      <c r="AT839" s="44"/>
      <c r="AU839" s="44"/>
      <c r="AV839" s="44"/>
      <c r="AW839" s="44"/>
      <c r="AX839" s="44"/>
    </row>
    <row r="840" spans="1:50" x14ac:dyDescent="0.25">
      <c r="A840" s="44"/>
      <c r="B840" s="44"/>
      <c r="C840" s="44"/>
      <c r="D840" s="44"/>
      <c r="E840" s="44"/>
      <c r="F840" s="44"/>
      <c r="G840" s="44"/>
      <c r="H840" s="44"/>
      <c r="I840" s="44"/>
      <c r="J840" s="44"/>
      <c r="K840" s="44"/>
      <c r="L840" s="44"/>
      <c r="M840" s="44"/>
      <c r="N840" s="44"/>
      <c r="O840" s="44"/>
      <c r="P840" s="44"/>
      <c r="Q840" s="44"/>
      <c r="R840" s="44"/>
      <c r="S840" s="44"/>
      <c r="T840" s="44"/>
      <c r="U840" s="44"/>
      <c r="V840" s="44"/>
      <c r="W840" s="44"/>
      <c r="X840" s="44"/>
      <c r="Y840" s="44"/>
      <c r="Z840" s="44"/>
      <c r="AA840" s="44"/>
      <c r="AB840" s="44"/>
      <c r="AC840" s="44"/>
      <c r="AD840" s="44"/>
      <c r="AE840" s="44"/>
      <c r="AF840" s="44"/>
      <c r="AG840" s="44"/>
      <c r="AH840" s="44"/>
      <c r="AI840" s="44"/>
      <c r="AJ840" s="44"/>
      <c r="AK840" s="44"/>
      <c r="AL840" s="44"/>
      <c r="AM840" s="44"/>
      <c r="AN840" s="44"/>
      <c r="AO840" s="44"/>
      <c r="AP840" s="44"/>
      <c r="AQ840" s="44"/>
      <c r="AR840" s="44"/>
      <c r="AS840" s="44"/>
      <c r="AT840" s="44"/>
      <c r="AU840" s="44"/>
      <c r="AV840" s="44"/>
      <c r="AW840" s="44"/>
      <c r="AX840" s="44"/>
    </row>
    <row r="841" spans="1:50" x14ac:dyDescent="0.25">
      <c r="A841" s="44"/>
      <c r="B841" s="44"/>
      <c r="C841" s="44"/>
      <c r="D841" s="44"/>
      <c r="E841" s="44"/>
      <c r="F841" s="44"/>
      <c r="G841" s="44"/>
      <c r="H841" s="44"/>
      <c r="I841" s="44"/>
      <c r="J841" s="44"/>
      <c r="K841" s="44"/>
      <c r="L841" s="44"/>
      <c r="M841" s="44"/>
      <c r="N841" s="44"/>
      <c r="O841" s="44"/>
      <c r="P841" s="44"/>
      <c r="Q841" s="44"/>
      <c r="R841" s="44"/>
      <c r="S841" s="44"/>
      <c r="T841" s="44"/>
      <c r="U841" s="44"/>
      <c r="V841" s="44"/>
      <c r="W841" s="44"/>
      <c r="X841" s="44"/>
      <c r="Y841" s="44"/>
      <c r="Z841" s="44"/>
      <c r="AA841" s="44"/>
      <c r="AB841" s="44"/>
      <c r="AC841" s="44"/>
      <c r="AD841" s="44"/>
      <c r="AE841" s="44"/>
      <c r="AF841" s="44"/>
      <c r="AG841" s="44"/>
      <c r="AH841" s="44"/>
      <c r="AI841" s="44"/>
      <c r="AJ841" s="44"/>
      <c r="AK841" s="44"/>
      <c r="AL841" s="44"/>
      <c r="AM841" s="44"/>
      <c r="AN841" s="44"/>
      <c r="AO841" s="44"/>
      <c r="AP841" s="44"/>
      <c r="AQ841" s="44"/>
      <c r="AR841" s="44"/>
      <c r="AS841" s="44"/>
      <c r="AT841" s="44"/>
      <c r="AU841" s="44"/>
      <c r="AV841" s="44"/>
      <c r="AW841" s="44"/>
      <c r="AX841" s="44"/>
    </row>
    <row r="842" spans="1:50" x14ac:dyDescent="0.25">
      <c r="A842" s="44"/>
      <c r="B842" s="44"/>
      <c r="C842" s="44"/>
      <c r="D842" s="44"/>
      <c r="E842" s="44"/>
      <c r="F842" s="44"/>
      <c r="G842" s="44"/>
      <c r="H842" s="44"/>
      <c r="I842" s="44"/>
      <c r="J842" s="44"/>
      <c r="K842" s="44"/>
      <c r="L842" s="44"/>
      <c r="M842" s="44"/>
      <c r="N842" s="44"/>
      <c r="O842" s="44"/>
      <c r="P842" s="44"/>
      <c r="Q842" s="44"/>
      <c r="R842" s="44"/>
      <c r="S842" s="44"/>
      <c r="T842" s="44"/>
      <c r="U842" s="44"/>
      <c r="V842" s="44"/>
      <c r="W842" s="44"/>
      <c r="X842" s="44"/>
      <c r="Y842" s="44"/>
      <c r="Z842" s="44"/>
      <c r="AA842" s="44"/>
      <c r="AB842" s="44"/>
      <c r="AC842" s="44"/>
      <c r="AD842" s="44"/>
      <c r="AE842" s="44"/>
      <c r="AF842" s="44"/>
      <c r="AG842" s="44"/>
      <c r="AH842" s="44"/>
      <c r="AI842" s="44"/>
      <c r="AJ842" s="44"/>
      <c r="AK842" s="44"/>
      <c r="AL842" s="44"/>
      <c r="AM842" s="44"/>
      <c r="AN842" s="44"/>
      <c r="AO842" s="44"/>
      <c r="AP842" s="44"/>
      <c r="AQ842" s="44"/>
      <c r="AR842" s="44"/>
      <c r="AS842" s="44"/>
      <c r="AT842" s="44"/>
      <c r="AU842" s="44"/>
      <c r="AV842" s="44"/>
      <c r="AW842" s="44"/>
      <c r="AX842" s="44"/>
    </row>
    <row r="843" spans="1:50" x14ac:dyDescent="0.25">
      <c r="A843" s="44"/>
      <c r="B843" s="44"/>
      <c r="C843" s="44"/>
      <c r="D843" s="44"/>
      <c r="E843" s="44"/>
      <c r="F843" s="44"/>
      <c r="G843" s="44"/>
      <c r="H843" s="44"/>
      <c r="I843" s="44"/>
      <c r="J843" s="44"/>
      <c r="K843" s="44"/>
      <c r="L843" s="44"/>
      <c r="M843" s="44"/>
      <c r="N843" s="44"/>
      <c r="O843" s="44"/>
      <c r="P843" s="44"/>
      <c r="Q843" s="44"/>
      <c r="R843" s="44"/>
      <c r="S843" s="44"/>
      <c r="T843" s="44"/>
      <c r="U843" s="44"/>
      <c r="V843" s="44"/>
      <c r="W843" s="44"/>
      <c r="X843" s="44"/>
      <c r="Y843" s="44"/>
      <c r="Z843" s="44"/>
      <c r="AA843" s="44"/>
      <c r="AB843" s="44"/>
      <c r="AC843" s="44"/>
      <c r="AD843" s="44"/>
      <c r="AE843" s="44"/>
      <c r="AF843" s="44"/>
      <c r="AG843" s="44"/>
      <c r="AH843" s="44"/>
      <c r="AI843" s="44"/>
      <c r="AJ843" s="44"/>
      <c r="AK843" s="44"/>
      <c r="AL843" s="44"/>
      <c r="AM843" s="44"/>
      <c r="AN843" s="44"/>
      <c r="AO843" s="44"/>
      <c r="AP843" s="44"/>
      <c r="AQ843" s="44"/>
      <c r="AR843" s="44"/>
      <c r="AS843" s="44"/>
      <c r="AT843" s="44"/>
      <c r="AU843" s="44"/>
      <c r="AV843" s="44"/>
      <c r="AW843" s="44"/>
      <c r="AX843" s="44"/>
    </row>
    <row r="844" spans="1:50" x14ac:dyDescent="0.25">
      <c r="A844" s="44"/>
      <c r="B844" s="44"/>
      <c r="C844" s="44"/>
      <c r="D844" s="44"/>
      <c r="E844" s="44"/>
      <c r="F844" s="44"/>
      <c r="G844" s="44"/>
      <c r="H844" s="44"/>
      <c r="I844" s="44"/>
      <c r="J844" s="44"/>
      <c r="K844" s="44"/>
      <c r="L844" s="44"/>
      <c r="M844" s="44"/>
      <c r="N844" s="44"/>
      <c r="O844" s="44"/>
      <c r="P844" s="44"/>
      <c r="Q844" s="44"/>
      <c r="R844" s="44"/>
      <c r="S844" s="44"/>
      <c r="T844" s="44"/>
      <c r="U844" s="44"/>
      <c r="V844" s="44"/>
      <c r="W844" s="44"/>
      <c r="X844" s="44"/>
      <c r="Y844" s="44"/>
      <c r="Z844" s="44"/>
      <c r="AA844" s="44"/>
      <c r="AB844" s="44"/>
      <c r="AC844" s="44"/>
      <c r="AD844" s="44"/>
      <c r="AE844" s="44"/>
      <c r="AF844" s="44"/>
      <c r="AG844" s="44"/>
      <c r="AH844" s="44"/>
      <c r="AI844" s="44"/>
      <c r="AJ844" s="44"/>
      <c r="AK844" s="44"/>
      <c r="AL844" s="44"/>
      <c r="AM844" s="44"/>
      <c r="AN844" s="44"/>
      <c r="AO844" s="44"/>
      <c r="AP844" s="44"/>
      <c r="AQ844" s="44"/>
      <c r="AR844" s="44"/>
      <c r="AS844" s="44"/>
      <c r="AT844" s="44"/>
      <c r="AU844" s="44"/>
      <c r="AV844" s="44"/>
      <c r="AW844" s="44"/>
      <c r="AX844" s="44"/>
    </row>
    <row r="845" spans="1:50" x14ac:dyDescent="0.25">
      <c r="A845" s="44"/>
      <c r="B845" s="44"/>
      <c r="C845" s="44"/>
      <c r="D845" s="44"/>
      <c r="E845" s="44"/>
      <c r="F845" s="44"/>
      <c r="G845" s="44"/>
      <c r="H845" s="44"/>
      <c r="I845" s="44"/>
      <c r="J845" s="44"/>
      <c r="K845" s="44"/>
      <c r="L845" s="44"/>
      <c r="M845" s="44"/>
      <c r="N845" s="44"/>
      <c r="O845" s="44"/>
      <c r="P845" s="44"/>
      <c r="Q845" s="44"/>
      <c r="R845" s="44"/>
      <c r="S845" s="44"/>
      <c r="T845" s="44"/>
      <c r="U845" s="44"/>
      <c r="V845" s="44"/>
      <c r="W845" s="44"/>
      <c r="X845" s="44"/>
      <c r="Y845" s="44"/>
      <c r="Z845" s="44"/>
      <c r="AA845" s="44"/>
      <c r="AB845" s="44"/>
      <c r="AC845" s="44"/>
      <c r="AD845" s="44"/>
      <c r="AE845" s="44"/>
      <c r="AF845" s="44"/>
      <c r="AG845" s="44"/>
      <c r="AH845" s="44"/>
      <c r="AI845" s="44"/>
      <c r="AJ845" s="44"/>
      <c r="AK845" s="44"/>
      <c r="AL845" s="44"/>
      <c r="AM845" s="44"/>
      <c r="AN845" s="44"/>
      <c r="AO845" s="44"/>
      <c r="AP845" s="44"/>
      <c r="AQ845" s="44"/>
      <c r="AR845" s="44"/>
      <c r="AS845" s="44"/>
      <c r="AT845" s="44"/>
      <c r="AU845" s="44"/>
      <c r="AV845" s="44"/>
      <c r="AW845" s="44"/>
      <c r="AX845" s="44"/>
    </row>
    <row r="846" spans="1:50" x14ac:dyDescent="0.25">
      <c r="A846" s="44"/>
      <c r="B846" s="44"/>
      <c r="C846" s="44"/>
      <c r="D846" s="44"/>
      <c r="E846" s="44"/>
      <c r="F846" s="44"/>
      <c r="G846" s="44"/>
      <c r="H846" s="44"/>
      <c r="I846" s="44"/>
      <c r="J846" s="44"/>
      <c r="K846" s="44"/>
      <c r="L846" s="44"/>
      <c r="M846" s="44"/>
      <c r="N846" s="44"/>
      <c r="O846" s="44"/>
      <c r="P846" s="44"/>
      <c r="Q846" s="44"/>
      <c r="R846" s="44"/>
      <c r="S846" s="44"/>
      <c r="T846" s="44"/>
      <c r="U846" s="44"/>
      <c r="V846" s="44"/>
      <c r="W846" s="44"/>
      <c r="X846" s="44"/>
      <c r="Y846" s="44"/>
      <c r="Z846" s="44"/>
      <c r="AA846" s="44"/>
      <c r="AB846" s="44"/>
      <c r="AC846" s="44"/>
      <c r="AD846" s="44"/>
      <c r="AE846" s="44"/>
      <c r="AF846" s="44"/>
      <c r="AG846" s="44"/>
      <c r="AH846" s="44"/>
      <c r="AI846" s="44"/>
      <c r="AJ846" s="44"/>
      <c r="AK846" s="44"/>
      <c r="AL846" s="44"/>
      <c r="AM846" s="44"/>
      <c r="AN846" s="44"/>
      <c r="AO846" s="44"/>
      <c r="AP846" s="44"/>
      <c r="AQ846" s="44"/>
      <c r="AR846" s="44"/>
      <c r="AS846" s="44"/>
      <c r="AT846" s="44"/>
      <c r="AU846" s="44"/>
      <c r="AV846" s="44"/>
      <c r="AW846" s="44"/>
      <c r="AX846" s="44"/>
    </row>
    <row r="847" spans="1:50" x14ac:dyDescent="0.25">
      <c r="A847" s="44"/>
      <c r="B847" s="44"/>
      <c r="C847" s="44"/>
      <c r="D847" s="44"/>
      <c r="E847" s="44"/>
      <c r="F847" s="44"/>
      <c r="G847" s="44"/>
      <c r="H847" s="44"/>
      <c r="I847" s="44"/>
      <c r="J847" s="44"/>
      <c r="K847" s="44"/>
      <c r="L847" s="44"/>
      <c r="M847" s="44"/>
      <c r="N847" s="44"/>
      <c r="O847" s="44"/>
      <c r="P847" s="44"/>
      <c r="Q847" s="44"/>
      <c r="R847" s="44"/>
      <c r="S847" s="44"/>
      <c r="T847" s="44"/>
      <c r="U847" s="44"/>
      <c r="V847" s="44"/>
      <c r="W847" s="44"/>
      <c r="X847" s="44"/>
      <c r="Y847" s="44"/>
      <c r="Z847" s="44"/>
      <c r="AA847" s="44"/>
      <c r="AB847" s="44"/>
      <c r="AC847" s="44"/>
      <c r="AD847" s="44"/>
      <c r="AE847" s="44"/>
      <c r="AF847" s="44"/>
      <c r="AG847" s="44"/>
      <c r="AH847" s="44"/>
      <c r="AI847" s="44"/>
      <c r="AJ847" s="44"/>
      <c r="AK847" s="44"/>
      <c r="AL847" s="44"/>
      <c r="AM847" s="44"/>
      <c r="AN847" s="44"/>
      <c r="AO847" s="44"/>
      <c r="AP847" s="44"/>
      <c r="AQ847" s="44"/>
      <c r="AR847" s="44"/>
      <c r="AS847" s="44"/>
      <c r="AT847" s="44"/>
      <c r="AU847" s="44"/>
      <c r="AV847" s="44"/>
      <c r="AW847" s="44"/>
      <c r="AX847" s="44"/>
    </row>
    <row r="848" spans="1:50" x14ac:dyDescent="0.25">
      <c r="A848" s="44"/>
      <c r="B848" s="44"/>
      <c r="C848" s="44"/>
      <c r="D848" s="44"/>
      <c r="E848" s="44"/>
      <c r="F848" s="44"/>
      <c r="G848" s="44"/>
      <c r="H848" s="44"/>
      <c r="I848" s="44"/>
      <c r="J848" s="44"/>
      <c r="K848" s="44"/>
      <c r="L848" s="44"/>
      <c r="M848" s="44"/>
      <c r="N848" s="44"/>
      <c r="O848" s="44"/>
      <c r="P848" s="44"/>
      <c r="Q848" s="44"/>
      <c r="R848" s="44"/>
      <c r="S848" s="44"/>
      <c r="T848" s="44"/>
      <c r="U848" s="44"/>
      <c r="V848" s="44"/>
      <c r="W848" s="44"/>
      <c r="X848" s="44"/>
      <c r="Y848" s="44"/>
      <c r="Z848" s="44"/>
      <c r="AA848" s="44"/>
      <c r="AB848" s="44"/>
      <c r="AC848" s="44"/>
      <c r="AD848" s="44"/>
      <c r="AE848" s="44"/>
      <c r="AF848" s="44"/>
      <c r="AG848" s="44"/>
      <c r="AH848" s="44"/>
      <c r="AI848" s="44"/>
      <c r="AJ848" s="44"/>
      <c r="AK848" s="44"/>
      <c r="AL848" s="44"/>
      <c r="AM848" s="44"/>
      <c r="AN848" s="44"/>
      <c r="AO848" s="44"/>
      <c r="AP848" s="44"/>
      <c r="AQ848" s="44"/>
      <c r="AR848" s="44"/>
      <c r="AS848" s="44"/>
      <c r="AT848" s="44"/>
      <c r="AU848" s="44"/>
      <c r="AV848" s="44"/>
      <c r="AW848" s="44"/>
      <c r="AX848" s="44"/>
    </row>
    <row r="849" spans="1:50" x14ac:dyDescent="0.25">
      <c r="A849" s="44"/>
      <c r="B849" s="44"/>
      <c r="C849" s="44"/>
      <c r="D849" s="44"/>
      <c r="E849" s="44"/>
      <c r="F849" s="44"/>
      <c r="G849" s="44"/>
      <c r="H849" s="44"/>
      <c r="I849" s="44"/>
      <c r="J849" s="44"/>
      <c r="K849" s="44"/>
      <c r="L849" s="44"/>
      <c r="M849" s="44"/>
      <c r="N849" s="44"/>
      <c r="O849" s="44"/>
      <c r="P849" s="44"/>
      <c r="Q849" s="44"/>
      <c r="R849" s="44"/>
      <c r="S849" s="44"/>
      <c r="T849" s="44"/>
      <c r="U849" s="44"/>
      <c r="V849" s="44"/>
      <c r="W849" s="44"/>
      <c r="X849" s="44"/>
      <c r="Y849" s="44"/>
      <c r="Z849" s="44"/>
      <c r="AA849" s="44"/>
      <c r="AB849" s="44"/>
      <c r="AC849" s="44"/>
      <c r="AD849" s="44"/>
      <c r="AE849" s="44"/>
      <c r="AF849" s="44"/>
      <c r="AG849" s="44"/>
      <c r="AH849" s="44"/>
      <c r="AI849" s="44"/>
      <c r="AJ849" s="44"/>
      <c r="AK849" s="44"/>
      <c r="AL849" s="44"/>
      <c r="AM849" s="44"/>
      <c r="AN849" s="44"/>
      <c r="AO849" s="44"/>
      <c r="AP849" s="44"/>
      <c r="AQ849" s="44"/>
      <c r="AR849" s="44"/>
      <c r="AS849" s="44"/>
      <c r="AT849" s="44"/>
      <c r="AU849" s="44"/>
      <c r="AV849" s="44"/>
      <c r="AW849" s="44"/>
      <c r="AX849" s="44"/>
    </row>
    <row r="850" spans="1:50" x14ac:dyDescent="0.25">
      <c r="A850" s="44"/>
      <c r="B850" s="44"/>
      <c r="C850" s="44"/>
      <c r="D850" s="44"/>
      <c r="E850" s="44"/>
      <c r="F850" s="44"/>
      <c r="G850" s="44"/>
      <c r="H850" s="44"/>
      <c r="I850" s="44"/>
      <c r="J850" s="44"/>
      <c r="K850" s="44"/>
      <c r="L850" s="44"/>
      <c r="M850" s="44"/>
      <c r="N850" s="44"/>
      <c r="O850" s="44"/>
      <c r="P850" s="44"/>
      <c r="Q850" s="44"/>
      <c r="R850" s="44"/>
      <c r="S850" s="44"/>
      <c r="T850" s="44"/>
      <c r="U850" s="44"/>
      <c r="V850" s="44"/>
      <c r="W850" s="44"/>
      <c r="X850" s="44"/>
      <c r="Y850" s="44"/>
      <c r="Z850" s="44"/>
      <c r="AA850" s="44"/>
      <c r="AB850" s="44"/>
      <c r="AC850" s="44"/>
      <c r="AD850" s="44"/>
      <c r="AE850" s="44"/>
      <c r="AF850" s="44"/>
      <c r="AG850" s="44"/>
      <c r="AH850" s="44"/>
      <c r="AI850" s="44"/>
      <c r="AJ850" s="44"/>
      <c r="AK850" s="44"/>
      <c r="AL850" s="44"/>
      <c r="AM850" s="44"/>
      <c r="AN850" s="44"/>
      <c r="AO850" s="44"/>
      <c r="AP850" s="44"/>
      <c r="AQ850" s="44"/>
      <c r="AR850" s="44"/>
      <c r="AS850" s="44"/>
      <c r="AT850" s="44"/>
      <c r="AU850" s="44"/>
      <c r="AV850" s="44"/>
      <c r="AW850" s="44"/>
      <c r="AX850" s="44"/>
    </row>
    <row r="851" spans="1:50" x14ac:dyDescent="0.25">
      <c r="A851" s="44"/>
      <c r="B851" s="44"/>
      <c r="C851" s="44"/>
      <c r="D851" s="44"/>
      <c r="E851" s="44"/>
      <c r="F851" s="44"/>
      <c r="G851" s="44"/>
      <c r="H851" s="44"/>
      <c r="I851" s="44"/>
      <c r="J851" s="44"/>
      <c r="K851" s="44"/>
      <c r="L851" s="44"/>
      <c r="M851" s="44"/>
      <c r="N851" s="44"/>
      <c r="O851" s="44"/>
      <c r="P851" s="44"/>
      <c r="Q851" s="44"/>
      <c r="R851" s="44"/>
      <c r="S851" s="44"/>
      <c r="T851" s="44"/>
      <c r="U851" s="44"/>
      <c r="V851" s="44"/>
      <c r="W851" s="44"/>
      <c r="X851" s="44"/>
      <c r="Y851" s="44"/>
      <c r="Z851" s="44"/>
      <c r="AA851" s="44"/>
      <c r="AB851" s="44"/>
      <c r="AC851" s="44"/>
      <c r="AD851" s="44"/>
      <c r="AE851" s="44"/>
      <c r="AF851" s="44"/>
      <c r="AG851" s="44"/>
      <c r="AH851" s="44"/>
      <c r="AI851" s="44"/>
      <c r="AJ851" s="44"/>
      <c r="AK851" s="44"/>
      <c r="AL851" s="44"/>
      <c r="AM851" s="44"/>
      <c r="AN851" s="44"/>
      <c r="AO851" s="44"/>
      <c r="AP851" s="44"/>
      <c r="AQ851" s="44"/>
      <c r="AR851" s="44"/>
      <c r="AS851" s="44"/>
      <c r="AT851" s="44"/>
      <c r="AU851" s="44"/>
      <c r="AV851" s="44"/>
      <c r="AW851" s="44"/>
      <c r="AX851" s="44"/>
    </row>
    <row r="852" spans="1:50" x14ac:dyDescent="0.25">
      <c r="A852" s="44"/>
      <c r="B852" s="44"/>
      <c r="C852" s="44"/>
      <c r="D852" s="44"/>
      <c r="E852" s="44"/>
      <c r="F852" s="44"/>
      <c r="G852" s="44"/>
      <c r="H852" s="44"/>
      <c r="I852" s="44"/>
      <c r="J852" s="44"/>
      <c r="K852" s="44"/>
      <c r="L852" s="44"/>
      <c r="M852" s="44"/>
      <c r="N852" s="44"/>
      <c r="O852" s="44"/>
      <c r="P852" s="44"/>
      <c r="Q852" s="44"/>
      <c r="R852" s="44"/>
      <c r="S852" s="44"/>
      <c r="T852" s="44"/>
      <c r="U852" s="44"/>
      <c r="V852" s="44"/>
      <c r="W852" s="44"/>
      <c r="X852" s="44"/>
      <c r="Y852" s="44"/>
      <c r="Z852" s="44"/>
      <c r="AA852" s="44"/>
      <c r="AB852" s="44"/>
      <c r="AC852" s="44"/>
      <c r="AD852" s="44"/>
      <c r="AE852" s="44"/>
      <c r="AF852" s="44"/>
      <c r="AG852" s="44"/>
      <c r="AH852" s="44"/>
      <c r="AI852" s="44"/>
      <c r="AJ852" s="44"/>
      <c r="AK852" s="44"/>
      <c r="AL852" s="44"/>
      <c r="AM852" s="44"/>
      <c r="AN852" s="44"/>
      <c r="AO852" s="44"/>
      <c r="AP852" s="44"/>
      <c r="AQ852" s="44"/>
      <c r="AR852" s="44"/>
      <c r="AS852" s="44"/>
      <c r="AT852" s="44"/>
      <c r="AU852" s="44"/>
      <c r="AV852" s="44"/>
      <c r="AW852" s="44"/>
      <c r="AX852" s="44"/>
    </row>
    <row r="853" spans="1:50" x14ac:dyDescent="0.25">
      <c r="A853" s="44"/>
      <c r="B853" s="44"/>
      <c r="C853" s="44"/>
      <c r="D853" s="44"/>
      <c r="E853" s="44"/>
      <c r="F853" s="44"/>
      <c r="G853" s="44"/>
      <c r="H853" s="44"/>
      <c r="I853" s="44"/>
      <c r="J853" s="44"/>
      <c r="K853" s="44"/>
      <c r="L853" s="44"/>
      <c r="M853" s="44"/>
      <c r="N853" s="44"/>
      <c r="O853" s="44"/>
      <c r="P853" s="44"/>
      <c r="Q853" s="44"/>
      <c r="R853" s="44"/>
      <c r="S853" s="44"/>
      <c r="T853" s="44"/>
      <c r="U853" s="44"/>
      <c r="V853" s="44"/>
      <c r="W853" s="44"/>
      <c r="X853" s="44"/>
      <c r="Y853" s="44"/>
      <c r="Z853" s="44"/>
      <c r="AA853" s="44"/>
      <c r="AB853" s="44"/>
      <c r="AC853" s="44"/>
      <c r="AD853" s="44"/>
      <c r="AE853" s="44"/>
      <c r="AF853" s="44"/>
      <c r="AG853" s="44"/>
      <c r="AH853" s="44"/>
      <c r="AI853" s="44"/>
      <c r="AJ853" s="44"/>
      <c r="AK853" s="44"/>
      <c r="AL853" s="44"/>
      <c r="AM853" s="44"/>
      <c r="AN853" s="44"/>
      <c r="AO853" s="44"/>
      <c r="AP853" s="44"/>
      <c r="AQ853" s="44"/>
      <c r="AR853" s="44"/>
      <c r="AS853" s="44"/>
      <c r="AT853" s="44"/>
      <c r="AU853" s="44"/>
      <c r="AV853" s="44"/>
      <c r="AW853" s="44"/>
      <c r="AX853" s="44"/>
    </row>
    <row r="854" spans="1:50" x14ac:dyDescent="0.25">
      <c r="A854" s="44"/>
      <c r="B854" s="44"/>
      <c r="C854" s="44"/>
      <c r="D854" s="44"/>
      <c r="E854" s="44"/>
      <c r="F854" s="44"/>
      <c r="G854" s="44"/>
      <c r="H854" s="44"/>
      <c r="I854" s="44"/>
      <c r="J854" s="44"/>
      <c r="K854" s="44"/>
      <c r="L854" s="44"/>
      <c r="M854" s="44"/>
      <c r="N854" s="44"/>
      <c r="O854" s="44"/>
      <c r="P854" s="44"/>
      <c r="Q854" s="44"/>
      <c r="R854" s="44"/>
      <c r="S854" s="44"/>
      <c r="T854" s="44"/>
      <c r="U854" s="44"/>
      <c r="V854" s="44"/>
      <c r="W854" s="44"/>
      <c r="X854" s="44"/>
      <c r="Y854" s="44"/>
      <c r="Z854" s="44"/>
      <c r="AA854" s="44"/>
      <c r="AB854" s="44"/>
      <c r="AC854" s="44"/>
      <c r="AD854" s="44"/>
      <c r="AE854" s="44"/>
      <c r="AF854" s="44"/>
      <c r="AG854" s="44"/>
      <c r="AH854" s="44"/>
      <c r="AI854" s="44"/>
      <c r="AJ854" s="44"/>
      <c r="AK854" s="44"/>
      <c r="AL854" s="44"/>
      <c r="AM854" s="44"/>
      <c r="AN854" s="44"/>
      <c r="AO854" s="44"/>
      <c r="AP854" s="44"/>
      <c r="AQ854" s="44"/>
      <c r="AR854" s="44"/>
      <c r="AS854" s="44"/>
      <c r="AT854" s="44"/>
      <c r="AU854" s="44"/>
      <c r="AV854" s="44"/>
      <c r="AW854" s="44"/>
      <c r="AX854" s="44"/>
    </row>
    <row r="855" spans="1:50" x14ac:dyDescent="0.25">
      <c r="A855" s="44"/>
      <c r="B855" s="44"/>
      <c r="C855" s="44"/>
      <c r="D855" s="44"/>
      <c r="E855" s="44"/>
      <c r="F855" s="44"/>
      <c r="G855" s="44"/>
      <c r="H855" s="44"/>
      <c r="I855" s="44"/>
      <c r="J855" s="44"/>
      <c r="K855" s="44"/>
      <c r="L855" s="44"/>
      <c r="M855" s="44"/>
      <c r="N855" s="44"/>
      <c r="O855" s="44"/>
      <c r="P855" s="44"/>
      <c r="Q855" s="44"/>
      <c r="R855" s="44"/>
      <c r="S855" s="44"/>
      <c r="T855" s="44"/>
      <c r="U855" s="44"/>
      <c r="V855" s="44"/>
      <c r="W855" s="44"/>
      <c r="X855" s="44"/>
      <c r="Y855" s="44"/>
      <c r="Z855" s="44"/>
      <c r="AA855" s="44"/>
      <c r="AB855" s="44"/>
      <c r="AC855" s="44"/>
      <c r="AD855" s="44"/>
      <c r="AE855" s="44"/>
      <c r="AF855" s="44"/>
      <c r="AG855" s="44"/>
      <c r="AH855" s="44"/>
      <c r="AI855" s="44"/>
      <c r="AJ855" s="44"/>
      <c r="AK855" s="44"/>
      <c r="AL855" s="44"/>
      <c r="AM855" s="44"/>
      <c r="AN855" s="44"/>
      <c r="AO855" s="44"/>
      <c r="AP855" s="44"/>
      <c r="AQ855" s="44"/>
      <c r="AR855" s="44"/>
      <c r="AS855" s="44"/>
      <c r="AT855" s="44"/>
      <c r="AU855" s="44"/>
      <c r="AV855" s="44"/>
      <c r="AW855" s="44"/>
      <c r="AX855" s="44"/>
    </row>
    <row r="856" spans="1:50" x14ac:dyDescent="0.25">
      <c r="A856" s="44"/>
      <c r="B856" s="44"/>
      <c r="C856" s="44"/>
      <c r="D856" s="44"/>
      <c r="E856" s="44"/>
      <c r="F856" s="44"/>
      <c r="G856" s="44"/>
      <c r="H856" s="44"/>
      <c r="I856" s="44"/>
      <c r="J856" s="44"/>
      <c r="K856" s="44"/>
      <c r="L856" s="44"/>
      <c r="M856" s="44"/>
      <c r="N856" s="44"/>
      <c r="O856" s="44"/>
      <c r="P856" s="44"/>
      <c r="Q856" s="44"/>
      <c r="R856" s="44"/>
      <c r="S856" s="44"/>
      <c r="T856" s="44"/>
      <c r="U856" s="44"/>
      <c r="V856" s="44"/>
      <c r="W856" s="44"/>
      <c r="X856" s="44"/>
      <c r="Y856" s="44"/>
      <c r="Z856" s="44"/>
      <c r="AA856" s="44"/>
      <c r="AB856" s="44"/>
      <c r="AC856" s="44"/>
      <c r="AD856" s="44"/>
      <c r="AE856" s="44"/>
      <c r="AF856" s="44"/>
      <c r="AG856" s="44"/>
      <c r="AH856" s="44"/>
      <c r="AI856" s="44"/>
      <c r="AJ856" s="44"/>
      <c r="AK856" s="44"/>
      <c r="AL856" s="44"/>
      <c r="AM856" s="44"/>
      <c r="AN856" s="44"/>
      <c r="AO856" s="44"/>
      <c r="AP856" s="44"/>
      <c r="AQ856" s="44"/>
      <c r="AR856" s="44"/>
      <c r="AS856" s="44"/>
      <c r="AT856" s="44"/>
      <c r="AU856" s="44"/>
      <c r="AV856" s="44"/>
      <c r="AW856" s="44"/>
      <c r="AX856" s="44"/>
    </row>
    <row r="857" spans="1:50" x14ac:dyDescent="0.25">
      <c r="A857" s="44"/>
      <c r="B857" s="44"/>
      <c r="C857" s="44"/>
      <c r="D857" s="44"/>
      <c r="E857" s="44"/>
      <c r="F857" s="44"/>
      <c r="G857" s="44"/>
      <c r="H857" s="44"/>
      <c r="I857" s="44"/>
      <c r="J857" s="44"/>
      <c r="K857" s="44"/>
      <c r="L857" s="44"/>
      <c r="M857" s="44"/>
      <c r="N857" s="44"/>
      <c r="O857" s="44"/>
      <c r="P857" s="44"/>
      <c r="Q857" s="44"/>
      <c r="R857" s="44"/>
      <c r="S857" s="44"/>
      <c r="T857" s="44"/>
      <c r="U857" s="44"/>
      <c r="V857" s="44"/>
      <c r="W857" s="44"/>
      <c r="X857" s="44"/>
      <c r="Y857" s="44"/>
      <c r="Z857" s="44"/>
      <c r="AA857" s="44"/>
      <c r="AB857" s="44"/>
      <c r="AC857" s="44"/>
      <c r="AD857" s="44"/>
      <c r="AE857" s="44"/>
      <c r="AF857" s="44"/>
      <c r="AG857" s="44"/>
      <c r="AH857" s="44"/>
      <c r="AI857" s="44"/>
      <c r="AJ857" s="44"/>
      <c r="AK857" s="44"/>
      <c r="AL857" s="44"/>
      <c r="AM857" s="44"/>
      <c r="AN857" s="44"/>
      <c r="AO857" s="44"/>
      <c r="AP857" s="44"/>
      <c r="AQ857" s="44"/>
      <c r="AR857" s="44"/>
      <c r="AS857" s="44"/>
      <c r="AT857" s="44"/>
      <c r="AU857" s="44"/>
      <c r="AV857" s="44"/>
      <c r="AW857" s="44"/>
      <c r="AX857" s="44"/>
    </row>
    <row r="858" spans="1:50" x14ac:dyDescent="0.25">
      <c r="A858" s="44"/>
      <c r="B858" s="44"/>
      <c r="C858" s="44"/>
      <c r="D858" s="44"/>
      <c r="E858" s="44"/>
      <c r="F858" s="44"/>
      <c r="G858" s="44"/>
      <c r="H858" s="44"/>
      <c r="I858" s="44"/>
      <c r="J858" s="44"/>
      <c r="K858" s="44"/>
      <c r="L858" s="44"/>
      <c r="M858" s="44"/>
      <c r="N858" s="44"/>
      <c r="O858" s="44"/>
      <c r="P858" s="44"/>
      <c r="Q858" s="44"/>
      <c r="R858" s="44"/>
      <c r="S858" s="44"/>
      <c r="T858" s="44"/>
      <c r="U858" s="44"/>
      <c r="V858" s="44"/>
      <c r="W858" s="44"/>
      <c r="X858" s="44"/>
      <c r="Y858" s="44"/>
      <c r="Z858" s="44"/>
      <c r="AA858" s="44"/>
      <c r="AB858" s="44"/>
      <c r="AC858" s="44"/>
      <c r="AD858" s="44"/>
      <c r="AE858" s="44"/>
      <c r="AF858" s="44"/>
      <c r="AG858" s="44"/>
      <c r="AH858" s="44"/>
      <c r="AI858" s="44"/>
      <c r="AJ858" s="44"/>
      <c r="AK858" s="44"/>
      <c r="AL858" s="44"/>
      <c r="AM858" s="44"/>
      <c r="AN858" s="44"/>
      <c r="AO858" s="44"/>
      <c r="AP858" s="44"/>
      <c r="AQ858" s="44"/>
      <c r="AR858" s="44"/>
      <c r="AS858" s="44"/>
      <c r="AT858" s="44"/>
      <c r="AU858" s="44"/>
      <c r="AV858" s="44"/>
      <c r="AW858" s="44"/>
      <c r="AX858" s="44"/>
    </row>
    <row r="859" spans="1:50" x14ac:dyDescent="0.25">
      <c r="A859" s="44"/>
      <c r="B859" s="44"/>
      <c r="C859" s="44"/>
      <c r="D859" s="44"/>
      <c r="E859" s="44"/>
      <c r="F859" s="44"/>
      <c r="G859" s="44"/>
      <c r="H859" s="44"/>
      <c r="I859" s="44"/>
      <c r="J859" s="44"/>
      <c r="K859" s="44"/>
      <c r="L859" s="44"/>
      <c r="M859" s="44"/>
      <c r="N859" s="44"/>
      <c r="O859" s="44"/>
      <c r="P859" s="44"/>
      <c r="Q859" s="44"/>
      <c r="R859" s="44"/>
      <c r="S859" s="44"/>
      <c r="T859" s="44"/>
      <c r="U859" s="44"/>
      <c r="V859" s="44"/>
      <c r="W859" s="44"/>
      <c r="X859" s="44"/>
      <c r="Y859" s="44"/>
      <c r="Z859" s="44"/>
      <c r="AA859" s="44"/>
      <c r="AB859" s="44"/>
      <c r="AC859" s="44"/>
      <c r="AD859" s="44"/>
      <c r="AE859" s="44"/>
      <c r="AF859" s="44"/>
      <c r="AG859" s="44"/>
      <c r="AH859" s="44"/>
      <c r="AI859" s="44"/>
      <c r="AJ859" s="44"/>
      <c r="AK859" s="44"/>
      <c r="AL859" s="44"/>
      <c r="AM859" s="44"/>
      <c r="AN859" s="44"/>
      <c r="AO859" s="44"/>
      <c r="AP859" s="44"/>
      <c r="AQ859" s="44"/>
      <c r="AR859" s="44"/>
      <c r="AS859" s="44"/>
      <c r="AT859" s="44"/>
      <c r="AU859" s="44"/>
      <c r="AV859" s="44"/>
      <c r="AW859" s="44"/>
      <c r="AX859" s="44"/>
    </row>
    <row r="860" spans="1:50" x14ac:dyDescent="0.25">
      <c r="A860" s="44"/>
      <c r="B860" s="44"/>
      <c r="C860" s="44"/>
      <c r="D860" s="44"/>
      <c r="E860" s="44"/>
      <c r="F860" s="44"/>
      <c r="G860" s="44"/>
      <c r="H860" s="44"/>
      <c r="I860" s="44"/>
      <c r="J860" s="44"/>
      <c r="K860" s="44"/>
      <c r="L860" s="44"/>
      <c r="M860" s="44"/>
      <c r="N860" s="44"/>
      <c r="O860" s="44"/>
      <c r="P860" s="44"/>
      <c r="Q860" s="44"/>
      <c r="R860" s="44"/>
      <c r="S860" s="44"/>
      <c r="T860" s="44"/>
      <c r="U860" s="44"/>
      <c r="V860" s="44"/>
      <c r="W860" s="44"/>
      <c r="X860" s="44"/>
      <c r="Y860" s="44"/>
      <c r="Z860" s="44"/>
      <c r="AA860" s="44"/>
      <c r="AB860" s="44"/>
      <c r="AC860" s="44"/>
      <c r="AD860" s="44"/>
      <c r="AE860" s="44"/>
      <c r="AF860" s="44"/>
      <c r="AG860" s="44"/>
      <c r="AH860" s="44"/>
      <c r="AI860" s="44"/>
      <c r="AJ860" s="44"/>
      <c r="AK860" s="44"/>
      <c r="AL860" s="44"/>
      <c r="AM860" s="44"/>
      <c r="AN860" s="44"/>
      <c r="AO860" s="44"/>
      <c r="AP860" s="44"/>
      <c r="AQ860" s="44"/>
      <c r="AR860" s="44"/>
      <c r="AS860" s="44"/>
      <c r="AT860" s="44"/>
      <c r="AU860" s="44"/>
      <c r="AV860" s="44"/>
      <c r="AW860" s="44"/>
      <c r="AX860" s="44"/>
    </row>
    <row r="861" spans="1:50" x14ac:dyDescent="0.25">
      <c r="A861" s="44"/>
      <c r="B861" s="44"/>
      <c r="C861" s="44"/>
      <c r="D861" s="44"/>
      <c r="E861" s="44"/>
      <c r="F861" s="44"/>
      <c r="G861" s="44"/>
      <c r="H861" s="44"/>
      <c r="I861" s="44"/>
      <c r="J861" s="44"/>
      <c r="K861" s="44"/>
      <c r="L861" s="44"/>
      <c r="M861" s="44"/>
      <c r="N861" s="44"/>
      <c r="O861" s="44"/>
      <c r="P861" s="44"/>
      <c r="Q861" s="44"/>
      <c r="R861" s="44"/>
      <c r="S861" s="44"/>
      <c r="T861" s="44"/>
      <c r="U861" s="44"/>
      <c r="V861" s="44"/>
      <c r="W861" s="44"/>
      <c r="X861" s="44"/>
      <c r="Y861" s="44"/>
      <c r="Z861" s="44"/>
      <c r="AA861" s="44"/>
      <c r="AB861" s="44"/>
      <c r="AC861" s="44"/>
      <c r="AD861" s="44"/>
      <c r="AE861" s="44"/>
      <c r="AF861" s="44"/>
      <c r="AG861" s="44"/>
      <c r="AH861" s="44"/>
      <c r="AI861" s="44"/>
      <c r="AJ861" s="44"/>
      <c r="AK861" s="44"/>
      <c r="AL861" s="44"/>
      <c r="AM861" s="44"/>
      <c r="AN861" s="44"/>
      <c r="AO861" s="44"/>
      <c r="AP861" s="44"/>
      <c r="AQ861" s="44"/>
      <c r="AR861" s="44"/>
      <c r="AS861" s="44"/>
      <c r="AT861" s="44"/>
      <c r="AU861" s="44"/>
      <c r="AV861" s="44"/>
      <c r="AW861" s="44"/>
      <c r="AX861" s="44"/>
    </row>
    <row r="862" spans="1:50" x14ac:dyDescent="0.25">
      <c r="A862" s="44"/>
      <c r="B862" s="44"/>
      <c r="C862" s="44"/>
      <c r="D862" s="44"/>
      <c r="E862" s="44"/>
      <c r="F862" s="44"/>
      <c r="G862" s="44"/>
      <c r="H862" s="44"/>
      <c r="I862" s="44"/>
      <c r="J862" s="44"/>
      <c r="K862" s="44"/>
      <c r="L862" s="44"/>
      <c r="M862" s="44"/>
      <c r="N862" s="44"/>
      <c r="O862" s="44"/>
      <c r="P862" s="44"/>
      <c r="Q862" s="44"/>
      <c r="R862" s="44"/>
      <c r="S862" s="44"/>
      <c r="T862" s="44"/>
      <c r="U862" s="44"/>
      <c r="V862" s="44"/>
      <c r="W862" s="44"/>
      <c r="X862" s="44"/>
      <c r="Y862" s="44"/>
      <c r="Z862" s="44"/>
      <c r="AA862" s="44"/>
      <c r="AB862" s="44"/>
      <c r="AC862" s="44"/>
      <c r="AD862" s="44"/>
      <c r="AE862" s="44"/>
      <c r="AF862" s="44"/>
      <c r="AG862" s="44"/>
      <c r="AH862" s="44"/>
      <c r="AI862" s="44"/>
      <c r="AJ862" s="44"/>
      <c r="AK862" s="44"/>
      <c r="AL862" s="44"/>
      <c r="AM862" s="44"/>
      <c r="AN862" s="44"/>
      <c r="AO862" s="44"/>
      <c r="AP862" s="44"/>
      <c r="AQ862" s="44"/>
      <c r="AR862" s="44"/>
      <c r="AS862" s="44"/>
      <c r="AT862" s="44"/>
      <c r="AU862" s="44"/>
      <c r="AV862" s="44"/>
      <c r="AW862" s="44"/>
      <c r="AX862" s="44"/>
    </row>
    <row r="863" spans="1:50" x14ac:dyDescent="0.25">
      <c r="A863" s="44"/>
      <c r="B863" s="44"/>
      <c r="C863" s="44"/>
      <c r="D863" s="44"/>
      <c r="E863" s="44"/>
      <c r="F863" s="44"/>
      <c r="G863" s="44"/>
      <c r="H863" s="44"/>
      <c r="I863" s="44"/>
      <c r="J863" s="44"/>
      <c r="K863" s="44"/>
      <c r="L863" s="44"/>
      <c r="M863" s="44"/>
      <c r="N863" s="44"/>
      <c r="O863" s="44"/>
      <c r="P863" s="44"/>
      <c r="Q863" s="44"/>
      <c r="R863" s="44"/>
      <c r="S863" s="44"/>
      <c r="T863" s="44"/>
      <c r="U863" s="44"/>
      <c r="V863" s="44"/>
      <c r="W863" s="44"/>
      <c r="X863" s="44"/>
      <c r="Y863" s="44"/>
      <c r="Z863" s="44"/>
      <c r="AA863" s="44"/>
      <c r="AB863" s="44"/>
      <c r="AC863" s="44"/>
      <c r="AD863" s="44"/>
      <c r="AE863" s="44"/>
      <c r="AF863" s="44"/>
      <c r="AG863" s="44"/>
      <c r="AH863" s="44"/>
      <c r="AI863" s="44"/>
      <c r="AJ863" s="44"/>
      <c r="AK863" s="44"/>
      <c r="AL863" s="44"/>
      <c r="AM863" s="44"/>
      <c r="AN863" s="44"/>
      <c r="AO863" s="44"/>
      <c r="AP863" s="44"/>
      <c r="AQ863" s="44"/>
      <c r="AR863" s="44"/>
      <c r="AS863" s="44"/>
      <c r="AT863" s="44"/>
      <c r="AU863" s="44"/>
      <c r="AV863" s="44"/>
      <c r="AW863" s="44"/>
      <c r="AX863" s="44"/>
    </row>
    <row r="864" spans="1:50" x14ac:dyDescent="0.25">
      <c r="A864" s="44"/>
      <c r="B864" s="44"/>
      <c r="C864" s="44"/>
      <c r="D864" s="44"/>
      <c r="E864" s="44"/>
      <c r="F864" s="44"/>
      <c r="G864" s="44"/>
      <c r="H864" s="44"/>
      <c r="I864" s="44"/>
      <c r="J864" s="44"/>
      <c r="K864" s="44"/>
      <c r="L864" s="44"/>
      <c r="M864" s="44"/>
      <c r="N864" s="44"/>
      <c r="O864" s="44"/>
      <c r="P864" s="44"/>
      <c r="Q864" s="44"/>
      <c r="R864" s="44"/>
      <c r="S864" s="44"/>
      <c r="T864" s="44"/>
      <c r="U864" s="44"/>
      <c r="V864" s="44"/>
      <c r="W864" s="44"/>
      <c r="X864" s="44"/>
      <c r="Y864" s="44"/>
      <c r="Z864" s="44"/>
      <c r="AA864" s="44"/>
      <c r="AB864" s="44"/>
      <c r="AC864" s="44"/>
      <c r="AD864" s="44"/>
      <c r="AE864" s="44"/>
      <c r="AF864" s="44"/>
      <c r="AG864" s="44"/>
      <c r="AH864" s="44"/>
      <c r="AI864" s="44"/>
      <c r="AJ864" s="44"/>
      <c r="AK864" s="44"/>
      <c r="AL864" s="44"/>
      <c r="AM864" s="44"/>
      <c r="AN864" s="44"/>
      <c r="AO864" s="44"/>
      <c r="AP864" s="44"/>
      <c r="AQ864" s="44"/>
      <c r="AR864" s="44"/>
      <c r="AS864" s="44"/>
      <c r="AT864" s="44"/>
      <c r="AU864" s="44"/>
      <c r="AV864" s="44"/>
      <c r="AW864" s="44"/>
      <c r="AX864" s="44"/>
    </row>
    <row r="865" spans="1:50" x14ac:dyDescent="0.25">
      <c r="A865" s="44"/>
      <c r="B865" s="44"/>
      <c r="C865" s="44"/>
      <c r="D865" s="44"/>
      <c r="E865" s="44"/>
      <c r="F865" s="44"/>
      <c r="G865" s="44"/>
      <c r="H865" s="44"/>
      <c r="I865" s="44"/>
      <c r="J865" s="44"/>
      <c r="K865" s="44"/>
      <c r="L865" s="44"/>
      <c r="M865" s="44"/>
      <c r="N865" s="44"/>
      <c r="O865" s="44"/>
      <c r="P865" s="44"/>
      <c r="Q865" s="44"/>
      <c r="R865" s="44"/>
      <c r="S865" s="44"/>
      <c r="T865" s="44"/>
      <c r="U865" s="44"/>
      <c r="V865" s="44"/>
      <c r="W865" s="44"/>
      <c r="X865" s="44"/>
      <c r="Y865" s="44"/>
      <c r="Z865" s="44"/>
      <c r="AA865" s="44"/>
      <c r="AB865" s="44"/>
      <c r="AC865" s="44"/>
      <c r="AD865" s="44"/>
      <c r="AE865" s="44"/>
      <c r="AF865" s="44"/>
      <c r="AG865" s="44"/>
      <c r="AH865" s="44"/>
      <c r="AI865" s="44"/>
      <c r="AJ865" s="44"/>
      <c r="AK865" s="44"/>
      <c r="AL865" s="44"/>
      <c r="AM865" s="44"/>
      <c r="AN865" s="44"/>
      <c r="AO865" s="44"/>
      <c r="AP865" s="44"/>
      <c r="AQ865" s="44"/>
      <c r="AR865" s="44"/>
      <c r="AS865" s="44"/>
      <c r="AT865" s="44"/>
      <c r="AU865" s="44"/>
      <c r="AV865" s="44"/>
      <c r="AW865" s="44"/>
      <c r="AX865" s="44"/>
    </row>
    <row r="866" spans="1:50" x14ac:dyDescent="0.25">
      <c r="A866" s="44"/>
      <c r="B866" s="44"/>
      <c r="C866" s="44"/>
      <c r="D866" s="44"/>
      <c r="E866" s="44"/>
      <c r="F866" s="44"/>
      <c r="G866" s="44"/>
      <c r="H866" s="44"/>
      <c r="I866" s="44"/>
      <c r="J866" s="44"/>
      <c r="K866" s="44"/>
      <c r="L866" s="44"/>
      <c r="M866" s="44"/>
      <c r="N866" s="44"/>
      <c r="O866" s="44"/>
      <c r="P866" s="44"/>
      <c r="Q866" s="44"/>
      <c r="R866" s="44"/>
      <c r="S866" s="44"/>
      <c r="T866" s="44"/>
      <c r="U866" s="44"/>
      <c r="V866" s="44"/>
      <c r="W866" s="44"/>
      <c r="X866" s="44"/>
      <c r="Y866" s="44"/>
      <c r="Z866" s="44"/>
      <c r="AA866" s="44"/>
      <c r="AB866" s="44"/>
      <c r="AC866" s="44"/>
      <c r="AD866" s="44"/>
      <c r="AE866" s="44"/>
      <c r="AF866" s="44"/>
      <c r="AG866" s="44"/>
      <c r="AH866" s="44"/>
      <c r="AI866" s="44"/>
      <c r="AJ866" s="44"/>
      <c r="AK866" s="44"/>
      <c r="AL866" s="44"/>
      <c r="AM866" s="44"/>
      <c r="AN866" s="44"/>
      <c r="AO866" s="44"/>
      <c r="AP866" s="44"/>
      <c r="AQ866" s="44"/>
      <c r="AR866" s="44"/>
      <c r="AS866" s="44"/>
      <c r="AT866" s="44"/>
      <c r="AU866" s="44"/>
      <c r="AV866" s="44"/>
      <c r="AW866" s="44"/>
      <c r="AX866" s="44"/>
    </row>
    <row r="867" spans="1:50" x14ac:dyDescent="0.25">
      <c r="A867" s="44"/>
      <c r="B867" s="44"/>
      <c r="C867" s="44"/>
      <c r="D867" s="44"/>
      <c r="E867" s="44"/>
      <c r="F867" s="44"/>
      <c r="G867" s="44"/>
      <c r="H867" s="44"/>
      <c r="I867" s="44"/>
      <c r="J867" s="44"/>
      <c r="K867" s="44"/>
      <c r="L867" s="44"/>
      <c r="M867" s="44"/>
      <c r="N867" s="44"/>
      <c r="O867" s="44"/>
      <c r="P867" s="44"/>
      <c r="Q867" s="44"/>
      <c r="R867" s="44"/>
      <c r="S867" s="44"/>
      <c r="T867" s="44"/>
      <c r="U867" s="44"/>
      <c r="V867" s="44"/>
      <c r="W867" s="44"/>
      <c r="X867" s="44"/>
      <c r="Y867" s="44"/>
      <c r="Z867" s="44"/>
      <c r="AA867" s="44"/>
      <c r="AB867" s="44"/>
      <c r="AC867" s="44"/>
      <c r="AD867" s="44"/>
      <c r="AE867" s="44"/>
      <c r="AF867" s="44"/>
      <c r="AG867" s="44"/>
      <c r="AH867" s="44"/>
      <c r="AI867" s="44"/>
      <c r="AJ867" s="44"/>
      <c r="AK867" s="44"/>
      <c r="AL867" s="44"/>
      <c r="AM867" s="44"/>
      <c r="AN867" s="44"/>
      <c r="AO867" s="44"/>
      <c r="AP867" s="44"/>
      <c r="AQ867" s="44"/>
      <c r="AR867" s="44"/>
      <c r="AS867" s="44"/>
      <c r="AT867" s="44"/>
      <c r="AU867" s="44"/>
      <c r="AV867" s="44"/>
      <c r="AW867" s="44"/>
      <c r="AX867" s="44"/>
    </row>
    <row r="868" spans="1:50" x14ac:dyDescent="0.25">
      <c r="A868" s="44"/>
      <c r="B868" s="44"/>
      <c r="C868" s="44"/>
      <c r="D868" s="44"/>
      <c r="E868" s="44"/>
      <c r="F868" s="44"/>
      <c r="G868" s="44"/>
      <c r="H868" s="44"/>
      <c r="I868" s="44"/>
      <c r="J868" s="44"/>
      <c r="K868" s="44"/>
      <c r="L868" s="44"/>
      <c r="M868" s="44"/>
      <c r="N868" s="44"/>
      <c r="O868" s="44"/>
      <c r="P868" s="44"/>
      <c r="Q868" s="44"/>
      <c r="R868" s="44"/>
      <c r="S868" s="44"/>
      <c r="T868" s="44"/>
      <c r="U868" s="44"/>
      <c r="V868" s="44"/>
      <c r="W868" s="44"/>
      <c r="X868" s="44"/>
      <c r="Y868" s="44"/>
      <c r="Z868" s="44"/>
      <c r="AA868" s="44"/>
      <c r="AB868" s="44"/>
      <c r="AC868" s="44"/>
      <c r="AD868" s="44"/>
      <c r="AE868" s="44"/>
      <c r="AF868" s="44"/>
      <c r="AG868" s="44"/>
      <c r="AH868" s="44"/>
      <c r="AI868" s="44"/>
      <c r="AJ868" s="44"/>
      <c r="AK868" s="44"/>
      <c r="AL868" s="44"/>
      <c r="AM868" s="44"/>
      <c r="AN868" s="44"/>
      <c r="AO868" s="44"/>
      <c r="AP868" s="44"/>
      <c r="AQ868" s="44"/>
      <c r="AR868" s="44"/>
      <c r="AS868" s="44"/>
      <c r="AT868" s="44"/>
      <c r="AU868" s="44"/>
      <c r="AV868" s="44"/>
      <c r="AW868" s="44"/>
      <c r="AX868" s="44"/>
    </row>
    <row r="869" spans="1:50" x14ac:dyDescent="0.25">
      <c r="A869" s="44"/>
      <c r="B869" s="44"/>
      <c r="C869" s="44"/>
      <c r="D869" s="44"/>
      <c r="E869" s="44"/>
      <c r="F869" s="44"/>
      <c r="G869" s="44"/>
      <c r="H869" s="44"/>
      <c r="I869" s="44"/>
      <c r="J869" s="44"/>
      <c r="K869" s="44"/>
      <c r="L869" s="44"/>
      <c r="M869" s="44"/>
      <c r="N869" s="44"/>
      <c r="O869" s="44"/>
      <c r="P869" s="44"/>
      <c r="Q869" s="44"/>
      <c r="R869" s="44"/>
      <c r="S869" s="44"/>
      <c r="T869" s="44"/>
      <c r="U869" s="44"/>
      <c r="V869" s="44"/>
      <c r="W869" s="44"/>
      <c r="X869" s="44"/>
      <c r="Y869" s="44"/>
      <c r="Z869" s="44"/>
      <c r="AA869" s="44"/>
      <c r="AB869" s="44"/>
      <c r="AC869" s="44"/>
      <c r="AD869" s="44"/>
      <c r="AE869" s="44"/>
      <c r="AF869" s="44"/>
      <c r="AG869" s="44"/>
      <c r="AH869" s="44"/>
      <c r="AI869" s="44"/>
      <c r="AJ869" s="44"/>
      <c r="AK869" s="44"/>
      <c r="AL869" s="44"/>
      <c r="AM869" s="44"/>
      <c r="AN869" s="44"/>
      <c r="AO869" s="44"/>
      <c r="AP869" s="44"/>
      <c r="AQ869" s="44"/>
      <c r="AR869" s="44"/>
      <c r="AS869" s="44"/>
      <c r="AT869" s="44"/>
      <c r="AU869" s="44"/>
      <c r="AV869" s="44"/>
      <c r="AW869" s="44"/>
      <c r="AX869" s="44"/>
    </row>
    <row r="870" spans="1:50" x14ac:dyDescent="0.25">
      <c r="A870" s="44"/>
      <c r="B870" s="44"/>
      <c r="C870" s="44"/>
      <c r="D870" s="44"/>
      <c r="E870" s="44"/>
      <c r="F870" s="44"/>
      <c r="G870" s="44"/>
      <c r="H870" s="44"/>
      <c r="I870" s="44"/>
      <c r="J870" s="44"/>
      <c r="K870" s="44"/>
      <c r="L870" s="44"/>
      <c r="M870" s="44"/>
      <c r="N870" s="44"/>
      <c r="O870" s="44"/>
      <c r="P870" s="44"/>
      <c r="Q870" s="44"/>
      <c r="R870" s="44"/>
      <c r="S870" s="44"/>
      <c r="T870" s="44"/>
      <c r="U870" s="44"/>
      <c r="V870" s="44"/>
      <c r="W870" s="44"/>
      <c r="X870" s="44"/>
      <c r="Y870" s="44"/>
      <c r="Z870" s="44"/>
      <c r="AA870" s="44"/>
      <c r="AB870" s="44"/>
      <c r="AC870" s="44"/>
      <c r="AD870" s="44"/>
      <c r="AE870" s="44"/>
      <c r="AF870" s="44"/>
      <c r="AG870" s="44"/>
      <c r="AH870" s="44"/>
      <c r="AI870" s="44"/>
      <c r="AJ870" s="44"/>
      <c r="AK870" s="44"/>
      <c r="AL870" s="44"/>
      <c r="AM870" s="44"/>
      <c r="AN870" s="44"/>
      <c r="AO870" s="44"/>
      <c r="AP870" s="44"/>
      <c r="AQ870" s="44"/>
      <c r="AR870" s="44"/>
      <c r="AS870" s="44"/>
      <c r="AT870" s="44"/>
      <c r="AU870" s="44"/>
      <c r="AV870" s="44"/>
      <c r="AW870" s="44"/>
      <c r="AX870" s="44"/>
    </row>
    <row r="871" spans="1:50" x14ac:dyDescent="0.25">
      <c r="A871" s="44"/>
      <c r="B871" s="44"/>
      <c r="C871" s="44"/>
      <c r="D871" s="44"/>
      <c r="E871" s="44"/>
      <c r="F871" s="44"/>
      <c r="G871" s="44"/>
      <c r="H871" s="44"/>
      <c r="I871" s="44"/>
      <c r="J871" s="44"/>
      <c r="K871" s="44"/>
      <c r="L871" s="44"/>
      <c r="M871" s="44"/>
      <c r="N871" s="44"/>
      <c r="O871" s="44"/>
      <c r="P871" s="44"/>
      <c r="Q871" s="44"/>
      <c r="R871" s="44"/>
      <c r="S871" s="44"/>
      <c r="T871" s="44"/>
      <c r="U871" s="44"/>
      <c r="V871" s="44"/>
      <c r="W871" s="44"/>
      <c r="X871" s="44"/>
      <c r="Y871" s="44"/>
      <c r="Z871" s="44"/>
      <c r="AA871" s="44"/>
      <c r="AB871" s="44"/>
      <c r="AC871" s="44"/>
      <c r="AD871" s="44"/>
      <c r="AE871" s="44"/>
      <c r="AF871" s="44"/>
      <c r="AG871" s="44"/>
      <c r="AH871" s="44"/>
      <c r="AI871" s="44"/>
      <c r="AJ871" s="44"/>
      <c r="AK871" s="44"/>
      <c r="AL871" s="44"/>
      <c r="AM871" s="44"/>
      <c r="AN871" s="44"/>
      <c r="AO871" s="44"/>
      <c r="AP871" s="44"/>
      <c r="AQ871" s="44"/>
      <c r="AR871" s="44"/>
      <c r="AS871" s="44"/>
      <c r="AT871" s="44"/>
      <c r="AU871" s="44"/>
      <c r="AV871" s="44"/>
      <c r="AW871" s="44"/>
      <c r="AX871" s="44"/>
    </row>
    <row r="872" spans="1:50" x14ac:dyDescent="0.25">
      <c r="A872" s="44"/>
      <c r="B872" s="44"/>
      <c r="C872" s="44"/>
      <c r="D872" s="44"/>
      <c r="E872" s="44"/>
      <c r="F872" s="44"/>
      <c r="G872" s="44"/>
      <c r="H872" s="44"/>
      <c r="I872" s="44"/>
      <c r="J872" s="44"/>
      <c r="K872" s="44"/>
      <c r="L872" s="44"/>
      <c r="M872" s="44"/>
      <c r="N872" s="44"/>
      <c r="O872" s="44"/>
      <c r="P872" s="44"/>
      <c r="Q872" s="44"/>
      <c r="R872" s="44"/>
      <c r="S872" s="44"/>
      <c r="T872" s="44"/>
      <c r="U872" s="44"/>
      <c r="V872" s="44"/>
      <c r="W872" s="44"/>
      <c r="X872" s="44"/>
      <c r="Y872" s="44"/>
      <c r="Z872" s="44"/>
      <c r="AA872" s="44"/>
      <c r="AB872" s="44"/>
      <c r="AC872" s="44"/>
      <c r="AD872" s="44"/>
      <c r="AE872" s="44"/>
      <c r="AF872" s="44"/>
      <c r="AG872" s="44"/>
      <c r="AH872" s="44"/>
      <c r="AI872" s="44"/>
      <c r="AJ872" s="44"/>
      <c r="AK872" s="44"/>
      <c r="AL872" s="44"/>
      <c r="AM872" s="44"/>
      <c r="AN872" s="44"/>
      <c r="AO872" s="44"/>
      <c r="AP872" s="44"/>
      <c r="AQ872" s="44"/>
      <c r="AR872" s="44"/>
      <c r="AS872" s="44"/>
      <c r="AT872" s="44"/>
      <c r="AU872" s="44"/>
      <c r="AV872" s="44"/>
      <c r="AW872" s="44"/>
      <c r="AX872" s="44"/>
    </row>
    <row r="873" spans="1:50" x14ac:dyDescent="0.25">
      <c r="A873" s="44"/>
      <c r="B873" s="44"/>
      <c r="C873" s="44"/>
      <c r="D873" s="44"/>
      <c r="E873" s="44"/>
      <c r="F873" s="44"/>
      <c r="G873" s="44"/>
      <c r="H873" s="44"/>
      <c r="I873" s="44"/>
      <c r="J873" s="44"/>
      <c r="K873" s="44"/>
      <c r="L873" s="44"/>
      <c r="M873" s="44"/>
      <c r="N873" s="44"/>
      <c r="O873" s="44"/>
      <c r="P873" s="44"/>
      <c r="Q873" s="44"/>
      <c r="R873" s="44"/>
      <c r="S873" s="44"/>
      <c r="T873" s="44"/>
      <c r="U873" s="44"/>
      <c r="V873" s="44"/>
      <c r="W873" s="44"/>
      <c r="X873" s="44"/>
      <c r="Y873" s="44"/>
      <c r="Z873" s="44"/>
      <c r="AA873" s="44"/>
      <c r="AB873" s="44"/>
      <c r="AC873" s="44"/>
      <c r="AD873" s="44"/>
      <c r="AE873" s="44"/>
      <c r="AF873" s="44"/>
      <c r="AG873" s="44"/>
      <c r="AH873" s="44"/>
      <c r="AI873" s="44"/>
      <c r="AJ873" s="44"/>
      <c r="AK873" s="44"/>
      <c r="AL873" s="44"/>
      <c r="AM873" s="44"/>
      <c r="AN873" s="44"/>
      <c r="AO873" s="44"/>
      <c r="AP873" s="44"/>
      <c r="AQ873" s="44"/>
      <c r="AR873" s="44"/>
      <c r="AS873" s="44"/>
      <c r="AT873" s="44"/>
      <c r="AU873" s="44"/>
      <c r="AV873" s="44"/>
      <c r="AW873" s="44"/>
      <c r="AX873" s="44"/>
    </row>
    <row r="874" spans="1:50" x14ac:dyDescent="0.25">
      <c r="A874" s="44"/>
      <c r="B874" s="44"/>
      <c r="C874" s="44"/>
      <c r="D874" s="44"/>
      <c r="E874" s="44"/>
      <c r="F874" s="44"/>
      <c r="G874" s="44"/>
      <c r="H874" s="44"/>
      <c r="I874" s="44"/>
      <c r="J874" s="44"/>
      <c r="K874" s="44"/>
      <c r="L874" s="44"/>
      <c r="M874" s="44"/>
      <c r="N874" s="44"/>
      <c r="O874" s="44"/>
      <c r="P874" s="44"/>
      <c r="Q874" s="44"/>
      <c r="R874" s="44"/>
      <c r="S874" s="44"/>
      <c r="T874" s="44"/>
      <c r="U874" s="44"/>
      <c r="V874" s="44"/>
      <c r="W874" s="44"/>
      <c r="X874" s="44"/>
      <c r="Y874" s="44"/>
      <c r="Z874" s="44"/>
      <c r="AA874" s="44"/>
      <c r="AB874" s="44"/>
      <c r="AC874" s="44"/>
      <c r="AD874" s="44"/>
      <c r="AE874" s="44"/>
      <c r="AF874" s="44"/>
      <c r="AG874" s="44"/>
      <c r="AH874" s="44"/>
      <c r="AI874" s="44"/>
      <c r="AJ874" s="44"/>
      <c r="AK874" s="44"/>
      <c r="AL874" s="44"/>
      <c r="AM874" s="44"/>
      <c r="AN874" s="44"/>
      <c r="AO874" s="44"/>
      <c r="AP874" s="44"/>
      <c r="AQ874" s="44"/>
      <c r="AR874" s="44"/>
      <c r="AS874" s="44"/>
      <c r="AT874" s="44"/>
      <c r="AU874" s="44"/>
      <c r="AV874" s="44"/>
      <c r="AW874" s="44"/>
      <c r="AX874" s="44"/>
    </row>
    <row r="875" spans="1:50" x14ac:dyDescent="0.25">
      <c r="A875" s="44"/>
      <c r="B875" s="44"/>
      <c r="C875" s="44"/>
      <c r="D875" s="44"/>
      <c r="E875" s="44"/>
      <c r="F875" s="44"/>
      <c r="G875" s="44"/>
      <c r="H875" s="44"/>
      <c r="I875" s="44"/>
      <c r="J875" s="44"/>
      <c r="K875" s="44"/>
      <c r="L875" s="44"/>
      <c r="M875" s="44"/>
      <c r="N875" s="44"/>
      <c r="O875" s="44"/>
      <c r="P875" s="44"/>
      <c r="Q875" s="44"/>
      <c r="R875" s="44"/>
      <c r="S875" s="44"/>
      <c r="T875" s="44"/>
      <c r="U875" s="44"/>
      <c r="V875" s="44"/>
      <c r="W875" s="44"/>
      <c r="X875" s="44"/>
      <c r="Y875" s="44"/>
      <c r="Z875" s="44"/>
      <c r="AA875" s="44"/>
      <c r="AB875" s="44"/>
      <c r="AC875" s="44"/>
      <c r="AD875" s="44"/>
      <c r="AE875" s="44"/>
      <c r="AF875" s="44"/>
      <c r="AG875" s="44"/>
      <c r="AH875" s="44"/>
      <c r="AI875" s="44"/>
      <c r="AJ875" s="44"/>
      <c r="AK875" s="44"/>
      <c r="AL875" s="44"/>
      <c r="AM875" s="44"/>
      <c r="AN875" s="44"/>
      <c r="AO875" s="44"/>
      <c r="AP875" s="44"/>
      <c r="AQ875" s="44"/>
      <c r="AR875" s="44"/>
      <c r="AS875" s="44"/>
      <c r="AT875" s="44"/>
      <c r="AU875" s="44"/>
      <c r="AV875" s="44"/>
      <c r="AW875" s="44"/>
      <c r="AX875" s="44"/>
    </row>
    <row r="876" spans="1:50" x14ac:dyDescent="0.25">
      <c r="A876" s="44"/>
      <c r="B876" s="44"/>
      <c r="C876" s="44"/>
      <c r="D876" s="44"/>
      <c r="E876" s="44"/>
      <c r="F876" s="44"/>
      <c r="G876" s="44"/>
      <c r="H876" s="44"/>
      <c r="I876" s="44"/>
      <c r="J876" s="44"/>
      <c r="K876" s="44"/>
      <c r="L876" s="44"/>
      <c r="M876" s="44"/>
      <c r="N876" s="44"/>
      <c r="O876" s="44"/>
      <c r="P876" s="44"/>
      <c r="Q876" s="44"/>
      <c r="R876" s="44"/>
      <c r="S876" s="44"/>
      <c r="T876" s="44"/>
      <c r="U876" s="44"/>
      <c r="V876" s="44"/>
      <c r="W876" s="44"/>
      <c r="X876" s="44"/>
      <c r="Y876" s="44"/>
      <c r="Z876" s="44"/>
      <c r="AA876" s="44"/>
      <c r="AB876" s="44"/>
      <c r="AC876" s="44"/>
      <c r="AD876" s="44"/>
      <c r="AE876" s="44"/>
      <c r="AF876" s="44"/>
      <c r="AG876" s="44"/>
      <c r="AH876" s="44"/>
      <c r="AI876" s="44"/>
      <c r="AJ876" s="44"/>
      <c r="AK876" s="44"/>
      <c r="AL876" s="44"/>
      <c r="AM876" s="44"/>
      <c r="AN876" s="44"/>
      <c r="AO876" s="44"/>
      <c r="AP876" s="44"/>
      <c r="AQ876" s="44"/>
      <c r="AR876" s="44"/>
      <c r="AS876" s="44"/>
      <c r="AT876" s="44"/>
      <c r="AU876" s="44"/>
      <c r="AV876" s="44"/>
      <c r="AW876" s="44"/>
      <c r="AX876" s="44"/>
    </row>
    <row r="877" spans="1:50" x14ac:dyDescent="0.25">
      <c r="A877" s="44"/>
      <c r="B877" s="44"/>
      <c r="C877" s="44"/>
      <c r="D877" s="44"/>
      <c r="E877" s="44"/>
      <c r="F877" s="44"/>
      <c r="G877" s="44"/>
      <c r="H877" s="44"/>
      <c r="I877" s="44"/>
      <c r="J877" s="44"/>
      <c r="K877" s="44"/>
      <c r="L877" s="44"/>
      <c r="M877" s="44"/>
      <c r="N877" s="44"/>
      <c r="O877" s="44"/>
      <c r="P877" s="44"/>
      <c r="Q877" s="44"/>
      <c r="R877" s="44"/>
      <c r="S877" s="44"/>
      <c r="T877" s="44"/>
      <c r="U877" s="44"/>
      <c r="V877" s="44"/>
      <c r="W877" s="44"/>
      <c r="X877" s="44"/>
      <c r="Y877" s="44"/>
      <c r="Z877" s="44"/>
      <c r="AA877" s="44"/>
      <c r="AB877" s="44"/>
      <c r="AC877" s="44"/>
      <c r="AD877" s="44"/>
      <c r="AE877" s="44"/>
      <c r="AF877" s="44"/>
      <c r="AG877" s="44"/>
      <c r="AH877" s="44"/>
      <c r="AI877" s="44"/>
      <c r="AJ877" s="44"/>
      <c r="AK877" s="44"/>
      <c r="AL877" s="44"/>
      <c r="AM877" s="44"/>
      <c r="AN877" s="44"/>
      <c r="AO877" s="44"/>
      <c r="AP877" s="44"/>
      <c r="AQ877" s="44"/>
      <c r="AR877" s="44"/>
      <c r="AS877" s="44"/>
      <c r="AT877" s="44"/>
      <c r="AU877" s="44"/>
      <c r="AV877" s="44"/>
      <c r="AW877" s="44"/>
      <c r="AX877" s="44"/>
    </row>
    <row r="878" spans="1:50" x14ac:dyDescent="0.25">
      <c r="A878" s="44"/>
      <c r="B878" s="44"/>
      <c r="C878" s="44"/>
      <c r="D878" s="44"/>
      <c r="E878" s="44"/>
      <c r="F878" s="44"/>
      <c r="G878" s="44"/>
      <c r="H878" s="44"/>
      <c r="I878" s="44"/>
      <c r="J878" s="44"/>
      <c r="K878" s="44"/>
      <c r="L878" s="44"/>
      <c r="M878" s="44"/>
      <c r="N878" s="44"/>
      <c r="O878" s="44"/>
      <c r="P878" s="44"/>
      <c r="Q878" s="44"/>
      <c r="R878" s="44"/>
      <c r="S878" s="44"/>
      <c r="T878" s="44"/>
      <c r="U878" s="44"/>
      <c r="V878" s="44"/>
      <c r="W878" s="44"/>
      <c r="X878" s="44"/>
      <c r="Y878" s="44"/>
      <c r="Z878" s="44"/>
      <c r="AA878" s="44"/>
      <c r="AB878" s="44"/>
      <c r="AC878" s="44"/>
      <c r="AD878" s="44"/>
      <c r="AE878" s="44"/>
      <c r="AF878" s="44"/>
      <c r="AG878" s="44"/>
      <c r="AH878" s="44"/>
      <c r="AI878" s="44"/>
      <c r="AJ878" s="44"/>
      <c r="AK878" s="44"/>
      <c r="AL878" s="44"/>
      <c r="AM878" s="44"/>
      <c r="AN878" s="44"/>
      <c r="AO878" s="44"/>
      <c r="AP878" s="44"/>
      <c r="AQ878" s="44"/>
      <c r="AR878" s="44"/>
      <c r="AS878" s="44"/>
      <c r="AT878" s="44"/>
      <c r="AU878" s="44"/>
      <c r="AV878" s="44"/>
      <c r="AW878" s="44"/>
      <c r="AX878" s="44"/>
    </row>
    <row r="879" spans="1:50" x14ac:dyDescent="0.25">
      <c r="A879" s="44"/>
      <c r="B879" s="44"/>
      <c r="C879" s="44"/>
      <c r="D879" s="44"/>
      <c r="E879" s="44"/>
      <c r="F879" s="44"/>
      <c r="G879" s="44"/>
      <c r="H879" s="44"/>
      <c r="I879" s="44"/>
      <c r="J879" s="44"/>
      <c r="K879" s="44"/>
      <c r="L879" s="44"/>
      <c r="M879" s="44"/>
      <c r="N879" s="44"/>
      <c r="O879" s="44"/>
      <c r="P879" s="44"/>
      <c r="Q879" s="44"/>
      <c r="R879" s="44"/>
      <c r="S879" s="44"/>
      <c r="T879" s="44"/>
      <c r="U879" s="44"/>
      <c r="V879" s="44"/>
      <c r="W879" s="44"/>
      <c r="X879" s="44"/>
      <c r="Y879" s="44"/>
      <c r="Z879" s="44"/>
      <c r="AA879" s="44"/>
      <c r="AB879" s="44"/>
      <c r="AC879" s="44"/>
      <c r="AD879" s="44"/>
      <c r="AE879" s="44"/>
      <c r="AF879" s="44"/>
      <c r="AG879" s="44"/>
      <c r="AH879" s="44"/>
      <c r="AI879" s="44"/>
      <c r="AJ879" s="44"/>
      <c r="AK879" s="44"/>
      <c r="AL879" s="44"/>
      <c r="AM879" s="44"/>
      <c r="AN879" s="44"/>
      <c r="AO879" s="44"/>
      <c r="AP879" s="44"/>
      <c r="AQ879" s="44"/>
      <c r="AR879" s="44"/>
      <c r="AS879" s="44"/>
      <c r="AT879" s="44"/>
      <c r="AU879" s="44"/>
      <c r="AV879" s="44"/>
      <c r="AW879" s="44"/>
      <c r="AX879" s="44"/>
    </row>
    <row r="880" spans="1:50" x14ac:dyDescent="0.25">
      <c r="A880" s="44"/>
      <c r="B880" s="44"/>
      <c r="C880" s="44"/>
      <c r="D880" s="44"/>
      <c r="E880" s="44"/>
      <c r="F880" s="44"/>
      <c r="G880" s="44"/>
      <c r="H880" s="44"/>
      <c r="I880" s="44"/>
      <c r="J880" s="44"/>
      <c r="K880" s="44"/>
      <c r="L880" s="44"/>
      <c r="M880" s="44"/>
      <c r="N880" s="44"/>
      <c r="O880" s="44"/>
      <c r="P880" s="44"/>
      <c r="Q880" s="44"/>
      <c r="R880" s="44"/>
      <c r="S880" s="44"/>
      <c r="T880" s="44"/>
      <c r="U880" s="44"/>
      <c r="V880" s="44"/>
      <c r="W880" s="44"/>
      <c r="X880" s="44"/>
      <c r="Y880" s="44"/>
      <c r="Z880" s="44"/>
      <c r="AA880" s="44"/>
      <c r="AB880" s="44"/>
      <c r="AC880" s="44"/>
      <c r="AD880" s="44"/>
      <c r="AE880" s="44"/>
      <c r="AF880" s="44"/>
      <c r="AG880" s="44"/>
      <c r="AH880" s="44"/>
      <c r="AI880" s="44"/>
      <c r="AJ880" s="44"/>
      <c r="AK880" s="44"/>
      <c r="AL880" s="44"/>
      <c r="AM880" s="44"/>
      <c r="AN880" s="44"/>
      <c r="AO880" s="44"/>
      <c r="AP880" s="44"/>
      <c r="AQ880" s="44"/>
      <c r="AR880" s="44"/>
      <c r="AS880" s="44"/>
      <c r="AT880" s="44"/>
      <c r="AU880" s="44"/>
      <c r="AV880" s="44"/>
      <c r="AW880" s="44"/>
      <c r="AX880" s="44"/>
    </row>
    <row r="881" spans="1:50" x14ac:dyDescent="0.25">
      <c r="A881" s="44"/>
      <c r="B881" s="44"/>
      <c r="C881" s="44"/>
      <c r="D881" s="44"/>
      <c r="E881" s="44"/>
      <c r="F881" s="44"/>
      <c r="G881" s="44"/>
      <c r="H881" s="44"/>
      <c r="I881" s="44"/>
      <c r="J881" s="44"/>
      <c r="K881" s="44"/>
      <c r="L881" s="44"/>
      <c r="M881" s="44"/>
      <c r="N881" s="44"/>
      <c r="O881" s="44"/>
      <c r="P881" s="44"/>
      <c r="Q881" s="44"/>
      <c r="R881" s="44"/>
      <c r="S881" s="44"/>
      <c r="T881" s="44"/>
      <c r="U881" s="44"/>
      <c r="V881" s="44"/>
      <c r="W881" s="44"/>
      <c r="X881" s="44"/>
      <c r="Y881" s="44"/>
      <c r="Z881" s="44"/>
      <c r="AA881" s="44"/>
      <c r="AB881" s="44"/>
      <c r="AC881" s="44"/>
      <c r="AD881" s="44"/>
      <c r="AE881" s="44"/>
      <c r="AF881" s="44"/>
      <c r="AG881" s="44"/>
      <c r="AH881" s="44"/>
      <c r="AI881" s="44"/>
      <c r="AJ881" s="44"/>
      <c r="AK881" s="44"/>
      <c r="AL881" s="44"/>
      <c r="AM881" s="44"/>
      <c r="AN881" s="44"/>
      <c r="AO881" s="44"/>
      <c r="AP881" s="44"/>
      <c r="AQ881" s="44"/>
      <c r="AR881" s="44"/>
      <c r="AS881" s="44"/>
      <c r="AT881" s="44"/>
      <c r="AU881" s="44"/>
      <c r="AV881" s="44"/>
      <c r="AW881" s="44"/>
      <c r="AX881" s="44"/>
    </row>
    <row r="882" spans="1:50" x14ac:dyDescent="0.25">
      <c r="A882" s="44"/>
      <c r="B882" s="44"/>
      <c r="C882" s="44"/>
      <c r="D882" s="44"/>
      <c r="E882" s="44"/>
      <c r="F882" s="44"/>
      <c r="G882" s="44"/>
      <c r="H882" s="44"/>
      <c r="I882" s="44"/>
      <c r="J882" s="44"/>
      <c r="K882" s="44"/>
      <c r="L882" s="44"/>
      <c r="M882" s="44"/>
      <c r="N882" s="44"/>
      <c r="O882" s="44"/>
      <c r="P882" s="44"/>
      <c r="Q882" s="44"/>
      <c r="R882" s="44"/>
      <c r="S882" s="44"/>
      <c r="T882" s="44"/>
      <c r="U882" s="44"/>
      <c r="V882" s="44"/>
      <c r="W882" s="44"/>
      <c r="X882" s="44"/>
      <c r="Y882" s="44"/>
      <c r="Z882" s="44"/>
      <c r="AA882" s="44"/>
      <c r="AB882" s="44"/>
      <c r="AC882" s="44"/>
      <c r="AD882" s="44"/>
      <c r="AE882" s="44"/>
      <c r="AF882" s="44"/>
      <c r="AG882" s="44"/>
      <c r="AH882" s="44"/>
      <c r="AI882" s="44"/>
      <c r="AJ882" s="44"/>
      <c r="AK882" s="44"/>
      <c r="AL882" s="44"/>
      <c r="AM882" s="44"/>
      <c r="AN882" s="44"/>
      <c r="AO882" s="44"/>
      <c r="AP882" s="44"/>
      <c r="AQ882" s="44"/>
      <c r="AR882" s="44"/>
      <c r="AS882" s="44"/>
      <c r="AT882" s="44"/>
      <c r="AU882" s="44"/>
      <c r="AV882" s="44"/>
      <c r="AW882" s="44"/>
      <c r="AX882" s="44"/>
    </row>
    <row r="883" spans="1:50" x14ac:dyDescent="0.25">
      <c r="A883" s="44"/>
      <c r="B883" s="44"/>
      <c r="C883" s="44"/>
      <c r="D883" s="44"/>
      <c r="E883" s="44"/>
      <c r="F883" s="44"/>
      <c r="G883" s="44"/>
      <c r="H883" s="44"/>
      <c r="I883" s="44"/>
      <c r="J883" s="44"/>
      <c r="K883" s="44"/>
      <c r="L883" s="44"/>
      <c r="M883" s="44"/>
      <c r="N883" s="44"/>
      <c r="O883" s="44"/>
      <c r="P883" s="44"/>
      <c r="Q883" s="44"/>
      <c r="R883" s="44"/>
      <c r="S883" s="44"/>
      <c r="T883" s="44"/>
      <c r="U883" s="44"/>
      <c r="V883" s="44"/>
      <c r="W883" s="44"/>
      <c r="X883" s="44"/>
      <c r="Y883" s="44"/>
      <c r="Z883" s="44"/>
      <c r="AA883" s="44"/>
      <c r="AB883" s="44"/>
      <c r="AC883" s="44"/>
      <c r="AD883" s="44"/>
      <c r="AE883" s="44"/>
      <c r="AF883" s="44"/>
      <c r="AG883" s="44"/>
      <c r="AH883" s="44"/>
      <c r="AI883" s="44"/>
      <c r="AJ883" s="44"/>
      <c r="AK883" s="44"/>
      <c r="AL883" s="44"/>
      <c r="AM883" s="44"/>
      <c r="AN883" s="44"/>
      <c r="AO883" s="44"/>
      <c r="AP883" s="44"/>
      <c r="AQ883" s="44"/>
      <c r="AR883" s="44"/>
      <c r="AS883" s="44"/>
      <c r="AT883" s="44"/>
      <c r="AU883" s="44"/>
      <c r="AV883" s="44"/>
      <c r="AW883" s="44"/>
      <c r="AX883" s="44"/>
    </row>
    <row r="884" spans="1:50" x14ac:dyDescent="0.25">
      <c r="A884" s="44"/>
      <c r="B884" s="44"/>
      <c r="C884" s="44"/>
      <c r="D884" s="44"/>
      <c r="E884" s="44"/>
      <c r="F884" s="44"/>
      <c r="G884" s="44"/>
      <c r="H884" s="44"/>
      <c r="I884" s="44"/>
      <c r="J884" s="44"/>
      <c r="K884" s="44"/>
      <c r="L884" s="44"/>
      <c r="M884" s="44"/>
      <c r="N884" s="44"/>
      <c r="O884" s="44"/>
      <c r="P884" s="44"/>
      <c r="Q884" s="44"/>
      <c r="R884" s="44"/>
      <c r="S884" s="44"/>
      <c r="T884" s="44"/>
      <c r="U884" s="44"/>
      <c r="V884" s="44"/>
      <c r="W884" s="44"/>
      <c r="X884" s="44"/>
      <c r="Y884" s="44"/>
      <c r="Z884" s="44"/>
      <c r="AA884" s="44"/>
      <c r="AB884" s="44"/>
      <c r="AC884" s="44"/>
      <c r="AD884" s="44"/>
      <c r="AE884" s="44"/>
      <c r="AF884" s="44"/>
      <c r="AG884" s="44"/>
      <c r="AH884" s="44"/>
      <c r="AI884" s="44"/>
      <c r="AJ884" s="44"/>
      <c r="AK884" s="44"/>
      <c r="AL884" s="44"/>
      <c r="AM884" s="44"/>
      <c r="AN884" s="44"/>
      <c r="AO884" s="44"/>
      <c r="AP884" s="44"/>
      <c r="AQ884" s="44"/>
      <c r="AR884" s="44"/>
      <c r="AS884" s="44"/>
      <c r="AT884" s="44"/>
      <c r="AU884" s="44"/>
      <c r="AV884" s="44"/>
      <c r="AW884" s="44"/>
      <c r="AX884" s="44"/>
    </row>
    <row r="885" spans="1:50" x14ac:dyDescent="0.25">
      <c r="A885" s="44"/>
      <c r="B885" s="44"/>
      <c r="C885" s="44"/>
      <c r="D885" s="44"/>
      <c r="E885" s="44"/>
      <c r="F885" s="44"/>
      <c r="G885" s="44"/>
      <c r="H885" s="44"/>
      <c r="I885" s="44"/>
      <c r="J885" s="44"/>
      <c r="K885" s="44"/>
      <c r="L885" s="44"/>
      <c r="M885" s="44"/>
      <c r="N885" s="44"/>
      <c r="O885" s="44"/>
      <c r="P885" s="44"/>
      <c r="Q885" s="44"/>
      <c r="R885" s="44"/>
      <c r="S885" s="44"/>
      <c r="T885" s="44"/>
      <c r="U885" s="44"/>
      <c r="V885" s="44"/>
      <c r="W885" s="44"/>
      <c r="X885" s="44"/>
      <c r="Y885" s="44"/>
      <c r="Z885" s="44"/>
      <c r="AA885" s="44"/>
      <c r="AB885" s="44"/>
      <c r="AC885" s="44"/>
      <c r="AD885" s="44"/>
      <c r="AE885" s="44"/>
      <c r="AF885" s="44"/>
      <c r="AG885" s="44"/>
      <c r="AH885" s="44"/>
      <c r="AI885" s="44"/>
      <c r="AJ885" s="44"/>
      <c r="AK885" s="44"/>
      <c r="AL885" s="44"/>
      <c r="AM885" s="44"/>
      <c r="AN885" s="44"/>
      <c r="AO885" s="44"/>
      <c r="AP885" s="44"/>
      <c r="AQ885" s="44"/>
      <c r="AR885" s="44"/>
      <c r="AS885" s="44"/>
      <c r="AT885" s="44"/>
      <c r="AU885" s="44"/>
      <c r="AV885" s="44"/>
      <c r="AW885" s="44"/>
      <c r="AX885" s="44"/>
    </row>
    <row r="886" spans="1:50" x14ac:dyDescent="0.25">
      <c r="A886" s="44"/>
      <c r="B886" s="44"/>
      <c r="C886" s="44"/>
      <c r="D886" s="44"/>
      <c r="E886" s="44"/>
      <c r="F886" s="44"/>
      <c r="G886" s="44"/>
      <c r="H886" s="44"/>
      <c r="I886" s="44"/>
      <c r="J886" s="44"/>
      <c r="K886" s="44"/>
      <c r="L886" s="44"/>
      <c r="M886" s="44"/>
      <c r="N886" s="44"/>
      <c r="O886" s="44"/>
      <c r="P886" s="44"/>
      <c r="Q886" s="44"/>
      <c r="R886" s="44"/>
      <c r="S886" s="44"/>
      <c r="T886" s="44"/>
      <c r="U886" s="44"/>
      <c r="V886" s="44"/>
      <c r="W886" s="44"/>
      <c r="X886" s="44"/>
      <c r="Y886" s="44"/>
      <c r="Z886" s="44"/>
      <c r="AA886" s="44"/>
      <c r="AB886" s="44"/>
      <c r="AC886" s="44"/>
      <c r="AD886" s="44"/>
      <c r="AE886" s="44"/>
      <c r="AF886" s="44"/>
      <c r="AG886" s="44"/>
      <c r="AH886" s="44"/>
      <c r="AI886" s="44"/>
      <c r="AJ886" s="44"/>
      <c r="AK886" s="44"/>
      <c r="AL886" s="44"/>
      <c r="AM886" s="44"/>
      <c r="AN886" s="44"/>
      <c r="AO886" s="44"/>
      <c r="AP886" s="44"/>
      <c r="AQ886" s="44"/>
      <c r="AR886" s="44"/>
      <c r="AS886" s="44"/>
      <c r="AT886" s="44"/>
      <c r="AU886" s="44"/>
      <c r="AV886" s="44"/>
      <c r="AW886" s="44"/>
      <c r="AX886" s="44"/>
    </row>
    <row r="887" spans="1:50" x14ac:dyDescent="0.25">
      <c r="A887" s="44"/>
      <c r="B887" s="44"/>
      <c r="C887" s="44"/>
      <c r="D887" s="44"/>
      <c r="E887" s="44"/>
      <c r="F887" s="44"/>
      <c r="G887" s="44"/>
      <c r="H887" s="44"/>
      <c r="I887" s="44"/>
      <c r="J887" s="44"/>
      <c r="K887" s="44"/>
      <c r="L887" s="44"/>
      <c r="M887" s="44"/>
      <c r="N887" s="44"/>
      <c r="O887" s="44"/>
      <c r="P887" s="44"/>
      <c r="Q887" s="44"/>
      <c r="R887" s="44"/>
      <c r="S887" s="44"/>
      <c r="T887" s="44"/>
      <c r="U887" s="44"/>
      <c r="V887" s="44"/>
      <c r="W887" s="44"/>
      <c r="X887" s="44"/>
      <c r="Y887" s="44"/>
      <c r="Z887" s="44"/>
      <c r="AA887" s="44"/>
      <c r="AB887" s="44"/>
      <c r="AC887" s="44"/>
      <c r="AD887" s="44"/>
      <c r="AE887" s="44"/>
      <c r="AF887" s="44"/>
      <c r="AG887" s="44"/>
      <c r="AH887" s="44"/>
      <c r="AI887" s="44"/>
      <c r="AJ887" s="44"/>
      <c r="AK887" s="44"/>
      <c r="AL887" s="44"/>
      <c r="AM887" s="44"/>
      <c r="AN887" s="44"/>
      <c r="AO887" s="44"/>
      <c r="AP887" s="44"/>
      <c r="AQ887" s="44"/>
      <c r="AR887" s="44"/>
      <c r="AS887" s="44"/>
      <c r="AT887" s="44"/>
      <c r="AU887" s="44"/>
      <c r="AV887" s="44"/>
      <c r="AW887" s="44"/>
      <c r="AX887" s="44"/>
    </row>
    <row r="888" spans="1:50" x14ac:dyDescent="0.25">
      <c r="A888" s="44"/>
      <c r="B888" s="44"/>
      <c r="C888" s="44"/>
      <c r="D888" s="44"/>
      <c r="E888" s="44"/>
      <c r="F888" s="44"/>
      <c r="G888" s="44"/>
      <c r="H888" s="44"/>
      <c r="I888" s="44"/>
      <c r="J888" s="44"/>
      <c r="K888" s="44"/>
      <c r="L888" s="44"/>
      <c r="M888" s="44"/>
      <c r="N888" s="44"/>
      <c r="O888" s="44"/>
      <c r="P888" s="44"/>
      <c r="Q888" s="44"/>
      <c r="R888" s="44"/>
      <c r="S888" s="44"/>
      <c r="T888" s="44"/>
      <c r="U888" s="44"/>
      <c r="V888" s="44"/>
      <c r="W888" s="44"/>
      <c r="X888" s="44"/>
      <c r="Y888" s="44"/>
      <c r="Z888" s="44"/>
      <c r="AA888" s="44"/>
      <c r="AB888" s="44"/>
      <c r="AC888" s="44"/>
      <c r="AD888" s="44"/>
      <c r="AE888" s="44"/>
      <c r="AF888" s="44"/>
      <c r="AG888" s="44"/>
      <c r="AH888" s="44"/>
      <c r="AI888" s="44"/>
      <c r="AJ888" s="44"/>
      <c r="AK888" s="44"/>
      <c r="AL888" s="44"/>
      <c r="AM888" s="44"/>
      <c r="AN888" s="44"/>
      <c r="AO888" s="44"/>
      <c r="AP888" s="44"/>
      <c r="AQ888" s="44"/>
      <c r="AR888" s="44"/>
      <c r="AS888" s="44"/>
      <c r="AT888" s="44"/>
      <c r="AU888" s="44"/>
      <c r="AV888" s="44"/>
      <c r="AW888" s="44"/>
      <c r="AX888" s="44"/>
    </row>
    <row r="889" spans="1:50" x14ac:dyDescent="0.25">
      <c r="A889" s="44"/>
      <c r="B889" s="44"/>
      <c r="C889" s="44"/>
      <c r="D889" s="44"/>
      <c r="E889" s="44"/>
      <c r="F889" s="44"/>
      <c r="G889" s="44"/>
      <c r="H889" s="44"/>
      <c r="I889" s="44"/>
      <c r="J889" s="44"/>
      <c r="K889" s="44"/>
      <c r="L889" s="44"/>
      <c r="M889" s="44"/>
      <c r="N889" s="44"/>
      <c r="O889" s="44"/>
      <c r="P889" s="44"/>
      <c r="Q889" s="44"/>
      <c r="R889" s="44"/>
      <c r="S889" s="44"/>
      <c r="T889" s="44"/>
      <c r="U889" s="44"/>
      <c r="V889" s="44"/>
      <c r="W889" s="44"/>
      <c r="X889" s="44"/>
      <c r="Y889" s="44"/>
      <c r="Z889" s="44"/>
      <c r="AA889" s="44"/>
      <c r="AB889" s="44"/>
      <c r="AC889" s="44"/>
      <c r="AD889" s="44"/>
      <c r="AE889" s="44"/>
      <c r="AF889" s="44"/>
      <c r="AG889" s="44"/>
      <c r="AH889" s="44"/>
      <c r="AI889" s="44"/>
      <c r="AJ889" s="44"/>
      <c r="AK889" s="44"/>
      <c r="AL889" s="44"/>
      <c r="AM889" s="44"/>
      <c r="AN889" s="44"/>
      <c r="AO889" s="44"/>
      <c r="AP889" s="44"/>
      <c r="AQ889" s="44"/>
      <c r="AR889" s="44"/>
      <c r="AS889" s="44"/>
      <c r="AT889" s="44"/>
      <c r="AU889" s="44"/>
      <c r="AV889" s="44"/>
      <c r="AW889" s="44"/>
      <c r="AX889" s="44"/>
    </row>
    <row r="890" spans="1:50" x14ac:dyDescent="0.25">
      <c r="A890" s="44"/>
      <c r="B890" s="44"/>
      <c r="C890" s="44"/>
      <c r="D890" s="44"/>
      <c r="E890" s="44"/>
      <c r="F890" s="44"/>
      <c r="G890" s="44"/>
      <c r="H890" s="44"/>
      <c r="I890" s="44"/>
      <c r="J890" s="44"/>
      <c r="K890" s="44"/>
      <c r="L890" s="44"/>
      <c r="M890" s="44"/>
      <c r="N890" s="44"/>
      <c r="O890" s="44"/>
      <c r="P890" s="44"/>
      <c r="Q890" s="44"/>
      <c r="R890" s="44"/>
      <c r="S890" s="44"/>
      <c r="T890" s="44"/>
      <c r="U890" s="44"/>
      <c r="V890" s="44"/>
      <c r="W890" s="44"/>
      <c r="X890" s="44"/>
      <c r="Y890" s="44"/>
      <c r="Z890" s="44"/>
      <c r="AA890" s="44"/>
      <c r="AB890" s="44"/>
      <c r="AC890" s="44"/>
      <c r="AD890" s="44"/>
      <c r="AE890" s="44"/>
      <c r="AF890" s="44"/>
      <c r="AG890" s="44"/>
      <c r="AH890" s="44"/>
      <c r="AI890" s="44"/>
      <c r="AJ890" s="44"/>
      <c r="AK890" s="44"/>
      <c r="AL890" s="44"/>
      <c r="AM890" s="44"/>
      <c r="AN890" s="44"/>
      <c r="AO890" s="44"/>
      <c r="AP890" s="44"/>
      <c r="AQ890" s="44"/>
      <c r="AR890" s="44"/>
      <c r="AS890" s="44"/>
      <c r="AT890" s="44"/>
      <c r="AU890" s="44"/>
      <c r="AV890" s="44"/>
      <c r="AW890" s="44"/>
      <c r="AX890" s="44"/>
    </row>
    <row r="891" spans="1:50" x14ac:dyDescent="0.25">
      <c r="A891" s="44"/>
      <c r="B891" s="44"/>
      <c r="C891" s="44"/>
      <c r="D891" s="44"/>
      <c r="E891" s="44"/>
      <c r="F891" s="44"/>
      <c r="G891" s="44"/>
      <c r="H891" s="44"/>
      <c r="I891" s="44"/>
      <c r="J891" s="44"/>
      <c r="K891" s="44"/>
      <c r="L891" s="44"/>
      <c r="M891" s="44"/>
      <c r="N891" s="44"/>
      <c r="O891" s="44"/>
      <c r="P891" s="44"/>
      <c r="Q891" s="44"/>
      <c r="R891" s="44"/>
      <c r="S891" s="44"/>
      <c r="T891" s="44"/>
      <c r="U891" s="44"/>
      <c r="V891" s="44"/>
      <c r="W891" s="44"/>
      <c r="X891" s="44"/>
      <c r="Y891" s="44"/>
      <c r="Z891" s="44"/>
      <c r="AA891" s="44"/>
      <c r="AB891" s="44"/>
      <c r="AC891" s="44"/>
      <c r="AD891" s="44"/>
      <c r="AE891" s="44"/>
      <c r="AF891" s="44"/>
      <c r="AG891" s="44"/>
      <c r="AH891" s="44"/>
      <c r="AI891" s="44"/>
      <c r="AJ891" s="44"/>
      <c r="AK891" s="44"/>
      <c r="AL891" s="44"/>
      <c r="AM891" s="44"/>
      <c r="AN891" s="44"/>
      <c r="AO891" s="44"/>
      <c r="AP891" s="44"/>
      <c r="AQ891" s="44"/>
      <c r="AR891" s="44"/>
      <c r="AS891" s="44"/>
      <c r="AT891" s="44"/>
      <c r="AU891" s="44"/>
      <c r="AV891" s="44"/>
      <c r="AW891" s="44"/>
      <c r="AX891" s="44"/>
    </row>
    <row r="892" spans="1:50" x14ac:dyDescent="0.25">
      <c r="A892" s="44"/>
      <c r="B892" s="44"/>
      <c r="C892" s="44"/>
      <c r="D892" s="44"/>
      <c r="E892" s="44"/>
      <c r="F892" s="44"/>
      <c r="G892" s="44"/>
      <c r="H892" s="44"/>
      <c r="I892" s="44"/>
      <c r="J892" s="44"/>
      <c r="K892" s="44"/>
      <c r="L892" s="44"/>
      <c r="M892" s="44"/>
      <c r="N892" s="44"/>
      <c r="O892" s="44"/>
      <c r="P892" s="44"/>
      <c r="Q892" s="44"/>
      <c r="R892" s="44"/>
      <c r="S892" s="44"/>
      <c r="T892" s="44"/>
      <c r="U892" s="44"/>
      <c r="V892" s="44"/>
      <c r="W892" s="44"/>
      <c r="X892" s="44"/>
      <c r="Y892" s="44"/>
      <c r="Z892" s="44"/>
      <c r="AA892" s="44"/>
      <c r="AB892" s="44"/>
      <c r="AC892" s="44"/>
      <c r="AD892" s="44"/>
      <c r="AE892" s="44"/>
      <c r="AF892" s="44"/>
      <c r="AG892" s="44"/>
      <c r="AH892" s="44"/>
      <c r="AI892" s="44"/>
      <c r="AJ892" s="44"/>
      <c r="AK892" s="44"/>
      <c r="AL892" s="44"/>
      <c r="AM892" s="44"/>
      <c r="AN892" s="44"/>
      <c r="AO892" s="44"/>
      <c r="AP892" s="44"/>
      <c r="AQ892" s="44"/>
      <c r="AR892" s="44"/>
      <c r="AS892" s="44"/>
      <c r="AT892" s="44"/>
      <c r="AU892" s="44"/>
      <c r="AV892" s="44"/>
      <c r="AW892" s="44"/>
      <c r="AX892" s="44"/>
    </row>
    <row r="893" spans="1:50" x14ac:dyDescent="0.25">
      <c r="A893" s="44"/>
      <c r="B893" s="44"/>
      <c r="C893" s="44"/>
      <c r="D893" s="44"/>
      <c r="E893" s="44"/>
      <c r="F893" s="44"/>
      <c r="G893" s="44"/>
      <c r="H893" s="44"/>
      <c r="I893" s="44"/>
      <c r="J893" s="44"/>
      <c r="K893" s="44"/>
      <c r="L893" s="44"/>
      <c r="M893" s="44"/>
      <c r="N893" s="44"/>
      <c r="O893" s="44"/>
      <c r="P893" s="44"/>
      <c r="Q893" s="44"/>
      <c r="R893" s="44"/>
      <c r="S893" s="44"/>
      <c r="T893" s="44"/>
      <c r="U893" s="44"/>
      <c r="V893" s="44"/>
      <c r="W893" s="44"/>
      <c r="X893" s="44"/>
      <c r="Y893" s="44"/>
      <c r="Z893" s="44"/>
      <c r="AA893" s="44"/>
      <c r="AB893" s="44"/>
      <c r="AC893" s="44"/>
      <c r="AD893" s="44"/>
      <c r="AE893" s="44"/>
      <c r="AF893" s="44"/>
      <c r="AG893" s="44"/>
      <c r="AH893" s="44"/>
      <c r="AI893" s="44"/>
      <c r="AJ893" s="44"/>
      <c r="AK893" s="44"/>
      <c r="AL893" s="44"/>
      <c r="AM893" s="44"/>
      <c r="AN893" s="44"/>
      <c r="AO893" s="44"/>
      <c r="AP893" s="44"/>
      <c r="AQ893" s="44"/>
      <c r="AR893" s="44"/>
      <c r="AS893" s="44"/>
      <c r="AT893" s="44"/>
      <c r="AU893" s="44"/>
      <c r="AV893" s="44"/>
      <c r="AW893" s="44"/>
      <c r="AX893" s="44"/>
    </row>
    <row r="894" spans="1:50" x14ac:dyDescent="0.25">
      <c r="A894" s="44"/>
      <c r="B894" s="44"/>
      <c r="C894" s="44"/>
      <c r="D894" s="44"/>
      <c r="E894" s="44"/>
      <c r="F894" s="44"/>
      <c r="G894" s="44"/>
      <c r="H894" s="44"/>
      <c r="I894" s="44"/>
      <c r="J894" s="44"/>
      <c r="K894" s="44"/>
      <c r="L894" s="44"/>
      <c r="M894" s="44"/>
      <c r="N894" s="44"/>
      <c r="O894" s="44"/>
      <c r="P894" s="44"/>
      <c r="Q894" s="44"/>
      <c r="R894" s="44"/>
      <c r="S894" s="44"/>
      <c r="T894" s="44"/>
      <c r="U894" s="44"/>
      <c r="V894" s="44"/>
      <c r="W894" s="44"/>
      <c r="X894" s="44"/>
      <c r="Y894" s="44"/>
      <c r="Z894" s="44"/>
      <c r="AA894" s="44"/>
      <c r="AB894" s="44"/>
      <c r="AC894" s="44"/>
      <c r="AD894" s="44"/>
      <c r="AE894" s="44"/>
      <c r="AF894" s="44"/>
      <c r="AG894" s="44"/>
      <c r="AH894" s="44"/>
      <c r="AI894" s="44"/>
      <c r="AJ894" s="44"/>
      <c r="AK894" s="44"/>
      <c r="AL894" s="44"/>
      <c r="AM894" s="44"/>
      <c r="AN894" s="44"/>
      <c r="AO894" s="44"/>
      <c r="AP894" s="44"/>
      <c r="AQ894" s="44"/>
      <c r="AR894" s="44"/>
      <c r="AS894" s="44"/>
      <c r="AT894" s="44"/>
      <c r="AU894" s="44"/>
      <c r="AV894" s="44"/>
      <c r="AW894" s="44"/>
      <c r="AX894" s="44"/>
    </row>
    <row r="895" spans="1:50" x14ac:dyDescent="0.25">
      <c r="A895" s="44"/>
      <c r="B895" s="44"/>
      <c r="C895" s="44"/>
      <c r="D895" s="44"/>
      <c r="E895" s="44"/>
      <c r="F895" s="44"/>
      <c r="G895" s="44"/>
      <c r="H895" s="44"/>
      <c r="I895" s="44"/>
      <c r="J895" s="44"/>
      <c r="K895" s="44"/>
      <c r="L895" s="44"/>
      <c r="M895" s="44"/>
      <c r="N895" s="44"/>
      <c r="O895" s="44"/>
      <c r="P895" s="44"/>
      <c r="Q895" s="44"/>
      <c r="R895" s="44"/>
      <c r="S895" s="44"/>
      <c r="T895" s="44"/>
      <c r="U895" s="44"/>
      <c r="V895" s="44"/>
      <c r="W895" s="44"/>
      <c r="X895" s="44"/>
      <c r="Y895" s="44"/>
      <c r="Z895" s="44"/>
      <c r="AA895" s="44"/>
      <c r="AB895" s="44"/>
      <c r="AC895" s="44"/>
      <c r="AD895" s="44"/>
      <c r="AE895" s="44"/>
      <c r="AF895" s="44"/>
      <c r="AG895" s="44"/>
      <c r="AH895" s="44"/>
      <c r="AI895" s="44"/>
      <c r="AJ895" s="44"/>
      <c r="AK895" s="44"/>
      <c r="AL895" s="44"/>
      <c r="AM895" s="44"/>
      <c r="AN895" s="44"/>
      <c r="AO895" s="44"/>
      <c r="AP895" s="44"/>
      <c r="AQ895" s="44"/>
      <c r="AR895" s="44"/>
      <c r="AS895" s="44"/>
      <c r="AT895" s="44"/>
      <c r="AU895" s="44"/>
      <c r="AV895" s="44"/>
      <c r="AW895" s="44"/>
      <c r="AX895" s="44"/>
    </row>
    <row r="896" spans="1:50" x14ac:dyDescent="0.25">
      <c r="A896" s="44"/>
      <c r="B896" s="44"/>
      <c r="C896" s="44"/>
      <c r="D896" s="44"/>
      <c r="E896" s="44"/>
      <c r="F896" s="44"/>
      <c r="G896" s="44"/>
      <c r="H896" s="44"/>
      <c r="I896" s="44"/>
      <c r="J896" s="44"/>
      <c r="K896" s="44"/>
      <c r="L896" s="44"/>
      <c r="M896" s="44"/>
      <c r="N896" s="44"/>
      <c r="O896" s="44"/>
      <c r="P896" s="44"/>
      <c r="Q896" s="44"/>
      <c r="R896" s="44"/>
      <c r="S896" s="44"/>
      <c r="T896" s="44"/>
      <c r="U896" s="44"/>
      <c r="V896" s="44"/>
      <c r="W896" s="44"/>
      <c r="X896" s="44"/>
      <c r="Y896" s="44"/>
      <c r="Z896" s="44"/>
      <c r="AA896" s="44"/>
      <c r="AB896" s="44"/>
      <c r="AC896" s="44"/>
      <c r="AD896" s="44"/>
      <c r="AE896" s="44"/>
      <c r="AF896" s="44"/>
      <c r="AG896" s="44"/>
      <c r="AH896" s="44"/>
      <c r="AI896" s="44"/>
      <c r="AJ896" s="44"/>
      <c r="AK896" s="44"/>
      <c r="AL896" s="44"/>
      <c r="AM896" s="44"/>
      <c r="AN896" s="44"/>
      <c r="AO896" s="44"/>
      <c r="AP896" s="44"/>
      <c r="AQ896" s="44"/>
      <c r="AR896" s="44"/>
      <c r="AS896" s="44"/>
      <c r="AT896" s="44"/>
      <c r="AU896" s="44"/>
      <c r="AV896" s="44"/>
      <c r="AW896" s="44"/>
      <c r="AX896" s="44"/>
    </row>
    <row r="897" spans="1:50" x14ac:dyDescent="0.25">
      <c r="A897" s="44"/>
      <c r="B897" s="44"/>
      <c r="C897" s="44"/>
      <c r="D897" s="44"/>
      <c r="E897" s="44"/>
      <c r="F897" s="44"/>
      <c r="G897" s="44"/>
      <c r="H897" s="44"/>
      <c r="I897" s="44"/>
      <c r="J897" s="44"/>
      <c r="K897" s="44"/>
      <c r="L897" s="44"/>
      <c r="M897" s="44"/>
      <c r="N897" s="44"/>
      <c r="O897" s="44"/>
      <c r="P897" s="44"/>
      <c r="Q897" s="44"/>
      <c r="R897" s="44"/>
      <c r="S897" s="44"/>
      <c r="T897" s="44"/>
      <c r="U897" s="44"/>
      <c r="V897" s="44"/>
      <c r="W897" s="44"/>
      <c r="X897" s="44"/>
      <c r="Y897" s="44"/>
      <c r="Z897" s="44"/>
      <c r="AA897" s="44"/>
      <c r="AB897" s="44"/>
      <c r="AC897" s="44"/>
      <c r="AD897" s="44"/>
      <c r="AE897" s="44"/>
      <c r="AF897" s="44"/>
      <c r="AG897" s="44"/>
      <c r="AH897" s="44"/>
      <c r="AI897" s="44"/>
      <c r="AJ897" s="44"/>
      <c r="AK897" s="44"/>
      <c r="AL897" s="44"/>
      <c r="AM897" s="44"/>
      <c r="AN897" s="44"/>
      <c r="AO897" s="44"/>
      <c r="AP897" s="44"/>
      <c r="AQ897" s="44"/>
      <c r="AR897" s="44"/>
      <c r="AS897" s="44"/>
      <c r="AT897" s="44"/>
      <c r="AU897" s="44"/>
      <c r="AV897" s="44"/>
      <c r="AW897" s="44"/>
      <c r="AX897" s="44"/>
    </row>
    <row r="898" spans="1:50" x14ac:dyDescent="0.25">
      <c r="A898" s="44"/>
      <c r="B898" s="44"/>
      <c r="C898" s="44"/>
      <c r="D898" s="44"/>
      <c r="E898" s="44"/>
      <c r="F898" s="44"/>
      <c r="G898" s="44"/>
      <c r="H898" s="44"/>
      <c r="I898" s="44"/>
      <c r="J898" s="44"/>
      <c r="K898" s="44"/>
      <c r="L898" s="44"/>
      <c r="M898" s="44"/>
      <c r="N898" s="44"/>
      <c r="O898" s="44"/>
      <c r="P898" s="44"/>
      <c r="Q898" s="44"/>
      <c r="R898" s="44"/>
      <c r="S898" s="44"/>
      <c r="T898" s="44"/>
      <c r="U898" s="44"/>
      <c r="V898" s="44"/>
      <c r="W898" s="44"/>
      <c r="X898" s="44"/>
      <c r="Y898" s="44"/>
      <c r="Z898" s="44"/>
      <c r="AA898" s="44"/>
      <c r="AB898" s="44"/>
      <c r="AC898" s="44"/>
      <c r="AD898" s="44"/>
      <c r="AE898" s="44"/>
      <c r="AF898" s="44"/>
      <c r="AG898" s="44"/>
      <c r="AH898" s="44"/>
      <c r="AI898" s="44"/>
      <c r="AJ898" s="44"/>
      <c r="AK898" s="44"/>
      <c r="AL898" s="44"/>
      <c r="AM898" s="44"/>
      <c r="AN898" s="44"/>
      <c r="AO898" s="44"/>
      <c r="AP898" s="44"/>
      <c r="AQ898" s="44"/>
      <c r="AR898" s="44"/>
      <c r="AS898" s="44"/>
      <c r="AT898" s="44"/>
      <c r="AU898" s="44"/>
      <c r="AV898" s="44"/>
      <c r="AW898" s="44"/>
      <c r="AX898" s="44"/>
    </row>
    <row r="899" spans="1:50" x14ac:dyDescent="0.25">
      <c r="A899" s="44"/>
      <c r="B899" s="44"/>
      <c r="C899" s="44"/>
      <c r="D899" s="44"/>
      <c r="E899" s="44"/>
      <c r="F899" s="44"/>
      <c r="G899" s="44"/>
      <c r="H899" s="44"/>
      <c r="I899" s="44"/>
      <c r="J899" s="44"/>
      <c r="K899" s="44"/>
      <c r="L899" s="44"/>
      <c r="M899" s="44"/>
      <c r="N899" s="44"/>
      <c r="O899" s="44"/>
      <c r="P899" s="44"/>
      <c r="Q899" s="44"/>
      <c r="R899" s="44"/>
      <c r="S899" s="44"/>
      <c r="T899" s="44"/>
      <c r="U899" s="44"/>
      <c r="V899" s="44"/>
      <c r="W899" s="44"/>
      <c r="X899" s="44"/>
      <c r="Y899" s="44"/>
      <c r="Z899" s="44"/>
      <c r="AA899" s="44"/>
      <c r="AB899" s="44"/>
      <c r="AC899" s="44"/>
      <c r="AD899" s="44"/>
      <c r="AE899" s="44"/>
      <c r="AF899" s="44"/>
      <c r="AG899" s="44"/>
      <c r="AH899" s="44"/>
      <c r="AI899" s="44"/>
      <c r="AJ899" s="44"/>
      <c r="AK899" s="44"/>
      <c r="AL899" s="44"/>
      <c r="AM899" s="44"/>
      <c r="AN899" s="44"/>
      <c r="AO899" s="44"/>
      <c r="AP899" s="44"/>
      <c r="AQ899" s="44"/>
      <c r="AR899" s="44"/>
      <c r="AS899" s="44"/>
      <c r="AT899" s="44"/>
      <c r="AU899" s="44"/>
      <c r="AV899" s="44"/>
      <c r="AW899" s="44"/>
      <c r="AX899" s="44"/>
    </row>
    <row r="900" spans="1:50" x14ac:dyDescent="0.25">
      <c r="A900" s="44"/>
      <c r="B900" s="44"/>
      <c r="C900" s="44"/>
      <c r="D900" s="44"/>
      <c r="E900" s="44"/>
      <c r="F900" s="44"/>
      <c r="G900" s="44"/>
      <c r="H900" s="44"/>
      <c r="I900" s="44"/>
      <c r="J900" s="44"/>
      <c r="K900" s="44"/>
      <c r="L900" s="44"/>
      <c r="M900" s="44"/>
      <c r="N900" s="44"/>
      <c r="O900" s="44"/>
      <c r="P900" s="44"/>
      <c r="Q900" s="44"/>
      <c r="R900" s="44"/>
      <c r="S900" s="44"/>
      <c r="T900" s="44"/>
      <c r="U900" s="44"/>
      <c r="V900" s="44"/>
      <c r="W900" s="44"/>
      <c r="X900" s="44"/>
      <c r="Y900" s="44"/>
      <c r="Z900" s="44"/>
      <c r="AA900" s="44"/>
      <c r="AB900" s="44"/>
      <c r="AC900" s="44"/>
      <c r="AD900" s="44"/>
      <c r="AE900" s="44"/>
      <c r="AF900" s="44"/>
      <c r="AG900" s="44"/>
      <c r="AH900" s="44"/>
      <c r="AI900" s="44"/>
      <c r="AJ900" s="44"/>
      <c r="AK900" s="44"/>
      <c r="AL900" s="44"/>
      <c r="AM900" s="44"/>
      <c r="AN900" s="44"/>
      <c r="AO900" s="44"/>
      <c r="AP900" s="44"/>
      <c r="AQ900" s="44"/>
      <c r="AR900" s="44"/>
      <c r="AS900" s="44"/>
      <c r="AT900" s="44"/>
      <c r="AU900" s="44"/>
      <c r="AV900" s="44"/>
      <c r="AW900" s="44"/>
      <c r="AX900" s="44"/>
    </row>
    <row r="901" spans="1:50" x14ac:dyDescent="0.25">
      <c r="A901" s="44"/>
      <c r="B901" s="44"/>
      <c r="C901" s="44"/>
      <c r="D901" s="44"/>
      <c r="E901" s="44"/>
      <c r="F901" s="44"/>
      <c r="G901" s="44"/>
      <c r="H901" s="44"/>
      <c r="I901" s="44"/>
      <c r="J901" s="44"/>
      <c r="K901" s="44"/>
      <c r="L901" s="44"/>
      <c r="M901" s="44"/>
      <c r="N901" s="44"/>
      <c r="O901" s="44"/>
      <c r="P901" s="44"/>
      <c r="Q901" s="44"/>
      <c r="R901" s="44"/>
      <c r="S901" s="44"/>
      <c r="T901" s="44"/>
      <c r="U901" s="44"/>
      <c r="V901" s="44"/>
      <c r="W901" s="44"/>
      <c r="X901" s="44"/>
      <c r="Y901" s="44"/>
      <c r="Z901" s="44"/>
      <c r="AA901" s="44"/>
      <c r="AB901" s="44"/>
      <c r="AC901" s="44"/>
      <c r="AD901" s="44"/>
      <c r="AE901" s="44"/>
      <c r="AF901" s="44"/>
      <c r="AG901" s="44"/>
      <c r="AH901" s="44"/>
      <c r="AI901" s="44"/>
      <c r="AJ901" s="44"/>
      <c r="AK901" s="44"/>
      <c r="AL901" s="44"/>
      <c r="AM901" s="44"/>
      <c r="AN901" s="44"/>
      <c r="AO901" s="44"/>
      <c r="AP901" s="44"/>
      <c r="AQ901" s="44"/>
      <c r="AR901" s="44"/>
      <c r="AS901" s="44"/>
      <c r="AT901" s="44"/>
      <c r="AU901" s="44"/>
      <c r="AV901" s="44"/>
      <c r="AW901" s="44"/>
      <c r="AX901" s="44"/>
    </row>
    <row r="902" spans="1:50" x14ac:dyDescent="0.25">
      <c r="A902" s="44"/>
      <c r="B902" s="44"/>
      <c r="C902" s="44"/>
      <c r="D902" s="44"/>
      <c r="E902" s="44"/>
      <c r="F902" s="44"/>
      <c r="G902" s="44"/>
      <c r="H902" s="44"/>
      <c r="I902" s="44"/>
      <c r="J902" s="44"/>
      <c r="K902" s="44"/>
      <c r="L902" s="44"/>
      <c r="M902" s="44"/>
      <c r="N902" s="44"/>
      <c r="O902" s="44"/>
      <c r="P902" s="44"/>
      <c r="Q902" s="44"/>
      <c r="R902" s="44"/>
      <c r="S902" s="44"/>
      <c r="T902" s="44"/>
      <c r="U902" s="44"/>
      <c r="V902" s="44"/>
      <c r="W902" s="44"/>
      <c r="X902" s="44"/>
      <c r="Y902" s="44"/>
      <c r="Z902" s="44"/>
      <c r="AA902" s="44"/>
      <c r="AB902" s="44"/>
      <c r="AC902" s="44"/>
      <c r="AD902" s="44"/>
      <c r="AE902" s="44"/>
      <c r="AF902" s="44"/>
      <c r="AG902" s="44"/>
      <c r="AH902" s="44"/>
      <c r="AI902" s="44"/>
      <c r="AJ902" s="44"/>
      <c r="AK902" s="44"/>
      <c r="AL902" s="44"/>
      <c r="AM902" s="44"/>
      <c r="AN902" s="44"/>
      <c r="AO902" s="44"/>
      <c r="AP902" s="44"/>
      <c r="AQ902" s="44"/>
      <c r="AR902" s="44"/>
      <c r="AS902" s="44"/>
      <c r="AT902" s="44"/>
      <c r="AU902" s="44"/>
      <c r="AV902" s="44"/>
      <c r="AW902" s="44"/>
      <c r="AX902" s="44"/>
    </row>
    <row r="903" spans="1:50" x14ac:dyDescent="0.25">
      <c r="A903" s="44"/>
      <c r="B903" s="44"/>
      <c r="C903" s="44"/>
      <c r="D903" s="44"/>
      <c r="E903" s="44"/>
      <c r="F903" s="44"/>
      <c r="G903" s="44"/>
      <c r="H903" s="44"/>
      <c r="I903" s="44"/>
      <c r="J903" s="44"/>
      <c r="K903" s="44"/>
      <c r="L903" s="44"/>
      <c r="M903" s="44"/>
      <c r="N903" s="44"/>
      <c r="O903" s="44"/>
      <c r="P903" s="44"/>
      <c r="Q903" s="44"/>
      <c r="R903" s="44"/>
      <c r="S903" s="44"/>
      <c r="T903" s="44"/>
      <c r="U903" s="44"/>
      <c r="V903" s="44"/>
      <c r="W903" s="44"/>
      <c r="X903" s="44"/>
      <c r="Y903" s="44"/>
      <c r="Z903" s="44"/>
      <c r="AA903" s="44"/>
      <c r="AB903" s="44"/>
      <c r="AC903" s="44"/>
      <c r="AD903" s="44"/>
      <c r="AE903" s="44"/>
      <c r="AF903" s="44"/>
      <c r="AG903" s="44"/>
      <c r="AH903" s="44"/>
      <c r="AI903" s="44"/>
      <c r="AJ903" s="44"/>
      <c r="AK903" s="44"/>
      <c r="AL903" s="44"/>
      <c r="AM903" s="44"/>
      <c r="AN903" s="44"/>
      <c r="AO903" s="44"/>
      <c r="AP903" s="44"/>
      <c r="AQ903" s="44"/>
      <c r="AR903" s="44"/>
      <c r="AS903" s="44"/>
      <c r="AT903" s="44"/>
      <c r="AU903" s="44"/>
      <c r="AV903" s="44"/>
      <c r="AW903" s="44"/>
      <c r="AX903" s="44"/>
    </row>
    <row r="904" spans="1:50" x14ac:dyDescent="0.25">
      <c r="A904" s="44"/>
      <c r="B904" s="44"/>
      <c r="C904" s="44"/>
      <c r="D904" s="44"/>
      <c r="E904" s="44"/>
      <c r="F904" s="44"/>
      <c r="G904" s="44"/>
      <c r="H904" s="44"/>
      <c r="I904" s="44"/>
      <c r="J904" s="44"/>
      <c r="K904" s="44"/>
      <c r="L904" s="44"/>
      <c r="M904" s="44"/>
      <c r="N904" s="44"/>
      <c r="O904" s="44"/>
      <c r="P904" s="44"/>
      <c r="Q904" s="44"/>
      <c r="R904" s="44"/>
      <c r="S904" s="44"/>
      <c r="T904" s="44"/>
      <c r="U904" s="44"/>
      <c r="V904" s="44"/>
      <c r="W904" s="44"/>
      <c r="X904" s="44"/>
      <c r="Y904" s="44"/>
      <c r="Z904" s="44"/>
      <c r="AA904" s="44"/>
      <c r="AB904" s="44"/>
      <c r="AC904" s="44"/>
      <c r="AD904" s="44"/>
      <c r="AE904" s="44"/>
      <c r="AF904" s="44"/>
      <c r="AG904" s="44"/>
      <c r="AH904" s="44"/>
      <c r="AI904" s="44"/>
      <c r="AJ904" s="44"/>
      <c r="AK904" s="44"/>
      <c r="AL904" s="44"/>
      <c r="AM904" s="44"/>
      <c r="AN904" s="44"/>
      <c r="AO904" s="44"/>
      <c r="AP904" s="44"/>
      <c r="AQ904" s="44"/>
      <c r="AR904" s="44"/>
      <c r="AS904" s="44"/>
      <c r="AT904" s="44"/>
      <c r="AU904" s="44"/>
      <c r="AV904" s="44"/>
      <c r="AW904" s="44"/>
      <c r="AX904" s="44"/>
    </row>
    <row r="905" spans="1:50" x14ac:dyDescent="0.25">
      <c r="A905" s="44"/>
      <c r="B905" s="44"/>
      <c r="C905" s="44"/>
      <c r="D905" s="44"/>
      <c r="E905" s="44"/>
      <c r="F905" s="44"/>
      <c r="G905" s="44"/>
      <c r="H905" s="44"/>
      <c r="I905" s="44"/>
      <c r="J905" s="44"/>
      <c r="K905" s="44"/>
      <c r="L905" s="44"/>
      <c r="M905" s="44"/>
      <c r="N905" s="44"/>
      <c r="O905" s="44"/>
      <c r="P905" s="44"/>
      <c r="Q905" s="44"/>
      <c r="R905" s="44"/>
      <c r="S905" s="44"/>
      <c r="T905" s="44"/>
      <c r="U905" s="44"/>
      <c r="V905" s="44"/>
      <c r="W905" s="44"/>
      <c r="X905" s="44"/>
      <c r="Y905" s="44"/>
      <c r="Z905" s="44"/>
      <c r="AA905" s="44"/>
      <c r="AB905" s="44"/>
      <c r="AC905" s="44"/>
      <c r="AD905" s="44"/>
      <c r="AE905" s="44"/>
      <c r="AF905" s="44"/>
      <c r="AG905" s="44"/>
      <c r="AH905" s="44"/>
      <c r="AI905" s="44"/>
      <c r="AJ905" s="44"/>
      <c r="AK905" s="44"/>
      <c r="AL905" s="44"/>
      <c r="AM905" s="44"/>
      <c r="AN905" s="44"/>
      <c r="AO905" s="44"/>
      <c r="AP905" s="44"/>
      <c r="AQ905" s="44"/>
      <c r="AR905" s="44"/>
      <c r="AS905" s="44"/>
      <c r="AT905" s="44"/>
      <c r="AU905" s="44"/>
      <c r="AV905" s="44"/>
      <c r="AW905" s="44"/>
      <c r="AX905" s="44"/>
    </row>
    <row r="906" spans="1:50" x14ac:dyDescent="0.25">
      <c r="A906" s="44"/>
      <c r="B906" s="44"/>
      <c r="C906" s="44"/>
      <c r="D906" s="44"/>
      <c r="E906" s="44"/>
      <c r="F906" s="44"/>
      <c r="G906" s="44"/>
      <c r="H906" s="44"/>
      <c r="I906" s="44"/>
      <c r="J906" s="44"/>
      <c r="K906" s="44"/>
      <c r="L906" s="44"/>
      <c r="M906" s="44"/>
      <c r="N906" s="44"/>
      <c r="O906" s="44"/>
      <c r="P906" s="44"/>
      <c r="Q906" s="44"/>
      <c r="R906" s="44"/>
      <c r="S906" s="44"/>
      <c r="T906" s="44"/>
      <c r="U906" s="44"/>
      <c r="V906" s="44"/>
      <c r="W906" s="44"/>
      <c r="X906" s="44"/>
      <c r="Y906" s="44"/>
      <c r="Z906" s="44"/>
      <c r="AA906" s="44"/>
      <c r="AB906" s="44"/>
      <c r="AC906" s="44"/>
      <c r="AD906" s="44"/>
      <c r="AE906" s="44"/>
      <c r="AF906" s="44"/>
      <c r="AG906" s="44"/>
      <c r="AH906" s="44"/>
      <c r="AI906" s="44"/>
      <c r="AJ906" s="44"/>
      <c r="AK906" s="44"/>
      <c r="AL906" s="44"/>
      <c r="AM906" s="44"/>
      <c r="AN906" s="44"/>
      <c r="AO906" s="44"/>
      <c r="AP906" s="44"/>
      <c r="AQ906" s="44"/>
      <c r="AR906" s="44"/>
      <c r="AS906" s="44"/>
      <c r="AT906" s="44"/>
      <c r="AU906" s="44"/>
      <c r="AV906" s="44"/>
      <c r="AW906" s="44"/>
      <c r="AX906" s="44"/>
    </row>
    <row r="907" spans="1:50" x14ac:dyDescent="0.25">
      <c r="A907" s="44"/>
      <c r="B907" s="44"/>
      <c r="C907" s="44"/>
      <c r="D907" s="44"/>
      <c r="E907" s="44"/>
      <c r="F907" s="44"/>
      <c r="G907" s="44"/>
      <c r="H907" s="44"/>
      <c r="I907" s="44"/>
      <c r="J907" s="44"/>
      <c r="K907" s="44"/>
      <c r="L907" s="44"/>
      <c r="M907" s="44"/>
      <c r="N907" s="44"/>
      <c r="O907" s="44"/>
      <c r="P907" s="44"/>
      <c r="Q907" s="44"/>
      <c r="R907" s="44"/>
      <c r="S907" s="44"/>
      <c r="T907" s="44"/>
      <c r="U907" s="44"/>
      <c r="V907" s="44"/>
      <c r="W907" s="44"/>
      <c r="X907" s="44"/>
      <c r="Y907" s="44"/>
      <c r="Z907" s="44"/>
      <c r="AA907" s="44"/>
      <c r="AB907" s="44"/>
      <c r="AC907" s="44"/>
      <c r="AD907" s="44"/>
      <c r="AE907" s="44"/>
      <c r="AF907" s="44"/>
      <c r="AG907" s="44"/>
      <c r="AH907" s="44"/>
      <c r="AI907" s="44"/>
      <c r="AJ907" s="44"/>
      <c r="AK907" s="44"/>
      <c r="AL907" s="44"/>
      <c r="AM907" s="44"/>
      <c r="AN907" s="44"/>
      <c r="AO907" s="44"/>
      <c r="AP907" s="44"/>
      <c r="AQ907" s="44"/>
      <c r="AR907" s="44"/>
      <c r="AS907" s="44"/>
      <c r="AT907" s="44"/>
      <c r="AU907" s="44"/>
      <c r="AV907" s="44"/>
      <c r="AW907" s="44"/>
      <c r="AX907" s="44"/>
    </row>
    <row r="908" spans="1:50" x14ac:dyDescent="0.25">
      <c r="A908" s="44"/>
      <c r="B908" s="44"/>
      <c r="C908" s="44"/>
      <c r="D908" s="44"/>
      <c r="E908" s="44"/>
      <c r="F908" s="44"/>
      <c r="G908" s="44"/>
      <c r="H908" s="44"/>
      <c r="I908" s="44"/>
      <c r="J908" s="44"/>
      <c r="K908" s="44"/>
      <c r="L908" s="44"/>
      <c r="M908" s="44"/>
      <c r="N908" s="44"/>
      <c r="O908" s="44"/>
      <c r="P908" s="44"/>
      <c r="Q908" s="44"/>
      <c r="R908" s="44"/>
      <c r="S908" s="44"/>
      <c r="T908" s="44"/>
      <c r="U908" s="44"/>
      <c r="V908" s="44"/>
      <c r="W908" s="44"/>
      <c r="X908" s="44"/>
      <c r="Y908" s="44"/>
      <c r="Z908" s="44"/>
      <c r="AA908" s="44"/>
      <c r="AB908" s="44"/>
      <c r="AC908" s="44"/>
      <c r="AD908" s="44"/>
      <c r="AE908" s="44"/>
      <c r="AF908" s="44"/>
      <c r="AG908" s="44"/>
      <c r="AH908" s="44"/>
      <c r="AI908" s="44"/>
      <c r="AJ908" s="44"/>
      <c r="AK908" s="44"/>
      <c r="AL908" s="44"/>
      <c r="AM908" s="44"/>
      <c r="AN908" s="44"/>
      <c r="AO908" s="44"/>
      <c r="AP908" s="44"/>
      <c r="AQ908" s="44"/>
      <c r="AR908" s="44"/>
      <c r="AS908" s="44"/>
      <c r="AT908" s="44"/>
      <c r="AU908" s="44"/>
      <c r="AV908" s="44"/>
      <c r="AW908" s="44"/>
      <c r="AX908" s="44"/>
    </row>
    <row r="909" spans="1:50" x14ac:dyDescent="0.25">
      <c r="A909" s="44"/>
      <c r="B909" s="44"/>
      <c r="C909" s="44"/>
      <c r="D909" s="44"/>
      <c r="E909" s="44"/>
      <c r="F909" s="44"/>
      <c r="G909" s="44"/>
      <c r="H909" s="44"/>
      <c r="I909" s="44"/>
      <c r="J909" s="44"/>
      <c r="K909" s="44"/>
      <c r="L909" s="44"/>
      <c r="M909" s="44"/>
      <c r="N909" s="44"/>
      <c r="O909" s="44"/>
      <c r="P909" s="44"/>
      <c r="Q909" s="44"/>
      <c r="R909" s="44"/>
      <c r="S909" s="44"/>
      <c r="T909" s="44"/>
      <c r="U909" s="44"/>
      <c r="V909" s="44"/>
      <c r="W909" s="44"/>
      <c r="X909" s="44"/>
      <c r="Y909" s="44"/>
      <c r="Z909" s="44"/>
      <c r="AA909" s="44"/>
      <c r="AB909" s="44"/>
      <c r="AC909" s="44"/>
      <c r="AD909" s="44"/>
      <c r="AE909" s="44"/>
      <c r="AF909" s="44"/>
      <c r="AG909" s="44"/>
      <c r="AH909" s="44"/>
      <c r="AI909" s="44"/>
      <c r="AJ909" s="44"/>
      <c r="AK909" s="44"/>
      <c r="AL909" s="44"/>
      <c r="AM909" s="44"/>
      <c r="AN909" s="44"/>
      <c r="AO909" s="44"/>
      <c r="AP909" s="44"/>
      <c r="AQ909" s="44"/>
      <c r="AR909" s="44"/>
      <c r="AS909" s="44"/>
      <c r="AT909" s="44"/>
      <c r="AU909" s="44"/>
      <c r="AV909" s="44"/>
      <c r="AW909" s="44"/>
      <c r="AX909" s="44"/>
    </row>
    <row r="910" spans="1:50" x14ac:dyDescent="0.25">
      <c r="A910" s="44"/>
      <c r="B910" s="44"/>
      <c r="C910" s="44"/>
      <c r="D910" s="44"/>
      <c r="E910" s="44"/>
      <c r="F910" s="44"/>
      <c r="G910" s="44"/>
      <c r="H910" s="44"/>
      <c r="I910" s="44"/>
      <c r="J910" s="44"/>
      <c r="K910" s="44"/>
      <c r="L910" s="44"/>
      <c r="M910" s="44"/>
      <c r="N910" s="44"/>
      <c r="O910" s="44"/>
      <c r="P910" s="44"/>
      <c r="Q910" s="44"/>
      <c r="R910" s="44"/>
      <c r="S910" s="44"/>
      <c r="T910" s="44"/>
      <c r="U910" s="44"/>
      <c r="V910" s="44"/>
      <c r="W910" s="44"/>
      <c r="X910" s="44"/>
      <c r="Y910" s="44"/>
      <c r="Z910" s="44"/>
      <c r="AA910" s="44"/>
      <c r="AB910" s="44"/>
      <c r="AC910" s="44"/>
      <c r="AD910" s="44"/>
      <c r="AE910" s="44"/>
      <c r="AF910" s="44"/>
      <c r="AG910" s="44"/>
      <c r="AH910" s="44"/>
      <c r="AI910" s="44"/>
      <c r="AJ910" s="44"/>
      <c r="AK910" s="44"/>
      <c r="AL910" s="44"/>
      <c r="AM910" s="44"/>
      <c r="AN910" s="44"/>
      <c r="AO910" s="44"/>
      <c r="AP910" s="44"/>
      <c r="AQ910" s="44"/>
      <c r="AR910" s="44"/>
      <c r="AS910" s="44"/>
      <c r="AT910" s="44"/>
      <c r="AU910" s="44"/>
      <c r="AV910" s="44"/>
      <c r="AW910" s="44"/>
      <c r="AX910" s="44"/>
    </row>
    <row r="911" spans="1:50" x14ac:dyDescent="0.25">
      <c r="A911" s="44"/>
      <c r="B911" s="44"/>
      <c r="C911" s="44"/>
      <c r="D911" s="44"/>
      <c r="E911" s="44"/>
      <c r="F911" s="44"/>
      <c r="G911" s="44"/>
      <c r="H911" s="44"/>
      <c r="I911" s="44"/>
      <c r="J911" s="44"/>
      <c r="K911" s="44"/>
      <c r="L911" s="44"/>
      <c r="M911" s="44"/>
      <c r="N911" s="44"/>
      <c r="O911" s="44"/>
      <c r="P911" s="44"/>
      <c r="Q911" s="44"/>
      <c r="R911" s="44"/>
      <c r="S911" s="44"/>
      <c r="T911" s="44"/>
      <c r="U911" s="44"/>
      <c r="V911" s="44"/>
      <c r="W911" s="44"/>
      <c r="X911" s="44"/>
      <c r="Y911" s="44"/>
      <c r="Z911" s="44"/>
      <c r="AA911" s="44"/>
      <c r="AB911" s="44"/>
      <c r="AC911" s="44"/>
      <c r="AD911" s="44"/>
      <c r="AE911" s="44"/>
      <c r="AF911" s="44"/>
      <c r="AG911" s="44"/>
      <c r="AH911" s="44"/>
      <c r="AI911" s="44"/>
      <c r="AJ911" s="44"/>
      <c r="AK911" s="44"/>
      <c r="AL911" s="44"/>
      <c r="AM911" s="44"/>
      <c r="AN911" s="44"/>
      <c r="AO911" s="44"/>
      <c r="AP911" s="44"/>
      <c r="AQ911" s="44"/>
      <c r="AR911" s="44"/>
      <c r="AS911" s="44"/>
      <c r="AT911" s="44"/>
      <c r="AU911" s="44"/>
      <c r="AV911" s="44"/>
      <c r="AW911" s="44"/>
      <c r="AX911" s="44"/>
    </row>
    <row r="912" spans="1:50" x14ac:dyDescent="0.25">
      <c r="A912" s="44"/>
      <c r="B912" s="44"/>
      <c r="C912" s="44"/>
      <c r="D912" s="44"/>
      <c r="E912" s="44"/>
      <c r="F912" s="44"/>
      <c r="G912" s="44"/>
      <c r="H912" s="44"/>
      <c r="L912" s="44"/>
      <c r="M912" s="44"/>
      <c r="N912" s="44"/>
      <c r="O912" s="44"/>
      <c r="P912" s="44"/>
      <c r="Q912" s="44"/>
      <c r="R912" s="44"/>
      <c r="S912" s="44"/>
      <c r="T912" s="44"/>
      <c r="U912" s="44"/>
      <c r="V912" s="44"/>
      <c r="W912" s="44"/>
      <c r="X912" s="44"/>
      <c r="Y912" s="44"/>
      <c r="Z912" s="44"/>
      <c r="AA912" s="44"/>
      <c r="AB912" s="44"/>
      <c r="AC912" s="44"/>
      <c r="AD912" s="44"/>
      <c r="AE912" s="44"/>
      <c r="AF912" s="44"/>
      <c r="AG912" s="44"/>
      <c r="AH912" s="44"/>
      <c r="AI912" s="44"/>
      <c r="AJ912" s="44"/>
      <c r="AK912" s="44"/>
      <c r="AL912" s="44"/>
      <c r="AM912" s="44"/>
      <c r="AN912" s="44"/>
      <c r="AO912" s="44"/>
      <c r="AP912" s="44"/>
      <c r="AQ912" s="44"/>
      <c r="AR912" s="44"/>
      <c r="AS912" s="44"/>
      <c r="AT912" s="44"/>
      <c r="AU912" s="44"/>
      <c r="AV912" s="44"/>
      <c r="AW912" s="44"/>
      <c r="AX912" s="44"/>
    </row>
    <row r="913" spans="1:50" x14ac:dyDescent="0.25">
      <c r="A913" s="44"/>
      <c r="B913" s="44"/>
      <c r="C913" s="44"/>
      <c r="D913" s="44"/>
      <c r="E913" s="44"/>
      <c r="F913" s="44"/>
      <c r="G913" s="44"/>
      <c r="H913" s="44"/>
      <c r="L913" s="44"/>
      <c r="M913" s="44"/>
      <c r="N913" s="44"/>
      <c r="O913" s="44"/>
      <c r="P913" s="44"/>
      <c r="Q913" s="44"/>
      <c r="R913" s="44"/>
      <c r="S913" s="44"/>
      <c r="T913" s="44"/>
      <c r="U913" s="44"/>
      <c r="V913" s="44"/>
      <c r="W913" s="44"/>
      <c r="X913" s="44"/>
      <c r="Y913" s="44"/>
      <c r="Z913" s="44"/>
      <c r="AA913" s="44"/>
      <c r="AB913" s="44"/>
      <c r="AC913" s="44"/>
      <c r="AD913" s="44"/>
      <c r="AE913" s="44"/>
      <c r="AF913" s="44"/>
      <c r="AG913" s="44"/>
      <c r="AH913" s="44"/>
      <c r="AI913" s="44"/>
      <c r="AJ913" s="44"/>
      <c r="AK913" s="44"/>
      <c r="AL913" s="44"/>
      <c r="AM913" s="44"/>
      <c r="AN913" s="44"/>
      <c r="AO913" s="44"/>
      <c r="AP913" s="44"/>
      <c r="AQ913" s="44"/>
      <c r="AR913" s="44"/>
      <c r="AS913" s="44"/>
      <c r="AT913" s="44"/>
      <c r="AU913" s="44"/>
      <c r="AV913" s="44"/>
      <c r="AW913" s="44"/>
      <c r="AX913" s="44"/>
    </row>
    <row r="914" spans="1:50" x14ac:dyDescent="0.25">
      <c r="AA914" s="44"/>
      <c r="AB914" s="44"/>
      <c r="AC914" s="44"/>
      <c r="AD914" s="44"/>
      <c r="AE914" s="44"/>
      <c r="AF914" s="44"/>
      <c r="AK914" s="44"/>
      <c r="AL914" s="44"/>
      <c r="AM914" s="44"/>
      <c r="AN914" s="44"/>
    </row>
    <row r="915" spans="1:50" x14ac:dyDescent="0.25">
      <c r="AA915" s="44"/>
      <c r="AB915" s="44"/>
      <c r="AC915" s="44"/>
      <c r="AD915" s="44"/>
      <c r="AE915" s="44"/>
      <c r="AF915" s="44"/>
      <c r="AK915" s="44"/>
      <c r="AL915" s="44"/>
      <c r="AM915" s="44"/>
      <c r="AN915" s="44"/>
    </row>
    <row r="916" spans="1:50" x14ac:dyDescent="0.25">
      <c r="AK916" s="44"/>
      <c r="AL916" s="44"/>
      <c r="AM916" s="44"/>
      <c r="AN916" s="44"/>
    </row>
    <row r="917" spans="1:50" x14ac:dyDescent="0.25">
      <c r="AK917" s="44"/>
      <c r="AL917" s="44"/>
      <c r="AM917" s="44"/>
      <c r="AN917" s="44"/>
    </row>
  </sheetData>
  <mergeCells count="50">
    <mergeCell ref="P139:R139"/>
    <mergeCell ref="P144:U144"/>
    <mergeCell ref="P160:U160"/>
    <mergeCell ref="Q37:R37"/>
    <mergeCell ref="Q26:R26"/>
    <mergeCell ref="P34:U34"/>
    <mergeCell ref="P35:U35"/>
    <mergeCell ref="P64:R64"/>
    <mergeCell ref="Q13:T13"/>
    <mergeCell ref="Q15:R15"/>
    <mergeCell ref="Q105:R105"/>
    <mergeCell ref="P126:R126"/>
    <mergeCell ref="P135:U135"/>
    <mergeCell ref="Q24:R24"/>
    <mergeCell ref="P39:R39"/>
    <mergeCell ref="P41:R41"/>
    <mergeCell ref="P45:R45"/>
    <mergeCell ref="P43:R43"/>
    <mergeCell ref="AA298:AD298"/>
    <mergeCell ref="P217:R217"/>
    <mergeCell ref="P213:U213"/>
    <mergeCell ref="AA297:AD297"/>
    <mergeCell ref="AA286:AB286"/>
    <mergeCell ref="P215:R215"/>
    <mergeCell ref="P298:U298"/>
    <mergeCell ref="AB266:AD266"/>
    <mergeCell ref="AI94:AJ94"/>
    <mergeCell ref="P51:R51"/>
    <mergeCell ref="P72:R72"/>
    <mergeCell ref="Z75:AB75"/>
    <mergeCell ref="P55:U55"/>
    <mergeCell ref="P56:U56"/>
    <mergeCell ref="Q58:R58"/>
    <mergeCell ref="P60:R60"/>
    <mergeCell ref="P62:R62"/>
    <mergeCell ref="P66:R66"/>
    <mergeCell ref="Z107:AB107"/>
    <mergeCell ref="P128:R128"/>
    <mergeCell ref="P137:R137"/>
    <mergeCell ref="R99:S99"/>
    <mergeCell ref="R124:S124"/>
    <mergeCell ref="P123:U123"/>
    <mergeCell ref="P341:U341"/>
    <mergeCell ref="P201:U201"/>
    <mergeCell ref="P239:U239"/>
    <mergeCell ref="P259:U259"/>
    <mergeCell ref="P299:U299"/>
    <mergeCell ref="P319:U319"/>
    <mergeCell ref="P320:U320"/>
    <mergeCell ref="P340:U340"/>
  </mergeCells>
  <phoneticPr fontId="0" type="noConversion"/>
  <pageMargins left="0.35433070866141736" right="0.35433070866141736" top="0.59055118110236227" bottom="0.39370078740157483" header="0.51181102362204722" footer="0.51181102362204722"/>
  <pageSetup paperSize="9" scale="10" fitToHeight="2" orientation="landscape" blackAndWhite="1"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406"/>
  <sheetViews>
    <sheetView zoomScaleNormal="100" workbookViewId="0"/>
  </sheetViews>
  <sheetFormatPr defaultRowHeight="13.2" x14ac:dyDescent="0.25"/>
  <cols>
    <col min="1" max="1" width="122.109375" customWidth="1"/>
    <col min="2" max="2" width="23.6640625" style="29" customWidth="1"/>
    <col min="3" max="3" width="18.6640625" style="23" customWidth="1"/>
    <col min="4" max="4" width="19.5546875" style="23" customWidth="1"/>
    <col min="5" max="5" width="25.88671875" style="29" customWidth="1"/>
    <col min="6" max="6" width="25.109375" style="23" customWidth="1"/>
    <col min="7" max="7" width="25.5546875" style="15" customWidth="1"/>
    <col min="8" max="8" width="77.33203125" customWidth="1"/>
    <col min="9" max="9" width="25" style="23" customWidth="1"/>
    <col min="10" max="10" width="28.6640625" style="15" customWidth="1"/>
    <col min="11" max="11" width="28" customWidth="1"/>
    <col min="12" max="12" width="29.88671875" style="23" customWidth="1"/>
    <col min="13" max="13" width="30.44140625" style="15" customWidth="1"/>
    <col min="14" max="14" width="24.88671875" customWidth="1"/>
    <col min="15" max="15" width="9.109375" style="23"/>
    <col min="16" max="16" width="29.44140625" style="15" customWidth="1"/>
  </cols>
  <sheetData>
    <row r="1" spans="1:16" x14ac:dyDescent="0.25">
      <c r="A1" s="151" t="s">
        <v>1575</v>
      </c>
      <c r="B1" s="80"/>
      <c r="C1" s="366"/>
      <c r="D1" s="80"/>
      <c r="E1" s="80"/>
      <c r="F1" s="80"/>
      <c r="G1" s="80"/>
      <c r="H1" s="33"/>
      <c r="I1" s="80"/>
      <c r="J1" s="80"/>
      <c r="K1" s="80"/>
      <c r="L1" s="80"/>
      <c r="M1" s="80"/>
      <c r="N1" s="33"/>
      <c r="O1" s="80"/>
      <c r="P1" s="367"/>
    </row>
    <row r="2" spans="1:16" x14ac:dyDescent="0.25">
      <c r="A2" s="80"/>
      <c r="B2" s="80"/>
      <c r="C2" s="366"/>
      <c r="D2" s="80"/>
      <c r="E2" s="80"/>
      <c r="F2" s="80"/>
      <c r="G2" s="80"/>
      <c r="H2" s="33"/>
      <c r="I2" s="80"/>
      <c r="J2" s="80"/>
      <c r="K2" s="80"/>
      <c r="L2" s="80"/>
      <c r="M2" s="80"/>
      <c r="N2" s="33"/>
      <c r="O2" s="80"/>
      <c r="P2" s="367"/>
    </row>
    <row r="3" spans="1:16" x14ac:dyDescent="0.25">
      <c r="A3" s="934" t="s">
        <v>2103</v>
      </c>
      <c r="B3" s="80"/>
      <c r="C3" s="366"/>
      <c r="D3" s="80"/>
      <c r="E3" s="80"/>
      <c r="F3" s="80"/>
      <c r="G3" s="80"/>
      <c r="H3" s="33"/>
      <c r="I3" s="80"/>
      <c r="J3" s="80"/>
      <c r="K3" s="80"/>
      <c r="L3" s="80"/>
      <c r="M3" s="80"/>
      <c r="N3" s="33"/>
      <c r="O3" s="80"/>
      <c r="P3" s="367"/>
    </row>
    <row r="4" spans="1:16" x14ac:dyDescent="0.25">
      <c r="A4" s="80"/>
      <c r="B4" s="80"/>
      <c r="C4" s="366"/>
      <c r="D4" s="80"/>
      <c r="E4" s="80"/>
      <c r="F4" s="80"/>
      <c r="G4" s="80"/>
      <c r="H4" s="33"/>
      <c r="I4" s="80"/>
      <c r="J4" s="80"/>
      <c r="K4" s="80"/>
      <c r="L4" s="80"/>
      <c r="M4" s="80"/>
      <c r="N4" s="33"/>
      <c r="O4" s="80"/>
      <c r="P4" s="367"/>
    </row>
    <row r="5" spans="1:16" x14ac:dyDescent="0.25">
      <c r="A5" s="80" t="s">
        <v>240</v>
      </c>
      <c r="B5" s="918" t="s">
        <v>1576</v>
      </c>
      <c r="C5" s="366"/>
      <c r="D5" s="80"/>
      <c r="E5" s="80"/>
      <c r="F5" s="80"/>
      <c r="G5" s="80"/>
      <c r="H5" s="33"/>
      <c r="I5" s="80"/>
      <c r="J5" s="80"/>
      <c r="K5" s="80"/>
      <c r="L5" s="80"/>
      <c r="M5" s="80"/>
      <c r="N5" s="33"/>
      <c r="O5" s="80"/>
      <c r="P5" s="367"/>
    </row>
    <row r="6" spans="1:16" x14ac:dyDescent="0.25">
      <c r="A6" s="80" t="s">
        <v>243</v>
      </c>
      <c r="B6" s="226" t="s">
        <v>441</v>
      </c>
      <c r="C6" s="366"/>
      <c r="D6" s="80"/>
      <c r="E6" s="80"/>
      <c r="F6" s="80"/>
      <c r="G6" s="80"/>
      <c r="H6" s="33"/>
      <c r="I6" s="80"/>
      <c r="J6" s="80"/>
      <c r="K6" s="80"/>
      <c r="L6" s="80"/>
      <c r="M6" s="80"/>
      <c r="N6" s="33"/>
      <c r="O6" s="80"/>
      <c r="P6" s="367"/>
    </row>
    <row r="7" spans="1:16" x14ac:dyDescent="0.25">
      <c r="A7" s="80" t="s">
        <v>241</v>
      </c>
      <c r="B7" s="918" t="s">
        <v>1115</v>
      </c>
      <c r="C7" s="366"/>
      <c r="D7" s="80"/>
      <c r="E7" s="80"/>
      <c r="F7" s="80"/>
      <c r="G7" s="80"/>
      <c r="H7" s="33"/>
      <c r="I7" s="80"/>
      <c r="J7" s="80"/>
      <c r="K7" s="80"/>
      <c r="L7" s="80"/>
      <c r="M7" s="80"/>
      <c r="N7" s="33"/>
      <c r="O7" s="80"/>
      <c r="P7" s="367"/>
    </row>
    <row r="8" spans="1:16" x14ac:dyDescent="0.25">
      <c r="A8" s="80" t="s">
        <v>242</v>
      </c>
      <c r="B8" s="350">
        <v>2010</v>
      </c>
      <c r="C8" s="366"/>
      <c r="D8" s="80"/>
      <c r="E8" s="80"/>
      <c r="F8" s="80"/>
      <c r="G8" s="80"/>
      <c r="H8" s="33"/>
      <c r="I8" s="80"/>
      <c r="J8" s="80"/>
      <c r="K8" s="80"/>
      <c r="L8" s="80"/>
      <c r="M8" s="80"/>
      <c r="N8" s="33"/>
      <c r="O8" s="80"/>
      <c r="P8" s="367"/>
    </row>
    <row r="9" spans="1:16" x14ac:dyDescent="0.25">
      <c r="A9" s="80"/>
      <c r="B9" s="80"/>
      <c r="C9" s="366"/>
      <c r="D9" s="80"/>
      <c r="E9" s="80"/>
      <c r="F9" s="80"/>
      <c r="G9" s="80"/>
      <c r="H9" s="33"/>
      <c r="I9" s="80"/>
      <c r="J9" s="80"/>
      <c r="K9" s="80"/>
      <c r="L9" s="80"/>
      <c r="M9" s="80"/>
      <c r="N9" s="33"/>
      <c r="O9" s="80"/>
      <c r="P9" s="367"/>
    </row>
    <row r="10" spans="1:16" ht="13.8" thickBot="1" x14ac:dyDescent="0.3">
      <c r="A10" s="32" t="s">
        <v>418</v>
      </c>
      <c r="B10" s="80"/>
      <c r="C10" s="366"/>
      <c r="D10" s="80"/>
      <c r="E10" s="80"/>
      <c r="F10" s="80"/>
      <c r="G10" s="80"/>
      <c r="H10" s="32" t="s">
        <v>158</v>
      </c>
      <c r="I10" s="80"/>
      <c r="J10" s="366"/>
      <c r="K10" s="68"/>
      <c r="L10" s="68"/>
      <c r="M10" s="68"/>
      <c r="N10" s="33"/>
      <c r="O10" s="80"/>
      <c r="P10" s="367"/>
    </row>
    <row r="11" spans="1:16" ht="30.75" customHeight="1" x14ac:dyDescent="0.25">
      <c r="A11" s="35" t="s">
        <v>38</v>
      </c>
      <c r="B11" s="36" t="s">
        <v>899</v>
      </c>
      <c r="C11" s="369" t="s">
        <v>22</v>
      </c>
      <c r="D11" s="36" t="s">
        <v>23</v>
      </c>
      <c r="E11" s="36" t="s">
        <v>24</v>
      </c>
      <c r="F11" s="368" t="s">
        <v>25</v>
      </c>
      <c r="G11" s="367"/>
      <c r="H11" s="35" t="s">
        <v>38</v>
      </c>
      <c r="I11" s="370" t="s">
        <v>899</v>
      </c>
      <c r="J11" s="36" t="s">
        <v>22</v>
      </c>
      <c r="K11" s="370" t="s">
        <v>23</v>
      </c>
      <c r="L11" s="370" t="s">
        <v>24</v>
      </c>
      <c r="M11" s="791" t="s">
        <v>25</v>
      </c>
      <c r="N11" s="80"/>
      <c r="O11" s="80"/>
      <c r="P11" s="367"/>
    </row>
    <row r="12" spans="1:16" ht="17.25" customHeight="1" x14ac:dyDescent="0.25">
      <c r="A12" s="37"/>
      <c r="B12" s="38" t="s">
        <v>442</v>
      </c>
      <c r="C12" s="38" t="s">
        <v>1681</v>
      </c>
      <c r="D12" s="38" t="s">
        <v>1681</v>
      </c>
      <c r="E12" s="38" t="s">
        <v>1681</v>
      </c>
      <c r="F12" s="502" t="s">
        <v>1681</v>
      </c>
      <c r="G12" s="367"/>
      <c r="H12" s="37"/>
      <c r="I12" s="371" t="s">
        <v>1682</v>
      </c>
      <c r="J12" s="38" t="s">
        <v>1683</v>
      </c>
      <c r="K12" s="38" t="s">
        <v>1683</v>
      </c>
      <c r="L12" s="38" t="s">
        <v>1683</v>
      </c>
      <c r="M12" s="502" t="s">
        <v>1683</v>
      </c>
      <c r="N12" s="80"/>
      <c r="O12" s="80"/>
      <c r="P12" s="367"/>
    </row>
    <row r="13" spans="1:16" x14ac:dyDescent="0.25">
      <c r="A13" s="412" t="s">
        <v>40</v>
      </c>
      <c r="B13" s="372">
        <f>B105</f>
        <v>8309.899498278497</v>
      </c>
      <c r="C13" s="372">
        <f>E105</f>
        <v>522.75174180388285</v>
      </c>
      <c r="D13" s="373">
        <f>GlobalWarmingPotentials!$B$11*H105</f>
        <v>17.290514540541231</v>
      </c>
      <c r="E13" s="372">
        <f>GlobalWarmingPotentials!$C$11*K105</f>
        <v>492.79798826435962</v>
      </c>
      <c r="F13" s="374">
        <f t="shared" ref="F13:F28" si="0">SUM(C13:E13)</f>
        <v>1032.8402446087837</v>
      </c>
      <c r="G13" s="375"/>
      <c r="H13" s="412" t="s">
        <v>40</v>
      </c>
      <c r="I13" s="372">
        <f>D105</f>
        <v>488.63429742730733</v>
      </c>
      <c r="J13" s="372">
        <f>G105</f>
        <v>28.318118318326512</v>
      </c>
      <c r="K13" s="373">
        <f>GlobalWarmingPotentials!$B$11*J105</f>
        <v>1.7218725116867057</v>
      </c>
      <c r="L13" s="377">
        <f>GlobalWarmingPotentials!$C$11*M105</f>
        <v>41.24810847845022</v>
      </c>
      <c r="M13" s="413">
        <f t="shared" ref="M13:M28" si="1">SUM(J13:L13)</f>
        <v>71.288099308463444</v>
      </c>
      <c r="N13" s="33"/>
      <c r="O13" s="80"/>
      <c r="P13" s="367"/>
    </row>
    <row r="14" spans="1:16" x14ac:dyDescent="0.25">
      <c r="A14" s="412" t="s">
        <v>852</v>
      </c>
      <c r="B14" s="372">
        <f>B139</f>
        <v>601.53586980511921</v>
      </c>
      <c r="C14" s="372">
        <f>E139</f>
        <v>43.167066146313303</v>
      </c>
      <c r="D14" s="373">
        <f>GlobalWarmingPotentials!$B$11*H139</f>
        <v>0.20630493950445838</v>
      </c>
      <c r="E14" s="372">
        <f>GlobalWarmingPotentials!$C$11*K139</f>
        <v>3.4515713357093745</v>
      </c>
      <c r="F14" s="374">
        <f t="shared" si="0"/>
        <v>46.824942421527133</v>
      </c>
      <c r="G14" s="375"/>
      <c r="H14" s="412" t="s">
        <v>852</v>
      </c>
      <c r="I14" s="372">
        <f>D139</f>
        <v>28.272185880840603</v>
      </c>
      <c r="J14" s="372">
        <f>G139</f>
        <v>2.0288521088767251</v>
      </c>
      <c r="K14" s="373">
        <f>GlobalWarmingPotentials!$B$11*J139</f>
        <v>9.6963321567095449E-3</v>
      </c>
      <c r="L14" s="372">
        <f>GlobalWarmingPotentials!$C$11*M139</f>
        <v>0.16222385277834056</v>
      </c>
      <c r="M14" s="374">
        <f t="shared" si="1"/>
        <v>2.2007722938117751</v>
      </c>
      <c r="N14" s="33"/>
      <c r="O14" s="80"/>
      <c r="P14" s="367"/>
    </row>
    <row r="15" spans="1:16" x14ac:dyDescent="0.25">
      <c r="A15" s="412" t="s">
        <v>853</v>
      </c>
      <c r="B15" s="372">
        <f>B173</f>
        <v>0</v>
      </c>
      <c r="C15" s="372">
        <f>E173</f>
        <v>0</v>
      </c>
      <c r="D15" s="373">
        <f>GlobalWarmingPotentials!$B$11*H173</f>
        <v>0</v>
      </c>
      <c r="E15" s="372">
        <f>GlobalWarmingPotentials!$C$11*K173</f>
        <v>0</v>
      </c>
      <c r="F15" s="374">
        <f>SUM(C15:E15)</f>
        <v>0</v>
      </c>
      <c r="G15" s="375"/>
      <c r="H15" s="412" t="s">
        <v>853</v>
      </c>
      <c r="I15" s="372">
        <f>D173</f>
        <v>0</v>
      </c>
      <c r="J15" s="372">
        <f>G173</f>
        <v>0</v>
      </c>
      <c r="K15" s="373">
        <f>GlobalWarmingPotentials!$B$11*J173</f>
        <v>0</v>
      </c>
      <c r="L15" s="372">
        <f>GlobalWarmingPotentials!$C$11*M173</f>
        <v>0</v>
      </c>
      <c r="M15" s="374">
        <f t="shared" si="1"/>
        <v>0</v>
      </c>
      <c r="N15" s="33"/>
      <c r="O15" s="80"/>
      <c r="P15" s="367"/>
    </row>
    <row r="16" spans="1:16" x14ac:dyDescent="0.25">
      <c r="A16" s="1511" t="s">
        <v>1779</v>
      </c>
      <c r="B16" s="372">
        <f>B179</f>
        <v>0</v>
      </c>
      <c r="C16" s="372">
        <f>E179</f>
        <v>0</v>
      </c>
      <c r="D16" s="373">
        <f>GlobalWarmingPotentials!$B$11*H179</f>
        <v>0.11475477369690439</v>
      </c>
      <c r="E16" s="372">
        <f>GlobalWarmingPotentials!$C$11*K179</f>
        <v>0.4430532132297873</v>
      </c>
      <c r="F16" s="374">
        <f>SUM(C16:E16)</f>
        <v>0.55780798692669165</v>
      </c>
      <c r="G16" s="375"/>
      <c r="H16" s="1511" t="s">
        <v>1779</v>
      </c>
      <c r="I16" s="372">
        <f>D179</f>
        <v>0</v>
      </c>
      <c r="J16" s="372">
        <f>G179</f>
        <v>0</v>
      </c>
      <c r="K16" s="373">
        <f>GlobalWarmingPotentials!$B$11*J179</f>
        <v>0</v>
      </c>
      <c r="L16" s="372">
        <f>GlobalWarmingPotentials!$C$11*M179</f>
        <v>0</v>
      </c>
      <c r="M16" s="374">
        <f t="shared" si="1"/>
        <v>0</v>
      </c>
      <c r="N16" s="33"/>
      <c r="O16" s="80"/>
      <c r="P16" s="367"/>
    </row>
    <row r="17" spans="1:16" x14ac:dyDescent="0.25">
      <c r="A17" s="1511" t="s">
        <v>1917</v>
      </c>
      <c r="B17" s="376">
        <f>B196</f>
        <v>7672.8025191554007</v>
      </c>
      <c r="C17" s="376">
        <f>E196</f>
        <v>485.14931842733705</v>
      </c>
      <c r="D17" s="373">
        <f>GlobalWarmingPotentials!$B$11*H196</f>
        <v>16.114622607186242</v>
      </c>
      <c r="E17" s="372">
        <f>GlobalWarmingPotentials!$C$11*K196</f>
        <v>38.01024928250856</v>
      </c>
      <c r="F17" s="374">
        <f>SUM(C17:E17)</f>
        <v>539.27419031703187</v>
      </c>
      <c r="G17" s="375"/>
      <c r="H17" s="1511" t="s">
        <v>1917</v>
      </c>
      <c r="I17" s="376">
        <f>D196</f>
        <v>732.66079238041505</v>
      </c>
      <c r="J17" s="376">
        <f>G196</f>
        <v>46.039485184534769</v>
      </c>
      <c r="K17" s="373">
        <f>GlobalWarmingPotentials!$B$11*J196</f>
        <v>1.6317635915191515</v>
      </c>
      <c r="L17" s="372">
        <f>GlobalWarmingPotentials!$C$11*M196</f>
        <v>0.18885232489165812</v>
      </c>
      <c r="M17" s="374">
        <f>SUM(J17:L17)</f>
        <v>47.860101100945577</v>
      </c>
      <c r="N17" s="33"/>
      <c r="O17" s="80"/>
      <c r="P17" s="367"/>
    </row>
    <row r="18" spans="1:16" x14ac:dyDescent="0.25">
      <c r="A18" s="378" t="s">
        <v>405</v>
      </c>
      <c r="B18" s="376">
        <f>B203</f>
        <v>0</v>
      </c>
      <c r="C18" s="376">
        <f>E203</f>
        <v>0</v>
      </c>
      <c r="D18" s="373">
        <f>GlobalWarmingPotentials!$B$11*H203</f>
        <v>7.7929411764705902E-3</v>
      </c>
      <c r="E18" s="372">
        <f>GlobalWarmingPotentials!$C$11*K203</f>
        <v>3.0087529411764707E-2</v>
      </c>
      <c r="F18" s="374">
        <f t="shared" si="0"/>
        <v>3.78804705882353E-2</v>
      </c>
      <c r="G18" s="375"/>
      <c r="H18" s="1516" t="s">
        <v>405</v>
      </c>
      <c r="I18" s="376">
        <f>D203</f>
        <v>0</v>
      </c>
      <c r="J18" s="376">
        <f>G203</f>
        <v>0</v>
      </c>
      <c r="K18" s="373">
        <f>GlobalWarmingPotentials!$B$11*J203</f>
        <v>0</v>
      </c>
      <c r="L18" s="372">
        <f>GlobalWarmingPotentials!$C$11*M203</f>
        <v>0</v>
      </c>
      <c r="M18" s="374">
        <f t="shared" si="1"/>
        <v>0</v>
      </c>
      <c r="N18" s="33"/>
      <c r="O18" s="80"/>
      <c r="P18" s="367"/>
    </row>
    <row r="19" spans="1:16" x14ac:dyDescent="0.25">
      <c r="A19" s="1511" t="s">
        <v>1984</v>
      </c>
      <c r="B19" s="376">
        <f>B210</f>
        <v>0</v>
      </c>
      <c r="C19" s="376">
        <f>E210</f>
        <v>0</v>
      </c>
      <c r="D19" s="373">
        <f>GlobalWarmingPotentials!$B$11*H210</f>
        <v>0.73139999999999983</v>
      </c>
      <c r="E19" s="372">
        <f>GlobalWarmingPotentials!$C$11*K210</f>
        <v>2.8238400000000001</v>
      </c>
      <c r="F19" s="374">
        <f t="shared" ref="F19" si="2">SUM(C19:E19)</f>
        <v>3.55524</v>
      </c>
      <c r="G19" s="375"/>
      <c r="H19" s="1511" t="s">
        <v>1984</v>
      </c>
      <c r="I19" s="376">
        <f>D210</f>
        <v>0</v>
      </c>
      <c r="J19" s="376">
        <f>G210</f>
        <v>0</v>
      </c>
      <c r="K19" s="373">
        <f>GlobalWarmingPotentials!$B$11*J210</f>
        <v>0</v>
      </c>
      <c r="L19" s="372">
        <f>GlobalWarmingPotentials!$C$11*M210</f>
        <v>0</v>
      </c>
      <c r="M19" s="374">
        <f t="shared" ref="M19" si="3">SUM(J19:L19)</f>
        <v>0</v>
      </c>
      <c r="N19" s="33"/>
      <c r="O19" s="80"/>
      <c r="P19" s="367"/>
    </row>
    <row r="20" spans="1:16" x14ac:dyDescent="0.25">
      <c r="A20" s="1511" t="s">
        <v>2009</v>
      </c>
      <c r="B20" s="376">
        <f>B217</f>
        <v>0</v>
      </c>
      <c r="C20" s="376">
        <f>E217</f>
        <v>0</v>
      </c>
      <c r="D20" s="373">
        <f>GlobalWarmingPotentials!$B$11*H217</f>
        <v>7.4760982540280546E-2</v>
      </c>
      <c r="E20" s="372">
        <f>GlobalWarmingPotentials!$C$11*K217</f>
        <v>0.2886424021555179</v>
      </c>
      <c r="F20" s="374">
        <f t="shared" si="0"/>
        <v>0.36340338469579847</v>
      </c>
      <c r="G20" s="375"/>
      <c r="H20" s="1511" t="s">
        <v>2009</v>
      </c>
      <c r="I20" s="376">
        <f>D217</f>
        <v>0</v>
      </c>
      <c r="J20" s="376">
        <f>G217</f>
        <v>0</v>
      </c>
      <c r="K20" s="373">
        <f>GlobalWarmingPotentials!$B$11*J217</f>
        <v>0</v>
      </c>
      <c r="L20" s="372">
        <f>GlobalWarmingPotentials!$C$11*M217</f>
        <v>0</v>
      </c>
      <c r="M20" s="374">
        <f t="shared" si="1"/>
        <v>0</v>
      </c>
      <c r="N20" s="33"/>
      <c r="O20" s="80"/>
      <c r="P20" s="367"/>
    </row>
    <row r="21" spans="1:16" x14ac:dyDescent="0.25">
      <c r="A21" s="378" t="s">
        <v>873</v>
      </c>
      <c r="B21" s="376">
        <f>B224</f>
        <v>1927.7999999999997</v>
      </c>
      <c r="C21" s="376">
        <f>E224</f>
        <v>107.9568</v>
      </c>
      <c r="D21" s="373">
        <f>GlobalWarmingPotentials!$B$11*H224</f>
        <v>7.4248549941176458</v>
      </c>
      <c r="E21" s="372">
        <f>GlobalWarmingPotentials!$C$11*K224</f>
        <v>0.8482426729411765</v>
      </c>
      <c r="F21" s="374">
        <f t="shared" si="0"/>
        <v>116.22989766705884</v>
      </c>
      <c r="G21" s="375"/>
      <c r="H21" s="378" t="s">
        <v>873</v>
      </c>
      <c r="I21" s="376">
        <f>D224</f>
        <v>289.16999999999996</v>
      </c>
      <c r="J21" s="376">
        <f>G224</f>
        <v>16.386299999999999</v>
      </c>
      <c r="K21" s="373">
        <f>GlobalWarmingPotentials!$B$11*J224</f>
        <v>1.0863152999999999</v>
      </c>
      <c r="L21" s="372">
        <f>GlobalWarmingPotentials!$C$11*M224</f>
        <v>0</v>
      </c>
      <c r="M21" s="374">
        <f t="shared" si="1"/>
        <v>17.472615299999998</v>
      </c>
      <c r="N21" s="33"/>
      <c r="O21" s="80"/>
      <c r="P21" s="367"/>
    </row>
    <row r="22" spans="1:16" x14ac:dyDescent="0.25">
      <c r="A22" s="1511" t="s">
        <v>2018</v>
      </c>
      <c r="B22" s="376">
        <f>B230</f>
        <v>0</v>
      </c>
      <c r="C22" s="376">
        <f>E230</f>
        <v>0</v>
      </c>
      <c r="D22" s="373">
        <f>GlobalWarmingPotentials!$B$11*H230</f>
        <v>9.767152941176474E-2</v>
      </c>
      <c r="E22" s="372">
        <f>GlobalWarmingPotentials!$C$11*K230</f>
        <v>0.3770970352941177</v>
      </c>
      <c r="F22" s="374">
        <f t="shared" si="0"/>
        <v>0.47476856470588247</v>
      </c>
      <c r="G22" s="375"/>
      <c r="H22" s="1497" t="s">
        <v>2018</v>
      </c>
      <c r="I22" s="376">
        <f>D230</f>
        <v>0</v>
      </c>
      <c r="J22" s="376">
        <f>G230</f>
        <v>0</v>
      </c>
      <c r="K22" s="373">
        <f>GlobalWarmingPotentials!$B$11*J230</f>
        <v>0</v>
      </c>
      <c r="L22" s="372">
        <f>GlobalWarmingPotentials!$C$11*M230</f>
        <v>0</v>
      </c>
      <c r="M22" s="374">
        <f t="shared" si="1"/>
        <v>0</v>
      </c>
      <c r="N22" s="33"/>
      <c r="O22" s="80"/>
      <c r="P22" s="367"/>
    </row>
    <row r="23" spans="1:16" x14ac:dyDescent="0.25">
      <c r="A23" s="378" t="s">
        <v>868</v>
      </c>
      <c r="B23" s="376">
        <f>B236</f>
        <v>0</v>
      </c>
      <c r="C23" s="376">
        <f>E236</f>
        <v>0</v>
      </c>
      <c r="D23" s="373">
        <f>GlobalWarmingPotentials!$B$11*H236</f>
        <v>0</v>
      </c>
      <c r="E23" s="372">
        <f>GlobalWarmingPotentials!$C$11*K236</f>
        <v>0</v>
      </c>
      <c r="F23" s="374">
        <f t="shared" si="0"/>
        <v>0</v>
      </c>
      <c r="G23" s="375"/>
      <c r="H23" s="378" t="s">
        <v>868</v>
      </c>
      <c r="I23" s="376">
        <f>D236</f>
        <v>0</v>
      </c>
      <c r="J23" s="376">
        <f>G236</f>
        <v>0</v>
      </c>
      <c r="K23" s="373">
        <f>GlobalWarmingPotentials!$B$11*J236</f>
        <v>0</v>
      </c>
      <c r="L23" s="372">
        <f>GlobalWarmingPotentials!$C$11*M236</f>
        <v>0</v>
      </c>
      <c r="M23" s="374">
        <f t="shared" si="1"/>
        <v>0</v>
      </c>
      <c r="N23" s="33"/>
      <c r="O23" s="80"/>
      <c r="P23" s="367"/>
    </row>
    <row r="24" spans="1:16" x14ac:dyDescent="0.25">
      <c r="A24" s="378" t="s">
        <v>869</v>
      </c>
      <c r="B24" s="376">
        <f>B242</f>
        <v>0</v>
      </c>
      <c r="C24" s="376">
        <f>E242</f>
        <v>0</v>
      </c>
      <c r="D24" s="373">
        <f>GlobalWarmingPotentials!$B$11*H242</f>
        <v>-1.1280488043874071</v>
      </c>
      <c r="E24" s="372">
        <f>GlobalWarmingPotentials!$C$11*K242</f>
        <v>-4.3552492969392063</v>
      </c>
      <c r="F24" s="374">
        <f t="shared" si="0"/>
        <v>-5.4832981013266133</v>
      </c>
      <c r="G24" s="375"/>
      <c r="H24" s="378" t="s">
        <v>869</v>
      </c>
      <c r="I24" s="376">
        <f>D242</f>
        <v>0</v>
      </c>
      <c r="J24" s="376">
        <f>G242</f>
        <v>0</v>
      </c>
      <c r="K24" s="373">
        <f>GlobalWarmingPotentials!$B$11*J242</f>
        <v>0</v>
      </c>
      <c r="L24" s="372">
        <f>GlobalWarmingPotentials!$C$11*M242</f>
        <v>0</v>
      </c>
      <c r="M24" s="374">
        <f t="shared" si="1"/>
        <v>0</v>
      </c>
      <c r="N24" s="33"/>
      <c r="O24" s="80"/>
      <c r="P24" s="367"/>
    </row>
    <row r="25" spans="1:16" x14ac:dyDescent="0.25">
      <c r="A25" s="412" t="s">
        <v>855</v>
      </c>
      <c r="B25" s="376">
        <f>B352</f>
        <v>0</v>
      </c>
      <c r="C25" s="376">
        <f>E352</f>
        <v>0</v>
      </c>
      <c r="D25" s="373">
        <f>GlobalWarmingPotentials!$B$11*H352</f>
        <v>0</v>
      </c>
      <c r="E25" s="372">
        <f>GlobalWarmingPotentials!$C$11*K352</f>
        <v>0</v>
      </c>
      <c r="F25" s="374">
        <f t="shared" si="0"/>
        <v>0</v>
      </c>
      <c r="G25" s="375"/>
      <c r="H25" s="412" t="s">
        <v>855</v>
      </c>
      <c r="I25" s="376">
        <f>D352</f>
        <v>0</v>
      </c>
      <c r="J25" s="376">
        <f>G352</f>
        <v>0</v>
      </c>
      <c r="K25" s="373">
        <f>GlobalWarmingPotentials!$B$11*J352</f>
        <v>0</v>
      </c>
      <c r="L25" s="372">
        <f>GlobalWarmingPotentials!$C$11*M352</f>
        <v>0</v>
      </c>
      <c r="M25" s="374">
        <f t="shared" si="1"/>
        <v>0</v>
      </c>
      <c r="N25" s="33"/>
      <c r="O25" s="80"/>
      <c r="P25" s="367"/>
    </row>
    <row r="26" spans="1:16" x14ac:dyDescent="0.25">
      <c r="A26" s="412" t="s">
        <v>874</v>
      </c>
      <c r="B26" s="376">
        <f>B276</f>
        <v>517.88672232212184</v>
      </c>
      <c r="C26" s="376">
        <f>E276</f>
        <v>37.164284826471004</v>
      </c>
      <c r="D26" s="373">
        <f>GlobalWarmingPotentials!$B$11*H276</f>
        <v>0.1776163222875497</v>
      </c>
      <c r="E26" s="372">
        <f>GlobalWarmingPotentials!$C$11*K276</f>
        <v>2.9715982963586582</v>
      </c>
      <c r="F26" s="374">
        <f t="shared" si="0"/>
        <v>40.313499445117209</v>
      </c>
      <c r="G26" s="375"/>
      <c r="H26" s="412" t="s">
        <v>874</v>
      </c>
      <c r="I26" s="376">
        <f>D276</f>
        <v>24.34067594913973</v>
      </c>
      <c r="J26" s="376">
        <f>G276</f>
        <v>1.7467213868441371</v>
      </c>
      <c r="K26" s="373">
        <f>GlobalWarmingPotentials!$B$11*J276</f>
        <v>8.3479671475148367E-3</v>
      </c>
      <c r="L26" s="372">
        <f>GlobalWarmingPotentials!$C$11*M276</f>
        <v>0.13966511992885694</v>
      </c>
      <c r="M26" s="374">
        <f t="shared" si="1"/>
        <v>1.894734473920509</v>
      </c>
      <c r="N26" s="33"/>
      <c r="O26" s="80"/>
      <c r="P26" s="367"/>
    </row>
    <row r="27" spans="1:16" x14ac:dyDescent="0.25">
      <c r="A27" s="412" t="s">
        <v>877</v>
      </c>
      <c r="B27" s="787">
        <f>B310</f>
        <v>0</v>
      </c>
      <c r="C27" s="787">
        <f>E310</f>
        <v>0</v>
      </c>
      <c r="D27" s="376">
        <f>GlobalWarmingPotentials!$B$11*H310</f>
        <v>0</v>
      </c>
      <c r="E27" s="376">
        <f>GlobalWarmingPotentials!$C$11*K310</f>
        <v>0</v>
      </c>
      <c r="F27" s="792">
        <f t="shared" si="0"/>
        <v>0</v>
      </c>
      <c r="G27" s="788"/>
      <c r="H27" s="412" t="s">
        <v>877</v>
      </c>
      <c r="I27" s="787">
        <f>D310</f>
        <v>0</v>
      </c>
      <c r="J27" s="787">
        <f>G310</f>
        <v>0</v>
      </c>
      <c r="K27" s="376">
        <f>GlobalWarmingPotentials!$B$11*J310</f>
        <v>0</v>
      </c>
      <c r="L27" s="376">
        <f>GlobalWarmingPotentials!$C$11*M310</f>
        <v>0</v>
      </c>
      <c r="M27" s="792">
        <f t="shared" si="1"/>
        <v>0</v>
      </c>
      <c r="N27" s="33"/>
      <c r="O27" s="80"/>
      <c r="P27" s="367"/>
    </row>
    <row r="28" spans="1:16" x14ac:dyDescent="0.25">
      <c r="A28" s="412" t="s">
        <v>878</v>
      </c>
      <c r="B28" s="787">
        <f>B344</f>
        <v>0</v>
      </c>
      <c r="C28" s="787">
        <f>E344</f>
        <v>0</v>
      </c>
      <c r="D28" s="376">
        <f>GlobalWarmingPotentials!$B$11*H344</f>
        <v>0</v>
      </c>
      <c r="E28" s="376">
        <f>GlobalWarmingPotentials!$C$11*K344</f>
        <v>0</v>
      </c>
      <c r="F28" s="792">
        <f t="shared" si="0"/>
        <v>0</v>
      </c>
      <c r="G28" s="788"/>
      <c r="H28" s="412" t="s">
        <v>878</v>
      </c>
      <c r="I28" s="787">
        <f>D344</f>
        <v>0</v>
      </c>
      <c r="J28" s="787">
        <f>G344</f>
        <v>0</v>
      </c>
      <c r="K28" s="376">
        <f>GlobalWarmingPotentials!$B$11*J344</f>
        <v>0</v>
      </c>
      <c r="L28" s="376">
        <f>GlobalWarmingPotentials!$C$11*M344</f>
        <v>0</v>
      </c>
      <c r="M28" s="792">
        <f t="shared" si="1"/>
        <v>0</v>
      </c>
      <c r="N28" s="33"/>
      <c r="O28" s="80"/>
      <c r="P28" s="367"/>
    </row>
    <row r="29" spans="1:16" ht="13.8" thickBot="1" x14ac:dyDescent="0.3">
      <c r="A29" s="379" t="s">
        <v>369</v>
      </c>
      <c r="B29" s="380">
        <f>SUM(B13:B28)</f>
        <v>19029.924609561138</v>
      </c>
      <c r="C29" s="380">
        <f>SUM(C13:C28)</f>
        <v>1196.1892112040041</v>
      </c>
      <c r="D29" s="380">
        <f>SUM(D13:D28)</f>
        <v>41.112244826075141</v>
      </c>
      <c r="E29" s="380">
        <f>SUM(E13:E28)</f>
        <v>537.68712073502957</v>
      </c>
      <c r="F29" s="790">
        <f>SUM(F13:F28)</f>
        <v>1774.988576765109</v>
      </c>
      <c r="G29" s="789"/>
      <c r="H29" s="379" t="s">
        <v>369</v>
      </c>
      <c r="I29" s="380">
        <f>SQRT(SUMSQ(I13:I28))</f>
        <v>927.66717480673935</v>
      </c>
      <c r="J29" s="380">
        <f>SQRT(SUMSQ(J13:J28))</f>
        <v>56.544037044773241</v>
      </c>
      <c r="K29" s="380">
        <f>SQRT(SUMSQ(K13:K28))</f>
        <v>2.6091650012095138</v>
      </c>
      <c r="L29" s="380">
        <f>SQRT(SUMSQ(L13:L28))</f>
        <v>41.249096246763379</v>
      </c>
      <c r="M29" s="790">
        <f>SQRT(SUMSQ(M13:M28))</f>
        <v>87.671592224869187</v>
      </c>
      <c r="N29" s="80"/>
      <c r="O29" s="80"/>
      <c r="P29" s="367"/>
    </row>
    <row r="30" spans="1:16" x14ac:dyDescent="0.25">
      <c r="A30" s="33"/>
      <c r="B30" s="80"/>
      <c r="C30" s="366"/>
      <c r="D30" s="80"/>
      <c r="E30" s="80"/>
      <c r="F30" s="80"/>
      <c r="G30" s="80"/>
      <c r="H30" s="58"/>
      <c r="I30" s="80"/>
      <c r="J30" s="80"/>
      <c r="K30" s="58"/>
      <c r="L30" s="58"/>
      <c r="M30" s="58"/>
      <c r="N30" s="33"/>
      <c r="O30" s="80"/>
      <c r="P30" s="367"/>
    </row>
    <row r="31" spans="1:16" x14ac:dyDescent="0.25">
      <c r="A31" s="33"/>
      <c r="B31" s="80"/>
      <c r="C31" s="366"/>
      <c r="D31" s="80"/>
      <c r="E31" s="80"/>
      <c r="F31" s="80"/>
      <c r="G31" s="80"/>
      <c r="H31" s="80"/>
      <c r="I31" s="80"/>
      <c r="J31" s="80"/>
      <c r="K31" s="80"/>
      <c r="L31" s="80"/>
      <c r="M31" s="80"/>
      <c r="N31" s="33"/>
      <c r="O31" s="80"/>
      <c r="P31" s="367"/>
    </row>
    <row r="32" spans="1:16" x14ac:dyDescent="0.25">
      <c r="A32" s="33"/>
      <c r="B32" s="80"/>
      <c r="C32" s="366"/>
      <c r="D32" s="80"/>
      <c r="E32" s="80"/>
      <c r="F32" s="80"/>
      <c r="G32" s="80"/>
      <c r="H32" s="80"/>
      <c r="I32" s="80"/>
      <c r="J32" s="80"/>
      <c r="K32" s="80"/>
      <c r="L32" s="80"/>
      <c r="M32" s="80"/>
      <c r="N32" s="33"/>
      <c r="O32" s="80"/>
      <c r="P32" s="367"/>
    </row>
    <row r="33" spans="1:16" x14ac:dyDescent="0.25">
      <c r="A33" s="33"/>
      <c r="B33" s="80"/>
      <c r="C33" s="366"/>
      <c r="D33" s="80"/>
      <c r="E33" s="80"/>
      <c r="F33" s="80"/>
      <c r="G33" s="80"/>
      <c r="H33" s="80"/>
      <c r="I33" s="80"/>
      <c r="J33" s="80"/>
      <c r="K33" s="80"/>
      <c r="L33" s="80"/>
      <c r="M33" s="80"/>
      <c r="N33" s="33"/>
      <c r="O33" s="80"/>
      <c r="P33" s="367"/>
    </row>
    <row r="34" spans="1:16" x14ac:dyDescent="0.25">
      <c r="A34" s="33"/>
      <c r="B34" s="80"/>
      <c r="C34" s="366"/>
      <c r="D34" s="80"/>
      <c r="E34" s="80"/>
      <c r="F34" s="80"/>
      <c r="G34" s="80"/>
      <c r="H34" s="80"/>
      <c r="I34" s="80"/>
      <c r="J34" s="80"/>
      <c r="K34" s="80"/>
      <c r="L34" s="80"/>
      <c r="M34" s="80"/>
      <c r="N34" s="33"/>
      <c r="O34" s="80"/>
      <c r="P34" s="367"/>
    </row>
    <row r="35" spans="1:16" x14ac:dyDescent="0.25">
      <c r="A35" s="33"/>
      <c r="B35" s="80"/>
      <c r="C35" s="366"/>
      <c r="D35" s="80"/>
      <c r="E35" s="80"/>
      <c r="F35" s="80"/>
      <c r="G35" s="80"/>
      <c r="H35" s="80"/>
      <c r="I35" s="80"/>
      <c r="J35" s="80"/>
      <c r="K35" s="80"/>
      <c r="L35" s="80"/>
      <c r="M35" s="80"/>
      <c r="N35" s="33"/>
      <c r="O35" s="80"/>
      <c r="P35" s="367"/>
    </row>
    <row r="36" spans="1:16" x14ac:dyDescent="0.25">
      <c r="A36" s="33"/>
      <c r="B36" s="80"/>
      <c r="C36" s="366"/>
      <c r="D36" s="80"/>
      <c r="E36" s="80"/>
      <c r="F36" s="80"/>
      <c r="G36" s="80"/>
      <c r="H36" s="80"/>
      <c r="I36" s="80"/>
      <c r="J36" s="80"/>
      <c r="K36" s="80"/>
      <c r="L36" s="80"/>
      <c r="M36" s="80"/>
      <c r="N36" s="33"/>
      <c r="O36" s="80"/>
      <c r="P36" s="367"/>
    </row>
    <row r="37" spans="1:16" x14ac:dyDescent="0.25">
      <c r="A37" s="33"/>
      <c r="B37" s="80"/>
      <c r="C37" s="366"/>
      <c r="D37" s="80"/>
      <c r="E37" s="80"/>
      <c r="F37" s="80"/>
      <c r="G37" s="80"/>
      <c r="H37" s="80"/>
      <c r="I37" s="80"/>
      <c r="J37" s="80"/>
      <c r="K37" s="80"/>
      <c r="L37" s="80"/>
      <c r="M37" s="80"/>
      <c r="N37" s="33"/>
      <c r="O37" s="80"/>
      <c r="P37" s="367"/>
    </row>
    <row r="38" spans="1:16" x14ac:dyDescent="0.25">
      <c r="A38" s="33"/>
      <c r="B38" s="80"/>
      <c r="C38" s="366"/>
      <c r="D38" s="80"/>
      <c r="E38" s="80"/>
      <c r="F38" s="80"/>
      <c r="G38" s="80"/>
      <c r="H38" s="80"/>
      <c r="I38" s="80"/>
      <c r="J38" s="80"/>
      <c r="K38" s="80"/>
      <c r="L38" s="80"/>
      <c r="M38" s="80"/>
      <c r="N38" s="33"/>
      <c r="O38" s="80"/>
      <c r="P38" s="367"/>
    </row>
    <row r="39" spans="1:16" x14ac:dyDescent="0.25">
      <c r="A39" s="33"/>
      <c r="B39" s="80"/>
      <c r="C39" s="366"/>
      <c r="D39" s="80"/>
      <c r="E39" s="80"/>
      <c r="F39" s="80"/>
      <c r="G39" s="80"/>
      <c r="H39" s="80"/>
      <c r="I39" s="80"/>
      <c r="J39" s="80"/>
      <c r="K39" s="80"/>
      <c r="L39" s="80"/>
      <c r="M39" s="80"/>
      <c r="N39" s="33"/>
      <c r="O39" s="80"/>
      <c r="P39" s="367"/>
    </row>
    <row r="40" spans="1:16" x14ac:dyDescent="0.25">
      <c r="A40" s="33"/>
      <c r="B40" s="80"/>
      <c r="C40" s="366"/>
      <c r="D40" s="80"/>
      <c r="E40" s="80"/>
      <c r="F40" s="80"/>
      <c r="G40" s="80"/>
      <c r="H40" s="80"/>
      <c r="I40" s="80"/>
      <c r="J40" s="80"/>
      <c r="K40" s="80"/>
      <c r="L40" s="80"/>
      <c r="M40" s="80"/>
      <c r="N40" s="33"/>
      <c r="O40" s="80"/>
      <c r="P40" s="367"/>
    </row>
    <row r="41" spans="1:16" x14ac:dyDescent="0.25">
      <c r="A41" s="33"/>
      <c r="B41" s="80"/>
      <c r="C41" s="366"/>
      <c r="D41" s="80"/>
      <c r="E41" s="80"/>
      <c r="F41" s="80"/>
      <c r="G41" s="80"/>
      <c r="H41" s="80"/>
      <c r="I41" s="80"/>
      <c r="J41" s="80"/>
      <c r="K41" s="80"/>
      <c r="L41" s="80"/>
      <c r="M41" s="80"/>
      <c r="N41" s="33"/>
      <c r="O41" s="80"/>
      <c r="P41" s="367"/>
    </row>
    <row r="42" spans="1:16" x14ac:dyDescent="0.25">
      <c r="A42" s="33"/>
      <c r="B42" s="80"/>
      <c r="C42" s="366"/>
      <c r="D42" s="80"/>
      <c r="E42" s="80"/>
      <c r="F42" s="80"/>
      <c r="G42" s="80"/>
      <c r="H42" s="80"/>
      <c r="I42" s="80"/>
      <c r="J42" s="80"/>
      <c r="K42" s="80"/>
      <c r="L42" s="80"/>
      <c r="M42" s="80"/>
      <c r="N42" s="33"/>
      <c r="O42" s="80"/>
      <c r="P42" s="367"/>
    </row>
    <row r="43" spans="1:16" x14ac:dyDescent="0.25">
      <c r="A43" s="33"/>
      <c r="B43" s="80"/>
      <c r="C43" s="366"/>
      <c r="D43" s="80"/>
      <c r="E43" s="80"/>
      <c r="F43" s="80"/>
      <c r="G43" s="80"/>
      <c r="H43" s="80"/>
      <c r="I43" s="80"/>
      <c r="J43" s="80"/>
      <c r="K43" s="80"/>
      <c r="L43" s="80"/>
      <c r="M43" s="80"/>
      <c r="N43" s="33"/>
      <c r="O43" s="80"/>
      <c r="P43" s="367"/>
    </row>
    <row r="44" spans="1:16" x14ac:dyDescent="0.25">
      <c r="A44" s="33"/>
      <c r="B44" s="80"/>
      <c r="C44" s="366"/>
      <c r="D44" s="80"/>
      <c r="E44" s="80"/>
      <c r="F44" s="80"/>
      <c r="G44" s="80"/>
      <c r="H44" s="80"/>
      <c r="I44" s="80"/>
      <c r="J44" s="80"/>
      <c r="K44" s="80"/>
      <c r="L44" s="80"/>
      <c r="M44" s="80"/>
      <c r="N44" s="33"/>
      <c r="O44" s="80"/>
      <c r="P44" s="367"/>
    </row>
    <row r="45" spans="1:16" x14ac:dyDescent="0.25">
      <c r="A45" s="33"/>
      <c r="B45" s="80"/>
      <c r="C45" s="366"/>
      <c r="D45" s="80"/>
      <c r="E45" s="80"/>
      <c r="F45" s="80"/>
      <c r="G45" s="80"/>
      <c r="H45" s="80"/>
      <c r="I45" s="80"/>
      <c r="J45" s="80"/>
      <c r="K45" s="80"/>
      <c r="L45" s="80"/>
      <c r="M45" s="80"/>
      <c r="N45" s="33"/>
      <c r="O45" s="80"/>
      <c r="P45" s="367"/>
    </row>
    <row r="46" spans="1:16" x14ac:dyDescent="0.25">
      <c r="A46" s="33"/>
      <c r="B46" s="80"/>
      <c r="C46" s="366"/>
      <c r="D46" s="80"/>
      <c r="E46" s="80"/>
      <c r="F46" s="80"/>
      <c r="G46" s="80"/>
      <c r="H46" s="80"/>
      <c r="I46" s="80"/>
      <c r="J46" s="80"/>
      <c r="K46" s="80"/>
      <c r="L46" s="80"/>
      <c r="M46" s="80"/>
      <c r="N46" s="33"/>
      <c r="O46" s="80"/>
      <c r="P46" s="367"/>
    </row>
    <row r="47" spans="1:16" x14ac:dyDescent="0.25">
      <c r="A47" s="33"/>
      <c r="B47" s="80"/>
      <c r="C47" s="366"/>
      <c r="D47" s="80"/>
      <c r="E47" s="80"/>
      <c r="F47" s="80"/>
      <c r="G47" s="80"/>
      <c r="H47" s="80"/>
      <c r="I47" s="80"/>
      <c r="J47" s="80"/>
      <c r="K47" s="80"/>
      <c r="L47" s="80"/>
      <c r="M47" s="80"/>
      <c r="N47" s="33"/>
      <c r="O47" s="80"/>
      <c r="P47" s="367"/>
    </row>
    <row r="48" spans="1:16" x14ac:dyDescent="0.25">
      <c r="A48" s="33"/>
      <c r="B48" s="80"/>
      <c r="C48" s="366"/>
      <c r="D48" s="80"/>
      <c r="E48" s="80"/>
      <c r="F48" s="80"/>
      <c r="G48" s="80"/>
      <c r="H48" s="80"/>
      <c r="I48" s="80"/>
      <c r="J48" s="80"/>
      <c r="K48" s="80"/>
      <c r="L48" s="80"/>
      <c r="M48" s="80"/>
      <c r="N48" s="33"/>
      <c r="O48" s="80"/>
      <c r="P48" s="367"/>
    </row>
    <row r="49" spans="1:16" x14ac:dyDescent="0.25">
      <c r="A49" s="33"/>
      <c r="B49" s="80"/>
      <c r="C49" s="366"/>
      <c r="D49" s="80"/>
      <c r="E49" s="80"/>
      <c r="F49" s="80"/>
      <c r="G49" s="80"/>
      <c r="H49" s="80"/>
      <c r="I49" s="80"/>
      <c r="J49" s="80"/>
      <c r="K49" s="80"/>
      <c r="L49" s="80"/>
      <c r="M49" s="80"/>
      <c r="N49" s="33"/>
      <c r="O49" s="80"/>
      <c r="P49" s="367"/>
    </row>
    <row r="50" spans="1:16" x14ac:dyDescent="0.25">
      <c r="A50" s="33"/>
      <c r="B50" s="80"/>
      <c r="C50" s="366"/>
      <c r="D50" s="80"/>
      <c r="E50" s="80"/>
      <c r="F50" s="80"/>
      <c r="G50" s="80"/>
      <c r="H50" s="80"/>
      <c r="I50" s="80"/>
      <c r="J50" s="80"/>
      <c r="K50" s="80"/>
      <c r="L50" s="80"/>
      <c r="M50" s="80"/>
      <c r="N50" s="33"/>
      <c r="O50" s="80"/>
      <c r="P50" s="367"/>
    </row>
    <row r="51" spans="1:16" x14ac:dyDescent="0.25">
      <c r="A51" s="33"/>
      <c r="B51" s="80"/>
      <c r="C51" s="366"/>
      <c r="D51" s="80"/>
      <c r="E51" s="80"/>
      <c r="F51" s="80"/>
      <c r="G51" s="80"/>
      <c r="H51" s="80"/>
      <c r="I51" s="80"/>
      <c r="J51" s="80"/>
      <c r="K51" s="80"/>
      <c r="L51" s="80"/>
      <c r="M51" s="80"/>
      <c r="N51" s="33"/>
      <c r="O51" s="80"/>
      <c r="P51" s="367"/>
    </row>
    <row r="52" spans="1:16" x14ac:dyDescent="0.25">
      <c r="A52" s="33"/>
      <c r="B52" s="80"/>
      <c r="C52" s="366"/>
      <c r="D52" s="80"/>
      <c r="E52" s="80"/>
      <c r="F52" s="80"/>
      <c r="G52" s="80"/>
      <c r="H52" s="80"/>
      <c r="I52" s="80"/>
      <c r="J52" s="80"/>
      <c r="K52" s="80"/>
      <c r="L52" s="80"/>
      <c r="M52" s="80"/>
      <c r="N52" s="33"/>
      <c r="O52" s="80"/>
      <c r="P52" s="367"/>
    </row>
    <row r="53" spans="1:16" x14ac:dyDescent="0.25">
      <c r="A53" s="33"/>
      <c r="B53" s="80"/>
      <c r="C53" s="366"/>
      <c r="D53" s="80"/>
      <c r="E53" s="80"/>
      <c r="F53" s="80"/>
      <c r="G53" s="80"/>
      <c r="H53" s="80"/>
      <c r="I53" s="80"/>
      <c r="J53" s="80"/>
      <c r="K53" s="80"/>
      <c r="L53" s="80"/>
      <c r="M53" s="80"/>
      <c r="N53" s="33"/>
      <c r="O53" s="80"/>
      <c r="P53" s="367"/>
    </row>
    <row r="54" spans="1:16" x14ac:dyDescent="0.25">
      <c r="A54" s="33"/>
      <c r="B54" s="80"/>
      <c r="C54" s="366"/>
      <c r="D54" s="80"/>
      <c r="E54" s="80"/>
      <c r="F54" s="80"/>
      <c r="G54" s="80"/>
      <c r="H54" s="80"/>
      <c r="I54" s="80"/>
      <c r="J54" s="80"/>
      <c r="K54" s="80"/>
      <c r="L54" s="80"/>
      <c r="M54" s="80"/>
      <c r="N54" s="33"/>
      <c r="O54" s="80"/>
      <c r="P54" s="367"/>
    </row>
    <row r="55" spans="1:16" x14ac:dyDescent="0.25">
      <c r="A55" s="32" t="s">
        <v>43</v>
      </c>
      <c r="B55" s="90"/>
      <c r="C55" s="90"/>
      <c r="D55" s="90"/>
      <c r="E55" s="90"/>
      <c r="F55" s="90"/>
      <c r="G55" s="90"/>
      <c r="H55" s="90"/>
      <c r="I55" s="90"/>
      <c r="J55" s="381"/>
      <c r="K55" s="90"/>
      <c r="L55" s="90"/>
      <c r="M55" s="381"/>
      <c r="N55" s="32"/>
      <c r="O55" s="90"/>
      <c r="P55" s="382"/>
    </row>
    <row r="56" spans="1:16" x14ac:dyDescent="0.25">
      <c r="A56" s="39"/>
      <c r="B56" s="39"/>
      <c r="C56" s="39"/>
      <c r="D56" s="39"/>
      <c r="E56" s="39"/>
      <c r="F56" s="39"/>
      <c r="G56" s="39"/>
      <c r="H56" s="39"/>
      <c r="I56" s="39"/>
      <c r="J56" s="40"/>
      <c r="K56" s="39"/>
      <c r="L56" s="39"/>
      <c r="M56" s="40"/>
      <c r="N56" s="39"/>
      <c r="O56" s="39"/>
      <c r="P56" s="383"/>
    </row>
    <row r="57" spans="1:16" x14ac:dyDescent="0.25">
      <c r="A57" s="21" t="s">
        <v>245</v>
      </c>
      <c r="B57" s="28" t="s">
        <v>21</v>
      </c>
      <c r="C57" s="22"/>
      <c r="D57" s="21"/>
      <c r="E57" s="28" t="s">
        <v>22</v>
      </c>
      <c r="F57" s="22"/>
      <c r="G57" s="18"/>
      <c r="H57" s="6" t="s">
        <v>23</v>
      </c>
      <c r="I57" s="22"/>
      <c r="J57" s="18"/>
      <c r="K57" s="6" t="s">
        <v>24</v>
      </c>
      <c r="L57" s="22"/>
      <c r="M57" s="18"/>
      <c r="N57" s="6" t="s">
        <v>25</v>
      </c>
      <c r="O57" s="22"/>
      <c r="P57" s="18"/>
    </row>
    <row r="58" spans="1:16" x14ac:dyDescent="0.25">
      <c r="A58" s="22"/>
    </row>
    <row r="59" spans="1:16" x14ac:dyDescent="0.25">
      <c r="A59" s="20"/>
      <c r="B59" s="27" t="s">
        <v>1684</v>
      </c>
      <c r="C59" s="20" t="s">
        <v>20</v>
      </c>
      <c r="D59" s="20" t="s">
        <v>1685</v>
      </c>
      <c r="E59" s="27" t="s">
        <v>1686</v>
      </c>
      <c r="F59" s="20" t="s">
        <v>20</v>
      </c>
      <c r="G59" s="19" t="s">
        <v>1687</v>
      </c>
      <c r="H59" s="27" t="s">
        <v>1688</v>
      </c>
      <c r="I59" s="20" t="s">
        <v>20</v>
      </c>
      <c r="J59" s="19" t="s">
        <v>1689</v>
      </c>
      <c r="K59" s="27" t="s">
        <v>1690</v>
      </c>
      <c r="L59" s="20" t="s">
        <v>20</v>
      </c>
      <c r="M59" s="19" t="s">
        <v>1691</v>
      </c>
      <c r="N59" s="27" t="s">
        <v>1692</v>
      </c>
      <c r="O59" s="20" t="s">
        <v>20</v>
      </c>
      <c r="P59" s="19" t="s">
        <v>1693</v>
      </c>
    </row>
    <row r="60" spans="1:16" x14ac:dyDescent="0.25">
      <c r="A60" s="384" t="s">
        <v>19</v>
      </c>
    </row>
    <row r="61" spans="1:16" x14ac:dyDescent="0.25">
      <c r="A61" s="384" t="str">
        <f>Cultivation!A43</f>
        <v>MAIN LAND USE</v>
      </c>
    </row>
    <row r="62" spans="1:16" x14ac:dyDescent="0.25">
      <c r="A62" s="894" t="str">
        <f>Cultivation!A44</f>
        <v xml:space="preserve"> - Diesel Fuel</v>
      </c>
      <c r="B62" s="710">
        <f>(Unitflowchart!$S$15*(AllocationEnergy!$H$24/100)*Cultivation!J44)/Unitflowchart!$S$357</f>
        <v>3335.5910597487418</v>
      </c>
      <c r="C62" s="25">
        <f>(B62/B$354)*100</f>
        <v>17.528135965777039</v>
      </c>
      <c r="D62" s="724">
        <f>(Unitflowchart!$S$15*(AllocationEnergy!$H$24/100)*Cultivation!K44)/Unitflowchart!$S$357</f>
        <v>0</v>
      </c>
      <c r="E62" s="710">
        <f>(Unitflowchart!$S$15*(AllocationEnergy!$H$24/100)*Cultivation!P44)/Unitflowchart!$S$357</f>
        <v>239.36673960918276</v>
      </c>
      <c r="F62" s="25">
        <f>(E62/E$354)*100</f>
        <v>20.010775667191663</v>
      </c>
      <c r="G62" s="724">
        <f>(Unitflowchart!$S$15*(AllocationEnergy!$H$24/100)*Cultivation!Q44)/Unitflowchart!$S$357</f>
        <v>0</v>
      </c>
      <c r="H62" s="710">
        <f>(Unitflowchart!$S$15*(AllocationEnergy!$H$24/100)*Cultivation!V44)/Unitflowchart!$S$357</f>
        <v>4.9738543295414606E-2</v>
      </c>
      <c r="I62" s="25">
        <f>(H62/H$354)*100</f>
        <v>2.7825931194809654</v>
      </c>
      <c r="J62" s="724">
        <f>(Unitflowchart!$S$15*(AllocationEnergy!$H$24/100)*Cultivation!W44)/Unitflowchart!$S$357</f>
        <v>0</v>
      </c>
      <c r="K62" s="710">
        <f>(Unitflowchart!$S$15*(AllocationEnergy!$H$24/100)*Cultivation!AB44)/Unitflowchart!$S$357</f>
        <v>6.4660106284038982E-2</v>
      </c>
      <c r="L62" s="25">
        <f>(K62/K$354)*100</f>
        <v>3.559577814307993</v>
      </c>
      <c r="M62" s="724">
        <f>(Unitflowchart!$S$15*(AllocationEnergy!$H$24/100)*Cultivation!AC44)/Unitflowchart!$S$357</f>
        <v>0</v>
      </c>
      <c r="N62" s="711">
        <f>E62+(GlobalWarmingPotentials!$B$11*H62)+(GlobalWarmingPotentials!$C$11*K62)</f>
        <v>259.65011756505282</v>
      </c>
      <c r="O62" s="25">
        <f>(N62/N$354)*100</f>
        <v>14.628269779530717</v>
      </c>
      <c r="P62" s="736">
        <f>SQRT((G62^2)+((GlobalWarmingPotentials!$B$11*J62)^2)+((GlobalWarmingPotentials!$C$11*M62)^2))</f>
        <v>0</v>
      </c>
    </row>
    <row r="63" spans="1:16" s="42" customFormat="1" x14ac:dyDescent="0.25">
      <c r="A63" s="852"/>
      <c r="B63" s="713"/>
      <c r="C63" s="863"/>
      <c r="D63" s="719"/>
      <c r="E63" s="713"/>
      <c r="F63" s="863"/>
      <c r="G63" s="719"/>
      <c r="H63" s="713"/>
      <c r="I63" s="863"/>
      <c r="J63" s="719"/>
      <c r="K63" s="713"/>
      <c r="L63" s="863"/>
      <c r="M63" s="719"/>
      <c r="N63" s="713"/>
      <c r="O63" s="863"/>
      <c r="P63" s="738"/>
    </row>
    <row r="64" spans="1:16" s="5" customFormat="1" x14ac:dyDescent="0.25">
      <c r="A64" s="122" t="str">
        <f>Cultivation!A46</f>
        <v>Sub-Totals for Fuel</v>
      </c>
      <c r="B64" s="867">
        <f>(Unitflowchart!$S$15*(AllocationEnergy!$H$24/100)*Cultivation!J46)/Unitflowchart!$S$357</f>
        <v>3335.5910597487418</v>
      </c>
      <c r="C64" s="868">
        <f>(B64/B$354)*100</f>
        <v>17.528135965777039</v>
      </c>
      <c r="D64" s="1304">
        <f>(Unitflowchart!$S$15*(AllocationEnergy!$H$24/100)*Cultivation!K46)/Unitflowchart!$S$357</f>
        <v>0</v>
      </c>
      <c r="E64" s="867">
        <f>(Unitflowchart!$S$15*(AllocationEnergy!$H$24/100)*Cultivation!P46)/Unitflowchart!$S$357</f>
        <v>239.36673960918276</v>
      </c>
      <c r="F64" s="868">
        <f>(E64/E$354)*100</f>
        <v>20.010775667191663</v>
      </c>
      <c r="G64" s="1304">
        <f>(Unitflowchart!$S$15*(AllocationEnergy!$H$24/100)*Cultivation!Q46)/Unitflowchart!$S$357</f>
        <v>0</v>
      </c>
      <c r="H64" s="867">
        <f>(Unitflowchart!$S$15*(AllocationEnergy!$H$24/100)*Cultivation!V46)/Unitflowchart!$S$357</f>
        <v>4.9738543295414606E-2</v>
      </c>
      <c r="I64" s="868">
        <f>(H64/H$354)*100</f>
        <v>2.7825931194809654</v>
      </c>
      <c r="J64" s="1304">
        <f>(Unitflowchart!$S$15*(AllocationEnergy!$H$24/100)*Cultivation!W46)/Unitflowchart!$S$357</f>
        <v>0</v>
      </c>
      <c r="K64" s="867">
        <f>(Unitflowchart!$S$15*(AllocationEnergy!$H$24/100)*Cultivation!AB46)/Unitflowchart!$S$357</f>
        <v>6.4660106284038982E-2</v>
      </c>
      <c r="L64" s="868">
        <f>(K64/K$354)*100</f>
        <v>3.559577814307993</v>
      </c>
      <c r="M64" s="1304">
        <f>(Unitflowchart!$S$15*(AllocationEnergy!$H$24/100)*Cultivation!AC46)/Unitflowchart!$S$357</f>
        <v>0</v>
      </c>
      <c r="N64" s="870">
        <f>E64+(GlobalWarmingPotentials!$B$11*H64)+(GlobalWarmingPotentials!$C$11*K64)</f>
        <v>259.65011756505282</v>
      </c>
      <c r="O64" s="868">
        <f>(N64/N$354)*100</f>
        <v>14.628269779530717</v>
      </c>
      <c r="P64" s="895">
        <f>SQRT((G64^2)+((GlobalWarmingPotentials!$B$11*J64)^2)+((GlobalWarmingPotentials!$C$11*M64)^2))</f>
        <v>0</v>
      </c>
    </row>
    <row r="65" spans="1:16" s="42" customFormat="1" x14ac:dyDescent="0.25">
      <c r="A65" s="852"/>
      <c r="B65" s="713"/>
      <c r="C65" s="863"/>
      <c r="D65" s="719"/>
      <c r="E65" s="713"/>
      <c r="F65" s="863"/>
      <c r="G65" s="719"/>
      <c r="H65" s="713"/>
      <c r="I65" s="863"/>
      <c r="J65" s="719"/>
      <c r="K65" s="713"/>
      <c r="L65" s="863"/>
      <c r="M65" s="719"/>
      <c r="N65" s="713"/>
      <c r="O65" s="863"/>
      <c r="P65" s="738"/>
    </row>
    <row r="66" spans="1:16" x14ac:dyDescent="0.25">
      <c r="A66" s="894" t="str">
        <f>Cultivation!A48</f>
        <v>Machinery:</v>
      </c>
      <c r="B66" s="713"/>
      <c r="C66" s="863"/>
      <c r="D66" s="719"/>
      <c r="E66" s="713"/>
      <c r="F66" s="863"/>
      <c r="G66" s="719"/>
      <c r="H66" s="713"/>
      <c r="I66" s="863"/>
      <c r="J66" s="719"/>
      <c r="K66" s="713"/>
      <c r="L66" s="863"/>
      <c r="M66" s="719"/>
      <c r="N66" s="713"/>
      <c r="O66" s="863"/>
      <c r="P66" s="738"/>
    </row>
    <row r="67" spans="1:16" x14ac:dyDescent="0.25">
      <c r="A67" s="894" t="str">
        <f>Cultivation!A49</f>
        <v xml:space="preserve"> - sub soiling</v>
      </c>
      <c r="B67" s="867">
        <f>(Unitflowchart!$S$15*(AllocationEnergy!$H$24/100)*Cultivation!J49)/Unitflowchart!$S$357</f>
        <v>0</v>
      </c>
      <c r="C67" s="868">
        <f t="shared" ref="C67:C74" si="4">(B67/B$354)*100</f>
        <v>0</v>
      </c>
      <c r="D67" s="1304">
        <f>(Unitflowchart!$S$15*(AllocationEnergy!$H$24/100)*Cultivation!K49)/Unitflowchart!$S$357</f>
        <v>0</v>
      </c>
      <c r="E67" s="867">
        <f>(Unitflowchart!$S$15*(AllocationEnergy!$H$24/100)*Cultivation!P49)/Unitflowchart!$S$357</f>
        <v>0</v>
      </c>
      <c r="F67" s="868">
        <f t="shared" ref="F67:F74" si="5">(E67/E$354)*100</f>
        <v>0</v>
      </c>
      <c r="G67" s="1304">
        <f>(Unitflowchart!$S$15*(AllocationEnergy!$H$24/100)*Cultivation!Q49)/Unitflowchart!$S$357</f>
        <v>0</v>
      </c>
      <c r="H67" s="867">
        <f>(Unitflowchart!$S$15*(AllocationEnergy!$H$24/100)*Cultivation!V49)/Unitflowchart!$S$357</f>
        <v>0</v>
      </c>
      <c r="I67" s="868">
        <f t="shared" ref="I67:I74" si="6">(H67/H$354)*100</f>
        <v>0</v>
      </c>
      <c r="J67" s="1304">
        <f>(Unitflowchart!$S$15*(AllocationEnergy!$H$24/100)*Cultivation!W49)/Unitflowchart!$S$357</f>
        <v>0</v>
      </c>
      <c r="K67" s="867">
        <f>(Unitflowchart!$S$15*(AllocationEnergy!$H$24/100)*Cultivation!AB49)/Unitflowchart!$S$357</f>
        <v>0</v>
      </c>
      <c r="L67" s="868">
        <f t="shared" ref="L67:L74" si="7">(K67/K$354)*100</f>
        <v>0</v>
      </c>
      <c r="M67" s="1304">
        <f>(Unitflowchart!$S$15*(AllocationEnergy!$H$24/100)*Cultivation!AC49)/Unitflowchart!$S$357</f>
        <v>0</v>
      </c>
      <c r="N67" s="870">
        <f>E67+(GlobalWarmingPotentials!$B$11*H67)+(GlobalWarmingPotentials!$C$11*K67)</f>
        <v>0</v>
      </c>
      <c r="O67" s="868">
        <f t="shared" ref="O67:O74" si="8">(N67/N$354)*100</f>
        <v>0</v>
      </c>
      <c r="P67" s="895">
        <f>SQRT((G67^2)+((GlobalWarmingPotentials!$B$11*J67)^2)+((GlobalWarmingPotentials!$C$11*M67)^2))</f>
        <v>0</v>
      </c>
    </row>
    <row r="68" spans="1:16" x14ac:dyDescent="0.25">
      <c r="A68" s="894" t="str">
        <f>Cultivation!A50</f>
        <v xml:space="preserve"> - ploughing</v>
      </c>
      <c r="B68" s="867">
        <f>(Unitflowchart!$S$15*(AllocationEnergy!$H$24/100)*Cultivation!J50)/Unitflowchart!$S$357</f>
        <v>0</v>
      </c>
      <c r="C68" s="868">
        <f t="shared" si="4"/>
        <v>0</v>
      </c>
      <c r="D68" s="1304">
        <f>(Unitflowchart!$S$15*(AllocationEnergy!$H$24/100)*Cultivation!K50)/Unitflowchart!$S$357</f>
        <v>0</v>
      </c>
      <c r="E68" s="867">
        <f>(Unitflowchart!$S$15*(AllocationEnergy!$H$24/100)*Cultivation!P50)/Unitflowchart!$S$357</f>
        <v>0</v>
      </c>
      <c r="F68" s="868">
        <f t="shared" si="5"/>
        <v>0</v>
      </c>
      <c r="G68" s="1304">
        <f>(Unitflowchart!$S$15*(AllocationEnergy!$H$24/100)*Cultivation!Q50)/Unitflowchart!$S$357</f>
        <v>0</v>
      </c>
      <c r="H68" s="867">
        <f>(Unitflowchart!$S$15*(AllocationEnergy!$H$24/100)*Cultivation!V50)/Unitflowchart!$S$357</f>
        <v>0</v>
      </c>
      <c r="I68" s="868">
        <f t="shared" si="6"/>
        <v>0</v>
      </c>
      <c r="J68" s="1304">
        <f>(Unitflowchart!$S$15*(AllocationEnergy!$H$24/100)*Cultivation!W50)/Unitflowchart!$S$357</f>
        <v>0</v>
      </c>
      <c r="K68" s="867">
        <f>(Unitflowchart!$S$15*(AllocationEnergy!$H$24/100)*Cultivation!AB50)/Unitflowchart!$S$357</f>
        <v>0</v>
      </c>
      <c r="L68" s="868">
        <f t="shared" si="7"/>
        <v>0</v>
      </c>
      <c r="M68" s="1304">
        <f>(Unitflowchart!$S$15*(AllocationEnergy!$H$24/100)*Cultivation!AC50)/Unitflowchart!$S$357</f>
        <v>0</v>
      </c>
      <c r="N68" s="870">
        <f>E68+(GlobalWarmingPotentials!$B$11*H68)+(GlobalWarmingPotentials!$C$11*K68)</f>
        <v>0</v>
      </c>
      <c r="O68" s="868">
        <f t="shared" si="8"/>
        <v>0</v>
      </c>
      <c r="P68" s="895">
        <f>SQRT((G68^2)+((GlobalWarmingPotentials!$B$11*J68)^2)+((GlobalWarmingPotentials!$C$11*M68)^2))</f>
        <v>0</v>
      </c>
    </row>
    <row r="69" spans="1:16" x14ac:dyDescent="0.25">
      <c r="A69" s="894" t="str">
        <f>Cultivation!A51</f>
        <v xml:space="preserve"> - harrowing (with power harrow)</v>
      </c>
      <c r="B69" s="867">
        <f>(Unitflowchart!$S$15*(AllocationEnergy!$H$24/100)*Cultivation!J51)/Unitflowchart!$S$357</f>
        <v>0</v>
      </c>
      <c r="C69" s="868">
        <f t="shared" si="4"/>
        <v>0</v>
      </c>
      <c r="D69" s="1304">
        <f>(Unitflowchart!$S$15*(AllocationEnergy!$H$24/100)*Cultivation!K51)/Unitflowchart!$S$357</f>
        <v>0</v>
      </c>
      <c r="E69" s="867">
        <f>(Unitflowchart!$S$15*(AllocationEnergy!$H$24/100)*Cultivation!P51)/Unitflowchart!$S$357</f>
        <v>0</v>
      </c>
      <c r="F69" s="868">
        <f t="shared" si="5"/>
        <v>0</v>
      </c>
      <c r="G69" s="1304">
        <f>(Unitflowchart!$S$15*(AllocationEnergy!$H$24/100)*Cultivation!Q51)/Unitflowchart!$S$357</f>
        <v>0</v>
      </c>
      <c r="H69" s="867">
        <f>(Unitflowchart!$S$15*(AllocationEnergy!$H$24/100)*Cultivation!V51)/Unitflowchart!$S$357</f>
        <v>0</v>
      </c>
      <c r="I69" s="868">
        <f t="shared" si="6"/>
        <v>0</v>
      </c>
      <c r="J69" s="1304">
        <f>(Unitflowchart!$S$15*(AllocationEnergy!$H$24/100)*Cultivation!W51)/Unitflowchart!$S$357</f>
        <v>0</v>
      </c>
      <c r="K69" s="867">
        <f>(Unitflowchart!$S$15*(AllocationEnergy!$H$24/100)*Cultivation!AB51)/Unitflowchart!$S$357</f>
        <v>0</v>
      </c>
      <c r="L69" s="868">
        <f t="shared" si="7"/>
        <v>0</v>
      </c>
      <c r="M69" s="1304">
        <f>(Unitflowchart!$S$15*(AllocationEnergy!$H$24/100)*Cultivation!AC51)/Unitflowchart!$S$357</f>
        <v>0</v>
      </c>
      <c r="N69" s="870">
        <f>E69+(GlobalWarmingPotentials!$B$11*H69)+(GlobalWarmingPotentials!$C$11*K69)</f>
        <v>0</v>
      </c>
      <c r="O69" s="868">
        <f t="shared" si="8"/>
        <v>0</v>
      </c>
      <c r="P69" s="895">
        <f>SQRT((G69^2)+((GlobalWarmingPotentials!$B$11*J69)^2)+((GlobalWarmingPotentials!$C$11*M69)^2))</f>
        <v>0</v>
      </c>
    </row>
    <row r="70" spans="1:16" x14ac:dyDescent="0.25">
      <c r="A70" s="894" t="str">
        <f>Cultivation!A52</f>
        <v xml:space="preserve"> - drilling (with power harrow)</v>
      </c>
      <c r="B70" s="867">
        <f>(Unitflowchart!$S$15*(AllocationEnergy!$H$24/100)*Cultivation!J52)/Unitflowchart!$S$357</f>
        <v>0</v>
      </c>
      <c r="C70" s="868">
        <f t="shared" si="4"/>
        <v>0</v>
      </c>
      <c r="D70" s="1304">
        <f>(Unitflowchart!$S$15*(AllocationEnergy!$H$24/100)*Cultivation!K52)/Unitflowchart!$S$357</f>
        <v>0</v>
      </c>
      <c r="E70" s="867">
        <f>(Unitflowchart!$S$15*(AllocationEnergy!$H$24/100)*Cultivation!P52)/Unitflowchart!$S$357</f>
        <v>0</v>
      </c>
      <c r="F70" s="868">
        <f t="shared" si="5"/>
        <v>0</v>
      </c>
      <c r="G70" s="1304">
        <f>(Unitflowchart!$S$15*(AllocationEnergy!$H$24/100)*Cultivation!Q52)/Unitflowchart!$S$357</f>
        <v>0</v>
      </c>
      <c r="H70" s="867">
        <f>(Unitflowchart!$S$15*(AllocationEnergy!$H$24/100)*Cultivation!V52)/Unitflowchart!$S$357</f>
        <v>0</v>
      </c>
      <c r="I70" s="868">
        <f t="shared" si="6"/>
        <v>0</v>
      </c>
      <c r="J70" s="1304">
        <f>(Unitflowchart!$S$15*(AllocationEnergy!$H$24/100)*Cultivation!W52)/Unitflowchart!$S$357</f>
        <v>0</v>
      </c>
      <c r="K70" s="867">
        <f>(Unitflowchart!$S$15*(AllocationEnergy!$H$24/100)*Cultivation!AB52)/Unitflowchart!$S$357</f>
        <v>0</v>
      </c>
      <c r="L70" s="868">
        <f t="shared" si="7"/>
        <v>0</v>
      </c>
      <c r="M70" s="1304">
        <f>(Unitflowchart!$S$15*(AllocationEnergy!$H$24/100)*Cultivation!AC52)/Unitflowchart!$S$357</f>
        <v>0</v>
      </c>
      <c r="N70" s="870">
        <f>E70+(GlobalWarmingPotentials!$B$11*H70)+(GlobalWarmingPotentials!$C$11*K70)</f>
        <v>0</v>
      </c>
      <c r="O70" s="868">
        <f t="shared" si="8"/>
        <v>0</v>
      </c>
      <c r="P70" s="895">
        <f>SQRT((G70^2)+((GlobalWarmingPotentials!$B$11*J70)^2)+((GlobalWarmingPotentials!$C$11*M70)^2))</f>
        <v>0</v>
      </c>
    </row>
    <row r="71" spans="1:16" x14ac:dyDescent="0.25">
      <c r="A71" s="894" t="str">
        <f>Cultivation!A53</f>
        <v xml:space="preserve"> - FYM application</v>
      </c>
      <c r="B71" s="867">
        <f>(Unitflowchart!$S$15*(AllocationEnergy!$H$24/100)*Cultivation!J53)/Unitflowchart!$S$357</f>
        <v>0</v>
      </c>
      <c r="C71" s="868">
        <f t="shared" si="4"/>
        <v>0</v>
      </c>
      <c r="D71" s="1304">
        <f>(Unitflowchart!$S$15*(AllocationEnergy!$H$24/100)*Cultivation!K53)/Unitflowchart!$S$357</f>
        <v>0</v>
      </c>
      <c r="E71" s="867">
        <f>(Unitflowchart!$S$15*(AllocationEnergy!$H$24/100)*Cultivation!P53)/Unitflowchart!$S$357</f>
        <v>0</v>
      </c>
      <c r="F71" s="868">
        <f t="shared" si="5"/>
        <v>0</v>
      </c>
      <c r="G71" s="1304">
        <f>(Unitflowchart!$S$15*(AllocationEnergy!$H$24/100)*Cultivation!Q53)/Unitflowchart!$S$357</f>
        <v>0</v>
      </c>
      <c r="H71" s="867">
        <f>(Unitflowchart!$S$15*(AllocationEnergy!$H$24/100)*Cultivation!V53)/Unitflowchart!$S$357</f>
        <v>0</v>
      </c>
      <c r="I71" s="868">
        <f t="shared" si="6"/>
        <v>0</v>
      </c>
      <c r="J71" s="1304">
        <f>(Unitflowchart!$S$15*(AllocationEnergy!$H$24/100)*Cultivation!W53)/Unitflowchart!$S$357</f>
        <v>0</v>
      </c>
      <c r="K71" s="867">
        <f>(Unitflowchart!$S$15*(AllocationEnergy!$H$24/100)*Cultivation!AB53)/Unitflowchart!$S$357</f>
        <v>0</v>
      </c>
      <c r="L71" s="868">
        <f t="shared" si="7"/>
        <v>0</v>
      </c>
      <c r="M71" s="1304">
        <f>(Unitflowchart!$S$15*(AllocationEnergy!$H$24/100)*Cultivation!AC53)/Unitflowchart!$S$357</f>
        <v>0</v>
      </c>
      <c r="N71" s="870">
        <f>E71+(GlobalWarmingPotentials!$B$11*H71)+(GlobalWarmingPotentials!$C$11*K71)</f>
        <v>0</v>
      </c>
      <c r="O71" s="868">
        <f t="shared" si="8"/>
        <v>0</v>
      </c>
      <c r="P71" s="895">
        <f>SQRT((G71^2)+((GlobalWarmingPotentials!$B$11*J71)^2)+((GlobalWarmingPotentials!$C$11*M71)^2))</f>
        <v>0</v>
      </c>
    </row>
    <row r="72" spans="1:16" s="42" customFormat="1" x14ac:dyDescent="0.25">
      <c r="A72" s="894" t="str">
        <f>Cultivation!A54</f>
        <v xml:space="preserve"> - fertiliser application</v>
      </c>
      <c r="B72" s="867">
        <f>(Unitflowchart!$S$15*(AllocationEnergy!$H$24/100)*Cultivation!J54)/Unitflowchart!$S$357</f>
        <v>0</v>
      </c>
      <c r="C72" s="868">
        <f t="shared" si="4"/>
        <v>0</v>
      </c>
      <c r="D72" s="1304">
        <f>(Unitflowchart!$S$15*(AllocationEnergy!$H$24/100)*Cultivation!K54)/Unitflowchart!$S$357</f>
        <v>0</v>
      </c>
      <c r="E72" s="867">
        <f>(Unitflowchart!$S$15*(AllocationEnergy!$H$24/100)*Cultivation!P54)/Unitflowchart!$S$357</f>
        <v>0</v>
      </c>
      <c r="F72" s="868">
        <f t="shared" si="5"/>
        <v>0</v>
      </c>
      <c r="G72" s="1304">
        <f>(Unitflowchart!$S$15*(AllocationEnergy!$H$24/100)*Cultivation!Q54)/Unitflowchart!$S$357</f>
        <v>0</v>
      </c>
      <c r="H72" s="867">
        <f>(Unitflowchart!$S$15*(AllocationEnergy!$H$24/100)*Cultivation!V54)/Unitflowchart!$S$357</f>
        <v>0</v>
      </c>
      <c r="I72" s="868">
        <f t="shared" si="6"/>
        <v>0</v>
      </c>
      <c r="J72" s="1304">
        <f>(Unitflowchart!$S$15*(AllocationEnergy!$H$24/100)*Cultivation!W54)/Unitflowchart!$S$357</f>
        <v>0</v>
      </c>
      <c r="K72" s="867">
        <f>(Unitflowchart!$S$15*(AllocationEnergy!$H$24/100)*Cultivation!AB54)/Unitflowchart!$S$357</f>
        <v>0</v>
      </c>
      <c r="L72" s="868">
        <f t="shared" si="7"/>
        <v>0</v>
      </c>
      <c r="M72" s="1304">
        <f>(Unitflowchart!$S$15*(AllocationEnergy!$H$24/100)*Cultivation!AC54)/Unitflowchart!$S$357</f>
        <v>0</v>
      </c>
      <c r="N72" s="870">
        <f>E72+(GlobalWarmingPotentials!$B$11*H72)+(GlobalWarmingPotentials!$C$11*K72)</f>
        <v>0</v>
      </c>
      <c r="O72" s="868">
        <f t="shared" si="8"/>
        <v>0</v>
      </c>
      <c r="P72" s="895">
        <f>SQRT((G72^2)+((GlobalWarmingPotentials!$B$11*J72)^2)+((GlobalWarmingPotentials!$C$11*M72)^2))</f>
        <v>0</v>
      </c>
    </row>
    <row r="73" spans="1:16" x14ac:dyDescent="0.25">
      <c r="A73" s="894" t="str">
        <f>Cultivation!A55</f>
        <v xml:space="preserve"> - applying pesticides, herbicides and fungicides</v>
      </c>
      <c r="B73" s="867">
        <f>(Unitflowchart!$S$15*(AllocationEnergy!$H$24/100)*Cultivation!J55)/Unitflowchart!$S$357</f>
        <v>0</v>
      </c>
      <c r="C73" s="868">
        <f t="shared" si="4"/>
        <v>0</v>
      </c>
      <c r="D73" s="1304">
        <f>(Unitflowchart!$S$15*(AllocationEnergy!$H$24/100)*Cultivation!K55)/Unitflowchart!$S$357</f>
        <v>0</v>
      </c>
      <c r="E73" s="867">
        <f>(Unitflowchart!$S$15*(AllocationEnergy!$H$24/100)*Cultivation!P55)/Unitflowchart!$S$357</f>
        <v>0</v>
      </c>
      <c r="F73" s="868">
        <f t="shared" si="5"/>
        <v>0</v>
      </c>
      <c r="G73" s="1304">
        <f>(Unitflowchart!$S$15*(AllocationEnergy!$H$24/100)*Cultivation!Q55)/Unitflowchart!$S$357</f>
        <v>0</v>
      </c>
      <c r="H73" s="867">
        <f>(Unitflowchart!$S$15*(AllocationEnergy!$H$24/100)*Cultivation!V55)/Unitflowchart!$S$357</f>
        <v>0</v>
      </c>
      <c r="I73" s="868">
        <f t="shared" si="6"/>
        <v>0</v>
      </c>
      <c r="J73" s="1304">
        <f>(Unitflowchart!$S$15*(AllocationEnergy!$H$24/100)*Cultivation!W55)/Unitflowchart!$S$357</f>
        <v>0</v>
      </c>
      <c r="K73" s="867">
        <f>(Unitflowchart!$S$15*(AllocationEnergy!$H$24/100)*Cultivation!AB55)/Unitflowchart!$S$357</f>
        <v>0</v>
      </c>
      <c r="L73" s="868">
        <f t="shared" si="7"/>
        <v>0</v>
      </c>
      <c r="M73" s="1304">
        <f>(Unitflowchart!$S$15*(AllocationEnergy!$H$24/100)*Cultivation!AC55)/Unitflowchart!$S$357</f>
        <v>0</v>
      </c>
      <c r="N73" s="870">
        <f>E73+(GlobalWarmingPotentials!$B$11*H73)+(GlobalWarmingPotentials!$C$11*K73)</f>
        <v>0</v>
      </c>
      <c r="O73" s="868">
        <f t="shared" si="8"/>
        <v>0</v>
      </c>
      <c r="P73" s="895">
        <f>SQRT((G73^2)+((GlobalWarmingPotentials!$B$11*J73)^2)+((GlobalWarmingPotentials!$C$11*M73)^2))</f>
        <v>0</v>
      </c>
    </row>
    <row r="74" spans="1:16" s="42" customFormat="1" x14ac:dyDescent="0.25">
      <c r="A74" s="894" t="str">
        <f>Cultivation!A56</f>
        <v xml:space="preserve"> - maize harvesting </v>
      </c>
      <c r="B74" s="867">
        <f>(Unitflowchart!$S$15*(AllocationEnergy!$H$24/100)*Cultivation!J56)/Unitflowchart!$S$357</f>
        <v>0</v>
      </c>
      <c r="C74" s="868">
        <f t="shared" si="4"/>
        <v>0</v>
      </c>
      <c r="D74" s="1304">
        <f>(Unitflowchart!$S$15*(AllocationEnergy!$H$24/100)*Cultivation!K56)/Unitflowchart!$S$357</f>
        <v>0</v>
      </c>
      <c r="E74" s="867">
        <f>(Unitflowchart!$S$15*(AllocationEnergy!$H$24/100)*Cultivation!P56)/Unitflowchart!$S$357</f>
        <v>0</v>
      </c>
      <c r="F74" s="868">
        <f t="shared" si="5"/>
        <v>0</v>
      </c>
      <c r="G74" s="1304">
        <f>(Unitflowchart!$S$15*(AllocationEnergy!$H$24/100)*Cultivation!Q56)/Unitflowchart!$S$357</f>
        <v>0</v>
      </c>
      <c r="H74" s="867">
        <f>(Unitflowchart!$S$15*(AllocationEnergy!$H$24/100)*Cultivation!V56)/Unitflowchart!$S$357</f>
        <v>0</v>
      </c>
      <c r="I74" s="868">
        <f t="shared" si="6"/>
        <v>0</v>
      </c>
      <c r="J74" s="1304">
        <f>(Unitflowchart!$S$15*(AllocationEnergy!$H$24/100)*Cultivation!W56)/Unitflowchart!$S$357</f>
        <v>0</v>
      </c>
      <c r="K74" s="867">
        <f>(Unitflowchart!$S$15*(AllocationEnergy!$H$24/100)*Cultivation!AB56)/Unitflowchart!$S$357</f>
        <v>0</v>
      </c>
      <c r="L74" s="868">
        <f t="shared" si="7"/>
        <v>0</v>
      </c>
      <c r="M74" s="1304">
        <f>(Unitflowchart!$S$15*(AllocationEnergy!$H$24/100)*Cultivation!AC56)/Unitflowchart!$S$357</f>
        <v>0</v>
      </c>
      <c r="N74" s="870">
        <f>E74+(GlobalWarmingPotentials!$B$11*H74)+(GlobalWarmingPotentials!$C$11*K74)</f>
        <v>0</v>
      </c>
      <c r="O74" s="868">
        <f t="shared" si="8"/>
        <v>0</v>
      </c>
      <c r="P74" s="895">
        <f>SQRT((G74^2)+((GlobalWarmingPotentials!$B$11*J74)^2)+((GlobalWarmingPotentials!$C$11*M74)^2))</f>
        <v>0</v>
      </c>
    </row>
    <row r="75" spans="1:16" s="42" customFormat="1" x14ac:dyDescent="0.25">
      <c r="A75" s="852"/>
      <c r="B75" s="1305"/>
      <c r="C75" s="1306"/>
      <c r="D75" s="1307"/>
      <c r="E75" s="1305"/>
      <c r="F75" s="1306"/>
      <c r="G75" s="1307"/>
      <c r="H75" s="1305"/>
      <c r="I75" s="1306"/>
      <c r="J75" s="1307"/>
      <c r="K75" s="1305"/>
      <c r="L75" s="1306"/>
      <c r="M75" s="1307"/>
      <c r="N75" s="1305"/>
      <c r="O75" s="1306"/>
      <c r="P75" s="1308"/>
    </row>
    <row r="76" spans="1:16" x14ac:dyDescent="0.25">
      <c r="A76" s="122" t="str">
        <f>Cultivation!A58</f>
        <v>Sub-Totals for Machinery</v>
      </c>
      <c r="B76" s="867">
        <f>(Unitflowchart!$S$15*(AllocationEnergy!$H$24/100)*Cultivation!J58)/Unitflowchart!$S$357</f>
        <v>0</v>
      </c>
      <c r="C76" s="868">
        <f>(B76/B$354)*100</f>
        <v>0</v>
      </c>
      <c r="D76" s="1304">
        <f>(Unitflowchart!$S$15*(AllocationEnergy!$H$24/100)*Cultivation!K58)/Unitflowchart!$S$357</f>
        <v>0</v>
      </c>
      <c r="E76" s="867">
        <f>(Unitflowchart!$S$15*(AllocationEnergy!$H$24/100)*Cultivation!P58)/Unitflowchart!$S$357</f>
        <v>0</v>
      </c>
      <c r="F76" s="868">
        <f>(E76/E$354)*100</f>
        <v>0</v>
      </c>
      <c r="G76" s="1304">
        <f>(Unitflowchart!$S$15*(AllocationEnergy!$H$24/100)*Cultivation!Q58)/Unitflowchart!$S$357</f>
        <v>0</v>
      </c>
      <c r="H76" s="867">
        <f>(Unitflowchart!$S$15*(AllocationEnergy!$H$24/100)*Cultivation!V58)/Unitflowchart!$S$357</f>
        <v>0</v>
      </c>
      <c r="I76" s="868">
        <f>(H76/H$354)*100</f>
        <v>0</v>
      </c>
      <c r="J76" s="1304">
        <f>(Unitflowchart!$S$15*(AllocationEnergy!$H$24/100)*Cultivation!W58)/Unitflowchart!$S$357</f>
        <v>0</v>
      </c>
      <c r="K76" s="867">
        <f>(Unitflowchart!$S$15*(AllocationEnergy!$H$24/100)*Cultivation!AB58)/Unitflowchart!$S$357</f>
        <v>0</v>
      </c>
      <c r="L76" s="868">
        <f>(K76/K$354)*100</f>
        <v>0</v>
      </c>
      <c r="M76" s="1304">
        <f>(Unitflowchart!$S$15*(AllocationEnergy!$H$24/100)*Cultivation!AC58)/Unitflowchart!$S$357</f>
        <v>0</v>
      </c>
      <c r="N76" s="870">
        <f>E76+(GlobalWarmingPotentials!$B$11*H76)+(GlobalWarmingPotentials!$C$11*K76)</f>
        <v>0</v>
      </c>
      <c r="O76" s="868">
        <f>(N76/N$354)*100</f>
        <v>0</v>
      </c>
      <c r="P76" s="895">
        <f>SQRT((G76^2)+((GlobalWarmingPotentials!$B$11*J76)^2)+((GlobalWarmingPotentials!$C$11*M76)^2))</f>
        <v>0</v>
      </c>
    </row>
    <row r="77" spans="1:16" s="42" customFormat="1" x14ac:dyDescent="0.25">
      <c r="A77" s="852"/>
      <c r="B77" s="713"/>
      <c r="C77" s="863"/>
      <c r="D77" s="719"/>
      <c r="E77" s="713"/>
      <c r="F77" s="863"/>
      <c r="G77" s="719"/>
      <c r="H77" s="713"/>
      <c r="I77" s="863"/>
      <c r="J77" s="719"/>
      <c r="K77" s="713"/>
      <c r="L77" s="863"/>
      <c r="M77" s="719"/>
      <c r="N77" s="713"/>
      <c r="O77" s="863"/>
      <c r="P77" s="738"/>
    </row>
    <row r="78" spans="1:16" x14ac:dyDescent="0.25">
      <c r="A78" s="894" t="str">
        <f>Cultivation!A60</f>
        <v>Maintenance:</v>
      </c>
      <c r="B78" s="713"/>
      <c r="C78" s="863"/>
      <c r="D78" s="719"/>
      <c r="E78" s="713"/>
      <c r="F78" s="863"/>
      <c r="G78" s="719"/>
      <c r="H78" s="713"/>
      <c r="I78" s="863"/>
      <c r="J78" s="719"/>
      <c r="K78" s="713"/>
      <c r="L78" s="863"/>
      <c r="M78" s="719"/>
      <c r="N78" s="713"/>
      <c r="O78" s="863"/>
      <c r="P78" s="738"/>
    </row>
    <row r="79" spans="1:16" x14ac:dyDescent="0.25">
      <c r="A79" s="894" t="str">
        <f>Cultivation!A61</f>
        <v xml:space="preserve"> - sub soiling</v>
      </c>
      <c r="B79" s="867">
        <f>(Unitflowchart!$S$15*(AllocationEnergy!$H$24/100)*Cultivation!J61)/Unitflowchart!$S$357</f>
        <v>0</v>
      </c>
      <c r="C79" s="868">
        <f t="shared" ref="C79:C86" si="9">(B79/B$354)*100</f>
        <v>0</v>
      </c>
      <c r="D79" s="1304">
        <f>(Unitflowchart!$S$15*(AllocationEnergy!$H$24/100)*Cultivation!K61)/Unitflowchart!$S$357</f>
        <v>0</v>
      </c>
      <c r="E79" s="867">
        <f>(Unitflowchart!$S$15*(AllocationEnergy!$H$24/100)*Cultivation!P61)/Unitflowchart!$S$357</f>
        <v>0</v>
      </c>
      <c r="F79" s="868">
        <f t="shared" ref="F79:F86" si="10">(E79/E$354)*100</f>
        <v>0</v>
      </c>
      <c r="G79" s="1304">
        <f>(Unitflowchart!$S$15*(AllocationEnergy!$H$24/100)*Cultivation!Q61)/Unitflowchart!$S$357</f>
        <v>0</v>
      </c>
      <c r="H79" s="867">
        <f>(Unitflowchart!$S$15*(AllocationEnergy!$H$24/100)*Cultivation!V61)/Unitflowchart!$S$357</f>
        <v>0</v>
      </c>
      <c r="I79" s="868">
        <f t="shared" ref="I79:I86" si="11">(H79/H$354)*100</f>
        <v>0</v>
      </c>
      <c r="J79" s="1304">
        <f>(Unitflowchart!$S$15*(AllocationEnergy!$H$24/100)*Cultivation!W61)/Unitflowchart!$S$357</f>
        <v>0</v>
      </c>
      <c r="K79" s="867">
        <f>(Unitflowchart!$S$15*(AllocationEnergy!$H$24/100)*Cultivation!AB61)/Unitflowchart!$S$357</f>
        <v>0</v>
      </c>
      <c r="L79" s="868">
        <f t="shared" ref="L79:L86" si="12">(K79/K$354)*100</f>
        <v>0</v>
      </c>
      <c r="M79" s="1304">
        <f>(Unitflowchart!$S$15*(AllocationEnergy!$H$24/100)*Cultivation!AC61)/Unitflowchart!$S$357</f>
        <v>0</v>
      </c>
      <c r="N79" s="870">
        <f>E79+(GlobalWarmingPotentials!$B$11*H79)+(GlobalWarmingPotentials!$C$11*K79)</f>
        <v>0</v>
      </c>
      <c r="O79" s="868">
        <f t="shared" ref="O79:O86" si="13">(N79/N$354)*100</f>
        <v>0</v>
      </c>
      <c r="P79" s="895">
        <f>SQRT((G79^2)+((GlobalWarmingPotentials!$B$11*J79)^2)+((GlobalWarmingPotentials!$C$11*M79)^2))</f>
        <v>0</v>
      </c>
    </row>
    <row r="80" spans="1:16" x14ac:dyDescent="0.25">
      <c r="A80" s="894" t="str">
        <f>Cultivation!A62</f>
        <v xml:space="preserve"> - ploughing</v>
      </c>
      <c r="B80" s="867">
        <f>(Unitflowchart!$S$15*(AllocationEnergy!$H$24/100)*Cultivation!J62)/Unitflowchart!$S$357</f>
        <v>0</v>
      </c>
      <c r="C80" s="868">
        <f t="shared" si="9"/>
        <v>0</v>
      </c>
      <c r="D80" s="1304">
        <f>(Unitflowchart!$S$15*(AllocationEnergy!$H$24/100)*Cultivation!K62)/Unitflowchart!$S$357</f>
        <v>0</v>
      </c>
      <c r="E80" s="867">
        <f>(Unitflowchart!$S$15*(AllocationEnergy!$H$24/100)*Cultivation!P62)/Unitflowchart!$S$357</f>
        <v>0</v>
      </c>
      <c r="F80" s="868">
        <f t="shared" si="10"/>
        <v>0</v>
      </c>
      <c r="G80" s="1304">
        <f>(Unitflowchart!$S$15*(AllocationEnergy!$H$24/100)*Cultivation!Q62)/Unitflowchart!$S$357</f>
        <v>0</v>
      </c>
      <c r="H80" s="867">
        <f>(Unitflowchart!$S$15*(AllocationEnergy!$H$24/100)*Cultivation!V62)/Unitflowchart!$S$357</f>
        <v>0</v>
      </c>
      <c r="I80" s="868">
        <f t="shared" si="11"/>
        <v>0</v>
      </c>
      <c r="J80" s="1304">
        <f>(Unitflowchart!$S$15*(AllocationEnergy!$H$24/100)*Cultivation!W62)/Unitflowchart!$S$357</f>
        <v>0</v>
      </c>
      <c r="K80" s="867">
        <f>(Unitflowchart!$S$15*(AllocationEnergy!$H$24/100)*Cultivation!AB62)/Unitflowchart!$S$357</f>
        <v>0</v>
      </c>
      <c r="L80" s="868">
        <f t="shared" si="12"/>
        <v>0</v>
      </c>
      <c r="M80" s="1304">
        <f>(Unitflowchart!$S$15*(AllocationEnergy!$H$24/100)*Cultivation!AC62)/Unitflowchart!$S$357</f>
        <v>0</v>
      </c>
      <c r="N80" s="870">
        <f>E80+(GlobalWarmingPotentials!$B$11*H80)+(GlobalWarmingPotentials!$C$11*K80)</f>
        <v>0</v>
      </c>
      <c r="O80" s="868">
        <f t="shared" si="13"/>
        <v>0</v>
      </c>
      <c r="P80" s="895">
        <f>SQRT((G80^2)+((GlobalWarmingPotentials!$B$11*J80)^2)+((GlobalWarmingPotentials!$C$11*M80)^2))</f>
        <v>0</v>
      </c>
    </row>
    <row r="81" spans="1:16" x14ac:dyDescent="0.25">
      <c r="A81" s="894" t="str">
        <f>Cultivation!A63</f>
        <v xml:space="preserve"> - harrowing (with power harrow)</v>
      </c>
      <c r="B81" s="867">
        <f>(Unitflowchart!$S$15*(AllocationEnergy!$H$24/100)*Cultivation!J63)/Unitflowchart!$S$357</f>
        <v>0</v>
      </c>
      <c r="C81" s="868">
        <f t="shared" si="9"/>
        <v>0</v>
      </c>
      <c r="D81" s="1304">
        <f>(Unitflowchart!$S$15*(AllocationEnergy!$H$24/100)*Cultivation!K63)/Unitflowchart!$S$357</f>
        <v>0</v>
      </c>
      <c r="E81" s="867">
        <f>(Unitflowchart!$S$15*(AllocationEnergy!$H$24/100)*Cultivation!P63)/Unitflowchart!$S$357</f>
        <v>0</v>
      </c>
      <c r="F81" s="868">
        <f t="shared" si="10"/>
        <v>0</v>
      </c>
      <c r="G81" s="1304">
        <f>(Unitflowchart!$S$15*(AllocationEnergy!$H$24/100)*Cultivation!Q63)/Unitflowchart!$S$357</f>
        <v>0</v>
      </c>
      <c r="H81" s="867">
        <f>(Unitflowchart!$S$15*(AllocationEnergy!$H$24/100)*Cultivation!V63)/Unitflowchart!$S$357</f>
        <v>0</v>
      </c>
      <c r="I81" s="868">
        <f t="shared" si="11"/>
        <v>0</v>
      </c>
      <c r="J81" s="1304">
        <f>(Unitflowchart!$S$15*(AllocationEnergy!$H$24/100)*Cultivation!W63)/Unitflowchart!$S$357</f>
        <v>0</v>
      </c>
      <c r="K81" s="867">
        <f>(Unitflowchart!$S$15*(AllocationEnergy!$H$24/100)*Cultivation!AB63)/Unitflowchart!$S$357</f>
        <v>0</v>
      </c>
      <c r="L81" s="868">
        <f t="shared" si="12"/>
        <v>0</v>
      </c>
      <c r="M81" s="1304">
        <f>(Unitflowchart!$S$15*(AllocationEnergy!$H$24/100)*Cultivation!AC63)/Unitflowchart!$S$357</f>
        <v>0</v>
      </c>
      <c r="N81" s="870">
        <f>E81+(GlobalWarmingPotentials!$B$11*H81)+(GlobalWarmingPotentials!$C$11*K81)</f>
        <v>0</v>
      </c>
      <c r="O81" s="868">
        <f t="shared" si="13"/>
        <v>0</v>
      </c>
      <c r="P81" s="895">
        <f>SQRT((G81^2)+((GlobalWarmingPotentials!$B$11*J81)^2)+((GlobalWarmingPotentials!$C$11*M81)^2))</f>
        <v>0</v>
      </c>
    </row>
    <row r="82" spans="1:16" x14ac:dyDescent="0.25">
      <c r="A82" s="894" t="str">
        <f>Cultivation!A64</f>
        <v xml:space="preserve"> - drilling (with power harrow)</v>
      </c>
      <c r="B82" s="867">
        <f>(Unitflowchart!$S$15*(AllocationEnergy!$H$24/100)*Cultivation!J64)/Unitflowchart!$S$357</f>
        <v>0</v>
      </c>
      <c r="C82" s="868">
        <f t="shared" si="9"/>
        <v>0</v>
      </c>
      <c r="D82" s="1304">
        <f>(Unitflowchart!$S$15*(AllocationEnergy!$H$24/100)*Cultivation!K64)/Unitflowchart!$S$357</f>
        <v>0</v>
      </c>
      <c r="E82" s="867">
        <f>(Unitflowchart!$S$15*(AllocationEnergy!$H$24/100)*Cultivation!P64)/Unitflowchart!$S$357</f>
        <v>0</v>
      </c>
      <c r="F82" s="868">
        <f t="shared" si="10"/>
        <v>0</v>
      </c>
      <c r="G82" s="1304">
        <f>(Unitflowchart!$S$15*(AllocationEnergy!$H$24/100)*Cultivation!Q64)/Unitflowchart!$S$357</f>
        <v>0</v>
      </c>
      <c r="H82" s="867">
        <f>(Unitflowchart!$S$15*(AllocationEnergy!$H$24/100)*Cultivation!V64)/Unitflowchart!$S$357</f>
        <v>0</v>
      </c>
      <c r="I82" s="868">
        <f t="shared" si="11"/>
        <v>0</v>
      </c>
      <c r="J82" s="1304">
        <f>(Unitflowchart!$S$15*(AllocationEnergy!$H$24/100)*Cultivation!W64)/Unitflowchart!$S$357</f>
        <v>0</v>
      </c>
      <c r="K82" s="867">
        <f>(Unitflowchart!$S$15*(AllocationEnergy!$H$24/100)*Cultivation!AB64)/Unitflowchart!$S$357</f>
        <v>0</v>
      </c>
      <c r="L82" s="868">
        <f t="shared" si="12"/>
        <v>0</v>
      </c>
      <c r="M82" s="1304">
        <f>(Unitflowchart!$S$15*(AllocationEnergy!$H$24/100)*Cultivation!AC64)/Unitflowchart!$S$357</f>
        <v>0</v>
      </c>
      <c r="N82" s="870">
        <f>E82+(GlobalWarmingPotentials!$B$11*H82)+(GlobalWarmingPotentials!$C$11*K82)</f>
        <v>0</v>
      </c>
      <c r="O82" s="868">
        <f t="shared" si="13"/>
        <v>0</v>
      </c>
      <c r="P82" s="895">
        <f>SQRT((G82^2)+((GlobalWarmingPotentials!$B$11*J82)^2)+((GlobalWarmingPotentials!$C$11*M82)^2))</f>
        <v>0</v>
      </c>
    </row>
    <row r="83" spans="1:16" x14ac:dyDescent="0.25">
      <c r="A83" s="894" t="str">
        <f>Cultivation!A65</f>
        <v xml:space="preserve"> - FYM/slurry application</v>
      </c>
      <c r="B83" s="867">
        <f>(Unitflowchart!$S$15*(AllocationEnergy!$H$24/100)*Cultivation!J65)/Unitflowchart!$S$357</f>
        <v>0</v>
      </c>
      <c r="C83" s="868">
        <f t="shared" si="9"/>
        <v>0</v>
      </c>
      <c r="D83" s="1304">
        <f>(Unitflowchart!$S$15*(AllocationEnergy!$H$24/100)*Cultivation!K65)/Unitflowchart!$S$357</f>
        <v>0</v>
      </c>
      <c r="E83" s="867">
        <f>(Unitflowchart!$S$15*(AllocationEnergy!$H$24/100)*Cultivation!P65)/Unitflowchart!$S$357</f>
        <v>0</v>
      </c>
      <c r="F83" s="868">
        <f t="shared" si="10"/>
        <v>0</v>
      </c>
      <c r="G83" s="1304">
        <f>(Unitflowchart!$S$15*(AllocationEnergy!$H$24/100)*Cultivation!Q65)/Unitflowchart!$S$357</f>
        <v>0</v>
      </c>
      <c r="H83" s="867">
        <f>(Unitflowchart!$S$15*(AllocationEnergy!$H$24/100)*Cultivation!V65)/Unitflowchart!$S$357</f>
        <v>0</v>
      </c>
      <c r="I83" s="868">
        <f t="shared" si="11"/>
        <v>0</v>
      </c>
      <c r="J83" s="1304">
        <f>(Unitflowchart!$S$15*(AllocationEnergy!$H$24/100)*Cultivation!W65)/Unitflowchart!$S$357</f>
        <v>0</v>
      </c>
      <c r="K83" s="867">
        <f>(Unitflowchart!$S$15*(AllocationEnergy!$H$24/100)*Cultivation!AB65)/Unitflowchart!$S$357</f>
        <v>0</v>
      </c>
      <c r="L83" s="868">
        <f t="shared" si="12"/>
        <v>0</v>
      </c>
      <c r="M83" s="1304">
        <f>(Unitflowchart!$S$15*(AllocationEnergy!$H$24/100)*Cultivation!AC65)/Unitflowchart!$S$357</f>
        <v>0</v>
      </c>
      <c r="N83" s="870">
        <f>E83+(GlobalWarmingPotentials!$B$11*H83)+(GlobalWarmingPotentials!$C$11*K83)</f>
        <v>0</v>
      </c>
      <c r="O83" s="868">
        <f t="shared" si="13"/>
        <v>0</v>
      </c>
      <c r="P83" s="895">
        <f>SQRT((G83^2)+((GlobalWarmingPotentials!$B$11*J83)^2)+((GlobalWarmingPotentials!$C$11*M83)^2))</f>
        <v>0</v>
      </c>
    </row>
    <row r="84" spans="1:16" x14ac:dyDescent="0.25">
      <c r="A84" s="894" t="str">
        <f>Cultivation!A66</f>
        <v xml:space="preserve"> - fertiliser application</v>
      </c>
      <c r="B84" s="867">
        <f>(Unitflowchart!$S$15*(AllocationEnergy!$H$24/100)*Cultivation!J66)/Unitflowchart!$S$357</f>
        <v>0</v>
      </c>
      <c r="C84" s="868">
        <f t="shared" si="9"/>
        <v>0</v>
      </c>
      <c r="D84" s="1304">
        <f>(Unitflowchart!$S$15*(AllocationEnergy!$H$24/100)*Cultivation!K66)/Unitflowchart!$S$357</f>
        <v>0</v>
      </c>
      <c r="E84" s="867">
        <f>(Unitflowchart!$S$15*(AllocationEnergy!$H$24/100)*Cultivation!P66)/Unitflowchart!$S$357</f>
        <v>0</v>
      </c>
      <c r="F84" s="868">
        <f t="shared" si="10"/>
        <v>0</v>
      </c>
      <c r="G84" s="1304">
        <f>(Unitflowchart!$S$15*(AllocationEnergy!$H$24/100)*Cultivation!Q66)/Unitflowchart!$S$357</f>
        <v>0</v>
      </c>
      <c r="H84" s="867">
        <f>(Unitflowchart!$S$15*(AllocationEnergy!$H$24/100)*Cultivation!V66)/Unitflowchart!$S$357</f>
        <v>0</v>
      </c>
      <c r="I84" s="868">
        <f t="shared" si="11"/>
        <v>0</v>
      </c>
      <c r="J84" s="1304">
        <f>(Unitflowchart!$S$15*(AllocationEnergy!$H$24/100)*Cultivation!W66)/Unitflowchart!$S$357</f>
        <v>0</v>
      </c>
      <c r="K84" s="867">
        <f>(Unitflowchart!$S$15*(AllocationEnergy!$H$24/100)*Cultivation!AB66)/Unitflowchart!$S$357</f>
        <v>0</v>
      </c>
      <c r="L84" s="868">
        <f t="shared" si="12"/>
        <v>0</v>
      </c>
      <c r="M84" s="1304">
        <f>(Unitflowchart!$S$15*(AllocationEnergy!$H$24/100)*Cultivation!AC66)/Unitflowchart!$S$357</f>
        <v>0</v>
      </c>
      <c r="N84" s="870">
        <f>E84+(GlobalWarmingPotentials!$B$11*H84)+(GlobalWarmingPotentials!$C$11*K84)</f>
        <v>0</v>
      </c>
      <c r="O84" s="868">
        <f t="shared" si="13"/>
        <v>0</v>
      </c>
      <c r="P84" s="895">
        <f>SQRT((G84^2)+((GlobalWarmingPotentials!$B$11*J84)^2)+((GlobalWarmingPotentials!$C$11*M84)^2))</f>
        <v>0</v>
      </c>
    </row>
    <row r="85" spans="1:16" s="42" customFormat="1" x14ac:dyDescent="0.25">
      <c r="A85" s="894" t="str">
        <f>Cultivation!A67</f>
        <v xml:space="preserve"> - applying pesticides, herbicides and fungicides</v>
      </c>
      <c r="B85" s="867">
        <f>(Unitflowchart!$S$15*(AllocationEnergy!$H$24/100)*Cultivation!J67)/Unitflowchart!$S$357</f>
        <v>0</v>
      </c>
      <c r="C85" s="868">
        <f t="shared" si="9"/>
        <v>0</v>
      </c>
      <c r="D85" s="1304">
        <f>(Unitflowchart!$S$15*(AllocationEnergy!$H$24/100)*Cultivation!K67)/Unitflowchart!$S$357</f>
        <v>0</v>
      </c>
      <c r="E85" s="867">
        <f>(Unitflowchart!$S$15*(AllocationEnergy!$H$24/100)*Cultivation!P67)/Unitflowchart!$S$357</f>
        <v>0</v>
      </c>
      <c r="F85" s="868">
        <f t="shared" si="10"/>
        <v>0</v>
      </c>
      <c r="G85" s="1304">
        <f>(Unitflowchart!$S$15*(AllocationEnergy!$H$24/100)*Cultivation!Q67)/Unitflowchart!$S$357</f>
        <v>0</v>
      </c>
      <c r="H85" s="867">
        <f>(Unitflowchart!$S$15*(AllocationEnergy!$H$24/100)*Cultivation!V67)/Unitflowchart!$S$357</f>
        <v>0</v>
      </c>
      <c r="I85" s="868">
        <f t="shared" si="11"/>
        <v>0</v>
      </c>
      <c r="J85" s="1304">
        <f>(Unitflowchart!$S$15*(AllocationEnergy!$H$24/100)*Cultivation!W67)/Unitflowchart!$S$357</f>
        <v>0</v>
      </c>
      <c r="K85" s="867">
        <f>(Unitflowchart!$S$15*(AllocationEnergy!$H$24/100)*Cultivation!AB67)/Unitflowchart!$S$357</f>
        <v>0</v>
      </c>
      <c r="L85" s="868">
        <f t="shared" si="12"/>
        <v>0</v>
      </c>
      <c r="M85" s="1304">
        <f>(Unitflowchart!$S$15*(AllocationEnergy!$H$24/100)*Cultivation!AC67)/Unitflowchart!$S$357</f>
        <v>0</v>
      </c>
      <c r="N85" s="870">
        <f>E85+(GlobalWarmingPotentials!$B$11*H85)+(GlobalWarmingPotentials!$C$11*K85)</f>
        <v>0</v>
      </c>
      <c r="O85" s="868">
        <f t="shared" si="13"/>
        <v>0</v>
      </c>
      <c r="P85" s="895">
        <f>SQRT((G85^2)+((GlobalWarmingPotentials!$B$11*J85)^2)+((GlobalWarmingPotentials!$C$11*M85)^2))</f>
        <v>0</v>
      </c>
    </row>
    <row r="86" spans="1:16" s="5" customFormat="1" x14ac:dyDescent="0.25">
      <c r="A86" s="894" t="str">
        <f>Cultivation!A68</f>
        <v xml:space="preserve"> - maize harvesting </v>
      </c>
      <c r="B86" s="867">
        <f>(Unitflowchart!$S$15*(AllocationEnergy!$H$24/100)*Cultivation!J68)/Unitflowchart!$S$357</f>
        <v>0</v>
      </c>
      <c r="C86" s="868">
        <f t="shared" si="9"/>
        <v>0</v>
      </c>
      <c r="D86" s="1304">
        <f>(Unitflowchart!$S$15*(AllocationEnergy!$H$24/100)*Cultivation!K68)/Unitflowchart!$S$357</f>
        <v>0</v>
      </c>
      <c r="E86" s="867">
        <f>(Unitflowchart!$S$15*(AllocationEnergy!$H$24/100)*Cultivation!P68)/Unitflowchart!$S$357</f>
        <v>0</v>
      </c>
      <c r="F86" s="868">
        <f t="shared" si="10"/>
        <v>0</v>
      </c>
      <c r="G86" s="1304">
        <f>(Unitflowchart!$S$15*(AllocationEnergy!$H$24/100)*Cultivation!Q68)/Unitflowchart!$S$357</f>
        <v>0</v>
      </c>
      <c r="H86" s="867">
        <f>(Unitflowchart!$S$15*(AllocationEnergy!$H$24/100)*Cultivation!V68)/Unitflowchart!$S$357</f>
        <v>0</v>
      </c>
      <c r="I86" s="868">
        <f t="shared" si="11"/>
        <v>0</v>
      </c>
      <c r="J86" s="1304">
        <f>(Unitflowchart!$S$15*(AllocationEnergy!$H$24/100)*Cultivation!W68)/Unitflowchart!$S$357</f>
        <v>0</v>
      </c>
      <c r="K86" s="867">
        <f>(Unitflowchart!$S$15*(AllocationEnergy!$H$24/100)*Cultivation!AB68)/Unitflowchart!$S$357</f>
        <v>0</v>
      </c>
      <c r="L86" s="868">
        <f t="shared" si="12"/>
        <v>0</v>
      </c>
      <c r="M86" s="1304">
        <f>(Unitflowchart!$S$15*(AllocationEnergy!$H$24/100)*Cultivation!AC68)/Unitflowchart!$S$357</f>
        <v>0</v>
      </c>
      <c r="N86" s="870">
        <f>E86+(GlobalWarmingPotentials!$B$11*H86)+(GlobalWarmingPotentials!$C$11*K86)</f>
        <v>0</v>
      </c>
      <c r="O86" s="868">
        <f t="shared" si="13"/>
        <v>0</v>
      </c>
      <c r="P86" s="895">
        <f>SQRT((G86^2)+((GlobalWarmingPotentials!$B$11*J86)^2)+((GlobalWarmingPotentials!$C$11*M86)^2))</f>
        <v>0</v>
      </c>
    </row>
    <row r="87" spans="1:16" s="42" customFormat="1" x14ac:dyDescent="0.25">
      <c r="A87" s="852"/>
      <c r="B87" s="1305"/>
      <c r="C87" s="1306"/>
      <c r="D87" s="1307"/>
      <c r="E87" s="1305"/>
      <c r="F87" s="1306"/>
      <c r="G87" s="1307"/>
      <c r="H87" s="1305"/>
      <c r="I87" s="1306"/>
      <c r="J87" s="1307"/>
      <c r="K87" s="1305"/>
      <c r="L87" s="1306"/>
      <c r="M87" s="1307"/>
      <c r="N87" s="1305"/>
      <c r="O87" s="1306"/>
      <c r="P87" s="1308"/>
    </row>
    <row r="88" spans="1:16" s="5" customFormat="1" x14ac:dyDescent="0.25">
      <c r="A88" s="894" t="str">
        <f>Cultivation!A70</f>
        <v>Sub-Totals for Maintenance</v>
      </c>
      <c r="B88" s="867">
        <f>(Unitflowchart!$S$15*(AllocationEnergy!$H$24/100)*Cultivation!J70)/Unitflowchart!$S$357</f>
        <v>0</v>
      </c>
      <c r="C88" s="868">
        <f>(B88/B$354)*100</f>
        <v>0</v>
      </c>
      <c r="D88" s="1304">
        <f>(Unitflowchart!$S$15*(AllocationEnergy!$H$24/100)*Cultivation!K70)/Unitflowchart!$S$357</f>
        <v>0</v>
      </c>
      <c r="E88" s="867">
        <f>(Unitflowchart!$S$15*(AllocationEnergy!$H$24/100)*Cultivation!P70)/Unitflowchart!$S$357</f>
        <v>0</v>
      </c>
      <c r="F88" s="868">
        <f>(E88/E$354)*100</f>
        <v>0</v>
      </c>
      <c r="G88" s="1304">
        <f>(Unitflowchart!$S$15*(AllocationEnergy!$H$24/100)*Cultivation!Q70)/Unitflowchart!$S$357</f>
        <v>0</v>
      </c>
      <c r="H88" s="867">
        <f>(Unitflowchart!$S$15*(AllocationEnergy!$H$24/100)*Cultivation!V70)/Unitflowchart!$S$357</f>
        <v>0</v>
      </c>
      <c r="I88" s="868">
        <f>(H88/H$354)*100</f>
        <v>0</v>
      </c>
      <c r="J88" s="1304">
        <f>(Unitflowchart!$S$15*(AllocationEnergy!$H$24/100)*Cultivation!W70)/Unitflowchart!$S$357</f>
        <v>0</v>
      </c>
      <c r="K88" s="867">
        <f>(Unitflowchart!$S$15*(AllocationEnergy!$H$24/100)*Cultivation!AB70)/Unitflowchart!$S$357</f>
        <v>0</v>
      </c>
      <c r="L88" s="868">
        <f>(K88/K$354)*100</f>
        <v>0</v>
      </c>
      <c r="M88" s="1304">
        <f>(Unitflowchart!$S$15*(AllocationEnergy!$H$24/100)*Cultivation!AC70)/Unitflowchart!$S$357</f>
        <v>0</v>
      </c>
      <c r="N88" s="870">
        <f>E88+(GlobalWarmingPotentials!$B$11*H88)+(GlobalWarmingPotentials!$C$11*K88)</f>
        <v>0</v>
      </c>
      <c r="O88" s="868">
        <f>(N88/N$354)*100</f>
        <v>0</v>
      </c>
      <c r="P88" s="895">
        <f>SQRT((G88^2)+((GlobalWarmingPotentials!$B$11*J88)^2)+((GlobalWarmingPotentials!$C$11*M88)^2))</f>
        <v>0</v>
      </c>
    </row>
    <row r="89" spans="1:16" s="838" customFormat="1" x14ac:dyDescent="0.25">
      <c r="A89" s="852"/>
      <c r="B89" s="713"/>
      <c r="C89" s="863"/>
      <c r="D89" s="719"/>
      <c r="E89" s="713"/>
      <c r="F89" s="863"/>
      <c r="G89" s="719"/>
      <c r="H89" s="713"/>
      <c r="I89" s="863"/>
      <c r="J89" s="719"/>
      <c r="K89" s="713"/>
      <c r="L89" s="863"/>
      <c r="M89" s="719"/>
      <c r="N89" s="713"/>
      <c r="O89" s="863"/>
      <c r="P89" s="738"/>
    </row>
    <row r="90" spans="1:16" s="5" customFormat="1" x14ac:dyDescent="0.25">
      <c r="A90" s="894" t="str">
        <f>Cultivation!A72</f>
        <v xml:space="preserve"> - Seeds</v>
      </c>
      <c r="B90" s="867">
        <f>(Unitflowchart!$S$15*(AllocationEnergy!$H$24/100)*Cultivation!J72)/Unitflowchart!$S$357</f>
        <v>88.698699709296875</v>
      </c>
      <c r="C90" s="868">
        <f t="shared" ref="C90:C96" si="14">(B90/B$354)*100</f>
        <v>0.46610116187602918</v>
      </c>
      <c r="D90" s="1304">
        <f>(Unitflowchart!$S$15*(AllocationEnergy!$H$24/100)*Cultivation!K72)/Unitflowchart!$S$357</f>
        <v>0</v>
      </c>
      <c r="E90" s="867">
        <f>(Unitflowchart!$S$15*(AllocationEnergy!$H$24/100)*Cultivation!P72)/Unitflowchart!$S$357</f>
        <v>6.3651443407417156</v>
      </c>
      <c r="F90" s="868">
        <f t="shared" ref="F90:F96" si="15">(E90/E$354)*100</f>
        <v>0.53211852114390723</v>
      </c>
      <c r="G90" s="1304">
        <f>(Unitflowchart!$S$15*(AllocationEnergy!$H$24/100)*Cultivation!Q72)/Unitflowchart!$S$357</f>
        <v>0</v>
      </c>
      <c r="H90" s="867">
        <f>(Unitflowchart!$S$15*(AllocationEnergy!$H$24/100)*Cultivation!V72)/Unitflowchart!$S$357</f>
        <v>1.3226273954787978E-3</v>
      </c>
      <c r="I90" s="868">
        <f t="shared" ref="I90:I96" si="16">(H90/H$354)*100</f>
        <v>7.3993600263633427E-2</v>
      </c>
      <c r="J90" s="1304">
        <f>(Unitflowchart!$S$15*(AllocationEnergy!$H$24/100)*Cultivation!W72)/Unitflowchart!$S$357</f>
        <v>0</v>
      </c>
      <c r="K90" s="867">
        <f>(Unitflowchart!$S$15*(AllocationEnergy!$H$24/100)*Cultivation!AB72)/Unitflowchart!$S$357</f>
        <v>1.7194156141224371E-3</v>
      </c>
      <c r="L90" s="868">
        <f t="shared" ref="L90:L96" si="17">(K90/K$354)*100</f>
        <v>9.4654865655792578E-2</v>
      </c>
      <c r="M90" s="1304">
        <f>(Unitflowchart!$S$15*(AllocationEnergy!$H$24/100)*Cultivation!AC72)/Unitflowchart!$S$357</f>
        <v>0</v>
      </c>
      <c r="N90" s="870">
        <f>E90+(GlobalWarmingPotentials!$B$11*H90)+(GlobalWarmingPotentials!$C$11*K90)</f>
        <v>6.9045117926179698</v>
      </c>
      <c r="O90" s="868">
        <f t="shared" ref="O90:O96" si="18">(N90/N$354)*100</f>
        <v>0.38898908325378312</v>
      </c>
      <c r="P90" s="895">
        <f>SQRT((G90^2)+((GlobalWarmingPotentials!$B$11*J90)^2)+((GlobalWarmingPotentials!$C$11*M90)^2))</f>
        <v>0</v>
      </c>
    </row>
    <row r="91" spans="1:16" x14ac:dyDescent="0.25">
      <c r="A91" s="894" t="str">
        <f>Cultivation!A73</f>
        <v xml:space="preserve"> - Farm Yard Manure</v>
      </c>
      <c r="B91" s="867">
        <f>(Unitflowchart!$S$15*(AllocationEnergy!$H$24/100)*Cultivation!J73)/Unitflowchart!$S$357</f>
        <v>0</v>
      </c>
      <c r="C91" s="868">
        <f t="shared" si="14"/>
        <v>0</v>
      </c>
      <c r="D91" s="1304">
        <f>(Unitflowchart!$S$15*(AllocationEnergy!$H$24/100)*Cultivation!K73)/Unitflowchart!$S$357</f>
        <v>0</v>
      </c>
      <c r="E91" s="867">
        <f>(Unitflowchart!$S$15*(AllocationEnergy!$H$24/100)*Cultivation!P73)/Unitflowchart!$S$357</f>
        <v>0</v>
      </c>
      <c r="F91" s="868">
        <f t="shared" si="15"/>
        <v>0</v>
      </c>
      <c r="G91" s="1304">
        <f>(Unitflowchart!$S$15*(AllocationEnergy!$H$24/100)*Cultivation!Q73)/Unitflowchart!$S$357</f>
        <v>0</v>
      </c>
      <c r="H91" s="867">
        <f>(Unitflowchart!$S$15*(AllocationEnergy!$H$24/100)*Cultivation!V73)/Unitflowchart!$S$357</f>
        <v>0</v>
      </c>
      <c r="I91" s="868">
        <f t="shared" si="16"/>
        <v>0</v>
      </c>
      <c r="J91" s="1304">
        <f>(Unitflowchart!$S$15*(AllocationEnergy!$H$24/100)*Cultivation!W73)/Unitflowchart!$S$357</f>
        <v>0</v>
      </c>
      <c r="K91" s="867">
        <f>(Unitflowchart!$S$15*(AllocationEnergy!$H$24/100)*Cultivation!AB73)/Unitflowchart!$S$357</f>
        <v>0</v>
      </c>
      <c r="L91" s="868">
        <f t="shared" si="17"/>
        <v>0</v>
      </c>
      <c r="M91" s="1304">
        <f>(Unitflowchart!$S$15*(AllocationEnergy!$H$24/100)*Cultivation!AC73)/Unitflowchart!$S$357</f>
        <v>0</v>
      </c>
      <c r="N91" s="870">
        <f>E91+(GlobalWarmingPotentials!$B$11*H91)+(GlobalWarmingPotentials!$C$11*K91)</f>
        <v>0</v>
      </c>
      <c r="O91" s="868">
        <f t="shared" si="18"/>
        <v>0</v>
      </c>
      <c r="P91" s="895">
        <f>SQRT((G91^2)+((GlobalWarmingPotentials!$B$11*J91)^2)+((GlobalWarmingPotentials!$C$11*M91)^2))</f>
        <v>0</v>
      </c>
    </row>
    <row r="92" spans="1:16" x14ac:dyDescent="0.25">
      <c r="A92" s="894" t="str">
        <f>Cultivation!A74</f>
        <v xml:space="preserve"> - N Fertiliser</v>
      </c>
      <c r="B92" s="867">
        <f>(Unitflowchart!$S$15*(AllocationEnergy!$H$24/100)*Cultivation!J74)/Unitflowchart!$S$357</f>
        <v>2972.8326016496312</v>
      </c>
      <c r="C92" s="868">
        <f t="shared" si="14"/>
        <v>15.621883232033412</v>
      </c>
      <c r="D92" s="1304">
        <f>(Unitflowchart!$S$15*(AllocationEnergy!$H$24/100)*Cultivation!K74)/Unitflowchart!$S$357</f>
        <v>445.92489024744469</v>
      </c>
      <c r="E92" s="867">
        <f>(Unitflowchart!$S$15*(AllocationEnergy!$H$24/100)*Cultivation!P74)/Unitflowchart!$S$357</f>
        <v>174.13366964162716</v>
      </c>
      <c r="F92" s="868">
        <f t="shared" si="15"/>
        <v>14.557368350309385</v>
      </c>
      <c r="G92" s="1304">
        <f>(Unitflowchart!$S$15*(AllocationEnergy!$H$24/100)*Cultivation!Q74)/Unitflowchart!$S$357</f>
        <v>26.120050446244072</v>
      </c>
      <c r="H92" s="867">
        <f>(Unitflowchart!$S$15*(AllocationEnergy!$H$24/100)*Cultivation!V74)/Unitflowchart!$S$357</f>
        <v>0.46153226140610526</v>
      </c>
      <c r="I92" s="868">
        <f t="shared" si="16"/>
        <v>25.82014691060553</v>
      </c>
      <c r="J92" s="1304">
        <f>(Unitflowchart!$S$15*(AllocationEnergy!$H$24/100)*Cultivation!W74)/Unitflowchart!$S$357</f>
        <v>6.92298392109158E-2</v>
      </c>
      <c r="K92" s="867">
        <f>(Unitflowchart!$S$15*(AllocationEnergy!$H$24/100)*Cultivation!AB74)/Unitflowchart!$S$357</f>
        <v>0.92901018801550983</v>
      </c>
      <c r="L92" s="868">
        <f t="shared" si="17"/>
        <v>51.142570660178357</v>
      </c>
      <c r="M92" s="1304">
        <f>(Unitflowchart!$S$15*(AllocationEnergy!$H$24/100)*Cultivation!AC74)/Unitflowchart!$S$357</f>
        <v>0.13935152820232646</v>
      </c>
      <c r="N92" s="870">
        <f>E92+(GlobalWarmingPotentials!$B$11*H92)+(GlobalWarmingPotentials!$C$11*K92)</f>
        <v>459.73592730655849</v>
      </c>
      <c r="O92" s="868">
        <f t="shared" si="18"/>
        <v>25.900782310634391</v>
      </c>
      <c r="P92" s="895">
        <f>SQRT((G92^2)+((GlobalWarmingPotentials!$B$11*J92)^2)+((GlobalWarmingPotentials!$C$11*M92)^2))</f>
        <v>48.84868712130919</v>
      </c>
    </row>
    <row r="93" spans="1:16" x14ac:dyDescent="0.25">
      <c r="A93" s="894" t="str">
        <f>Cultivation!A75</f>
        <v xml:space="preserve"> - P Fertiliser</v>
      </c>
      <c r="B93" s="867">
        <f>(Unitflowchart!$S$15*(AllocationEnergy!$H$24/100)*Cultivation!J75)/Unitflowchart!$S$357</f>
        <v>696.2415242405126</v>
      </c>
      <c r="C93" s="868">
        <f t="shared" si="14"/>
        <v>3.6586667500022698</v>
      </c>
      <c r="D93" s="1304">
        <f>(Unitflowchart!$S$15*(AllocationEnergy!$H$24/100)*Cultivation!K75)/Unitflowchart!$S$357</f>
        <v>104.43622863607689</v>
      </c>
      <c r="E93" s="867">
        <f>(Unitflowchart!$S$15*(AllocationEnergy!$H$24/100)*Cultivation!P75)/Unitflowchart!$S$357</f>
        <v>37.043971577055778</v>
      </c>
      <c r="F93" s="868">
        <f t="shared" si="15"/>
        <v>3.0968321090080551</v>
      </c>
      <c r="G93" s="1304">
        <f>(Unitflowchart!$S$15*(AllocationEnergy!$H$24/100)*Cultivation!Q75)/Unitflowchart!$S$357</f>
        <v>5.5565957365583669</v>
      </c>
      <c r="H93" s="867">
        <f>(Unitflowchart!$S$15*(AllocationEnergy!$H$24/100)*Cultivation!V75)/Unitflowchart!$S$357</f>
        <v>4.7383648522959967E-2</v>
      </c>
      <c r="I93" s="868">
        <f t="shared" si="16"/>
        <v>2.650849936894875</v>
      </c>
      <c r="J93" s="1304">
        <f>(Unitflowchart!$S$15*(AllocationEnergy!$H$24/100)*Cultivation!W75)/Unitflowchart!$S$357</f>
        <v>7.1075472784439941E-3</v>
      </c>
      <c r="K93" s="867">
        <f>(Unitflowchart!$S$15*(AllocationEnergy!$H$24/100)*Cultivation!AB75)/Unitflowchart!$S$357</f>
        <v>0</v>
      </c>
      <c r="L93" s="868">
        <f t="shared" si="17"/>
        <v>0</v>
      </c>
      <c r="M93" s="1304">
        <f>(Unitflowchart!$S$15*(AllocationEnergy!$H$24/100)*Cultivation!AC75)/Unitflowchart!$S$357</f>
        <v>0</v>
      </c>
      <c r="N93" s="870">
        <f>E93+(GlobalWarmingPotentials!$B$11*H93)+(GlobalWarmingPotentials!$C$11*K93)</f>
        <v>38.133795493083859</v>
      </c>
      <c r="O93" s="868">
        <f t="shared" si="18"/>
        <v>2.1483966709567306</v>
      </c>
      <c r="P93" s="895">
        <f>SQRT((G93^2)+((GlobalWarmingPotentials!$B$11*J93)^2)+((GlobalWarmingPotentials!$C$11*M93)^2))</f>
        <v>5.5589998914658585</v>
      </c>
    </row>
    <row r="94" spans="1:16" x14ac:dyDescent="0.25">
      <c r="A94" s="894" t="str">
        <f>Cultivation!A76</f>
        <v xml:space="preserve"> - K Fertiliser</v>
      </c>
      <c r="B94" s="867">
        <f>(Unitflowchart!$S$15*(AllocationEnergy!$H$24/100)*Cultivation!J76)/Unitflowchart!$S$357</f>
        <v>1132.3120249380445</v>
      </c>
      <c r="C94" s="868">
        <f t="shared" si="14"/>
        <v>5.950165584834429</v>
      </c>
      <c r="D94" s="1304">
        <f>(Unitflowchart!$S$15*(AllocationEnergy!$H$24/100)*Cultivation!K76)/Unitflowchart!$S$357</f>
        <v>169.84680374070669</v>
      </c>
      <c r="E94" s="867">
        <f>(Unitflowchart!$S$15*(AllocationEnergy!$H$24/100)*Cultivation!P76)/Unitflowchart!$S$357</f>
        <v>62.739842853008923</v>
      </c>
      <c r="F94" s="868">
        <f t="shared" si="15"/>
        <v>5.2449764857734493</v>
      </c>
      <c r="G94" s="1304">
        <f>(Unitflowchart!$S$15*(AllocationEnergy!$H$24/100)*Cultivation!Q76)/Unitflowchart!$S$357</f>
        <v>9.4109764279513382</v>
      </c>
      <c r="H94" s="867">
        <f>(Unitflowchart!$S$15*(AllocationEnergy!$H$24/100)*Cultivation!V76)/Unitflowchart!$S$357</f>
        <v>0.18377404277044884</v>
      </c>
      <c r="I94" s="868">
        <f t="shared" si="16"/>
        <v>10.281129141942417</v>
      </c>
      <c r="J94" s="1304">
        <f>(Unitflowchart!$S$15*(AllocationEnergy!$H$24/100)*Cultivation!W76)/Unitflowchart!$S$357</f>
        <v>2.7566106415567324E-2</v>
      </c>
      <c r="K94" s="867">
        <f>(Unitflowchart!$S$15*(AllocationEnergy!$H$24/100)*Cultivation!AB76)/Unitflowchart!$S$357</f>
        <v>1.4389335578818007E-3</v>
      </c>
      <c r="L94" s="868">
        <f t="shared" si="17"/>
        <v>7.9214159444765134E-2</v>
      </c>
      <c r="M94" s="1304">
        <f>(Unitflowchart!$S$15*(AllocationEnergy!$H$24/100)*Cultivation!AC76)/Unitflowchart!$S$357</f>
        <v>2.1584003368227013E-4</v>
      </c>
      <c r="N94" s="870">
        <f>E94+(GlobalWarmingPotentials!$B$11*H94)+(GlobalWarmingPotentials!$C$11*K94)</f>
        <v>67.392570169862253</v>
      </c>
      <c r="O94" s="868">
        <f t="shared" si="18"/>
        <v>3.7967889513229567</v>
      </c>
      <c r="P94" s="895">
        <f>SQRT((G94^2)+((GlobalWarmingPotentials!$B$11*J94)^2)+((GlobalWarmingPotentials!$C$11*M94)^2))</f>
        <v>9.4325256964914974</v>
      </c>
    </row>
    <row r="95" spans="1:16" x14ac:dyDescent="0.25">
      <c r="A95" s="894" t="str">
        <f>Cultivation!A77</f>
        <v xml:space="preserve"> - Crop Protection Chemicals</v>
      </c>
      <c r="B95" s="867">
        <f>(Unitflowchart!$S$15*(AllocationEnergy!$H$24/100)*Cultivation!J77)/Unitflowchart!$S$357</f>
        <v>84.223587992269856</v>
      </c>
      <c r="C95" s="868">
        <f t="shared" si="14"/>
        <v>0.44258497981622946</v>
      </c>
      <c r="D95" s="1304">
        <f>(Unitflowchart!$S$15*(AllocationEnergy!$H$24/100)*Cultivation!K77)/Unitflowchart!$S$357</f>
        <v>12.633538198840476</v>
      </c>
      <c r="E95" s="867">
        <f>(Unitflowchart!$S$15*(AllocationEnergy!$H$24/100)*Cultivation!P77)/Unitflowchart!$S$357</f>
        <v>3.1023737822665134</v>
      </c>
      <c r="F95" s="868">
        <f t="shared" si="15"/>
        <v>0.25935477039989946</v>
      </c>
      <c r="G95" s="1304">
        <f>(Unitflowchart!$S$15*(AllocationEnergy!$H$24/100)*Cultivation!Q77)/Unitflowchart!$S$357</f>
        <v>0.46535606733997709</v>
      </c>
      <c r="H95" s="867">
        <f>(Unitflowchart!$S$15*(AllocationEnergy!$H$24/100)*Cultivation!V77)/Unitflowchart!$S$357</f>
        <v>8.0103783722546423E-3</v>
      </c>
      <c r="I95" s="868">
        <f t="shared" si="16"/>
        <v>0.4481358372457559</v>
      </c>
      <c r="J95" s="1304">
        <f>(Unitflowchart!$S$15*(AllocationEnergy!$H$24/100)*Cultivation!W77)/Unitflowchart!$S$357</f>
        <v>1.2015567558381962E-3</v>
      </c>
      <c r="K95" s="867">
        <f>(Unitflowchart!$S$15*(AllocationEnergy!$H$24/100)*Cultivation!AB77)/Unitflowchart!$S$357</f>
        <v>5.2762163328811177E-4</v>
      </c>
      <c r="L95" s="868">
        <f t="shared" si="17"/>
        <v>2.9045888850710293E-2</v>
      </c>
      <c r="M95" s="1304">
        <f>(Unitflowchart!$S$15*(AllocationEnergy!$H$24/100)*Cultivation!AC77)/Unitflowchart!$S$357</f>
        <v>7.9143244993216751E-5</v>
      </c>
      <c r="N95" s="870">
        <f>E95+(GlobalWarmingPotentials!$B$11*H95)+(GlobalWarmingPotentials!$C$11*K95)</f>
        <v>3.4427884882816513</v>
      </c>
      <c r="O95" s="868">
        <f t="shared" si="18"/>
        <v>0.19396116309413569</v>
      </c>
      <c r="P95" s="895">
        <f>SQRT((G95^2)+((GlobalWarmingPotentials!$B$11*J95)^2)+((GlobalWarmingPotentials!$C$11*M95)^2))</f>
        <v>0.46676418392009938</v>
      </c>
    </row>
    <row r="96" spans="1:16" x14ac:dyDescent="0.25">
      <c r="A96" s="894" t="str">
        <f>Cultivation!A78</f>
        <v xml:space="preserve"> - Lime</v>
      </c>
      <c r="B96" s="867">
        <f>(Unitflowchart!$S$15*(AllocationEnergy!$H$24/100)*Cultivation!J78)/Unitflowchart!$S$357</f>
        <v>0</v>
      </c>
      <c r="C96" s="868">
        <f t="shared" si="14"/>
        <v>0</v>
      </c>
      <c r="D96" s="1304">
        <f>(Unitflowchart!$S$15*(AllocationEnergy!$H$24/100)*Cultivation!K78)/Unitflowchart!$S$357</f>
        <v>0</v>
      </c>
      <c r="E96" s="867">
        <f>(Unitflowchart!$S$15*(AllocationEnergy!$H$24/100)*Cultivation!P78)/Unitflowchart!$S$357</f>
        <v>0</v>
      </c>
      <c r="F96" s="868">
        <f t="shared" si="15"/>
        <v>0</v>
      </c>
      <c r="G96" s="1304">
        <f>(Unitflowchart!$S$15*(AllocationEnergy!$H$24/100)*Cultivation!Q78)/Unitflowchart!$S$357</f>
        <v>0</v>
      </c>
      <c r="H96" s="867">
        <f>(Unitflowchart!$S$15*(AllocationEnergy!$H$24/100)*Cultivation!V78)/Unitflowchart!$S$357</f>
        <v>0</v>
      </c>
      <c r="I96" s="868">
        <f t="shared" si="16"/>
        <v>0</v>
      </c>
      <c r="J96" s="1304">
        <f>(Unitflowchart!$S$15*(AllocationEnergy!$H$24/100)*Cultivation!W78)/Unitflowchart!$S$357</f>
        <v>0</v>
      </c>
      <c r="K96" s="867">
        <f>(Unitflowchart!$S$15*(AllocationEnergy!$H$24/100)*Cultivation!AB78)/Unitflowchart!$S$357</f>
        <v>0</v>
      </c>
      <c r="L96" s="868">
        <f t="shared" si="17"/>
        <v>0</v>
      </c>
      <c r="M96" s="1304">
        <f>(Unitflowchart!$S$15*(AllocationEnergy!$H$24/100)*Cultivation!AC78)/Unitflowchart!$S$357</f>
        <v>0</v>
      </c>
      <c r="N96" s="870">
        <f>E96+(GlobalWarmingPotentials!$B$11*H96)+(GlobalWarmingPotentials!$C$11*K96)</f>
        <v>0</v>
      </c>
      <c r="O96" s="868">
        <f t="shared" si="18"/>
        <v>0</v>
      </c>
      <c r="P96" s="895">
        <f>SQRT((G96^2)+((GlobalWarmingPotentials!$B$11*J96)^2)+((GlobalWarmingPotentials!$C$11*M96)^2))</f>
        <v>0</v>
      </c>
    </row>
    <row r="97" spans="1:16" s="42" customFormat="1" x14ac:dyDescent="0.25">
      <c r="A97" s="852"/>
      <c r="B97" s="1305"/>
      <c r="C97" s="1306"/>
      <c r="D97" s="1307"/>
      <c r="E97" s="1305"/>
      <c r="F97" s="1306"/>
      <c r="G97" s="1307"/>
      <c r="H97" s="1305"/>
      <c r="I97" s="1306"/>
      <c r="J97" s="1307"/>
      <c r="K97" s="1305"/>
      <c r="L97" s="1306"/>
      <c r="M97" s="1307"/>
      <c r="N97" s="1305"/>
      <c r="O97" s="1306"/>
      <c r="P97" s="1308"/>
    </row>
    <row r="98" spans="1:16" s="42" customFormat="1" x14ac:dyDescent="0.25">
      <c r="A98" s="894" t="str">
        <f>Cultivation!A80</f>
        <v xml:space="preserve"> - Emissions from Soil (N Fertiliser)</v>
      </c>
      <c r="B98" s="867">
        <f>(Unitflowchart!$S$15*(AllocationEnergy!$H$24/100)*Cultivation!J80)/Unitflowchart!$S$357</f>
        <v>0</v>
      </c>
      <c r="C98" s="868">
        <f t="shared" ref="C98:C103" si="19">(B98/B$354)*100</f>
        <v>0</v>
      </c>
      <c r="D98" s="1304">
        <f>(Unitflowchart!$S$15*(AllocationEnergy!$H$24/100)*Cultivation!K80)/Unitflowchart!$S$357</f>
        <v>0</v>
      </c>
      <c r="E98" s="867">
        <f>(Unitflowchart!$S$15*(AllocationEnergy!$H$24/100)*Cultivation!P80)/Unitflowchart!$S$357</f>
        <v>0</v>
      </c>
      <c r="F98" s="868">
        <f t="shared" ref="F98:F103" si="20">(E98/E$354)*100</f>
        <v>0</v>
      </c>
      <c r="G98" s="1304">
        <f>(Unitflowchart!$S$15*(AllocationEnergy!$H$24/100)*Cultivation!Q80)/Unitflowchart!$S$357</f>
        <v>0</v>
      </c>
      <c r="H98" s="867">
        <f>(Unitflowchart!$S$15*(AllocationEnergy!$H$24/100)*Cultivation!V80)/Unitflowchart!$S$357</f>
        <v>0</v>
      </c>
      <c r="I98" s="868">
        <f t="shared" ref="I98:I103" si="21">(H98/H$354)*100</f>
        <v>0</v>
      </c>
      <c r="J98" s="1304">
        <f>(Unitflowchart!$S$15*(AllocationEnergy!$H$24/100)*Cultivation!W80)/Unitflowchart!$S$357</f>
        <v>0</v>
      </c>
      <c r="K98" s="867">
        <f>(Unitflowchart!$S$15*(AllocationEnergy!$H$24/100)*Cultivation!AB80)/Unitflowchart!$S$357</f>
        <v>0.43822635485828387</v>
      </c>
      <c r="L98" s="868">
        <f t="shared" ref="L98:L103" si="22">(K98/K$354)*100</f>
        <v>24.12462490467113</v>
      </c>
      <c r="M98" s="1304">
        <f>(Unitflowchart!$S$15*(AllocationEnergy!$H$24/100)*Cultivation!AC80)/Unitflowchart!$S$357</f>
        <v>0</v>
      </c>
      <c r="N98" s="870">
        <f>E98+(GlobalWarmingPotentials!$B$11*H98)+(GlobalWarmingPotentials!$C$11*K98)</f>
        <v>129.71500103805204</v>
      </c>
      <c r="O98" s="868">
        <f t="shared" ref="O98:O103" si="23">(N98/N$354)*100</f>
        <v>7.307934413553002</v>
      </c>
      <c r="P98" s="895">
        <f>SQRT((G98^2)+((GlobalWarmingPotentials!$B$11*J98)^2)+((GlobalWarmingPotentials!$C$11*M98)^2))</f>
        <v>0</v>
      </c>
    </row>
    <row r="99" spans="1:16" s="5" customFormat="1" x14ac:dyDescent="0.25">
      <c r="A99" s="894" t="str">
        <f>Cultivation!A81</f>
        <v xml:space="preserve"> - Carbon Dioxide Emissions from Soil (Lime)</v>
      </c>
      <c r="B99" s="867">
        <f>(Unitflowchart!$S$15*(AllocationEnergy!$H$24/100)*Cultivation!J81)/Unitflowchart!$S$357</f>
        <v>0</v>
      </c>
      <c r="C99" s="868">
        <f t="shared" si="19"/>
        <v>0</v>
      </c>
      <c r="D99" s="1304">
        <f>(Unitflowchart!$S$15*(AllocationEnergy!$H$24/100)*Cultivation!K81)/Unitflowchart!$S$357</f>
        <v>0</v>
      </c>
      <c r="E99" s="867">
        <f>(Unitflowchart!$S$15*(AllocationEnergy!$H$24/100)*Cultivation!P81)/Unitflowchart!$S$357</f>
        <v>0</v>
      </c>
      <c r="F99" s="868">
        <f t="shared" si="20"/>
        <v>0</v>
      </c>
      <c r="G99" s="1304">
        <f>(Unitflowchart!$S$15*(AllocationEnergy!$H$24/100)*Cultivation!Q81)/Unitflowchart!$S$357</f>
        <v>0</v>
      </c>
      <c r="H99" s="867">
        <f>(Unitflowchart!$S$15*(AllocationEnergy!$H$24/100)*Cultivation!V81)/Unitflowchart!$S$357</f>
        <v>0</v>
      </c>
      <c r="I99" s="868">
        <f t="shared" si="21"/>
        <v>0</v>
      </c>
      <c r="J99" s="1304">
        <f>(Unitflowchart!$S$15*(AllocationEnergy!$H$24/100)*Cultivation!W81)/Unitflowchart!$S$357</f>
        <v>0</v>
      </c>
      <c r="K99" s="867">
        <f>(Unitflowchart!$S$15*(AllocationEnergy!$H$24/100)*Cultivation!AB81)/Unitflowchart!$S$357</f>
        <v>0</v>
      </c>
      <c r="L99" s="868">
        <f t="shared" si="22"/>
        <v>0</v>
      </c>
      <c r="M99" s="1304">
        <f>(Unitflowchart!$S$15*(AllocationEnergy!$H$24/100)*Cultivation!AC81)/Unitflowchart!$S$357</f>
        <v>0</v>
      </c>
      <c r="N99" s="870">
        <f>E99+(GlobalWarmingPotentials!$B$11*H99)+(GlobalWarmingPotentials!$C$11*K99)</f>
        <v>0</v>
      </c>
      <c r="O99" s="868">
        <f t="shared" si="23"/>
        <v>0</v>
      </c>
      <c r="P99" s="895">
        <f>SQRT((G99^2)+((GlobalWarmingPotentials!$B$11*J99)^2)+((GlobalWarmingPotentials!$C$11*M99)^2))</f>
        <v>0</v>
      </c>
    </row>
    <row r="100" spans="1:16" s="42" customFormat="1" x14ac:dyDescent="0.25">
      <c r="A100" s="894" t="str">
        <f>Cultivation!A82</f>
        <v xml:space="preserve"> - Nitrous Oxide Emissions from Soil (Crop Residues)</v>
      </c>
      <c r="B100" s="867">
        <f>(Unitflowchart!$S$15*(AllocationEnergy!$H$24/100)*Cultivation!J82)/Unitflowchart!$S$357</f>
        <v>0</v>
      </c>
      <c r="C100" s="868">
        <f t="shared" si="19"/>
        <v>0</v>
      </c>
      <c r="D100" s="1304">
        <f>(Unitflowchart!$S$15*(AllocationEnergy!$H$24/100)*Cultivation!K82)/Unitflowchart!$S$357</f>
        <v>0</v>
      </c>
      <c r="E100" s="867">
        <f>(Unitflowchart!$S$15*(AllocationEnergy!$H$24/100)*Cultivation!P82)/Unitflowchart!$S$357</f>
        <v>0</v>
      </c>
      <c r="F100" s="868">
        <f t="shared" si="20"/>
        <v>0</v>
      </c>
      <c r="G100" s="1304">
        <f>(Unitflowchart!$S$15*(AllocationEnergy!$H$24/100)*Cultivation!Q82)/Unitflowchart!$S$357</f>
        <v>0</v>
      </c>
      <c r="H100" s="867">
        <f>(Unitflowchart!$S$15*(AllocationEnergy!$H$24/100)*Cultivation!V82)/Unitflowchart!$S$357</f>
        <v>0</v>
      </c>
      <c r="I100" s="868">
        <f t="shared" si="21"/>
        <v>0</v>
      </c>
      <c r="J100" s="1304">
        <f>(Unitflowchart!$S$15*(AllocationEnergy!$H$24/100)*Cultivation!W82)/Unitflowchart!$S$357</f>
        <v>0</v>
      </c>
      <c r="K100" s="867">
        <f>(Unitflowchart!$S$15*(AllocationEnergy!$H$24/100)*Cultivation!AB82)/Unitflowchart!$S$357</f>
        <v>0.22927544849754938</v>
      </c>
      <c r="L100" s="868">
        <f t="shared" si="22"/>
        <v>12.621751598308888</v>
      </c>
      <c r="M100" s="1304">
        <f>(Unitflowchart!$S$15*(AllocationEnergy!$H$24/100)*Cultivation!AC82)/Unitflowchart!$S$357</f>
        <v>0</v>
      </c>
      <c r="N100" s="870">
        <f>E100+(GlobalWarmingPotentials!$B$11*H100)+(GlobalWarmingPotentials!$C$11*K100)</f>
        <v>67.865532755274614</v>
      </c>
      <c r="O100" s="868">
        <f t="shared" si="23"/>
        <v>3.8234349022661638</v>
      </c>
      <c r="P100" s="895">
        <f>SQRT((G100^2)+((GlobalWarmingPotentials!$B$11*J100)^2)+((GlobalWarmingPotentials!$C$11*M100)^2))</f>
        <v>0</v>
      </c>
    </row>
    <row r="101" spans="1:16" s="5" customFormat="1" x14ac:dyDescent="0.25">
      <c r="A101" s="894" t="str">
        <f>Cultivation!A83</f>
        <v xml:space="preserve"> - Carbon Dioxide Sequestration in Soil (Crop Residues)</v>
      </c>
      <c r="B101" s="867">
        <f>(Unitflowchart!$S$15*(AllocationEnergy!$H$24/100)*Cultivation!J83)/Unitflowchart!$S$357</f>
        <v>0</v>
      </c>
      <c r="C101" s="868">
        <f t="shared" si="19"/>
        <v>0</v>
      </c>
      <c r="D101" s="1304">
        <f>(Unitflowchart!$S$15*(AllocationEnergy!$H$24/100)*Cultivation!K83)/Unitflowchart!$S$357</f>
        <v>0</v>
      </c>
      <c r="E101" s="867">
        <f>(Unitflowchart!$S$15*(AllocationEnergy!$H$24/100)*Cultivation!P83)/Unitflowchart!$S$357</f>
        <v>0</v>
      </c>
      <c r="F101" s="868">
        <f t="shared" si="20"/>
        <v>0</v>
      </c>
      <c r="G101" s="1304">
        <f>(Unitflowchart!$S$15*(AllocationEnergy!$H$24/100)*Cultivation!Q83)/Unitflowchart!$S$357</f>
        <v>0</v>
      </c>
      <c r="H101" s="867">
        <f>(Unitflowchart!$S$15*(AllocationEnergy!$H$24/100)*Cultivation!V83)/Unitflowchart!$S$357</f>
        <v>0</v>
      </c>
      <c r="I101" s="868">
        <f t="shared" si="21"/>
        <v>0</v>
      </c>
      <c r="J101" s="1304">
        <f>(Unitflowchart!$S$15*(AllocationEnergy!$H$24/100)*Cultivation!W83)/Unitflowchart!$S$357</f>
        <v>0</v>
      </c>
      <c r="K101" s="867">
        <f>(Unitflowchart!$S$15*(AllocationEnergy!$H$24/100)*Cultivation!AB83)/Unitflowchart!$S$357</f>
        <v>0</v>
      </c>
      <c r="L101" s="868">
        <f t="shared" si="22"/>
        <v>0</v>
      </c>
      <c r="M101" s="1304">
        <f>(Unitflowchart!$S$15*(AllocationEnergy!$H$24/100)*Cultivation!AC83)/Unitflowchart!$S$357</f>
        <v>0</v>
      </c>
      <c r="N101" s="870">
        <f>E101+(GlobalWarmingPotentials!$B$11*H101)+(GlobalWarmingPotentials!$C$11*K101)</f>
        <v>0</v>
      </c>
      <c r="O101" s="868">
        <f t="shared" si="23"/>
        <v>0</v>
      </c>
      <c r="P101" s="895">
        <f>SQRT((G101^2)+((GlobalWarmingPotentials!$B$11*J101)^2)+((GlobalWarmingPotentials!$C$11*M101)^2))</f>
        <v>0</v>
      </c>
    </row>
    <row r="102" spans="1:16" s="5" customFormat="1" x14ac:dyDescent="0.25">
      <c r="A102" s="894" t="str">
        <f>Cultivation!A84</f>
        <v xml:space="preserve"> - Nitrous Oxide Emissions from Soil (Organic Manure)</v>
      </c>
      <c r="B102" s="867">
        <f>(Unitflowchart!$S$15*(AllocationEnergy!$H$24/100)*Cultivation!J84)/Unitflowchart!$S$357</f>
        <v>0</v>
      </c>
      <c r="C102" s="868">
        <f t="shared" si="19"/>
        <v>0</v>
      </c>
      <c r="D102" s="1304">
        <f>(Unitflowchart!$S$15*(AllocationEnergy!$H$24/100)*Cultivation!K84)/Unitflowchart!$S$357</f>
        <v>0</v>
      </c>
      <c r="E102" s="867">
        <f>(Unitflowchart!$S$15*(AllocationEnergy!$H$24/100)*Cultivation!P84)/Unitflowchart!$S$357</f>
        <v>0</v>
      </c>
      <c r="F102" s="868">
        <f t="shared" si="20"/>
        <v>0</v>
      </c>
      <c r="G102" s="1304">
        <f>(Unitflowchart!$S$15*(AllocationEnergy!$H$24/100)*Cultivation!Q84)/Unitflowchart!$S$357</f>
        <v>0</v>
      </c>
      <c r="H102" s="867">
        <f>(Unitflowchart!$S$15*(AllocationEnergy!$H$24/100)*Cultivation!V84)/Unitflowchart!$S$357</f>
        <v>0</v>
      </c>
      <c r="I102" s="868">
        <f t="shared" si="21"/>
        <v>0</v>
      </c>
      <c r="J102" s="1304">
        <f>(Unitflowchart!$S$15*(AllocationEnergy!$H$24/100)*Cultivation!W84)/Unitflowchart!$S$357</f>
        <v>0</v>
      </c>
      <c r="K102" s="867">
        <f>(Unitflowchart!$S$15*(AllocationEnergy!$H$24/100)*Cultivation!AB84)/Unitflowchart!$S$357</f>
        <v>0</v>
      </c>
      <c r="L102" s="868">
        <f t="shared" si="22"/>
        <v>0</v>
      </c>
      <c r="M102" s="1304">
        <f>(Unitflowchart!$S$15*(AllocationEnergy!$H$24/100)*Cultivation!AC84)/Unitflowchart!$S$357</f>
        <v>0</v>
      </c>
      <c r="N102" s="870">
        <f>E102+(GlobalWarmingPotentials!$B$11*H102)+(GlobalWarmingPotentials!$C$11*K102)</f>
        <v>0</v>
      </c>
      <c r="O102" s="868">
        <f t="shared" si="23"/>
        <v>0</v>
      </c>
      <c r="P102" s="895">
        <f>SQRT((G102^2)+((GlobalWarmingPotentials!$B$11*J102)^2)+((GlobalWarmingPotentials!$C$11*M102)^2))</f>
        <v>0</v>
      </c>
    </row>
    <row r="103" spans="1:16" s="5" customFormat="1" x14ac:dyDescent="0.25">
      <c r="A103" s="894" t="str">
        <f>Cultivation!A85</f>
        <v xml:space="preserve"> - Carbon Dioxide Sequestration in Soil (Organic Manure)</v>
      </c>
      <c r="B103" s="867">
        <f>(Unitflowchart!$S$15*(AllocationEnergy!$H$24/100)*Cultivation!J85)/Unitflowchart!$S$357</f>
        <v>0</v>
      </c>
      <c r="C103" s="868">
        <f t="shared" si="19"/>
        <v>0</v>
      </c>
      <c r="D103" s="1304">
        <f>(Unitflowchart!$S$15*(AllocationEnergy!$H$24/100)*Cultivation!K85)/Unitflowchart!$S$357</f>
        <v>0</v>
      </c>
      <c r="E103" s="867">
        <f>(Unitflowchart!$S$15*(AllocationEnergy!$H$24/100)*Cultivation!P85)/Unitflowchart!$S$357</f>
        <v>0</v>
      </c>
      <c r="F103" s="868">
        <f t="shared" si="20"/>
        <v>0</v>
      </c>
      <c r="G103" s="1304">
        <f>(Unitflowchart!$S$15*(AllocationEnergy!$H$24/100)*Cultivation!Q85)/Unitflowchart!$S$357</f>
        <v>0</v>
      </c>
      <c r="H103" s="867">
        <f>(Unitflowchart!$S$15*(AllocationEnergy!$H$24/100)*Cultivation!V85)/Unitflowchart!$S$357</f>
        <v>0</v>
      </c>
      <c r="I103" s="868">
        <f t="shared" si="21"/>
        <v>0</v>
      </c>
      <c r="J103" s="1304">
        <f>(Unitflowchart!$S$15*(AllocationEnergy!$H$24/100)*Cultivation!W85)/Unitflowchart!$S$357</f>
        <v>0</v>
      </c>
      <c r="K103" s="867">
        <f>(Unitflowchart!$S$15*(AllocationEnergy!$H$24/100)*Cultivation!AB85)/Unitflowchart!$S$357</f>
        <v>0</v>
      </c>
      <c r="L103" s="868">
        <f t="shared" si="22"/>
        <v>0</v>
      </c>
      <c r="M103" s="1304">
        <f>(Unitflowchart!$S$15*(AllocationEnergy!$H$24/100)*Cultivation!AC85)/Unitflowchart!$S$357</f>
        <v>0</v>
      </c>
      <c r="N103" s="870">
        <f>E103+(GlobalWarmingPotentials!$B$11*H103)+(GlobalWarmingPotentials!$C$11*K103)</f>
        <v>0</v>
      </c>
      <c r="O103" s="868">
        <f t="shared" si="23"/>
        <v>0</v>
      </c>
      <c r="P103" s="895">
        <f>SQRT((G103^2)+((GlobalWarmingPotentials!$B$11*J103)^2)+((GlobalWarmingPotentials!$C$11*M103)^2))</f>
        <v>0</v>
      </c>
    </row>
    <row r="104" spans="1:16" s="838" customFormat="1" x14ac:dyDescent="0.25">
      <c r="A104" s="852"/>
      <c r="B104" s="1305"/>
      <c r="C104" s="1306"/>
      <c r="D104" s="1307"/>
      <c r="E104" s="1305"/>
      <c r="F104" s="1306"/>
      <c r="G104" s="1307"/>
      <c r="H104" s="1305"/>
      <c r="I104" s="1306"/>
      <c r="J104" s="1307"/>
      <c r="K104" s="1305"/>
      <c r="L104" s="1306"/>
      <c r="M104" s="1307"/>
      <c r="N104" s="1305"/>
      <c r="O104" s="1306"/>
      <c r="P104" s="1308"/>
    </row>
    <row r="105" spans="1:16" s="6" customFormat="1" x14ac:dyDescent="0.25">
      <c r="A105" s="214" t="s">
        <v>26</v>
      </c>
      <c r="B105" s="717">
        <f>(Unitflowchart!$S$15*(AllocationEnergy!$H$24/100)*Cultivation!J87)/Unitflowchart!$S$357</f>
        <v>8309.899498278497</v>
      </c>
      <c r="C105" s="14">
        <f>(B105/B$354)*100</f>
        <v>43.667537674339414</v>
      </c>
      <c r="D105" s="722">
        <f>(Unitflowchart!$S$15*(AllocationEnergy!$H$24/100)*Cultivation!K87)/Unitflowchart!$S$357</f>
        <v>488.63429742730733</v>
      </c>
      <c r="E105" s="717">
        <f>(Unitflowchart!$S$15*(AllocationEnergy!$H$24/100)*Cultivation!P87)/Unitflowchart!$S$357</f>
        <v>522.75174180388285</v>
      </c>
      <c r="F105" s="14">
        <f>(E105/E$354)*100</f>
        <v>43.701425903826355</v>
      </c>
      <c r="G105" s="722">
        <f>(Unitflowchart!$S$15*(AllocationEnergy!$H$24/100)*Cultivation!Q87)/Unitflowchart!$S$357</f>
        <v>28.318118318326512</v>
      </c>
      <c r="H105" s="717">
        <f>(Unitflowchart!$S$15*(AllocationEnergy!$H$24/100)*Cultivation!V87)/Unitflowchart!$S$357</f>
        <v>0.75176150176266221</v>
      </c>
      <c r="I105" s="14">
        <f>(H105/H$354)*100</f>
        <v>42.056848546433187</v>
      </c>
      <c r="J105" s="722">
        <f>(Unitflowchart!$S$15*(AllocationEnergy!$H$24/100)*Cultivation!W87)/Unitflowchart!$S$357</f>
        <v>7.4864022247248072E-2</v>
      </c>
      <c r="K105" s="717">
        <f>(Unitflowchart!$S$15*(AllocationEnergy!$H$24/100)*Cultivation!AB87)/Unitflowchart!$S$357</f>
        <v>1.6648580684606744</v>
      </c>
      <c r="L105" s="14">
        <f>(K105/K$354)*100</f>
        <v>91.651439891417624</v>
      </c>
      <c r="M105" s="722">
        <f>(Unitflowchart!$S$15*(AllocationEnergy!$H$24/100)*Cultivation!AC87)/Unitflowchart!$S$357</f>
        <v>0.13935171783260208</v>
      </c>
      <c r="N105" s="714">
        <f>E105+(GlobalWarmingPotentials!$B$11*H105)+(GlobalWarmingPotentials!$C$11*K105)</f>
        <v>1032.8402446087837</v>
      </c>
      <c r="O105" s="14">
        <f>(N105/N$354)*100</f>
        <v>58.188557274611874</v>
      </c>
      <c r="P105" s="739">
        <f>SQRT((G105^2)+((GlobalWarmingPotentials!$B$11*J105)^2)+((GlobalWarmingPotentials!$C$11*M105)^2))</f>
        <v>50.062831752581062</v>
      </c>
    </row>
    <row r="106" spans="1:16" s="838" customFormat="1" x14ac:dyDescent="0.25">
      <c r="A106" s="852"/>
      <c r="B106" s="713"/>
      <c r="C106" s="863"/>
      <c r="D106" s="719"/>
      <c r="E106" s="713"/>
      <c r="F106" s="863"/>
      <c r="G106" s="719"/>
      <c r="H106" s="713"/>
      <c r="I106" s="863"/>
      <c r="J106" s="719"/>
      <c r="K106" s="713"/>
      <c r="L106" s="863"/>
      <c r="M106" s="719"/>
      <c r="N106" s="713"/>
      <c r="O106" s="863"/>
      <c r="P106" s="738"/>
    </row>
    <row r="107" spans="1:16" x14ac:dyDescent="0.25">
      <c r="A107" s="384" t="s">
        <v>33</v>
      </c>
      <c r="B107" s="712"/>
      <c r="C107" s="25"/>
      <c r="D107" s="718"/>
      <c r="E107" s="712"/>
      <c r="F107" s="25"/>
      <c r="G107" s="721"/>
      <c r="H107" s="190"/>
      <c r="I107" s="25"/>
      <c r="J107" s="31"/>
      <c r="K107" s="190"/>
      <c r="L107" s="25"/>
      <c r="M107" s="31"/>
      <c r="N107" s="735"/>
      <c r="O107" s="25"/>
      <c r="P107" s="737"/>
    </row>
    <row r="108" spans="1:16" x14ac:dyDescent="0.25">
      <c r="B108" s="712"/>
      <c r="D108" s="721"/>
      <c r="E108" s="718"/>
      <c r="G108" s="721"/>
      <c r="H108" s="708"/>
      <c r="J108" s="31"/>
      <c r="K108" s="708"/>
      <c r="M108" s="708"/>
      <c r="N108" s="712"/>
      <c r="P108" s="721"/>
    </row>
    <row r="109" spans="1:16" x14ac:dyDescent="0.25">
      <c r="A109" s="13" t="str">
        <f>RoadTransportStage1!A28</f>
        <v xml:space="preserve"> - Diesel Fuel</v>
      </c>
      <c r="B109" s="715">
        <f>Unitflowchart!$S$24*(AllocationEnergy!$H$29/100)/Unitflowchart!$S$357*(RoadTransportStage1!J28)*Unitflowchart!$S$39</f>
        <v>601.53586980511921</v>
      </c>
      <c r="C109" s="25">
        <f>(B109/B$354)*100</f>
        <v>3.1609997524787445</v>
      </c>
      <c r="D109" s="481">
        <f>Unitflowchart!$S$24*(AllocationEnergy!$H$29/100)/Unitflowchart!$S$357*(RoadTransportStage1!K28)*Unitflowchart!$S$39</f>
        <v>28.272185880840603</v>
      </c>
      <c r="E109" s="715">
        <f>Unitflowchart!$S$24*(AllocationEnergy!$H$29/100)/Unitflowchart!$S$357*(RoadTransportStage1!P28)*Unitflowchart!$S$39</f>
        <v>43.167066146313303</v>
      </c>
      <c r="F109" s="25">
        <f>(E109/E$354)*100</f>
        <v>3.6087155562006963</v>
      </c>
      <c r="G109" s="481">
        <f>Unitflowchart!$S$24*(AllocationEnergy!$H$29/100)/Unitflowchart!$S$357*(RoadTransportStage1!Q28)*Unitflowchart!$S$39</f>
        <v>2.0288521088767251</v>
      </c>
      <c r="H109" s="715">
        <f>Unitflowchart!$S$24*(AllocationEnergy!$H$29/100)/Unitflowchart!$S$357*(RoadTransportStage1!V28)*Unitflowchart!$S$39</f>
        <v>8.969779978454712E-3</v>
      </c>
      <c r="I109" s="25">
        <f>(H109/H$354)*100</f>
        <v>0.50180898751023928</v>
      </c>
      <c r="J109" s="481">
        <f>Unitflowchart!$S$24*(AllocationEnergy!$H$29/100)/Unitflowchart!$S$357*(RoadTransportStage1!W28)*Unitflowchart!$S$39</f>
        <v>4.215796589873715E-4</v>
      </c>
      <c r="K109" s="715">
        <f>Unitflowchart!$S$24*(AllocationEnergy!$H$29/100)/Unitflowchart!$S$357*(RoadTransportStage1!AB28)*Unitflowchart!$S$39</f>
        <v>1.166071397199113E-2</v>
      </c>
      <c r="L109" s="25">
        <f>(K109/K$354)*100</f>
        <v>0.64192933075856551</v>
      </c>
      <c r="M109" s="481">
        <f>Unitflowchart!$S$24*(AllocationEnergy!$H$29/100)/Unitflowchart!$S$357*(RoadTransportStage1!AC28)*Unitflowchart!$S$39</f>
        <v>5.4805355668358297E-4</v>
      </c>
      <c r="N109" s="711">
        <f>E109+(GlobalWarmingPotentials!$B$11*H109)+(GlobalWarmingPotentials!$C$11*K109)</f>
        <v>46.824942421527133</v>
      </c>
      <c r="O109" s="25">
        <f>(N109/N$354)*100</f>
        <v>2.6380419026056448</v>
      </c>
      <c r="P109" s="736">
        <f>SQRT((G109^2)+((GlobalWarmingPotentials!$B$11*J109)^2)+((GlobalWarmingPotentials!$C$11*M109)^2))</f>
        <v>2.035350455563139</v>
      </c>
    </row>
    <row r="110" spans="1:16" x14ac:dyDescent="0.25">
      <c r="A110" s="13" t="str">
        <f>RoadTransportStage1!A29</f>
        <v xml:space="preserve"> - Vehicle </v>
      </c>
      <c r="B110" s="715">
        <f>Unitflowchart!$S$24*(AllocationEnergy!$H$29/100)/Unitflowchart!$S$357*(RoadTransportStage1!J29)*Unitflowchart!$S$39</f>
        <v>0</v>
      </c>
      <c r="C110" s="25">
        <f>(B110/B$354)*100</f>
        <v>0</v>
      </c>
      <c r="D110" s="481">
        <f>Unitflowchart!$S$24*(AllocationEnergy!$H$29/100)/Unitflowchart!$S$357*(RoadTransportStage1!K29)*Unitflowchart!$S$39</f>
        <v>0</v>
      </c>
      <c r="E110" s="715">
        <f>Unitflowchart!$S$24*(AllocationEnergy!$H$29/100)/Unitflowchart!$S$357*(RoadTransportStage1!P29)*Unitflowchart!$S$39</f>
        <v>0</v>
      </c>
      <c r="F110" s="25">
        <f>(E110/E$354)*100</f>
        <v>0</v>
      </c>
      <c r="G110" s="481">
        <f>Unitflowchart!$S$24*(AllocationEnergy!$H$29/100)/Unitflowchart!$S$357*(RoadTransportStage1!Q29)*Unitflowchart!$S$39</f>
        <v>0</v>
      </c>
      <c r="H110" s="715">
        <f>Unitflowchart!$S$24*(AllocationEnergy!$H$29/100)/Unitflowchart!$S$357*(RoadTransportStage1!V29)*Unitflowchart!$S$39</f>
        <v>0</v>
      </c>
      <c r="I110" s="25">
        <f>(H110/H$354)*100</f>
        <v>0</v>
      </c>
      <c r="J110" s="481">
        <f>Unitflowchart!$S$24*(AllocationEnergy!$H$29/100)/Unitflowchart!$S$357*(RoadTransportStage1!W29)*Unitflowchart!$S$39</f>
        <v>0</v>
      </c>
      <c r="K110" s="715">
        <f>Unitflowchart!$S$24*(AllocationEnergy!$H$29/100)/Unitflowchart!$S$357*(RoadTransportStage1!AB29)*Unitflowchart!$S$39</f>
        <v>0</v>
      </c>
      <c r="L110" s="25">
        <f>(K110/K$354)*100</f>
        <v>0</v>
      </c>
      <c r="M110" s="481">
        <f>Unitflowchart!$S$24*(AllocationEnergy!$H$29/100)/Unitflowchart!$S$357*(RoadTransportStage1!AC29)*Unitflowchart!$S$39</f>
        <v>0</v>
      </c>
      <c r="N110" s="711">
        <f>E110+(GlobalWarmingPotentials!$B$11*H110)+(GlobalWarmingPotentials!$C$11*K110)</f>
        <v>0</v>
      </c>
      <c r="O110" s="25">
        <f>(N110/N$354)*100</f>
        <v>0</v>
      </c>
      <c r="P110" s="736">
        <f>SQRT((G110^2)+((GlobalWarmingPotentials!$B$11*J110)^2)+((GlobalWarmingPotentials!$C$11*M110)^2))</f>
        <v>0</v>
      </c>
    </row>
    <row r="111" spans="1:16" x14ac:dyDescent="0.25">
      <c r="A111" s="13" t="str">
        <f>RoadTransportStage1!A30</f>
        <v xml:space="preserve"> - Maintenance</v>
      </c>
      <c r="B111" s="715">
        <f>Unitflowchart!$S$24*(AllocationEnergy!$H$29/100)/Unitflowchart!$S$357*(RoadTransportStage1!J30)*Unitflowchart!$S$39</f>
        <v>0</v>
      </c>
      <c r="C111" s="25">
        <f>(B111/B$354)*100</f>
        <v>0</v>
      </c>
      <c r="D111" s="481">
        <f>Unitflowchart!$S$24*(AllocationEnergy!$H$29/100)/Unitflowchart!$S$357*(RoadTransportStage1!K30)*Unitflowchart!$S$39</f>
        <v>0</v>
      </c>
      <c r="E111" s="715">
        <f>Unitflowchart!$S$24*(AllocationEnergy!$H$29/100)/Unitflowchart!$S$357*(RoadTransportStage1!P30)*Unitflowchart!$S$39</f>
        <v>0</v>
      </c>
      <c r="F111" s="25">
        <f>(E111/E$354)*100</f>
        <v>0</v>
      </c>
      <c r="G111" s="481">
        <f>Unitflowchart!$S$24*(AllocationEnergy!$H$29/100)/Unitflowchart!$S$357*(RoadTransportStage1!Q30)*Unitflowchart!$S$39</f>
        <v>0</v>
      </c>
      <c r="H111" s="715">
        <f>Unitflowchart!$S$24*(AllocationEnergy!$H$29/100)/Unitflowchart!$S$357*(RoadTransportStage1!V30)*Unitflowchart!$S$39</f>
        <v>0</v>
      </c>
      <c r="I111" s="25">
        <f>(H111/H$354)*100</f>
        <v>0</v>
      </c>
      <c r="J111" s="481">
        <f>Unitflowchart!$S$24*(AllocationEnergy!$H$29/100)/Unitflowchart!$S$357*(RoadTransportStage1!W30)*Unitflowchart!$S$39</f>
        <v>0</v>
      </c>
      <c r="K111" s="715">
        <f>Unitflowchart!$S$24*(AllocationEnergy!$H$29/100)/Unitflowchart!$S$357*(RoadTransportStage1!AB30)*Unitflowchart!$S$39</f>
        <v>0</v>
      </c>
      <c r="L111" s="25">
        <f>(K111/K$354)*100</f>
        <v>0</v>
      </c>
      <c r="M111" s="481">
        <f>Unitflowchart!$S$24*(AllocationEnergy!$H$29/100)/Unitflowchart!$S$357*(RoadTransportStage1!AC30)*Unitflowchart!$S$39</f>
        <v>0</v>
      </c>
      <c r="N111" s="711">
        <f>E111+(GlobalWarmingPotentials!$B$11*H111)+(GlobalWarmingPotentials!$C$11*K111)</f>
        <v>0</v>
      </c>
      <c r="O111" s="25">
        <f>(N111/N$354)*100</f>
        <v>0</v>
      </c>
      <c r="P111" s="736">
        <f>SQRT((G111^2)+((GlobalWarmingPotentials!$B$11*J111)^2)+((GlobalWarmingPotentials!$C$11*M111)^2))</f>
        <v>0</v>
      </c>
    </row>
    <row r="112" spans="1:16" s="42" customFormat="1" x14ac:dyDescent="0.25">
      <c r="A112" s="152"/>
      <c r="B112" s="746"/>
      <c r="C112" s="863"/>
      <c r="D112" s="759"/>
      <c r="E112" s="746"/>
      <c r="F112" s="863"/>
      <c r="G112" s="759"/>
      <c r="H112" s="746"/>
      <c r="I112" s="863"/>
      <c r="J112" s="1309"/>
      <c r="K112" s="746"/>
      <c r="L112" s="863"/>
      <c r="M112" s="759"/>
      <c r="N112" s="713"/>
      <c r="O112" s="863"/>
      <c r="P112" s="738"/>
    </row>
    <row r="113" spans="1:16" s="6" customFormat="1" x14ac:dyDescent="0.25">
      <c r="A113" s="214" t="s">
        <v>842</v>
      </c>
      <c r="B113" s="717">
        <f>Unitflowchart!$S$24*(AllocationEnergy!$H$29/100)/Unitflowchart!$S$357*(RoadTransportStage1!J32)*Unitflowchart!$S$39</f>
        <v>601.53586980511921</v>
      </c>
      <c r="C113" s="14">
        <f>(B113/B$354)*100</f>
        <v>3.1609997524787445</v>
      </c>
      <c r="D113" s="722">
        <f>Unitflowchart!$S$24*(AllocationEnergy!$H$29/100)/Unitflowchart!$S$357*(RoadTransportStage1!K32)*Unitflowchart!$S$39</f>
        <v>28.272185880840603</v>
      </c>
      <c r="E113" s="717">
        <f>Unitflowchart!$S$24*(AllocationEnergy!$H$29/100)/Unitflowchart!$S$357*(RoadTransportStage1!P32)*Unitflowchart!$S$39</f>
        <v>43.167066146313303</v>
      </c>
      <c r="F113" s="14">
        <f>(E113/E$354)*100</f>
        <v>3.6087155562006963</v>
      </c>
      <c r="G113" s="722">
        <f>Unitflowchart!$S$24*(AllocationEnergy!$H$29/100)/Unitflowchart!$S$357*(RoadTransportStage1!Q32)*Unitflowchart!$S$39</f>
        <v>2.0288521088767251</v>
      </c>
      <c r="H113" s="717">
        <f>Unitflowchart!$S$24*(AllocationEnergy!$H$29/100)/Unitflowchart!$S$357*(RoadTransportStage1!V32)*Unitflowchart!$S$39</f>
        <v>8.969779978454712E-3</v>
      </c>
      <c r="I113" s="14">
        <f>(H113/H$354)*100</f>
        <v>0.50180898751023928</v>
      </c>
      <c r="J113" s="722">
        <f>Unitflowchart!$S$24*(AllocationEnergy!$H$29/100)/Unitflowchart!$S$357*(RoadTransportStage1!W32)*Unitflowchart!$S$39</f>
        <v>4.215796589873715E-4</v>
      </c>
      <c r="K113" s="717">
        <f>Unitflowchart!$S$24*(AllocationEnergy!$H$29/100)/Unitflowchart!$S$357*(RoadTransportStage1!AB32)*Unitflowchart!$S$39</f>
        <v>1.166071397199113E-2</v>
      </c>
      <c r="L113" s="14">
        <f>(K113/K$354)*100</f>
        <v>0.64192933075856551</v>
      </c>
      <c r="M113" s="722">
        <f>Unitflowchart!$S$24*(AllocationEnergy!$H$29/100)/Unitflowchart!$S$357*(RoadTransportStage1!AC32)*Unitflowchart!$S$39</f>
        <v>5.4805355668358297E-4</v>
      </c>
      <c r="N113" s="714">
        <f>E113+(GlobalWarmingPotentials!$B$11*H113)+(GlobalWarmingPotentials!$C$11*K113)</f>
        <v>46.824942421527133</v>
      </c>
      <c r="O113" s="14">
        <f>(N113/N$354)*100</f>
        <v>2.6380419026056448</v>
      </c>
      <c r="P113" s="739">
        <f>SQRT((G113^2)+((GlobalWarmingPotentials!$B$11*J113)^2)+((GlobalWarmingPotentials!$C$11*M113)^2))</f>
        <v>2.035350455563139</v>
      </c>
    </row>
    <row r="114" spans="1:16" x14ac:dyDescent="0.25">
      <c r="B114" s="712"/>
      <c r="D114" s="721"/>
      <c r="E114" s="718"/>
      <c r="G114" s="718"/>
      <c r="H114" s="30"/>
      <c r="J114" s="708"/>
      <c r="K114" s="30"/>
      <c r="M114" s="708"/>
      <c r="N114" s="712"/>
      <c r="P114" s="721"/>
    </row>
    <row r="115" spans="1:16" x14ac:dyDescent="0.25">
      <c r="A115" s="384" t="s">
        <v>838</v>
      </c>
      <c r="B115" s="712"/>
      <c r="D115" s="721"/>
      <c r="E115" s="718"/>
      <c r="G115" s="718"/>
      <c r="H115" s="30"/>
      <c r="J115" s="708"/>
      <c r="K115" s="30"/>
      <c r="M115" s="708"/>
      <c r="N115" s="712"/>
      <c r="P115" s="721"/>
    </row>
    <row r="116" spans="1:16" x14ac:dyDescent="0.25">
      <c r="B116" s="712"/>
      <c r="D116" s="721"/>
      <c r="E116" s="718"/>
      <c r="G116" s="718"/>
      <c r="H116" s="30"/>
      <c r="J116" s="708"/>
      <c r="K116" s="30"/>
      <c r="M116" s="708"/>
      <c r="N116" s="712"/>
      <c r="P116" s="721"/>
    </row>
    <row r="117" spans="1:16" x14ac:dyDescent="0.25">
      <c r="A117" s="13" t="str">
        <f>RailTransport!A11</f>
        <v xml:space="preserve"> - Gas Oil</v>
      </c>
      <c r="B117" s="710">
        <f>Unitflowchart!$S$24*(AllocationEnergy!$H$29/100)/Unitflowchart!$S$357*(RailTransport!J11)*Unitflowchart!$S$41</f>
        <v>0</v>
      </c>
      <c r="C117" s="24">
        <f>(B117/B$354)*100</f>
        <v>0</v>
      </c>
      <c r="D117" s="724">
        <f>Unitflowchart!$S$24*(AllocationEnergy!$H$29/100)/Unitflowchart!$S$357*(RailTransport!K11)*Unitflowchart!$S$41</f>
        <v>0</v>
      </c>
      <c r="E117" s="726">
        <f>Unitflowchart!$S$24*(AllocationEnergy!$H$29/100)/Unitflowchart!$S$357*(RailTransport!P11)*Unitflowchart!$S$41</f>
        <v>0</v>
      </c>
      <c r="F117" s="24">
        <f>(E117/E$354)*100</f>
        <v>0</v>
      </c>
      <c r="G117" s="726">
        <f>Unitflowchart!$S$24*(AllocationEnergy!$H$29/100)/Unitflowchart!$S$357*(RailTransport!Q11)*Unitflowchart!$S$41</f>
        <v>0</v>
      </c>
      <c r="H117" s="707">
        <f>Unitflowchart!$S$24*(AllocationEnergy!$H$29/100)/Unitflowchart!$S$357*(RailTransport!V11)*Unitflowchart!$S$41</f>
        <v>0</v>
      </c>
      <c r="I117" s="24">
        <f>(H117/H$354)*100</f>
        <v>0</v>
      </c>
      <c r="J117" s="709">
        <f>Unitflowchart!$S$24*(AllocationEnergy!$H$29/100)/Unitflowchart!$S$357*(RailTransport!W11)*Unitflowchart!$S$41</f>
        <v>0</v>
      </c>
      <c r="K117" s="707">
        <f>Unitflowchart!$S$24*(AllocationEnergy!$H$29/100)/Unitflowchart!$S$357*(RailTransport!AB11)*Unitflowchart!$S$41</f>
        <v>0</v>
      </c>
      <c r="L117" s="24">
        <f>(K117/K$354)*100</f>
        <v>0</v>
      </c>
      <c r="M117" s="709">
        <f>Unitflowchart!$S$24*(AllocationEnergy!$H$29/100)/Unitflowchart!$S$357*(RailTransport!AC11)*Unitflowchart!$S$41</f>
        <v>0</v>
      </c>
      <c r="N117" s="710">
        <f>E117+(GlobalWarmingPotentials!$B$11*H117)+(GlobalWarmingPotentials!$C$11*K117)</f>
        <v>0</v>
      </c>
      <c r="O117" s="24">
        <f>(N117/N$354)*100</f>
        <v>0</v>
      </c>
      <c r="P117" s="724">
        <f>SQRT((G117^2)+((GlobalWarmingPotentials!$B$11*J117)^2)+((GlobalWarmingPotentials!$C$11*M117)^2))</f>
        <v>0</v>
      </c>
    </row>
    <row r="118" spans="1:16" x14ac:dyDescent="0.25">
      <c r="A118" s="13" t="str">
        <f>RailTransport!A12</f>
        <v xml:space="preserve"> - Capital Equipment</v>
      </c>
      <c r="B118" s="710">
        <f>Unitflowchart!$S$24*(AllocationEnergy!$H$29/100)/Unitflowchart!$S$357*(RailTransport!J12)*Unitflowchart!$S$41</f>
        <v>0</v>
      </c>
      <c r="C118" s="24">
        <f>(B118/B$354)*100</f>
        <v>0</v>
      </c>
      <c r="D118" s="724">
        <f>Unitflowchart!$S$24*(AllocationEnergy!$H$29/100)/Unitflowchart!$S$357*(RailTransport!K12)*Unitflowchart!$S$41</f>
        <v>0</v>
      </c>
      <c r="E118" s="726">
        <f>Unitflowchart!$S$24*(AllocationEnergy!$H$29/100)/Unitflowchart!$S$357*(RailTransport!P12)*Unitflowchart!$S$41</f>
        <v>0</v>
      </c>
      <c r="F118" s="24">
        <f>(E118/E$354)*100</f>
        <v>0</v>
      </c>
      <c r="G118" s="726">
        <f>Unitflowchart!$S$24*(AllocationEnergy!$H$29/100)/Unitflowchart!$S$357*(RailTransport!Q12)*Unitflowchart!$S$41</f>
        <v>0</v>
      </c>
      <c r="H118" s="707">
        <f>Unitflowchart!$S$24*(AllocationEnergy!$H$29/100)/Unitflowchart!$S$357*(RailTransport!V12)*Unitflowchart!$S$41</f>
        <v>0</v>
      </c>
      <c r="I118" s="24">
        <f>(H118/H$354)*100</f>
        <v>0</v>
      </c>
      <c r="J118" s="709">
        <f>Unitflowchart!$S$24*(AllocationEnergy!$H$29/100)/Unitflowchart!$S$357*(RailTransport!W12)*Unitflowchart!$S$41</f>
        <v>0</v>
      </c>
      <c r="K118" s="707">
        <f>Unitflowchart!$S$24*(AllocationEnergy!$H$29/100)/Unitflowchart!$S$357*(RailTransport!AB12)*Unitflowchart!$S$41</f>
        <v>0</v>
      </c>
      <c r="L118" s="24">
        <f>(K118/K$354)*100</f>
        <v>0</v>
      </c>
      <c r="M118" s="709">
        <f>Unitflowchart!$S$24*(AllocationEnergy!$H$29/100)/Unitflowchart!$S$357*(RailTransport!AC12)*Unitflowchart!$S$41</f>
        <v>0</v>
      </c>
      <c r="N118" s="710">
        <f>E118+(GlobalWarmingPotentials!$B$11*H118)+(GlobalWarmingPotentials!$C$11*K118)</f>
        <v>0</v>
      </c>
      <c r="O118" s="24">
        <f>(N118/N$354)*100</f>
        <v>0</v>
      </c>
      <c r="P118" s="724">
        <f>SQRT((G118^2)+((GlobalWarmingPotentials!$B$11*J118)^2)+((GlobalWarmingPotentials!$C$11*M118)^2))</f>
        <v>0</v>
      </c>
    </row>
    <row r="119" spans="1:16" x14ac:dyDescent="0.25">
      <c r="A119" s="13" t="str">
        <f>RailTransport!A13</f>
        <v xml:space="preserve"> - Maintenance</v>
      </c>
      <c r="B119" s="710">
        <f>Unitflowchart!$S$24*(AllocationEnergy!$H$29/100)/Unitflowchart!$S$357*(RailTransport!J13)*Unitflowchart!$S$41</f>
        <v>0</v>
      </c>
      <c r="C119" s="24">
        <f>(B119/B$354)*100</f>
        <v>0</v>
      </c>
      <c r="D119" s="724">
        <f>Unitflowchart!$S$24*(AllocationEnergy!$H$29/100)/Unitflowchart!$S$357*(RailTransport!K13)*Unitflowchart!$S$41</f>
        <v>0</v>
      </c>
      <c r="E119" s="726">
        <f>Unitflowchart!$S$24*(AllocationEnergy!$H$29/100)/Unitflowchart!$S$357*(RailTransport!P13)*Unitflowchart!$S$41</f>
        <v>0</v>
      </c>
      <c r="F119" s="24">
        <f>(E119/E$354)*100</f>
        <v>0</v>
      </c>
      <c r="G119" s="726">
        <f>Unitflowchart!$S$24*(AllocationEnergy!$H$29/100)/Unitflowchart!$S$357*(RailTransport!Q13)*Unitflowchart!$S$41</f>
        <v>0</v>
      </c>
      <c r="H119" s="707">
        <f>Unitflowchart!$S$24*(AllocationEnergy!$H$29/100)/Unitflowchart!$S$357*(RailTransport!V13)*Unitflowchart!$S$41</f>
        <v>0</v>
      </c>
      <c r="I119" s="24">
        <f>(H119/H$354)*100</f>
        <v>0</v>
      </c>
      <c r="J119" s="709">
        <f>Unitflowchart!$S$24*(AllocationEnergy!$H$29/100)/Unitflowchart!$S$357*(RailTransport!W13)*Unitflowchart!$S$41</f>
        <v>0</v>
      </c>
      <c r="K119" s="707">
        <f>Unitflowchart!$S$24*(AllocationEnergy!$H$29/100)/Unitflowchart!$S$357*(RailTransport!AB13)*Unitflowchart!$S$41</f>
        <v>0</v>
      </c>
      <c r="L119" s="24">
        <f>(K119/K$354)*100</f>
        <v>0</v>
      </c>
      <c r="M119" s="709">
        <f>Unitflowchart!$S$24*(AllocationEnergy!$H$29/100)/Unitflowchart!$S$357*(RailTransport!AC13)*Unitflowchart!$S$41</f>
        <v>0</v>
      </c>
      <c r="N119" s="710">
        <f>E119+(GlobalWarmingPotentials!$B$11*H119)+(GlobalWarmingPotentials!$C$11*K119)</f>
        <v>0</v>
      </c>
      <c r="O119" s="24">
        <f>(N119/N$354)*100</f>
        <v>0</v>
      </c>
      <c r="P119" s="724">
        <f>SQRT((G119^2)+((GlobalWarmingPotentials!$B$11*J119)^2)+((GlobalWarmingPotentials!$C$11*M119)^2))</f>
        <v>0</v>
      </c>
    </row>
    <row r="120" spans="1:16" s="42" customFormat="1" x14ac:dyDescent="0.25">
      <c r="A120" s="152"/>
      <c r="B120" s="713"/>
      <c r="C120" s="882"/>
      <c r="D120" s="719"/>
      <c r="E120" s="209"/>
      <c r="F120" s="882"/>
      <c r="G120" s="209"/>
      <c r="H120" s="495"/>
      <c r="I120" s="882"/>
      <c r="J120" s="889"/>
      <c r="K120" s="495"/>
      <c r="L120" s="882"/>
      <c r="M120" s="889"/>
      <c r="N120" s="713"/>
      <c r="O120" s="882"/>
      <c r="P120" s="719"/>
    </row>
    <row r="121" spans="1:16" s="6" customFormat="1" x14ac:dyDescent="0.25">
      <c r="A121" s="214" t="s">
        <v>843</v>
      </c>
      <c r="B121" s="717">
        <f>Unitflowchart!$S$24*(AllocationEnergy!$H$29/100)/Unitflowchart!$S$357*(RailTransport!J15)*Unitflowchart!$S$41</f>
        <v>0</v>
      </c>
      <c r="C121" s="14">
        <f>(B121/B$354)*100</f>
        <v>0</v>
      </c>
      <c r="D121" s="722">
        <f>Unitflowchart!$S$24*(AllocationEnergy!$H$29/100)/Unitflowchart!$S$357*(RailTransport!K15)*Unitflowchart!$S$41</f>
        <v>0</v>
      </c>
      <c r="E121" s="717">
        <f>Unitflowchart!$S$24*(AllocationEnergy!$H$29/100)/Unitflowchart!$S$357*(RailTransport!P15)*Unitflowchart!$S$41</f>
        <v>0</v>
      </c>
      <c r="F121" s="14">
        <f>(E121/E$354)*100</f>
        <v>0</v>
      </c>
      <c r="G121" s="722">
        <f>Unitflowchart!$S$24*(AllocationEnergy!$H$29/100)/Unitflowchart!$S$357*(RailTransport!Q15)*Unitflowchart!$S$41</f>
        <v>0</v>
      </c>
      <c r="H121" s="717">
        <f>Unitflowchart!$S$24*(AllocationEnergy!$H$29/100)/Unitflowchart!$S$357*(RailTransport!V15)*Unitflowchart!$S$41</f>
        <v>0</v>
      </c>
      <c r="I121" s="14">
        <f>(H121/H$354)*100</f>
        <v>0</v>
      </c>
      <c r="J121" s="722">
        <f>Unitflowchart!$S$24*(AllocationEnergy!$H$29/100)/Unitflowchart!$S$357*(RailTransport!W15)*Unitflowchart!$S$41</f>
        <v>0</v>
      </c>
      <c r="K121" s="717">
        <f>Unitflowchart!$S$24*(AllocationEnergy!$H$29/100)/Unitflowchart!$S$357*(RailTransport!AB15)*Unitflowchart!$S$41</f>
        <v>0</v>
      </c>
      <c r="L121" s="14">
        <f>(K121/K$354)*100</f>
        <v>0</v>
      </c>
      <c r="M121" s="722">
        <f>Unitflowchart!$S$24*(AllocationEnergy!$H$29/100)/Unitflowchart!$S$357*(RailTransport!AC15)*Unitflowchart!$S$41</f>
        <v>0</v>
      </c>
      <c r="N121" s="714">
        <f>E121+(GlobalWarmingPotentials!$B$11*H121)+(GlobalWarmingPotentials!$C$11*K121)</f>
        <v>0</v>
      </c>
      <c r="O121" s="14">
        <f>(N121/N$354)*100</f>
        <v>0</v>
      </c>
      <c r="P121" s="739">
        <f>SQRT((G121^2)+((GlobalWarmingPotentials!$B$11*J121)^2)+((GlobalWarmingPotentials!$C$11*M121)^2))</f>
        <v>0</v>
      </c>
    </row>
    <row r="122" spans="1:16" x14ac:dyDescent="0.25">
      <c r="B122" s="712"/>
      <c r="C122" s="24"/>
      <c r="D122" s="721"/>
      <c r="E122" s="718"/>
      <c r="F122" s="24"/>
      <c r="G122" s="718"/>
      <c r="H122" s="30"/>
      <c r="I122" s="24"/>
      <c r="J122" s="708"/>
      <c r="K122" s="30"/>
      <c r="L122" s="24"/>
      <c r="M122" s="708"/>
      <c r="N122" s="712"/>
      <c r="O122" s="24"/>
      <c r="P122" s="721"/>
    </row>
    <row r="123" spans="1:16" x14ac:dyDescent="0.25">
      <c r="A123" s="384" t="s">
        <v>846</v>
      </c>
      <c r="B123" s="712"/>
      <c r="C123" s="24"/>
      <c r="D123" s="721"/>
      <c r="E123" s="718"/>
      <c r="F123" s="24"/>
      <c r="G123" s="718"/>
      <c r="H123" s="30"/>
      <c r="I123" s="24"/>
      <c r="J123" s="708"/>
      <c r="K123" s="30"/>
      <c r="L123" s="24"/>
      <c r="M123" s="708"/>
      <c r="N123" s="712"/>
      <c r="O123" s="24"/>
      <c r="P123" s="721"/>
    </row>
    <row r="124" spans="1:16" x14ac:dyDescent="0.25">
      <c r="B124" s="712"/>
      <c r="C124" s="24"/>
      <c r="D124" s="721"/>
      <c r="E124" s="718"/>
      <c r="F124" s="24"/>
      <c r="G124" s="718"/>
      <c r="H124" s="30"/>
      <c r="I124" s="24"/>
      <c r="J124" s="708"/>
      <c r="K124" s="30"/>
      <c r="L124" s="24"/>
      <c r="M124" s="708"/>
      <c r="N124" s="712"/>
      <c r="O124" s="24"/>
      <c r="P124" s="721"/>
    </row>
    <row r="125" spans="1:16" x14ac:dyDescent="0.25">
      <c r="A125" s="13" t="str">
        <f>BargeTransport!A11</f>
        <v xml:space="preserve"> - Marine Diesel</v>
      </c>
      <c r="B125" s="710">
        <f>Unitflowchart!$S$24*(AllocationEnergy!$H$29/100)/Unitflowchart!$S$357*(BargeTransport!J11)*Unitflowchart!$S$43</f>
        <v>0</v>
      </c>
      <c r="C125" s="24">
        <f>(B125/B$354)*100</f>
        <v>0</v>
      </c>
      <c r="D125" s="724">
        <f>Unitflowchart!$S$24*(AllocationEnergy!$H$29/100)/Unitflowchart!$S$357*(BargeTransport!K11)*Unitflowchart!$S$43</f>
        <v>0</v>
      </c>
      <c r="E125" s="726">
        <f>Unitflowchart!$S$24*(AllocationEnergy!$H$29/100)/Unitflowchart!$S$357*(BargeTransport!P11)*Unitflowchart!$S$43</f>
        <v>0</v>
      </c>
      <c r="F125" s="24">
        <f>(E125/E$354)*100</f>
        <v>0</v>
      </c>
      <c r="G125" s="726">
        <f>Unitflowchart!$S$24*(AllocationEnergy!$H$29/100)/Unitflowchart!$S$357*(BargeTransport!Q11)*Unitflowchart!$S$43</f>
        <v>0</v>
      </c>
      <c r="H125" s="707">
        <f>Unitflowchart!$S$24*(AllocationEnergy!$H$29/100)/Unitflowchart!$S$357*(BargeTransport!V11)*Unitflowchart!$S$43</f>
        <v>0</v>
      </c>
      <c r="I125" s="24">
        <f>(H125/H$354)*100</f>
        <v>0</v>
      </c>
      <c r="J125" s="709">
        <f>Unitflowchart!$S$24*(AllocationEnergy!$H$29/100)/Unitflowchart!$S$357*(BargeTransport!W11)*Unitflowchart!$S$43</f>
        <v>0</v>
      </c>
      <c r="K125" s="707">
        <f>Unitflowchart!$S$24*(AllocationEnergy!$H$29/100)/Unitflowchart!$S$357*(BargeTransport!AB11)*Unitflowchart!$S$43</f>
        <v>0</v>
      </c>
      <c r="L125" s="24">
        <f>(K125/K$354)*100</f>
        <v>0</v>
      </c>
      <c r="M125" s="709">
        <f>Unitflowchart!$S$24*(AllocationEnergy!$H$29/100)/Unitflowchart!$S$357*(BargeTransport!AC11)*Unitflowchart!$S$43</f>
        <v>0</v>
      </c>
      <c r="N125" s="710">
        <f>E125+(GlobalWarmingPotentials!$B$11*H125)+(GlobalWarmingPotentials!$C$11*K125)</f>
        <v>0</v>
      </c>
      <c r="O125" s="24">
        <f>(N125/N$354)*100</f>
        <v>0</v>
      </c>
      <c r="P125" s="724">
        <f>SQRT((G125^2)+((GlobalWarmingPotentials!$B$11*J125)^2)+((GlobalWarmingPotentials!$C$11*M125)^2))</f>
        <v>0</v>
      </c>
    </row>
    <row r="126" spans="1:16" x14ac:dyDescent="0.25">
      <c r="A126" s="13" t="str">
        <f>BargeTransport!A12</f>
        <v xml:space="preserve"> - Barge Construction</v>
      </c>
      <c r="B126" s="710">
        <f>Unitflowchart!$S$24*(AllocationEnergy!$H$29/100)/Unitflowchart!$S$357*(BargeTransport!J12)*Unitflowchart!$S$43</f>
        <v>0</v>
      </c>
      <c r="C126" s="24">
        <f>(B126/B$354)*100</f>
        <v>0</v>
      </c>
      <c r="D126" s="724">
        <f>Unitflowchart!$S$24*(AllocationEnergy!$H$29/100)/Unitflowchart!$S$357*(BargeTransport!K12)*Unitflowchart!$S$43</f>
        <v>0</v>
      </c>
      <c r="E126" s="726">
        <f>Unitflowchart!$S$24*(AllocationEnergy!$H$29/100)/Unitflowchart!$S$357*(BargeTransport!P12)*Unitflowchart!$S$43</f>
        <v>0</v>
      </c>
      <c r="F126" s="24">
        <f>(E126/E$354)*100</f>
        <v>0</v>
      </c>
      <c r="G126" s="726">
        <f>Unitflowchart!$S$24*(AllocationEnergy!$H$29/100)/Unitflowchart!$S$357*(BargeTransport!Q12)*Unitflowchart!$S$43</f>
        <v>0</v>
      </c>
      <c r="H126" s="707">
        <f>Unitflowchart!$S$24*(AllocationEnergy!$H$29/100)/Unitflowchart!$S$357*(BargeTransport!V12)*Unitflowchart!$S$43</f>
        <v>0</v>
      </c>
      <c r="I126" s="24">
        <f>(H126/H$354)*100</f>
        <v>0</v>
      </c>
      <c r="J126" s="709">
        <f>Unitflowchart!$S$24*(AllocationEnergy!$H$29/100)/Unitflowchart!$S$357*(BargeTransport!W12)*Unitflowchart!$S$43</f>
        <v>0</v>
      </c>
      <c r="K126" s="707">
        <f>Unitflowchart!$S$24*(AllocationEnergy!$H$29/100)/Unitflowchart!$S$357*(BargeTransport!AB12)*Unitflowchart!$S$43</f>
        <v>0</v>
      </c>
      <c r="L126" s="24">
        <f>(K126/K$354)*100</f>
        <v>0</v>
      </c>
      <c r="M126" s="709">
        <f>Unitflowchart!$S$24*(AllocationEnergy!$H$29/100)/Unitflowchart!$S$357*(BargeTransport!AC12)*Unitflowchart!$S$43</f>
        <v>0</v>
      </c>
      <c r="N126" s="710">
        <f>E126+(GlobalWarmingPotentials!$B$11*H126)+(GlobalWarmingPotentials!$C$11*K126)</f>
        <v>0</v>
      </c>
      <c r="O126" s="24">
        <f>(N126/N$354)*100</f>
        <v>0</v>
      </c>
      <c r="P126" s="724">
        <f>SQRT((G126^2)+((GlobalWarmingPotentials!$B$11*J126)^2)+((GlobalWarmingPotentials!$C$11*M126)^2))</f>
        <v>0</v>
      </c>
    </row>
    <row r="127" spans="1:16" x14ac:dyDescent="0.25">
      <c r="A127" s="13" t="str">
        <f>BargeTransport!A13</f>
        <v xml:space="preserve"> - Barge Maintenance</v>
      </c>
      <c r="B127" s="710">
        <f>Unitflowchart!$S$24*(AllocationEnergy!$H$29/100)/Unitflowchart!$S$357*(BargeTransport!J13)*Unitflowchart!$S$43</f>
        <v>0</v>
      </c>
      <c r="C127" s="24">
        <f>(B127/B$354)*100</f>
        <v>0</v>
      </c>
      <c r="D127" s="724">
        <f>Unitflowchart!$S$24*(AllocationEnergy!$H$29/100)/Unitflowchart!$S$357*(BargeTransport!K13)*Unitflowchart!$S$43</f>
        <v>0</v>
      </c>
      <c r="E127" s="726">
        <f>Unitflowchart!$S$24*(AllocationEnergy!$H$29/100)/Unitflowchart!$S$357*(BargeTransport!P13)*Unitflowchart!$S$43</f>
        <v>0</v>
      </c>
      <c r="F127" s="24">
        <f>(E127/E$354)*100</f>
        <v>0</v>
      </c>
      <c r="G127" s="726">
        <f>Unitflowchart!$S$24*(AllocationEnergy!$H$29/100)/Unitflowchart!$S$357*(BargeTransport!Q13)*Unitflowchart!$S$43</f>
        <v>0</v>
      </c>
      <c r="H127" s="707">
        <f>Unitflowchart!$S$24*(AllocationEnergy!$H$29/100)/Unitflowchart!$S$357*(BargeTransport!V13)*Unitflowchart!$S$43</f>
        <v>0</v>
      </c>
      <c r="I127" s="24">
        <f>(H127/H$354)*100</f>
        <v>0</v>
      </c>
      <c r="J127" s="709">
        <f>Unitflowchart!$S$24*(AllocationEnergy!$H$29/100)/Unitflowchart!$S$357*(BargeTransport!W13)*Unitflowchart!$S$43</f>
        <v>0</v>
      </c>
      <c r="K127" s="707">
        <f>Unitflowchart!$S$24*(AllocationEnergy!$H$29/100)/Unitflowchart!$S$357*(BargeTransport!AB13)*Unitflowchart!$S$43</f>
        <v>0</v>
      </c>
      <c r="L127" s="24">
        <f>(K127/K$354)*100</f>
        <v>0</v>
      </c>
      <c r="M127" s="709">
        <f>Unitflowchart!$S$24*(AllocationEnergy!$H$29/100)/Unitflowchart!$S$357*(BargeTransport!AC13)*Unitflowchart!$S$43</f>
        <v>0</v>
      </c>
      <c r="N127" s="710">
        <f>E127+(GlobalWarmingPotentials!$B$11*H127)+(GlobalWarmingPotentials!$C$11*K127)</f>
        <v>0</v>
      </c>
      <c r="O127" s="24">
        <f>(N127/N$354)*100</f>
        <v>0</v>
      </c>
      <c r="P127" s="724">
        <f>SQRT((G127^2)+((GlobalWarmingPotentials!$B$11*J127)^2)+((GlobalWarmingPotentials!$C$11*M127)^2))</f>
        <v>0</v>
      </c>
    </row>
    <row r="128" spans="1:16" s="42" customFormat="1" x14ac:dyDescent="0.25">
      <c r="A128" s="152"/>
      <c r="B128" s="713"/>
      <c r="C128" s="882"/>
      <c r="D128" s="719"/>
      <c r="E128" s="209"/>
      <c r="F128" s="882"/>
      <c r="G128" s="209"/>
      <c r="H128" s="495"/>
      <c r="I128" s="882"/>
      <c r="J128" s="889"/>
      <c r="K128" s="495"/>
      <c r="L128" s="882"/>
      <c r="M128" s="889"/>
      <c r="N128" s="713"/>
      <c r="O128" s="882"/>
      <c r="P128" s="719"/>
    </row>
    <row r="129" spans="1:16" s="6" customFormat="1" x14ac:dyDescent="0.25">
      <c r="A129" s="214" t="s">
        <v>847</v>
      </c>
      <c r="B129" s="717">
        <f>Unitflowchart!$S$24*(AllocationEnergy!$H$29/100)/Unitflowchart!$S$357*(BargeTransport!J15)*Unitflowchart!$S$43</f>
        <v>0</v>
      </c>
      <c r="C129" s="14">
        <f>(B129/B$354)*100</f>
        <v>0</v>
      </c>
      <c r="D129" s="722">
        <f>Unitflowchart!$S$24*(AllocationEnergy!$H$29/100)/Unitflowchart!$S$357*(BargeTransport!K15)*Unitflowchart!$S$43</f>
        <v>0</v>
      </c>
      <c r="E129" s="717">
        <f>Unitflowchart!$S$24*(AllocationEnergy!$H$29/100)/Unitflowchart!$S$357*(BargeTransport!P15)*Unitflowchart!$S$43</f>
        <v>0</v>
      </c>
      <c r="F129" s="14">
        <f>(E129/E$354)*100</f>
        <v>0</v>
      </c>
      <c r="G129" s="722">
        <f>Unitflowchart!$S$24*(AllocationEnergy!$H$29/100)/Unitflowchart!$S$357*(BargeTransport!Q15)*Unitflowchart!$S$43</f>
        <v>0</v>
      </c>
      <c r="H129" s="717">
        <f>Unitflowchart!$S$24*(AllocationEnergy!$H$29/100)/Unitflowchart!$S$357*(BargeTransport!V15)*Unitflowchart!$S$43</f>
        <v>0</v>
      </c>
      <c r="I129" s="14">
        <f>(H129/H$354)*100</f>
        <v>0</v>
      </c>
      <c r="J129" s="722">
        <f>Unitflowchart!$S$24*(AllocationEnergy!$H$29/100)/Unitflowchart!$S$357*(BargeTransport!W15)*Unitflowchart!$S$43</f>
        <v>0</v>
      </c>
      <c r="K129" s="717">
        <f>Unitflowchart!$S$24*(AllocationEnergy!$H$29/100)/Unitflowchart!$S$357*(BargeTransport!AB15)*Unitflowchart!$S$43</f>
        <v>0</v>
      </c>
      <c r="L129" s="14">
        <f>(K129/K$354)*100</f>
        <v>0</v>
      </c>
      <c r="M129" s="722">
        <f>Unitflowchart!$S$24*(AllocationEnergy!$H$29/100)/Unitflowchart!$S$357*(BargeTransport!AC15)*Unitflowchart!$S$43</f>
        <v>0</v>
      </c>
      <c r="N129" s="714">
        <f>E129+(GlobalWarmingPotentials!$B$11*H129)+(GlobalWarmingPotentials!$C$11*K129)</f>
        <v>0</v>
      </c>
      <c r="O129" s="14">
        <f>(N129/N$354)*100</f>
        <v>0</v>
      </c>
      <c r="P129" s="739">
        <f>SQRT((G129^2)+((GlobalWarmingPotentials!$B$11*J129)^2)+((GlobalWarmingPotentials!$C$11*M129)^2))</f>
        <v>0</v>
      </c>
    </row>
    <row r="130" spans="1:16" x14ac:dyDescent="0.25">
      <c r="B130" s="712"/>
      <c r="C130" s="24"/>
      <c r="D130" s="721"/>
      <c r="E130" s="718"/>
      <c r="F130" s="24"/>
      <c r="G130" s="718"/>
      <c r="H130" s="30"/>
      <c r="I130" s="24"/>
      <c r="J130" s="708"/>
      <c r="K130" s="30"/>
      <c r="L130" s="24"/>
      <c r="M130" s="708"/>
      <c r="N130" s="712"/>
      <c r="O130" s="24"/>
      <c r="P130" s="721"/>
    </row>
    <row r="131" spans="1:16" x14ac:dyDescent="0.25">
      <c r="A131" s="384" t="s">
        <v>848</v>
      </c>
      <c r="B131" s="712"/>
      <c r="C131" s="24"/>
      <c r="D131" s="721"/>
      <c r="E131" s="718"/>
      <c r="F131" s="24"/>
      <c r="G131" s="718"/>
      <c r="H131" s="30"/>
      <c r="I131" s="24"/>
      <c r="J131" s="708"/>
      <c r="K131" s="30"/>
      <c r="L131" s="24"/>
      <c r="M131" s="708"/>
      <c r="N131" s="712"/>
      <c r="O131" s="24"/>
      <c r="P131" s="721"/>
    </row>
    <row r="132" spans="1:16" x14ac:dyDescent="0.25">
      <c r="B132" s="712"/>
      <c r="C132" s="24"/>
      <c r="D132" s="721"/>
      <c r="E132" s="718"/>
      <c r="F132" s="24"/>
      <c r="G132" s="718"/>
      <c r="H132" s="30"/>
      <c r="I132" s="24"/>
      <c r="J132" s="708"/>
      <c r="K132" s="30"/>
      <c r="L132" s="24"/>
      <c r="M132" s="708"/>
      <c r="N132" s="712"/>
      <c r="O132" s="24"/>
      <c r="P132" s="721"/>
    </row>
    <row r="133" spans="1:16" x14ac:dyDescent="0.25">
      <c r="A133" s="13" t="str">
        <f>ShipTransport!A11</f>
        <v xml:space="preserve"> - Marine Diesel</v>
      </c>
      <c r="B133" s="710">
        <f>Unitflowchart!$S$24*(AllocationEnergy!$H$29/100)/Unitflowchart!$S$357*(ShipTransport!J11)*Unitflowchart!$S$45</f>
        <v>0</v>
      </c>
      <c r="C133" s="24">
        <f>(B133/B$354)*100</f>
        <v>0</v>
      </c>
      <c r="D133" s="724">
        <f>Unitflowchart!$S$24*(AllocationEnergy!$H$29/100)/Unitflowchart!$S$357*(ShipTransport!K11)*Unitflowchart!$S$45</f>
        <v>0</v>
      </c>
      <c r="E133" s="726">
        <f>Unitflowchart!$S$24*(AllocationEnergy!$H$29/100)/Unitflowchart!$S$357*(ShipTransport!P11)*Unitflowchart!$S$45</f>
        <v>0</v>
      </c>
      <c r="F133" s="24">
        <f>(E133/E$354)*100</f>
        <v>0</v>
      </c>
      <c r="G133" s="726">
        <f>Unitflowchart!$S$24*(AllocationEnergy!$H$29/100)/Unitflowchart!$S$357*(ShipTransport!Q11)*Unitflowchart!$S$45</f>
        <v>0</v>
      </c>
      <c r="H133" s="707">
        <f>Unitflowchart!$S$24*(AllocationEnergy!$H$29/100)/Unitflowchart!$S$357*(ShipTransport!V11)*Unitflowchart!$S$45</f>
        <v>0</v>
      </c>
      <c r="I133" s="24">
        <f>(H133/H$354)*100</f>
        <v>0</v>
      </c>
      <c r="J133" s="709">
        <f>Unitflowchart!$S$24*(AllocationEnergy!$H$29/100)/Unitflowchart!$S$357*(ShipTransport!W11)*Unitflowchart!$S$45</f>
        <v>0</v>
      </c>
      <c r="K133" s="707">
        <f>Unitflowchart!$S$24*(AllocationEnergy!$H$29/100)/Unitflowchart!$S$357*(ShipTransport!AB11)*Unitflowchart!$S$45</f>
        <v>0</v>
      </c>
      <c r="L133" s="24">
        <f>(K133/K$354)*100</f>
        <v>0</v>
      </c>
      <c r="M133" s="709">
        <f>Unitflowchart!$S$24*(AllocationEnergy!$H$29/100)/Unitflowchart!$S$357*(ShipTransport!AC11)*Unitflowchart!$S$45</f>
        <v>0</v>
      </c>
      <c r="N133" s="710">
        <f>E133+(GlobalWarmingPotentials!$B$11*H133)+(GlobalWarmingPotentials!$C$11*K133)</f>
        <v>0</v>
      </c>
      <c r="O133" s="24">
        <f>(N133/N$354)*100</f>
        <v>0</v>
      </c>
      <c r="P133" s="724">
        <f>SQRT((G133^2)+((GlobalWarmingPotentials!$B$11*J133)^2)+((GlobalWarmingPotentials!$C$11*M133)^2))</f>
        <v>0</v>
      </c>
    </row>
    <row r="134" spans="1:16" x14ac:dyDescent="0.25">
      <c r="A134" s="13" t="str">
        <f>ShipTransport!A12</f>
        <v xml:space="preserve"> - Ship Construction</v>
      </c>
      <c r="B134" s="710">
        <f>Unitflowchart!$S$24*(AllocationEnergy!$H$29/100)/Unitflowchart!$S$357*(ShipTransport!J12)*Unitflowchart!$S$45</f>
        <v>0</v>
      </c>
      <c r="C134" s="24">
        <f>(B134/B$354)*100</f>
        <v>0</v>
      </c>
      <c r="D134" s="724">
        <f>Unitflowchart!$S$24*(AllocationEnergy!$H$29/100)/Unitflowchart!$S$357*(ShipTransport!K12)*Unitflowchart!$S$45</f>
        <v>0</v>
      </c>
      <c r="E134" s="726">
        <f>Unitflowchart!$S$24*(AllocationEnergy!$H$29/100)/Unitflowchart!$S$357*(ShipTransport!P12)*Unitflowchart!$S$45</f>
        <v>0</v>
      </c>
      <c r="F134" s="24">
        <f>(E134/E$354)*100</f>
        <v>0</v>
      </c>
      <c r="G134" s="726">
        <f>Unitflowchart!$S$24*(AllocationEnergy!$H$29/100)/Unitflowchart!$S$357*(ShipTransport!Q12)*Unitflowchart!$S$45</f>
        <v>0</v>
      </c>
      <c r="H134" s="707">
        <f>Unitflowchart!$S$24*(AllocationEnergy!$H$29/100)/Unitflowchart!$S$357*(ShipTransport!V12)*Unitflowchart!$S$45</f>
        <v>0</v>
      </c>
      <c r="I134" s="24">
        <f>(H134/H$354)*100</f>
        <v>0</v>
      </c>
      <c r="J134" s="709">
        <f>Unitflowchart!$S$24*(AllocationEnergy!$H$29/100)/Unitflowchart!$S$357*(ShipTransport!W12)*Unitflowchart!$S$45</f>
        <v>0</v>
      </c>
      <c r="K134" s="707">
        <f>Unitflowchart!$S$24*(AllocationEnergy!$H$29/100)/Unitflowchart!$S$357*(ShipTransport!AB12)*Unitflowchart!$S$45</f>
        <v>0</v>
      </c>
      <c r="L134" s="24">
        <f>(K134/K$354)*100</f>
        <v>0</v>
      </c>
      <c r="M134" s="709">
        <f>Unitflowchart!$S$24*(AllocationEnergy!$H$29/100)/Unitflowchart!$S$357*(ShipTransport!AC12)*Unitflowchart!$S$45</f>
        <v>0</v>
      </c>
      <c r="N134" s="710">
        <f>E134+(GlobalWarmingPotentials!$B$11*H134)+(GlobalWarmingPotentials!$C$11*K134)</f>
        <v>0</v>
      </c>
      <c r="O134" s="24">
        <f>(N134/N$354)*100</f>
        <v>0</v>
      </c>
      <c r="P134" s="724">
        <f>SQRT((G134^2)+((GlobalWarmingPotentials!$B$11*J134)^2)+((GlobalWarmingPotentials!$C$11*M134)^2))</f>
        <v>0</v>
      </c>
    </row>
    <row r="135" spans="1:16" x14ac:dyDescent="0.25">
      <c r="A135" s="13" t="str">
        <f>ShipTransport!A13</f>
        <v xml:space="preserve"> - Ship Maintenance</v>
      </c>
      <c r="B135" s="710">
        <f>Unitflowchart!$S$24*(AllocationEnergy!$H$29/100)/Unitflowchart!$S$357*(ShipTransport!J13)*Unitflowchart!$S$45</f>
        <v>0</v>
      </c>
      <c r="C135" s="24">
        <f>(B135/B$354)*100</f>
        <v>0</v>
      </c>
      <c r="D135" s="724">
        <f>Unitflowchart!$S$24*(AllocationEnergy!$H$29/100)/Unitflowchart!$S$357*(ShipTransport!K13)*Unitflowchart!$S$45</f>
        <v>0</v>
      </c>
      <c r="E135" s="726">
        <f>Unitflowchart!$S$24*(AllocationEnergy!$H$29/100)/Unitflowchart!$S$357*(ShipTransport!P13)*Unitflowchart!$S$45</f>
        <v>0</v>
      </c>
      <c r="F135" s="24">
        <f>(E135/E$354)*100</f>
        <v>0</v>
      </c>
      <c r="G135" s="726">
        <f>Unitflowchart!$S$24*(AllocationEnergy!$H$29/100)/Unitflowchart!$S$357*(ShipTransport!Q13)*Unitflowchart!$S$45</f>
        <v>0</v>
      </c>
      <c r="H135" s="707">
        <f>Unitflowchart!$S$24*(AllocationEnergy!$H$29/100)/Unitflowchart!$S$357*(ShipTransport!V13)*Unitflowchart!$S$45</f>
        <v>0</v>
      </c>
      <c r="I135" s="24">
        <f>(H135/H$354)*100</f>
        <v>0</v>
      </c>
      <c r="J135" s="709">
        <f>Unitflowchart!$S$24*(AllocationEnergy!$H$29/100)/Unitflowchart!$S$357*(ShipTransport!W13)*Unitflowchart!$S$45</f>
        <v>0</v>
      </c>
      <c r="K135" s="707">
        <f>Unitflowchart!$S$24*(AllocationEnergy!$H$29/100)/Unitflowchart!$S$357*(ShipTransport!AB13)*Unitflowchart!$S$45</f>
        <v>0</v>
      </c>
      <c r="L135" s="24">
        <f>(K135/K$354)*100</f>
        <v>0</v>
      </c>
      <c r="M135" s="709">
        <f>Unitflowchart!$S$24*(AllocationEnergy!$H$29/100)/Unitflowchart!$S$357*(ShipTransport!AC13)*Unitflowchart!$S$45</f>
        <v>0</v>
      </c>
      <c r="N135" s="710">
        <f>E135+(GlobalWarmingPotentials!$B$11*H135)+(GlobalWarmingPotentials!$C$11*K135)</f>
        <v>0</v>
      </c>
      <c r="O135" s="24">
        <f>(N135/N$354)*100</f>
        <v>0</v>
      </c>
      <c r="P135" s="724">
        <f>SQRT((G135^2)+((GlobalWarmingPotentials!$B$11*J135)^2)+((GlobalWarmingPotentials!$C$11*M135)^2))</f>
        <v>0</v>
      </c>
    </row>
    <row r="136" spans="1:16" s="42" customFormat="1" x14ac:dyDescent="0.25">
      <c r="A136" s="152"/>
      <c r="B136" s="713"/>
      <c r="C136" s="882"/>
      <c r="D136" s="719"/>
      <c r="E136" s="209"/>
      <c r="F136" s="882"/>
      <c r="G136" s="209"/>
      <c r="H136" s="495"/>
      <c r="I136" s="882"/>
      <c r="J136" s="889"/>
      <c r="K136" s="495"/>
      <c r="L136" s="882"/>
      <c r="M136" s="889"/>
      <c r="N136" s="713"/>
      <c r="O136" s="882"/>
      <c r="P136" s="719"/>
    </row>
    <row r="137" spans="1:16" s="6" customFormat="1" x14ac:dyDescent="0.25">
      <c r="A137" s="214" t="s">
        <v>849</v>
      </c>
      <c r="B137" s="717">
        <f>Unitflowchart!$S$24*(AllocationEnergy!$H$29/100)/Unitflowchart!$S$357*(ShipTransport!J15)*Unitflowchart!$S$45</f>
        <v>0</v>
      </c>
      <c r="C137" s="14">
        <f>(B137/B$354)*100</f>
        <v>0</v>
      </c>
      <c r="D137" s="722">
        <f>Unitflowchart!$S$24*(AllocationEnergy!$H$29/100)/Unitflowchart!$S$357*(ShipTransport!K15)*Unitflowchart!$S$45</f>
        <v>0</v>
      </c>
      <c r="E137" s="717">
        <f>Unitflowchart!$S$24*(AllocationEnergy!$H$29/100)/Unitflowchart!$S$357*(ShipTransport!P15)*Unitflowchart!$S$45</f>
        <v>0</v>
      </c>
      <c r="F137" s="14">
        <f>(E137/E$354)*100</f>
        <v>0</v>
      </c>
      <c r="G137" s="722">
        <f>Unitflowchart!$S$24*(AllocationEnergy!$H$29/100)/Unitflowchart!$S$357*(ShipTransport!Q15)*Unitflowchart!$S$45</f>
        <v>0</v>
      </c>
      <c r="H137" s="717">
        <f>Unitflowchart!$S$24*(AllocationEnergy!$H$29/100)/Unitflowchart!$S$357*(ShipTransport!V15)*Unitflowchart!$S$45</f>
        <v>0</v>
      </c>
      <c r="I137" s="14">
        <f>(H137/H$354)*100</f>
        <v>0</v>
      </c>
      <c r="J137" s="722">
        <f>Unitflowchart!$S$24*(AllocationEnergy!$H$29/100)/Unitflowchart!$S$357*(ShipTransport!W15)*Unitflowchart!$S$45</f>
        <v>0</v>
      </c>
      <c r="K137" s="717">
        <f>Unitflowchart!$S$24*(AllocationEnergy!$H$29/100)/Unitflowchart!$S$357*(ShipTransport!AB15)*Unitflowchart!$S$45</f>
        <v>0</v>
      </c>
      <c r="L137" s="14">
        <f>(K137/K$354)*100</f>
        <v>0</v>
      </c>
      <c r="M137" s="722">
        <f>Unitflowchart!$S$24*(AllocationEnergy!$H$29/100)/Unitflowchart!$S$357*(ShipTransport!AC15)*Unitflowchart!$S$45</f>
        <v>0</v>
      </c>
      <c r="N137" s="714">
        <f>E137+(GlobalWarmingPotentials!$B$11*H137)+(GlobalWarmingPotentials!$C$11*K137)</f>
        <v>0</v>
      </c>
      <c r="O137" s="14">
        <f>(N137/N$354)*100</f>
        <v>0</v>
      </c>
      <c r="P137" s="739">
        <f>SQRT((G137^2)+((GlobalWarmingPotentials!$B$11*J137)^2)+((GlobalWarmingPotentials!$C$11*M137)^2))</f>
        <v>0</v>
      </c>
    </row>
    <row r="138" spans="1:16" x14ac:dyDescent="0.25">
      <c r="B138" s="712"/>
      <c r="D138" s="721"/>
      <c r="E138" s="718"/>
      <c r="G138" s="718"/>
      <c r="H138" s="30"/>
      <c r="J138" s="708"/>
      <c r="K138" s="30"/>
      <c r="M138" s="708"/>
      <c r="N138" s="712"/>
      <c r="P138" s="721"/>
    </row>
    <row r="139" spans="1:16" x14ac:dyDescent="0.25">
      <c r="A139" s="214" t="s">
        <v>851</v>
      </c>
      <c r="B139" s="717">
        <f>B113+B121+B129+B137</f>
        <v>601.53586980511921</v>
      </c>
      <c r="C139" s="705">
        <f>(B139/B$354)*100</f>
        <v>3.1609997524787445</v>
      </c>
      <c r="D139" s="725">
        <f>SQRT((D113^2)+(D121^2)+(D129^2)+(D137^2))</f>
        <v>28.272185880840603</v>
      </c>
      <c r="E139" s="727">
        <f t="shared" ref="E139" si="24">E113+E121+E129+E137</f>
        <v>43.167066146313303</v>
      </c>
      <c r="F139" s="705">
        <f>(E139/E$354)*100</f>
        <v>3.6087155562006963</v>
      </c>
      <c r="G139" s="727">
        <f t="shared" ref="G139" si="25">SQRT((G113^2)+(G121^2)+(G129^2)+(G137^2))</f>
        <v>2.0288521088767251</v>
      </c>
      <c r="H139" s="706">
        <f t="shared" ref="H139" si="26">H113+H121+H129+H137</f>
        <v>8.969779978454712E-3</v>
      </c>
      <c r="I139" s="705">
        <f>(H139/H$354)*100</f>
        <v>0.50180898751023928</v>
      </c>
      <c r="J139" s="704">
        <f t="shared" ref="J139" si="27">SQRT((J113^2)+(J121^2)+(J129^2)+(J137^2))</f>
        <v>4.215796589873715E-4</v>
      </c>
      <c r="K139" s="706">
        <f t="shared" ref="K139" si="28">K113+K121+K129+K137</f>
        <v>1.166071397199113E-2</v>
      </c>
      <c r="L139" s="705">
        <f>(K139/K$354)*100</f>
        <v>0.64192933075856551</v>
      </c>
      <c r="M139" s="704">
        <f t="shared" ref="M139" si="29">SQRT((M113^2)+(M121^2)+(M129^2)+(M137^2))</f>
        <v>5.4805355668358297E-4</v>
      </c>
      <c r="N139" s="717">
        <f t="shared" ref="N139" si="30">N113+N121+N129+N137</f>
        <v>46.824942421527133</v>
      </c>
      <c r="O139" s="705">
        <f>(N139/N$354)*100</f>
        <v>2.6380419026056448</v>
      </c>
      <c r="P139" s="725">
        <f t="shared" ref="P139" si="31">SQRT((P113^2)+(P121^2)+(P129^2)+(P137^2))</f>
        <v>2.035350455563139</v>
      </c>
    </row>
    <row r="140" spans="1:16" x14ac:dyDescent="0.25">
      <c r="B140" s="712"/>
      <c r="D140" s="721"/>
      <c r="E140" s="718"/>
      <c r="G140" s="718"/>
      <c r="H140" s="30"/>
      <c r="J140" s="708"/>
      <c r="K140" s="30"/>
      <c r="M140" s="708"/>
      <c r="N140" s="712"/>
      <c r="P140" s="721"/>
    </row>
    <row r="141" spans="1:16" x14ac:dyDescent="0.25">
      <c r="A141" s="384" t="s">
        <v>42</v>
      </c>
      <c r="B141" s="712"/>
      <c r="D141" s="721"/>
      <c r="E141" s="718"/>
      <c r="G141" s="718"/>
      <c r="H141" s="30"/>
      <c r="J141" s="708"/>
      <c r="K141" s="30"/>
      <c r="M141" s="708"/>
      <c r="N141" s="712"/>
      <c r="P141" s="721"/>
    </row>
    <row r="142" spans="1:16" x14ac:dyDescent="0.25">
      <c r="B142" s="712"/>
      <c r="D142" s="721"/>
      <c r="E142" s="718"/>
      <c r="G142" s="718"/>
      <c r="H142" s="30"/>
      <c r="J142" s="708"/>
      <c r="K142" s="30"/>
      <c r="M142" s="708"/>
      <c r="N142" s="712"/>
      <c r="P142" s="721"/>
    </row>
    <row r="143" spans="1:16" x14ac:dyDescent="0.25">
      <c r="A143" t="str">
        <f>RoadTransportStage2!A28</f>
        <v xml:space="preserve"> - Diesel Fuel</v>
      </c>
      <c r="B143" s="715">
        <f>Unitflowchart!$S$51*(AllocationEnergy!$H$29/100)/Unitflowchart!$S$357*(RoadTransportStage2!J35)*Unitflowchart!$S$60</f>
        <v>0</v>
      </c>
      <c r="C143" s="25">
        <f>(B143/B$354)*100</f>
        <v>0</v>
      </c>
      <c r="D143" s="481">
        <f>Unitflowchart!$S$51*(AllocationEnergy!$H$29/100)/Unitflowchart!$S$357*(RoadTransportStage2!K35)*Unitflowchart!$S$60</f>
        <v>0</v>
      </c>
      <c r="E143" s="715">
        <f>Unitflowchart!$S$51*(AllocationEnergy!$H$29/100)/Unitflowchart!$S$357*(RoadTransportStage2!P35)*Unitflowchart!$S$60</f>
        <v>0</v>
      </c>
      <c r="F143" s="25">
        <f>(E143/E$354)*100</f>
        <v>0</v>
      </c>
      <c r="G143" s="481">
        <f>Unitflowchart!$S$51*(AllocationEnergy!$H$29/100)/Unitflowchart!$S$357*(RoadTransportStage2!Q35)*Unitflowchart!$S$60</f>
        <v>0</v>
      </c>
      <c r="H143" s="730">
        <f>Unitflowchart!$S$51*(AllocationEnergy!$H$29/100)/Unitflowchart!$S$357*(RoadTransportStage2!V35)*Unitflowchart!$S$60</f>
        <v>0</v>
      </c>
      <c r="I143" s="25">
        <f>(H143/H$354)*100</f>
        <v>0</v>
      </c>
      <c r="J143" s="732">
        <f>Unitflowchart!$S$51*(AllocationEnergy!$H$29/100)/Unitflowchart!$S$357*(RoadTransportStage2!W35)*Unitflowchart!$S$60</f>
        <v>0</v>
      </c>
      <c r="K143" s="730">
        <f>Unitflowchart!$S$51*(AllocationEnergy!$H$29/100)/Unitflowchart!$S$357*(RoadTransportStage2!AB35)*Unitflowchart!$S$60</f>
        <v>0</v>
      </c>
      <c r="L143" s="25">
        <f>(K143/K$354)*100</f>
        <v>0</v>
      </c>
      <c r="M143" s="732">
        <f>Unitflowchart!$S$51*(AllocationEnergy!$H$29/100)/Unitflowchart!$S$357*(RoadTransportStage2!AC35)*Unitflowchart!$S$60</f>
        <v>0</v>
      </c>
      <c r="N143" s="711">
        <f>E143+(GlobalWarmingPotentials!$B$11*H143)+(GlobalWarmingPotentials!$C$11*K143)</f>
        <v>0</v>
      </c>
      <c r="O143" s="25">
        <f>(N143/N$354)*100</f>
        <v>0</v>
      </c>
      <c r="P143" s="736">
        <f>SQRT((G143^2)+((GlobalWarmingPotentials!$B$11*J143)^2)+((GlobalWarmingPotentials!$C$11*M143)^2))</f>
        <v>0</v>
      </c>
    </row>
    <row r="144" spans="1:16" x14ac:dyDescent="0.25">
      <c r="A144" t="str">
        <f>RoadTransportStage2!A29</f>
        <v xml:space="preserve"> - Vehicle </v>
      </c>
      <c r="B144" s="715">
        <f>Unitflowchart!$S$51*(AllocationEnergy!$H$29/100)/Unitflowchart!$S$357*(RoadTransportStage2!J36)*Unitflowchart!$S$60</f>
        <v>0</v>
      </c>
      <c r="C144" s="25">
        <f>(B144/B$354)*100</f>
        <v>0</v>
      </c>
      <c r="D144" s="481">
        <f>Unitflowchart!$S$51*(AllocationEnergy!$H$29/100)/Unitflowchart!$S$357*(RoadTransportStage2!K36)*Unitflowchart!$S$60</f>
        <v>0</v>
      </c>
      <c r="E144" s="715">
        <f>Unitflowchart!$S$51*(AllocationEnergy!$H$29/100)/Unitflowchart!$S$357*(RoadTransportStage2!P36)*Unitflowchart!$S$60</f>
        <v>0</v>
      </c>
      <c r="F144" s="25">
        <f>(E144/E$354)*100</f>
        <v>0</v>
      </c>
      <c r="G144" s="481">
        <f>Unitflowchart!$S$51*(AllocationEnergy!$H$29/100)/Unitflowchart!$S$357*(RoadTransportStage2!Q36)*Unitflowchart!$S$60</f>
        <v>0</v>
      </c>
      <c r="H144" s="730">
        <f>Unitflowchart!$S$51*(AllocationEnergy!$H$29/100)/Unitflowchart!$S$357*(RoadTransportStage2!V36)*Unitflowchart!$S$60</f>
        <v>0</v>
      </c>
      <c r="I144" s="25">
        <f>(H144/H$354)*100</f>
        <v>0</v>
      </c>
      <c r="J144" s="732">
        <f>Unitflowchart!$S$51*(AllocationEnergy!$H$29/100)/Unitflowchart!$S$357*(RoadTransportStage2!W36)*Unitflowchart!$S$60</f>
        <v>0</v>
      </c>
      <c r="K144" s="730">
        <f>Unitflowchart!$S$51*(AllocationEnergy!$H$29/100)/Unitflowchart!$S$357*(RoadTransportStage2!AB36)*Unitflowchart!$S$60</f>
        <v>0</v>
      </c>
      <c r="L144" s="25">
        <f>(K144/K$354)*100</f>
        <v>0</v>
      </c>
      <c r="M144" s="732">
        <f>Unitflowchart!$S$51*(AllocationEnergy!$H$29/100)/Unitflowchart!$S$357*(RoadTransportStage2!AC36)*Unitflowchart!$S$60</f>
        <v>0</v>
      </c>
      <c r="N144" s="711">
        <f>E144+(GlobalWarmingPotentials!$B$11*H144)+(GlobalWarmingPotentials!$C$11*K144)</f>
        <v>0</v>
      </c>
      <c r="O144" s="25">
        <f>(N144/N$354)*100</f>
        <v>0</v>
      </c>
      <c r="P144" s="736">
        <f>SQRT((G144^2)+((GlobalWarmingPotentials!$B$11*J144)^2)+((GlobalWarmingPotentials!$C$11*M144)^2))</f>
        <v>0</v>
      </c>
    </row>
    <row r="145" spans="1:16" x14ac:dyDescent="0.25">
      <c r="A145" t="str">
        <f>RoadTransportStage2!A30</f>
        <v xml:space="preserve"> - Maintenance</v>
      </c>
      <c r="B145" s="715">
        <f>Unitflowchart!$S$51*(AllocationEnergy!$H$29/100)/Unitflowchart!$S$357*(RoadTransportStage2!J37)*Unitflowchart!$S$60</f>
        <v>0</v>
      </c>
      <c r="C145" s="25">
        <f>(B145/B$354)*100</f>
        <v>0</v>
      </c>
      <c r="D145" s="481">
        <f>Unitflowchart!$S$51*(AllocationEnergy!$H$29/100)/Unitflowchart!$S$357*(RoadTransportStage2!K37)*Unitflowchart!$S$60</f>
        <v>0</v>
      </c>
      <c r="E145" s="715">
        <f>Unitflowchart!$S$51*(AllocationEnergy!$H$29/100)/Unitflowchart!$S$357*(RoadTransportStage2!P37)*Unitflowchart!$S$60</f>
        <v>0</v>
      </c>
      <c r="F145" s="25">
        <f>(E145/E$354)*100</f>
        <v>0</v>
      </c>
      <c r="G145" s="481">
        <f>Unitflowchart!$S$51*(AllocationEnergy!$H$29/100)/Unitflowchart!$S$357*(RoadTransportStage2!Q37)*Unitflowchart!$S$60</f>
        <v>0</v>
      </c>
      <c r="H145" s="730">
        <f>Unitflowchart!$S$51*(AllocationEnergy!$H$29/100)/Unitflowchart!$S$357*(RoadTransportStage2!V37)*Unitflowchart!$S$60</f>
        <v>0</v>
      </c>
      <c r="I145" s="25">
        <f>(H145/H$354)*100</f>
        <v>0</v>
      </c>
      <c r="J145" s="732">
        <f>Unitflowchart!$S$51*(AllocationEnergy!$H$29/100)/Unitflowchart!$S$357*(RoadTransportStage2!W37)*Unitflowchart!$S$60</f>
        <v>0</v>
      </c>
      <c r="K145" s="730">
        <f>Unitflowchart!$S$51*(AllocationEnergy!$H$29/100)/Unitflowchart!$S$357*(RoadTransportStage2!AB37)*Unitflowchart!$S$60</f>
        <v>0</v>
      </c>
      <c r="L145" s="25">
        <f>(K145/K$354)*100</f>
        <v>0</v>
      </c>
      <c r="M145" s="732">
        <f>Unitflowchart!$S$51*(AllocationEnergy!$H$29/100)/Unitflowchart!$S$357*(RoadTransportStage2!AC37)*Unitflowchart!$S$60</f>
        <v>0</v>
      </c>
      <c r="N145" s="711">
        <f>E145+(GlobalWarmingPotentials!$B$11*H145)+(GlobalWarmingPotentials!$C$11*K145)</f>
        <v>0</v>
      </c>
      <c r="O145" s="25">
        <f>(N145/N$354)*100</f>
        <v>0</v>
      </c>
      <c r="P145" s="736">
        <f>SQRT((G145^2)+((GlobalWarmingPotentials!$B$11*J145)^2)+((GlobalWarmingPotentials!$C$11*M145)^2))</f>
        <v>0</v>
      </c>
    </row>
    <row r="146" spans="1:16" s="42" customFormat="1" x14ac:dyDescent="0.25">
      <c r="B146" s="746"/>
      <c r="C146" s="863"/>
      <c r="D146" s="759"/>
      <c r="E146" s="746"/>
      <c r="F146" s="863"/>
      <c r="G146" s="759"/>
      <c r="H146" s="763"/>
      <c r="I146" s="863"/>
      <c r="J146" s="764"/>
      <c r="K146" s="763"/>
      <c r="L146" s="863"/>
      <c r="M146" s="764"/>
      <c r="N146" s="713"/>
      <c r="O146" s="863"/>
      <c r="P146" s="738"/>
    </row>
    <row r="147" spans="1:16" x14ac:dyDescent="0.25">
      <c r="A147" s="21" t="s">
        <v>844</v>
      </c>
      <c r="B147" s="714">
        <f>Unitflowchart!$S$51*(AllocationEnergy!$H$29/100)/Unitflowchart!$S$357*(RoadTransportStage2!J39)*Unitflowchart!$S$60</f>
        <v>0</v>
      </c>
      <c r="C147" s="14">
        <f>(B147/B$354)*100</f>
        <v>0</v>
      </c>
      <c r="D147" s="722">
        <f>Unitflowchart!$S$51*(AllocationEnergy!$H$29/100)/Unitflowchart!$S$357*(RoadTransportStage2!K39)*Unitflowchart!$S$60</f>
        <v>0</v>
      </c>
      <c r="E147" s="714">
        <f>Unitflowchart!$S$51*(AllocationEnergy!$H$29/100)/Unitflowchart!$S$357*(RoadTransportStage2!P39)*Unitflowchart!$S$60</f>
        <v>0</v>
      </c>
      <c r="F147" s="14">
        <f>(E147/E$354)*100</f>
        <v>0</v>
      </c>
      <c r="G147" s="722">
        <f>Unitflowchart!$S$51*(AllocationEnergy!$H$29/100)/Unitflowchart!$S$357*(RoadTransportStage2!Q39)*Unitflowchart!$S$60</f>
        <v>0</v>
      </c>
      <c r="H147" s="211">
        <f>Unitflowchart!$S$51*(AllocationEnergy!$H$29/100)/Unitflowchart!$S$357*(RoadTransportStage2!V39)*Unitflowchart!$S$60</f>
        <v>0</v>
      </c>
      <c r="I147" s="14">
        <f>(H147/H$354)*100</f>
        <v>0</v>
      </c>
      <c r="J147" s="212">
        <f>Unitflowchart!$S$51*(AllocationEnergy!$H$29/100)/Unitflowchart!$S$357*(RoadTransportStage2!W39)*Unitflowchart!$S$60</f>
        <v>0</v>
      </c>
      <c r="K147" s="211">
        <f>Unitflowchart!$S$51*(AllocationEnergy!$H$29/100)/Unitflowchart!$S$357*(RoadTransportStage2!AB39)*Unitflowchart!$S$60</f>
        <v>0</v>
      </c>
      <c r="L147" s="14">
        <f>(K147/K$354)*100</f>
        <v>0</v>
      </c>
      <c r="M147" s="212">
        <f>Unitflowchart!$S$51*(AllocationEnergy!$H$29/100)/Unitflowchart!$S$357*(RoadTransportStage2!AC39)*Unitflowchart!$S$60</f>
        <v>0</v>
      </c>
      <c r="N147" s="714">
        <f>E147+(GlobalWarmingPotentials!$B$11*H147)+(GlobalWarmingPotentials!$C$11*K147)</f>
        <v>0</v>
      </c>
      <c r="O147" s="14">
        <f>(N147/N$354)*100</f>
        <v>0</v>
      </c>
      <c r="P147" s="739">
        <f>SQRT((G147^2)+((GlobalWarmingPotentials!$B$11*J147)^2)+((GlobalWarmingPotentials!$C$11*M147)^2))</f>
        <v>0</v>
      </c>
    </row>
    <row r="148" spans="1:16" s="208" customFormat="1" x14ac:dyDescent="0.25">
      <c r="A148" s="755"/>
      <c r="B148" s="743"/>
      <c r="C148" s="753"/>
      <c r="D148" s="758"/>
      <c r="E148" s="743"/>
      <c r="F148" s="753"/>
      <c r="G148" s="758"/>
      <c r="H148" s="745"/>
      <c r="I148" s="753"/>
      <c r="J148" s="762"/>
      <c r="K148" s="745"/>
      <c r="L148" s="753"/>
      <c r="M148" s="762"/>
      <c r="N148" s="743"/>
      <c r="O148" s="753"/>
      <c r="P148" s="767"/>
    </row>
    <row r="149" spans="1:16" s="208" customFormat="1" x14ac:dyDescent="0.25">
      <c r="A149" s="384" t="s">
        <v>856</v>
      </c>
      <c r="B149" s="746"/>
      <c r="C149" s="744"/>
      <c r="D149" s="759"/>
      <c r="E149" s="746"/>
      <c r="F149" s="744"/>
      <c r="G149" s="759"/>
      <c r="H149" s="763"/>
      <c r="I149" s="744"/>
      <c r="J149" s="764"/>
      <c r="K149" s="763"/>
      <c r="L149" s="744"/>
      <c r="M149" s="764"/>
      <c r="N149" s="746"/>
      <c r="O149" s="744"/>
      <c r="P149" s="768"/>
    </row>
    <row r="150" spans="1:16" s="208" customFormat="1" x14ac:dyDescent="0.25">
      <c r="A150"/>
      <c r="B150" s="746"/>
      <c r="C150" s="744"/>
      <c r="D150" s="759"/>
      <c r="E150" s="746"/>
      <c r="F150" s="744"/>
      <c r="G150" s="759"/>
      <c r="H150" s="763"/>
      <c r="I150" s="744"/>
      <c r="J150" s="764"/>
      <c r="K150" s="763"/>
      <c r="L150" s="744"/>
      <c r="M150" s="764"/>
      <c r="N150" s="746"/>
      <c r="O150" s="744"/>
      <c r="P150" s="768"/>
    </row>
    <row r="151" spans="1:16" s="208" customFormat="1" x14ac:dyDescent="0.25">
      <c r="A151" t="str">
        <f>RailTransport!A11</f>
        <v xml:space="preserve"> - Gas Oil</v>
      </c>
      <c r="B151" s="771">
        <f>Unitflowchart!$S$51*(AllocationEnergy!$H$29/100)/Unitflowchart!$S$357*(RailTransport!J11)*Unitflowchart!$S$62</f>
        <v>0</v>
      </c>
      <c r="C151" s="744">
        <f>(B151/B$354)*100</f>
        <v>0</v>
      </c>
      <c r="D151" s="772">
        <f>Unitflowchart!$S$51*(AllocationEnergy!$H$29/100)/Unitflowchart!$S$357*(RailTransport!K11)*Unitflowchart!$S$62</f>
        <v>0</v>
      </c>
      <c r="E151" s="771">
        <f>Unitflowchart!$S$51*(AllocationEnergy!$H$29/100)/Unitflowchart!$S$357*(RailTransport!P11)*Unitflowchart!$S$62</f>
        <v>0</v>
      </c>
      <c r="F151" s="744">
        <f>(E151/E$354)*100</f>
        <v>0</v>
      </c>
      <c r="G151" s="772">
        <f>Unitflowchart!$S$51*(AllocationEnergy!$H$29/100)/Unitflowchart!$S$357*(RailTransport!Q11)*Unitflowchart!$S$62</f>
        <v>0</v>
      </c>
      <c r="H151" s="773">
        <f>Unitflowchart!$S51*(AllocationEnergy!$H$29/100)/Unitflowchart!$S$357*(RailTransport!V11)*Unitflowchart!$S$62</f>
        <v>0</v>
      </c>
      <c r="I151" s="744">
        <f>(H151/H$354)*100</f>
        <v>0</v>
      </c>
      <c r="J151" s="774">
        <f>Unitflowchart!$S$51*(AllocationEnergy!$H$29/100)/Unitflowchart!$S$357*(RailTransport!W11)*Unitflowchart!$S$62</f>
        <v>0</v>
      </c>
      <c r="K151" s="773">
        <f>Unitflowchart!$S$51*(AllocationEnergy!$H$29/100)/Unitflowchart!$S$357*(RailTransport!AB11)*Unitflowchart!$S$62</f>
        <v>0</v>
      </c>
      <c r="L151" s="744">
        <f>(K151/K$354)*100</f>
        <v>0</v>
      </c>
      <c r="M151" s="774">
        <f>Unitflowchart!$S$51*(AllocationEnergy!$H$29/100)/Unitflowchart!$S$357*(RailTransport!AC11)*Unitflowchart!$S$62</f>
        <v>0</v>
      </c>
      <c r="N151" s="771">
        <f>E151+(GlobalWarmingPotentials!$B$11*H151)+(GlobalWarmingPotentials!$C$11*K151)</f>
        <v>0</v>
      </c>
      <c r="O151" s="744">
        <f>(N151/N$354)*100</f>
        <v>0</v>
      </c>
      <c r="P151" s="776">
        <f>SQRT((G151^2)+((GlobalWarmingPotentials!$B$11*J151)^2)+((GlobalWarmingPotentials!$C$11*M151)^2))</f>
        <v>0</v>
      </c>
    </row>
    <row r="152" spans="1:16" s="208" customFormat="1" x14ac:dyDescent="0.25">
      <c r="A152" t="str">
        <f>RailTransport!A12</f>
        <v xml:space="preserve"> - Capital Equipment</v>
      </c>
      <c r="B152" s="771">
        <f>Unitflowchart!$S$51*(AllocationEnergy!$H$29/100)/Unitflowchart!$S$357*(RailTransport!J12)*Unitflowchart!$S$62</f>
        <v>0</v>
      </c>
      <c r="C152" s="744">
        <f>(B152/B$354)*100</f>
        <v>0</v>
      </c>
      <c r="D152" s="772">
        <f>Unitflowchart!$S$51*(AllocationEnergy!$H$29/100)/Unitflowchart!$S$357*(RailTransport!K12)*Unitflowchart!$S$62</f>
        <v>0</v>
      </c>
      <c r="E152" s="771">
        <f>Unitflowchart!$S$51*(AllocationEnergy!$H$29/100)/Unitflowchart!$S$357*(RailTransport!P12)*Unitflowchart!$S$62</f>
        <v>0</v>
      </c>
      <c r="F152" s="744">
        <f>(E152/E$354)*100</f>
        <v>0</v>
      </c>
      <c r="G152" s="772">
        <f>Unitflowchart!$S$51*(AllocationEnergy!$H$29/100)/Unitflowchart!$S$357*(RailTransport!Q12)*Unitflowchart!$S$62</f>
        <v>0</v>
      </c>
      <c r="H152" s="773">
        <f>Unitflowchart!$S52*(AllocationEnergy!$H$29/100)/Unitflowchart!$S$357*(RailTransport!V12)*Unitflowchart!$S$62</f>
        <v>0</v>
      </c>
      <c r="I152" s="744">
        <f>(H152/H$354)*100</f>
        <v>0</v>
      </c>
      <c r="J152" s="774">
        <f>Unitflowchart!$S$51*(AllocationEnergy!$H$29/100)/Unitflowchart!$S$357*(RailTransport!W12)*Unitflowchart!$S$62</f>
        <v>0</v>
      </c>
      <c r="K152" s="773">
        <f>Unitflowchart!$S$51*(AllocationEnergy!$H$29/100)/Unitflowchart!$S$357*(RailTransport!AB12)*Unitflowchart!$S$62</f>
        <v>0</v>
      </c>
      <c r="L152" s="744">
        <f>(K152/K$354)*100</f>
        <v>0</v>
      </c>
      <c r="M152" s="774">
        <f>Unitflowchart!$S$51*(AllocationEnergy!$H$29/100)/Unitflowchart!$S$357*(RailTransport!AC12)*Unitflowchart!$S$62</f>
        <v>0</v>
      </c>
      <c r="N152" s="771">
        <f>E152+(GlobalWarmingPotentials!$B$11*H152)+(GlobalWarmingPotentials!$C$11*K152)</f>
        <v>0</v>
      </c>
      <c r="O152" s="744">
        <f>(N152/N$354)*100</f>
        <v>0</v>
      </c>
      <c r="P152" s="776">
        <f>SQRT((G152^2)+((GlobalWarmingPotentials!$B$11*J152)^2)+((GlobalWarmingPotentials!$C$11*M152)^2))</f>
        <v>0</v>
      </c>
    </row>
    <row r="153" spans="1:16" s="208" customFormat="1" x14ac:dyDescent="0.25">
      <c r="A153" t="str">
        <f>RailTransport!A13</f>
        <v xml:space="preserve"> - Maintenance</v>
      </c>
      <c r="B153" s="771">
        <f>Unitflowchart!$S$51*(AllocationEnergy!$H$29/100)/Unitflowchart!$S$357*(RailTransport!J13)*Unitflowchart!$S$62</f>
        <v>0</v>
      </c>
      <c r="C153" s="744">
        <f>(B153/B$354)*100</f>
        <v>0</v>
      </c>
      <c r="D153" s="772">
        <f>Unitflowchart!$S$51*(AllocationEnergy!$H$29/100)/Unitflowchart!$S$357*(RailTransport!K13)*Unitflowchart!$S$62</f>
        <v>0</v>
      </c>
      <c r="E153" s="771">
        <f>Unitflowchart!$S$51*(AllocationEnergy!$H$29/100)/Unitflowchart!$S$357*(RailTransport!P13)*Unitflowchart!$S$62</f>
        <v>0</v>
      </c>
      <c r="F153" s="744">
        <f>(E153/E$354)*100</f>
        <v>0</v>
      </c>
      <c r="G153" s="772">
        <f>Unitflowchart!$S$51*(AllocationEnergy!$H$29/100)/Unitflowchart!$S$357*(RailTransport!Q13)*Unitflowchart!$S$62</f>
        <v>0</v>
      </c>
      <c r="H153" s="773">
        <f>Unitflowchart!$S53*(AllocationEnergy!$H$29/100)/Unitflowchart!$S$357*(RailTransport!V13)*Unitflowchart!$S$62</f>
        <v>0</v>
      </c>
      <c r="I153" s="744">
        <f>(H153/H$354)*100</f>
        <v>0</v>
      </c>
      <c r="J153" s="774">
        <f>Unitflowchart!$S$51*(AllocationEnergy!$H$29/100)/Unitflowchart!$S$357*(RailTransport!W13)*Unitflowchart!$S$62</f>
        <v>0</v>
      </c>
      <c r="K153" s="773">
        <f>Unitflowchart!$S$51*(AllocationEnergy!$H$29/100)/Unitflowchart!$S$357*(RailTransport!AB13)*Unitflowchart!$S$62</f>
        <v>0</v>
      </c>
      <c r="L153" s="744">
        <f>(K153/K$354)*100</f>
        <v>0</v>
      </c>
      <c r="M153" s="774">
        <f>Unitflowchart!$S$51*(AllocationEnergy!$H$29/100)/Unitflowchart!$S$357*(RailTransport!AC13)*Unitflowchart!$S$62</f>
        <v>0</v>
      </c>
      <c r="N153" s="771">
        <f>E153+(GlobalWarmingPotentials!$B$11*H153)+(GlobalWarmingPotentials!$C$11*K153)</f>
        <v>0</v>
      </c>
      <c r="O153" s="744">
        <f>(N153/N$354)*100</f>
        <v>0</v>
      </c>
      <c r="P153" s="776">
        <f>SQRT((G153^2)+((GlobalWarmingPotentials!$B$11*J153)^2)+((GlobalWarmingPotentials!$C$11*M153)^2))</f>
        <v>0</v>
      </c>
    </row>
    <row r="154" spans="1:16" s="208" customFormat="1" x14ac:dyDescent="0.25">
      <c r="A154" s="42"/>
      <c r="B154" s="746"/>
      <c r="C154" s="744"/>
      <c r="D154" s="759"/>
      <c r="E154" s="746"/>
      <c r="F154" s="744"/>
      <c r="G154" s="759"/>
      <c r="H154" s="763"/>
      <c r="I154" s="744"/>
      <c r="J154" s="764"/>
      <c r="K154" s="763"/>
      <c r="L154" s="744"/>
      <c r="M154" s="764"/>
      <c r="N154" s="746"/>
      <c r="O154" s="744"/>
      <c r="P154" s="768"/>
    </row>
    <row r="155" spans="1:16" s="208" customFormat="1" x14ac:dyDescent="0.25">
      <c r="A155" s="699" t="s">
        <v>857</v>
      </c>
      <c r="B155" s="777">
        <f>Unitflowchart!$S$51*(AllocationEnergy!$H$29/100)/Unitflowchart!$S$357*(RailTransport!J15)*Unitflowchart!$S$62</f>
        <v>0</v>
      </c>
      <c r="C155" s="769">
        <f>(B155/B$354)*100</f>
        <v>0</v>
      </c>
      <c r="D155" s="778">
        <f>Unitflowchart!$S$51*(AllocationEnergy!$H$29/100)/Unitflowchart!$S$357*(RailTransport!K15)*Unitflowchart!$S$62</f>
        <v>0</v>
      </c>
      <c r="E155" s="777">
        <f>Unitflowchart!$S$51*(AllocationEnergy!$H$29/100)/Unitflowchart!$S$357*(RailTransport!P15)*Unitflowchart!$S$62</f>
        <v>0</v>
      </c>
      <c r="F155" s="769">
        <f>(E155/E$354)*100</f>
        <v>0</v>
      </c>
      <c r="G155" s="778">
        <f>Unitflowchart!$S$51*(AllocationEnergy!$H$29/100)/Unitflowchart!$S$357*(RailTransport!Q15)*Unitflowchart!$S$62</f>
        <v>0</v>
      </c>
      <c r="H155" s="779">
        <f>Unitflowchart!$S55*(AllocationEnergy!$H$29/100)/Unitflowchart!$S$357*(RailTransport!V15)*Unitflowchart!$S$62</f>
        <v>0</v>
      </c>
      <c r="I155" s="769">
        <f>(H155/H$354)*100</f>
        <v>0</v>
      </c>
      <c r="J155" s="780">
        <f>Unitflowchart!$S$51*(AllocationEnergy!$H$29/100)/Unitflowchart!$S$357*(RailTransport!W15)*Unitflowchart!$S$62</f>
        <v>0</v>
      </c>
      <c r="K155" s="779">
        <f>Unitflowchart!$S$51*(AllocationEnergy!$H$29/100)/Unitflowchart!$S$357*(RailTransport!AB15)*Unitflowchart!$S$62</f>
        <v>0</v>
      </c>
      <c r="L155" s="769">
        <f>(K155/K$354)*100</f>
        <v>0</v>
      </c>
      <c r="M155" s="780">
        <f>Unitflowchart!$S$51*(AllocationEnergy!$H$29/100)/Unitflowchart!$S$357*(RailTransport!AC15)*Unitflowchart!$S$62</f>
        <v>0</v>
      </c>
      <c r="N155" s="777">
        <f>E155+(GlobalWarmingPotentials!$B$11*H155)+(GlobalWarmingPotentials!$C$11*K155)</f>
        <v>0</v>
      </c>
      <c r="O155" s="769">
        <f>(N155/N$354)*100</f>
        <v>0</v>
      </c>
      <c r="P155" s="781">
        <f>SQRT((G155^2)+((GlobalWarmingPotentials!$B$11*J155)^2)+((GlobalWarmingPotentials!$C$11*M155)^2))</f>
        <v>0</v>
      </c>
    </row>
    <row r="156" spans="1:16" s="208" customFormat="1" x14ac:dyDescent="0.25">
      <c r="A156" s="756"/>
      <c r="B156" s="746"/>
      <c r="C156" s="744"/>
      <c r="D156" s="759"/>
      <c r="E156" s="746"/>
      <c r="F156" s="744"/>
      <c r="G156" s="759"/>
      <c r="H156" s="763"/>
      <c r="I156" s="744"/>
      <c r="J156" s="764"/>
      <c r="K156" s="763"/>
      <c r="L156" s="744"/>
      <c r="M156" s="764"/>
      <c r="N156" s="746"/>
      <c r="O156" s="744"/>
      <c r="P156" s="768"/>
    </row>
    <row r="157" spans="1:16" s="208" customFormat="1" x14ac:dyDescent="0.25">
      <c r="A157" s="384" t="s">
        <v>858</v>
      </c>
      <c r="B157" s="746"/>
      <c r="C157" s="744"/>
      <c r="D157" s="759"/>
      <c r="E157" s="746"/>
      <c r="F157" s="744"/>
      <c r="G157" s="759"/>
      <c r="H157" s="763"/>
      <c r="I157" s="744"/>
      <c r="J157" s="764"/>
      <c r="K157" s="763"/>
      <c r="L157" s="744"/>
      <c r="M157" s="764"/>
      <c r="N157" s="746"/>
      <c r="O157" s="744"/>
      <c r="P157" s="768"/>
    </row>
    <row r="158" spans="1:16" s="208" customFormat="1" x14ac:dyDescent="0.25">
      <c r="A158"/>
      <c r="B158" s="746"/>
      <c r="C158" s="744"/>
      <c r="D158" s="759"/>
      <c r="E158" s="746"/>
      <c r="F158" s="744"/>
      <c r="G158" s="759"/>
      <c r="H158" s="763"/>
      <c r="I158" s="744"/>
      <c r="J158" s="764"/>
      <c r="K158" s="763"/>
      <c r="L158" s="744"/>
      <c r="M158" s="764"/>
      <c r="N158" s="746"/>
      <c r="O158" s="744"/>
      <c r="P158" s="768"/>
    </row>
    <row r="159" spans="1:16" s="208" customFormat="1" x14ac:dyDescent="0.25">
      <c r="A159" t="str">
        <f>BargeTransport!A11</f>
        <v xml:space="preserve"> - Marine Diesel</v>
      </c>
      <c r="B159" s="771">
        <f>Unitflowchart!$S$51*(AllocationEnergy!$H$29/100)/Unitflowchart!$S$357*(BargeTransport!J11)*Unitflowchart!$S$64</f>
        <v>0</v>
      </c>
      <c r="C159" s="744">
        <f>(B159/B$354)*100</f>
        <v>0</v>
      </c>
      <c r="D159" s="772">
        <f>Unitflowchart!$S$51*(AllocationEnergy!$H$29/100)/Unitflowchart!$S$357*(BargeTransport!K11)*Unitflowchart!$S$64</f>
        <v>0</v>
      </c>
      <c r="E159" s="771">
        <f>Unitflowchart!$S$51*(AllocationEnergy!$H$29/100)/Unitflowchart!$S$357*(BargeTransport!P11)*Unitflowchart!$S$64</f>
        <v>0</v>
      </c>
      <c r="F159" s="744">
        <f>(E159/E$354)*100</f>
        <v>0</v>
      </c>
      <c r="G159" s="772">
        <f>Unitflowchart!$S$51*(AllocationEnergy!$H$29/100)/Unitflowchart!$S$357*(BargeTransport!Q11)*Unitflowchart!$S$64</f>
        <v>0</v>
      </c>
      <c r="H159" s="773">
        <f>Unitflowchart!$S59*(AllocationEnergy!$H$29/100)/Unitflowchart!$S$357*(BargeTransport!V11)*Unitflowchart!$S$64</f>
        <v>0</v>
      </c>
      <c r="I159" s="744">
        <f>(H159/H$354)*100</f>
        <v>0</v>
      </c>
      <c r="J159" s="774">
        <f>Unitflowchart!$S$51*(AllocationEnergy!$H$29/100)/Unitflowchart!$S$357*(BargeTransport!W11)*Unitflowchart!$S$64</f>
        <v>0</v>
      </c>
      <c r="K159" s="773">
        <f>Unitflowchart!$S$51*(AllocationEnergy!$H$29/100)/Unitflowchart!$S$357*(BargeTransport!AB11)*Unitflowchart!$S$64</f>
        <v>0</v>
      </c>
      <c r="L159" s="744">
        <f>(K159/K$354)*100</f>
        <v>0</v>
      </c>
      <c r="M159" s="774">
        <f>Unitflowchart!$S$51*(AllocationEnergy!$H$29/100)/Unitflowchart!$S$357*(BargeTransport!AC11)*Unitflowchart!$S$64</f>
        <v>0</v>
      </c>
      <c r="N159" s="771">
        <f>E159+(GlobalWarmingPotentials!$B$11*H159)+(GlobalWarmingPotentials!$C$11*K159)</f>
        <v>0</v>
      </c>
      <c r="O159" s="744">
        <f>(N159/N$354)*100</f>
        <v>0</v>
      </c>
      <c r="P159" s="776">
        <f>SQRT((G159^2)+((GlobalWarmingPotentials!$B$11*J159)^2)+((GlobalWarmingPotentials!$C$11*M159)^2))</f>
        <v>0</v>
      </c>
    </row>
    <row r="160" spans="1:16" s="208" customFormat="1" x14ac:dyDescent="0.25">
      <c r="A160" t="str">
        <f>BargeTransport!A12</f>
        <v xml:space="preserve"> - Barge Construction</v>
      </c>
      <c r="B160" s="771">
        <f>Unitflowchart!$S$51*(AllocationEnergy!$H$29/100)/Unitflowchart!$S$357*(BargeTransport!J12)*Unitflowchart!$S$64</f>
        <v>0</v>
      </c>
      <c r="C160" s="744">
        <f>(B160/B$354)*100</f>
        <v>0</v>
      </c>
      <c r="D160" s="772">
        <f>Unitflowchart!$S$51*(AllocationEnergy!$H$29/100)/Unitflowchart!$S$357*(BargeTransport!K12)*Unitflowchart!$S$64</f>
        <v>0</v>
      </c>
      <c r="E160" s="771">
        <f>Unitflowchart!$S$51*(AllocationEnergy!$H$29/100)/Unitflowchart!$S$357*(BargeTransport!P12)*Unitflowchart!$S$64</f>
        <v>0</v>
      </c>
      <c r="F160" s="744">
        <f>(E160/E$354)*100</f>
        <v>0</v>
      </c>
      <c r="G160" s="772">
        <f>Unitflowchart!$S$51*(AllocationEnergy!$H$29/100)/Unitflowchart!$S$357*(BargeTransport!Q12)*Unitflowchart!$S$64</f>
        <v>0</v>
      </c>
      <c r="H160" s="773">
        <f>Unitflowchart!$S60*(AllocationEnergy!$H$29/100)/Unitflowchart!$S$357*(BargeTransport!V12)*Unitflowchart!$S$64</f>
        <v>0</v>
      </c>
      <c r="I160" s="744">
        <f>(H160/H$354)*100</f>
        <v>0</v>
      </c>
      <c r="J160" s="774">
        <f>Unitflowchart!$S$51*(AllocationEnergy!$H$29/100)/Unitflowchart!$S$357*(BargeTransport!W12)*Unitflowchart!$S$64</f>
        <v>0</v>
      </c>
      <c r="K160" s="773">
        <f>Unitflowchart!$S$51*(AllocationEnergy!$H$29/100)/Unitflowchart!$S$357*(BargeTransport!AB12)*Unitflowchart!$S$64</f>
        <v>0</v>
      </c>
      <c r="L160" s="744">
        <f>(K160/K$354)*100</f>
        <v>0</v>
      </c>
      <c r="M160" s="774">
        <f>Unitflowchart!$S$51*(AllocationEnergy!$H$29/100)/Unitflowchart!$S$357*(BargeTransport!AC12)*Unitflowchart!$S$64</f>
        <v>0</v>
      </c>
      <c r="N160" s="771">
        <f>E160+(GlobalWarmingPotentials!$B$11*H160)+(GlobalWarmingPotentials!$C$11*K160)</f>
        <v>0</v>
      </c>
      <c r="O160" s="744">
        <f>(N160/N$354)*100</f>
        <v>0</v>
      </c>
      <c r="P160" s="776">
        <f>SQRT((G160^2)+((GlobalWarmingPotentials!$B$11*J160)^2)+((GlobalWarmingPotentials!$C$11*M160)^2))</f>
        <v>0</v>
      </c>
    </row>
    <row r="161" spans="1:17" s="208" customFormat="1" x14ac:dyDescent="0.25">
      <c r="A161" t="str">
        <f>BargeTransport!A13</f>
        <v xml:space="preserve"> - Barge Maintenance</v>
      </c>
      <c r="B161" s="771">
        <f>Unitflowchart!$S$51*(AllocationEnergy!$H$29/100)/Unitflowchart!$S$357*(BargeTransport!J13)*Unitflowchart!$S$64</f>
        <v>0</v>
      </c>
      <c r="C161" s="744">
        <f>(B161/B$354)*100</f>
        <v>0</v>
      </c>
      <c r="D161" s="772">
        <f>Unitflowchart!$S$51*(AllocationEnergy!$H$29/100)/Unitflowchart!$S$357*(BargeTransport!K13)*Unitflowchart!$S$64</f>
        <v>0</v>
      </c>
      <c r="E161" s="771">
        <f>Unitflowchart!$S$51*(AllocationEnergy!$H$29/100)/Unitflowchart!$S$357*(BargeTransport!P13)*Unitflowchart!$S$64</f>
        <v>0</v>
      </c>
      <c r="F161" s="744">
        <f>(E161/E$354)*100</f>
        <v>0</v>
      </c>
      <c r="G161" s="772">
        <f>Unitflowchart!$S$51*(AllocationEnergy!$H$29/100)/Unitflowchart!$S$357*(BargeTransport!Q13)*Unitflowchart!$S$64</f>
        <v>0</v>
      </c>
      <c r="H161" s="773">
        <f>Unitflowchart!$S61*(AllocationEnergy!$H$29/100)/Unitflowchart!$S$357*(BargeTransport!V13)*Unitflowchart!$S$64</f>
        <v>0</v>
      </c>
      <c r="I161" s="744">
        <f>(H161/H$354)*100</f>
        <v>0</v>
      </c>
      <c r="J161" s="774">
        <f>Unitflowchart!$S$51*(AllocationEnergy!$H$29/100)/Unitflowchart!$S$357*(BargeTransport!W13)*Unitflowchart!$S$64</f>
        <v>0</v>
      </c>
      <c r="K161" s="773">
        <f>Unitflowchart!$S$51*(AllocationEnergy!$H$29/100)/Unitflowchart!$S$357*(BargeTransport!AB13)*Unitflowchart!$S$64</f>
        <v>0</v>
      </c>
      <c r="L161" s="744">
        <f>(K161/K$354)*100</f>
        <v>0</v>
      </c>
      <c r="M161" s="774">
        <f>Unitflowchart!$S$51*(AllocationEnergy!$H$29/100)/Unitflowchart!$S$357*(BargeTransport!AC13)*Unitflowchart!$S$64</f>
        <v>0</v>
      </c>
      <c r="N161" s="771">
        <f>E161+(GlobalWarmingPotentials!$B$11*H161)+(GlobalWarmingPotentials!$C$11*K161)</f>
        <v>0</v>
      </c>
      <c r="O161" s="744">
        <f>(N161/N$354)*100</f>
        <v>0</v>
      </c>
      <c r="P161" s="776">
        <f>SQRT((G161^2)+((GlobalWarmingPotentials!$B$11*J161)^2)+((GlobalWarmingPotentials!$C$11*M161)^2))</f>
        <v>0</v>
      </c>
    </row>
    <row r="162" spans="1:17" s="208" customFormat="1" x14ac:dyDescent="0.25">
      <c r="A162" s="42"/>
      <c r="B162" s="746"/>
      <c r="C162" s="744"/>
      <c r="D162" s="759"/>
      <c r="E162" s="746"/>
      <c r="F162" s="744"/>
      <c r="G162" s="759"/>
      <c r="H162" s="763"/>
      <c r="I162" s="744"/>
      <c r="J162" s="764"/>
      <c r="K162" s="763"/>
      <c r="L162" s="744"/>
      <c r="M162" s="764"/>
      <c r="N162" s="746"/>
      <c r="O162" s="744"/>
      <c r="P162" s="768"/>
    </row>
    <row r="163" spans="1:17" s="208" customFormat="1" x14ac:dyDescent="0.25">
      <c r="A163" s="699" t="s">
        <v>859</v>
      </c>
      <c r="B163" s="777">
        <f>Unitflowchart!$S$51*(AllocationEnergy!$H$29/100)/Unitflowchart!$S$357*(BargeTransport!J15)*Unitflowchart!$S$64</f>
        <v>0</v>
      </c>
      <c r="C163" s="769">
        <f>(B163/B$354)*100</f>
        <v>0</v>
      </c>
      <c r="D163" s="778">
        <f>Unitflowchart!$S$51*(AllocationEnergy!$H$29/100)/Unitflowchart!$S$357*(BargeTransport!K15)*Unitflowchart!$S$64</f>
        <v>0</v>
      </c>
      <c r="E163" s="777">
        <f>Unitflowchart!$S$51*(AllocationEnergy!$H$29/100)/Unitflowchart!$S$357*(BargeTransport!P15)*Unitflowchart!$S$64</f>
        <v>0</v>
      </c>
      <c r="F163" s="769">
        <f>(E163/E$354)*100</f>
        <v>0</v>
      </c>
      <c r="G163" s="778">
        <f>Unitflowchart!$S$51*(AllocationEnergy!$H$29/100)/Unitflowchart!$S$357*(BargeTransport!Q15)*Unitflowchart!$S$64</f>
        <v>0</v>
      </c>
      <c r="H163" s="779">
        <f>Unitflowchart!$S63*(AllocationEnergy!$H$29/100)/Unitflowchart!$S$357*(BargeTransport!V15)*Unitflowchart!$S$64</f>
        <v>0</v>
      </c>
      <c r="I163" s="769">
        <f>(H163/H$354)*100</f>
        <v>0</v>
      </c>
      <c r="J163" s="780">
        <f>Unitflowchart!$S$51*(AllocationEnergy!$H$29/100)/Unitflowchart!$S$357*(BargeTransport!W15)*Unitflowchart!$S$64</f>
        <v>0</v>
      </c>
      <c r="K163" s="779">
        <f>Unitflowchart!$S$51*(AllocationEnergy!$H$29/100)/Unitflowchart!$S$357*(BargeTransport!AB15)*Unitflowchart!$S$64</f>
        <v>0</v>
      </c>
      <c r="L163" s="769">
        <f>(K163/K$354)*100</f>
        <v>0</v>
      </c>
      <c r="M163" s="780">
        <f>Unitflowchart!$S$51*(AllocationEnergy!$H$29/100)/Unitflowchart!$S$357*(BargeTransport!AC15)*Unitflowchart!$S$64</f>
        <v>0</v>
      </c>
      <c r="N163" s="777">
        <f>E163+(GlobalWarmingPotentials!$B$11*H163)+(GlobalWarmingPotentials!$C$11*K163)</f>
        <v>0</v>
      </c>
      <c r="O163" s="769">
        <f>(N163/N$354)*100</f>
        <v>0</v>
      </c>
      <c r="P163" s="781">
        <f>SQRT((G163^2)+((GlobalWarmingPotentials!$B$11*J163)^2)+((GlobalWarmingPotentials!$C$11*M163)^2))</f>
        <v>0</v>
      </c>
    </row>
    <row r="164" spans="1:17" s="208" customFormat="1" x14ac:dyDescent="0.25">
      <c r="A164" s="756"/>
      <c r="B164" s="746"/>
      <c r="C164" s="744"/>
      <c r="D164" s="759"/>
      <c r="E164" s="746"/>
      <c r="F164" s="744"/>
      <c r="G164" s="759"/>
      <c r="H164" s="763"/>
      <c r="I164" s="744"/>
      <c r="J164" s="764"/>
      <c r="K164" s="763"/>
      <c r="L164" s="744"/>
      <c r="M164" s="764"/>
      <c r="N164" s="746"/>
      <c r="O164" s="744"/>
      <c r="P164" s="768"/>
    </row>
    <row r="165" spans="1:17" s="208" customFormat="1" x14ac:dyDescent="0.25">
      <c r="A165" s="384" t="s">
        <v>860</v>
      </c>
      <c r="B165" s="746"/>
      <c r="C165" s="744"/>
      <c r="D165" s="759"/>
      <c r="E165" s="746"/>
      <c r="F165" s="744"/>
      <c r="G165" s="759"/>
      <c r="H165" s="763"/>
      <c r="I165" s="744"/>
      <c r="J165" s="764"/>
      <c r="K165" s="763"/>
      <c r="L165" s="744"/>
      <c r="M165" s="764"/>
      <c r="N165" s="746"/>
      <c r="O165" s="744"/>
      <c r="P165" s="768"/>
    </row>
    <row r="166" spans="1:17" s="208" customFormat="1" x14ac:dyDescent="0.25">
      <c r="A166"/>
      <c r="B166" s="746"/>
      <c r="C166" s="744"/>
      <c r="D166" s="759"/>
      <c r="E166" s="746"/>
      <c r="F166" s="744"/>
      <c r="G166" s="759"/>
      <c r="H166" s="763"/>
      <c r="I166" s="744"/>
      <c r="J166" s="764"/>
      <c r="K166" s="763"/>
      <c r="L166" s="744"/>
      <c r="M166" s="764"/>
      <c r="N166" s="746"/>
      <c r="O166" s="744"/>
      <c r="P166" s="768"/>
    </row>
    <row r="167" spans="1:17" s="208" customFormat="1" x14ac:dyDescent="0.25">
      <c r="A167" t="str">
        <f>ShipTransport!A11</f>
        <v xml:space="preserve"> - Marine Diesel</v>
      </c>
      <c r="B167" s="771">
        <f>Unitflowchart!$S$51*(AllocationEnergy!$H$29/100)/Unitflowchart!$S$357*(ShipTransport!J11)*Unitflowchart!$S$66</f>
        <v>0</v>
      </c>
      <c r="C167" s="744">
        <f>(B167/B$354)*100</f>
        <v>0</v>
      </c>
      <c r="D167" s="772">
        <f>Unitflowchart!$S$51*(AllocationEnergy!$H$29/100)/Unitflowchart!$S$357*(ShipTransport!K11)*Unitflowchart!$S$66</f>
        <v>0</v>
      </c>
      <c r="E167" s="771">
        <f>Unitflowchart!$S$51*(AllocationEnergy!$H$29/100)/Unitflowchart!$S$357*(ShipTransport!P11)*Unitflowchart!$S$66</f>
        <v>0</v>
      </c>
      <c r="F167" s="744">
        <v>0</v>
      </c>
      <c r="G167" s="772">
        <f>Unitflowchart!$S$51*(AllocationEnergy!$H$29/100)/Unitflowchart!$S$357*(ShipTransport!Q11)*Unitflowchart!$S$66</f>
        <v>0</v>
      </c>
      <c r="H167" s="773">
        <f>Unitflowchart!$S67*(AllocationEnergy!$H$29/100)/Unitflowchart!$S$357*(ShipTransport!V11)*Unitflowchart!$S$66</f>
        <v>0</v>
      </c>
      <c r="I167" s="744">
        <f>(H167/H$354)*100</f>
        <v>0</v>
      </c>
      <c r="J167" s="774">
        <f>Unitflowchart!$S$51*(AllocationEnergy!$H$29/100)/Unitflowchart!$S$357*(ShipTransport!W11)*Unitflowchart!$S$66</f>
        <v>0</v>
      </c>
      <c r="K167" s="773">
        <f>Unitflowchart!$S$51*(AllocationEnergy!$H$29/100)/Unitflowchart!$S$357*(ShipTransport!AB11)*Unitflowchart!$S$66</f>
        <v>0</v>
      </c>
      <c r="L167" s="744">
        <f>(K167/K$354)*100</f>
        <v>0</v>
      </c>
      <c r="M167" s="774">
        <f>Unitflowchart!$S$51*(AllocationEnergy!$H$29/100)/Unitflowchart!$S$357*(ShipTransport!AC11)*Unitflowchart!$S$66</f>
        <v>0</v>
      </c>
      <c r="N167" s="771">
        <f>E167+(GlobalWarmingPotentials!$B$11*H167)+(GlobalWarmingPotentials!$C$11*K167)</f>
        <v>0</v>
      </c>
      <c r="O167" s="744">
        <f>(N167/N$354)*100</f>
        <v>0</v>
      </c>
      <c r="P167" s="776">
        <f>SQRT((G167^2)+((GlobalWarmingPotentials!$B$11*J167)^2)+((GlobalWarmingPotentials!$C$11*M167)^2))</f>
        <v>0</v>
      </c>
    </row>
    <row r="168" spans="1:17" s="208" customFormat="1" x14ac:dyDescent="0.25">
      <c r="A168" t="str">
        <f>ShipTransport!A12</f>
        <v xml:space="preserve"> - Ship Construction</v>
      </c>
      <c r="B168" s="771">
        <f>Unitflowchart!$S$51*(AllocationEnergy!$H$29/100)/Unitflowchart!$S$357*(ShipTransport!J12)*Unitflowchart!$S$66</f>
        <v>0</v>
      </c>
      <c r="C168" s="744">
        <f>(B168/B$354)*100</f>
        <v>0</v>
      </c>
      <c r="D168" s="772">
        <f>Unitflowchart!$S$51*(AllocationEnergy!$H$29/100)/Unitflowchart!$S$357*(ShipTransport!K12)*Unitflowchart!$S$66</f>
        <v>0</v>
      </c>
      <c r="E168" s="771">
        <f>Unitflowchart!$S$51*(AllocationEnergy!$H$29/100)/Unitflowchart!$S$357*(ShipTransport!P12)*Unitflowchart!$S$66</f>
        <v>0</v>
      </c>
      <c r="F168" s="744">
        <v>1</v>
      </c>
      <c r="G168" s="772">
        <f>Unitflowchart!$S$51*(AllocationEnergy!$H$29/100)/Unitflowchart!$S$357*(ShipTransport!Q12)*Unitflowchart!$S$66</f>
        <v>0</v>
      </c>
      <c r="H168" s="773">
        <f>Unitflowchart!$S68*(AllocationEnergy!$H$29/100)/Unitflowchart!$S$357*(ShipTransport!V12)*Unitflowchart!$S$66</f>
        <v>0</v>
      </c>
      <c r="I168" s="744">
        <f>(H168/H$354)*100</f>
        <v>0</v>
      </c>
      <c r="J168" s="774">
        <f>Unitflowchart!$S$51*(AllocationEnergy!$H$29/100)/Unitflowchart!$S$357*(ShipTransport!W12)*Unitflowchart!$S$66</f>
        <v>0</v>
      </c>
      <c r="K168" s="773">
        <f>Unitflowchart!$S$51*(AllocationEnergy!$H$29/100)/Unitflowchart!$S$357*(ShipTransport!AB12)*Unitflowchart!$S$66</f>
        <v>0</v>
      </c>
      <c r="L168" s="744">
        <f>(K168/K$354)*100</f>
        <v>0</v>
      </c>
      <c r="M168" s="774">
        <f>Unitflowchart!$S$51*(AllocationEnergy!$H$29/100)/Unitflowchart!$S$357*(ShipTransport!AC12)*Unitflowchart!$S$66</f>
        <v>0</v>
      </c>
      <c r="N168" s="771">
        <f>E168+(GlobalWarmingPotentials!$B$11*H168)+(GlobalWarmingPotentials!$C$11*K168)</f>
        <v>0</v>
      </c>
      <c r="O168" s="744">
        <f>(N168/N$354)*100</f>
        <v>0</v>
      </c>
      <c r="P168" s="776">
        <f>SQRT((G168^2)+((GlobalWarmingPotentials!$B$11*J168)^2)+((GlobalWarmingPotentials!$C$11*M168)^2))</f>
        <v>0</v>
      </c>
    </row>
    <row r="169" spans="1:17" s="208" customFormat="1" x14ac:dyDescent="0.25">
      <c r="A169" t="str">
        <f>ShipTransport!A13</f>
        <v xml:space="preserve"> - Ship Maintenance</v>
      </c>
      <c r="B169" s="771">
        <f>Unitflowchart!$S$51*(AllocationEnergy!$H$29/100)/Unitflowchart!$S$357*(ShipTransport!J13)*Unitflowchart!$S$66</f>
        <v>0</v>
      </c>
      <c r="C169" s="744">
        <f>(B169/B$354)*100</f>
        <v>0</v>
      </c>
      <c r="D169" s="772">
        <f>Unitflowchart!$S$51*(AllocationEnergy!$H$29/100)/Unitflowchart!$S$357*(ShipTransport!K13)*Unitflowchart!$S$66</f>
        <v>0</v>
      </c>
      <c r="E169" s="771">
        <f>Unitflowchart!$S$51*(AllocationEnergy!$H$29/100)/Unitflowchart!$S$357*(ShipTransport!P13)*Unitflowchart!$S$66</f>
        <v>0</v>
      </c>
      <c r="F169" s="744">
        <v>2</v>
      </c>
      <c r="G169" s="772">
        <f>Unitflowchart!$S$51*(AllocationEnergy!$H$29/100)/Unitflowchart!$S$357*(ShipTransport!Q13)*Unitflowchart!$S$66</f>
        <v>0</v>
      </c>
      <c r="H169" s="773">
        <f>Unitflowchart!$S69*(AllocationEnergy!$H$29/100)/Unitflowchart!$S$357*(ShipTransport!V13)*Unitflowchart!$S$66</f>
        <v>0</v>
      </c>
      <c r="I169" s="744">
        <f>(H169/H$354)*100</f>
        <v>0</v>
      </c>
      <c r="J169" s="774">
        <f>Unitflowchart!$S$51*(AllocationEnergy!$H$29/100)/Unitflowchart!$S$357*(ShipTransport!W13)*Unitflowchart!$S$66</f>
        <v>0</v>
      </c>
      <c r="K169" s="773">
        <f>Unitflowchart!$S$51*(AllocationEnergy!$H$29/100)/Unitflowchart!$S$357*(ShipTransport!AB13)*Unitflowchart!$S$66</f>
        <v>0</v>
      </c>
      <c r="L169" s="744">
        <f>(K169/K$354)*100</f>
        <v>0</v>
      </c>
      <c r="M169" s="774">
        <f>Unitflowchart!$S$51*(AllocationEnergy!$H$29/100)/Unitflowchart!$S$357*(ShipTransport!AC13)*Unitflowchart!$S$66</f>
        <v>0</v>
      </c>
      <c r="N169" s="771">
        <f>E169+(GlobalWarmingPotentials!$B$11*H169)+(GlobalWarmingPotentials!$C$11*K169)</f>
        <v>0</v>
      </c>
      <c r="O169" s="744">
        <f>(N169/N$354)*100</f>
        <v>0</v>
      </c>
      <c r="P169" s="776">
        <f>SQRT((G169^2)+((GlobalWarmingPotentials!$B$11*J169)^2)+((GlobalWarmingPotentials!$C$11*M169)^2))</f>
        <v>0</v>
      </c>
    </row>
    <row r="170" spans="1:17" s="208" customFormat="1" x14ac:dyDescent="0.25">
      <c r="A170" s="42"/>
      <c r="B170" s="746"/>
      <c r="C170" s="744"/>
      <c r="D170" s="759"/>
      <c r="E170" s="746"/>
      <c r="F170" s="744"/>
      <c r="G170" s="759"/>
      <c r="H170" s="763"/>
      <c r="I170" s="744"/>
      <c r="J170" s="764"/>
      <c r="K170" s="763"/>
      <c r="L170" s="744"/>
      <c r="M170" s="764"/>
      <c r="N170" s="746"/>
      <c r="O170" s="744"/>
      <c r="P170" s="768"/>
    </row>
    <row r="171" spans="1:17" s="208" customFormat="1" x14ac:dyDescent="0.25">
      <c r="A171" s="699" t="s">
        <v>861</v>
      </c>
      <c r="B171" s="777">
        <f>Unitflowchart!$S$51*(AllocationEnergy!$H$29/100)/Unitflowchart!$S$357*(ShipTransport!J15)*Unitflowchart!$S$66</f>
        <v>0</v>
      </c>
      <c r="C171" s="769">
        <f>(B171/B$354)*100</f>
        <v>0</v>
      </c>
      <c r="D171" s="778">
        <f>Unitflowchart!$S$51*(AllocationEnergy!$H$29/100)/Unitflowchart!$S$357*(ShipTransport!K15)*Unitflowchart!$S$66</f>
        <v>0</v>
      </c>
      <c r="E171" s="777">
        <f>Unitflowchart!$S$51*(AllocationEnergy!$H$29/100)/Unitflowchart!$S$357*(ShipTransport!P15)*Unitflowchart!$S$66</f>
        <v>0</v>
      </c>
      <c r="F171" s="769">
        <v>4</v>
      </c>
      <c r="G171" s="778">
        <f>Unitflowchart!$S$51*(AllocationEnergy!$H$29/100)/Unitflowchart!$S$357*(ShipTransport!Q15)*Unitflowchart!$S$66</f>
        <v>0</v>
      </c>
      <c r="H171" s="779">
        <f>Unitflowchart!$S71*(AllocationEnergy!$H$29/100)/Unitflowchart!$S$357*(ShipTransport!V15)*Unitflowchart!$S$66</f>
        <v>0</v>
      </c>
      <c r="I171" s="769">
        <f>(H171/H$354)*100</f>
        <v>0</v>
      </c>
      <c r="J171" s="780">
        <f>Unitflowchart!$S$51*(AllocationEnergy!$H$29/100)/Unitflowchart!$S$357*(ShipTransport!W15)*Unitflowchart!$S$66</f>
        <v>0</v>
      </c>
      <c r="K171" s="779">
        <f>Unitflowchart!$S$51*(AllocationEnergy!$H$29/100)/Unitflowchart!$S$357*(ShipTransport!AB15)*Unitflowchart!$S$66</f>
        <v>0</v>
      </c>
      <c r="L171" s="769">
        <f>(K171/K$354)*100</f>
        <v>0</v>
      </c>
      <c r="M171" s="780">
        <f>Unitflowchart!$S$51*(AllocationEnergy!$H$29/100)/Unitflowchart!$S$357*(ShipTransport!AC15)*Unitflowchart!$S$66</f>
        <v>0</v>
      </c>
      <c r="N171" s="777">
        <f>E171+(GlobalWarmingPotentials!$B$11*H171)+(GlobalWarmingPotentials!$C$11*K171)</f>
        <v>0</v>
      </c>
      <c r="O171" s="769">
        <f>(N171/N$354)*100</f>
        <v>0</v>
      </c>
      <c r="P171" s="781">
        <f>SQRT((G171^2)+((GlobalWarmingPotentials!$B$11*J171)^2)+((GlobalWarmingPotentials!$C$11*M171)^2))</f>
        <v>0</v>
      </c>
    </row>
    <row r="172" spans="1:17" s="358" customFormat="1" x14ac:dyDescent="0.25">
      <c r="A172" s="757"/>
      <c r="B172" s="760"/>
      <c r="C172" s="754"/>
      <c r="D172" s="761"/>
      <c r="E172" s="760"/>
      <c r="F172" s="754"/>
      <c r="G172" s="761"/>
      <c r="H172" s="765"/>
      <c r="I172" s="754"/>
      <c r="J172" s="766"/>
      <c r="K172" s="765"/>
      <c r="L172" s="754"/>
      <c r="M172" s="766"/>
      <c r="N172" s="760"/>
      <c r="O172" s="754"/>
      <c r="P172" s="761"/>
    </row>
    <row r="173" spans="1:17" x14ac:dyDescent="0.25">
      <c r="A173" s="20" t="s">
        <v>845</v>
      </c>
      <c r="B173" s="748">
        <f>B147+B155+B163+B171</f>
        <v>0</v>
      </c>
      <c r="C173" s="749">
        <f>(B173/B$354)*100</f>
        <v>0</v>
      </c>
      <c r="D173" s="750">
        <f>SQRT((D147^2)+(D155^2)+(D163^2)+(D171^2))</f>
        <v>0</v>
      </c>
      <c r="E173" s="748">
        <f t="shared" ref="E173" si="32">E147+E155+E163+E171</f>
        <v>0</v>
      </c>
      <c r="F173" s="749">
        <f>(E173/E$354)*100</f>
        <v>0</v>
      </c>
      <c r="G173" s="750">
        <f t="shared" ref="G173" si="33">SQRT((G147^2)+(G155^2)+(G163^2)+(G171^2))</f>
        <v>0</v>
      </c>
      <c r="H173" s="751">
        <f t="shared" ref="H173" si="34">H147+H155+H163+H171</f>
        <v>0</v>
      </c>
      <c r="I173" s="749">
        <f>(H173/H$354)*100</f>
        <v>0</v>
      </c>
      <c r="J173" s="752">
        <f t="shared" ref="J173" si="35">SQRT((J147^2)+(J155^2)+(J163^2)+(J171^2))</f>
        <v>0</v>
      </c>
      <c r="K173" s="751">
        <f t="shared" ref="K173" si="36">K147+K155+K163+K171</f>
        <v>0</v>
      </c>
      <c r="L173" s="749">
        <f>(K173/K$354)*100</f>
        <v>0</v>
      </c>
      <c r="M173" s="752">
        <f t="shared" ref="M173" si="37">SQRT((M147^2)+(M155^2)+(M163^2)+(M171^2))</f>
        <v>0</v>
      </c>
      <c r="N173" s="748">
        <f t="shared" ref="N173" si="38">N147+N155+N163+N171</f>
        <v>0</v>
      </c>
      <c r="O173" s="749">
        <f>(N173/N$354)*100</f>
        <v>0</v>
      </c>
      <c r="P173" s="750">
        <f t="shared" ref="P173" si="39">SQRT((P147^2)+(P155^2)+(P163^2)+(P171^2))</f>
        <v>0</v>
      </c>
      <c r="Q173" s="29"/>
    </row>
    <row r="174" spans="1:17" s="208" customFormat="1" x14ac:dyDescent="0.25">
      <c r="A174" s="921"/>
      <c r="B174" s="746"/>
      <c r="C174" s="744"/>
      <c r="D174" s="759"/>
      <c r="E174" s="746"/>
      <c r="F174" s="744"/>
      <c r="G174" s="759"/>
      <c r="H174" s="763"/>
      <c r="I174" s="744"/>
      <c r="J174" s="764"/>
      <c r="K174" s="763"/>
      <c r="L174" s="744"/>
      <c r="M174" s="764"/>
      <c r="N174" s="746"/>
      <c r="O174" s="744"/>
      <c r="P174" s="768"/>
    </row>
    <row r="175" spans="1:17" s="208" customFormat="1" x14ac:dyDescent="0.25">
      <c r="A175" s="1527" t="s">
        <v>1918</v>
      </c>
      <c r="B175" s="746"/>
      <c r="C175" s="744"/>
      <c r="D175" s="759"/>
      <c r="E175" s="746"/>
      <c r="F175" s="744"/>
      <c r="G175" s="759"/>
      <c r="H175" s="763"/>
      <c r="I175" s="744"/>
      <c r="J175" s="764"/>
      <c r="K175" s="763"/>
      <c r="L175" s="744"/>
      <c r="M175" s="764"/>
      <c r="N175" s="746"/>
      <c r="O175" s="744"/>
      <c r="P175" s="768"/>
    </row>
    <row r="176" spans="1:17" s="208" customFormat="1" x14ac:dyDescent="0.25">
      <c r="A176" s="921"/>
      <c r="B176" s="746"/>
      <c r="C176" s="744"/>
      <c r="D176" s="759"/>
      <c r="E176" s="746"/>
      <c r="F176" s="744"/>
      <c r="G176" s="759"/>
      <c r="H176" s="763"/>
      <c r="I176" s="744"/>
      <c r="J176" s="764"/>
      <c r="K176" s="763"/>
      <c r="L176" s="744"/>
      <c r="M176" s="764"/>
      <c r="N176" s="746"/>
      <c r="O176" s="744"/>
      <c r="P176" s="768"/>
    </row>
    <row r="177" spans="1:17" s="208" customFormat="1" x14ac:dyDescent="0.25">
      <c r="A177" s="920" t="str">
        <f>Milling!A18</f>
        <v>Electricity Input</v>
      </c>
      <c r="B177" s="715">
        <f>(AllocationEnergy!$H$29/100)*Milling!J18*(Unitflowchart!$S$286/Unitflowchart!$S$357)</f>
        <v>0</v>
      </c>
      <c r="C177" s="25">
        <f>(B177/B$354)*100</f>
        <v>0</v>
      </c>
      <c r="D177" s="481">
        <f>(AllocationEnergy!$H$29/100)*Milling!K18*(Unitflowchart!$S$286/Unitflowchart!$S$357)</f>
        <v>0</v>
      </c>
      <c r="E177" s="715">
        <f>(AllocationEnergy!$H$29/100)*Milling!P18*(Unitflowchart!$S$286/Unitflowchart!$S$357)</f>
        <v>0</v>
      </c>
      <c r="F177" s="25">
        <f>(E177/E$354)*100</f>
        <v>0</v>
      </c>
      <c r="G177" s="715">
        <f>(AllocationEnergy!$H$29/100)*Milling!Q18*(Unitflowchart!$S$286/Unitflowchart!$S$357)</f>
        <v>0</v>
      </c>
      <c r="H177" s="715">
        <f>(AllocationEnergy!$H$29/100)*Milling!V18*(Unitflowchart!$S$286/Unitflowchart!$S$357)</f>
        <v>4.9893379868219297E-3</v>
      </c>
      <c r="I177" s="25">
        <f>(H177/H$354)*100</f>
        <v>0.27912553591362649</v>
      </c>
      <c r="J177" s="481">
        <f>(AllocationEnergy!$H$29/100)*Milling!W18*(Unitflowchart!$S$286/Unitflowchart!$S$357)</f>
        <v>0</v>
      </c>
      <c r="K177" s="715">
        <f>(AllocationEnergy!$H$29/100)*Milling!AB18*(Unitflowchart!$S$286/Unitflowchart!$S$357)</f>
        <v>1.4968013960465786E-3</v>
      </c>
      <c r="L177" s="25">
        <f>(K177/K$354)*100</f>
        <v>8.2399818806171962E-2</v>
      </c>
      <c r="M177" s="481">
        <f>(AllocationEnergy!$H$29/100)*Milling!AC18*(Unitflowchart!$S$286/Unitflowchart!$S$357)</f>
        <v>0</v>
      </c>
      <c r="N177" s="711">
        <f>E177+(GlobalWarmingPotentials!$B$11*H177)+(GlobalWarmingPotentials!$C$11*K177)</f>
        <v>0.55780798692669165</v>
      </c>
      <c r="O177" s="25">
        <f>(N177/N$354)*100</f>
        <v>3.142600432636522E-2</v>
      </c>
      <c r="P177" s="740">
        <f>SQRT((G177^2)+((GlobalWarmingPotentials!$B$11*J177)^2)+((GlobalWarmingPotentials!$C$11*M177)^2))</f>
        <v>0</v>
      </c>
    </row>
    <row r="178" spans="1:17" s="208" customFormat="1" x14ac:dyDescent="0.25">
      <c r="A178" s="921"/>
      <c r="B178" s="746"/>
      <c r="C178" s="744"/>
      <c r="D178" s="759"/>
      <c r="E178" s="746"/>
      <c r="F178" s="744"/>
      <c r="G178" s="759"/>
      <c r="H178" s="763"/>
      <c r="I178" s="744"/>
      <c r="J178" s="764"/>
      <c r="K178" s="763"/>
      <c r="L178" s="744"/>
      <c r="M178" s="764"/>
      <c r="N178" s="746"/>
      <c r="O178" s="744"/>
      <c r="P178" s="768"/>
    </row>
    <row r="179" spans="1:17" s="154" customFormat="1" x14ac:dyDescent="0.25">
      <c r="A179" s="1513" t="s">
        <v>1919</v>
      </c>
      <c r="B179" s="714">
        <f>(AllocationEnergy!$H$29/100)*Milling!J20*(Unitflowchart!$S$286/Unitflowchart!$S$357)</f>
        <v>0</v>
      </c>
      <c r="C179" s="14">
        <f>(B179/B$354)*100</f>
        <v>0</v>
      </c>
      <c r="D179" s="722">
        <f>(AllocationEnergy!$H$29/100)*Milling!K20*(Unitflowchart!$S$286/Unitflowchart!$S$357)</f>
        <v>0</v>
      </c>
      <c r="E179" s="714">
        <f>(AllocationEnergy!$H$29/100)*Milling!P20*(Unitflowchart!$S$286/Unitflowchart!$S$357)</f>
        <v>0</v>
      </c>
      <c r="F179" s="14">
        <f>(E179/E$354)*100</f>
        <v>0</v>
      </c>
      <c r="G179" s="714">
        <f>(AllocationEnergy!$H$29/100)*Milling!Q20*(Unitflowchart!$S$286/Unitflowchart!$S$357)</f>
        <v>0</v>
      </c>
      <c r="H179" s="714">
        <f>(AllocationEnergy!$H$29/100)*Milling!V20*(Unitflowchart!$S$286/Unitflowchart!$S$357)</f>
        <v>4.9893379868219297E-3</v>
      </c>
      <c r="I179" s="14">
        <f>(H179/H$354)*100</f>
        <v>0.27912553591362649</v>
      </c>
      <c r="J179" s="714">
        <f>(AllocationEnergy!$H$29/100)*Milling!W20*(Unitflowchart!$S$286/Unitflowchart!$S$357)</f>
        <v>0</v>
      </c>
      <c r="K179" s="714">
        <f>(AllocationEnergy!$H$29/100)*Milling!AB20*(Unitflowchart!$S$286/Unitflowchart!$S$357)</f>
        <v>1.4968013960465786E-3</v>
      </c>
      <c r="L179" s="14">
        <f>(K179/K$354)*100</f>
        <v>8.2399818806171962E-2</v>
      </c>
      <c r="M179" s="924">
        <f>(AllocationEnergy!$H$29/100)*Milling!AC20*(Unitflowchart!$S$286/Unitflowchart!$S$357)</f>
        <v>0</v>
      </c>
      <c r="N179" s="714">
        <f>E179+(GlobalWarmingPotentials!$B$11*H179)+(GlobalWarmingPotentials!$C$11*K179)</f>
        <v>0.55780798692669165</v>
      </c>
      <c r="O179" s="14">
        <f>(N179/N$354)*100</f>
        <v>3.142600432636522E-2</v>
      </c>
      <c r="P179" s="741">
        <f>SQRT((G179^2)+((GlobalWarmingPotentials!$B$11*J179)^2)+((GlobalWarmingPotentials!$C$11*M179)^2))</f>
        <v>0</v>
      </c>
    </row>
    <row r="180" spans="1:17" x14ac:dyDescent="0.25">
      <c r="B180" s="712"/>
      <c r="D180" s="718"/>
      <c r="E180" s="712"/>
      <c r="G180" s="718"/>
      <c r="H180" s="30"/>
      <c r="J180" s="708"/>
      <c r="K180" s="30"/>
      <c r="M180" s="708"/>
      <c r="N180" s="712"/>
      <c r="P180" s="718"/>
      <c r="Q180" s="29"/>
    </row>
    <row r="181" spans="1:17" x14ac:dyDescent="0.25">
      <c r="A181" s="817" t="s">
        <v>1920</v>
      </c>
      <c r="B181" s="712"/>
      <c r="D181" s="718"/>
      <c r="E181" s="712"/>
      <c r="G181" s="718"/>
      <c r="H181" s="30"/>
      <c r="J181" s="708"/>
      <c r="K181" s="30"/>
      <c r="M181" s="708"/>
      <c r="N181" s="712"/>
      <c r="P181" s="718"/>
      <c r="Q181" s="29"/>
    </row>
    <row r="182" spans="1:17" x14ac:dyDescent="0.25">
      <c r="B182" s="712"/>
      <c r="D182" s="718"/>
      <c r="E182" s="712"/>
      <c r="G182" s="718"/>
      <c r="H182" s="30"/>
      <c r="J182" s="708"/>
      <c r="K182" s="30"/>
      <c r="M182" s="708"/>
      <c r="N182" s="712"/>
      <c r="P182" s="718"/>
      <c r="Q182" s="29"/>
    </row>
    <row r="183" spans="1:17" x14ac:dyDescent="0.25">
      <c r="A183" t="str">
        <f>'Pre-TreatHydrolysis'!A29</f>
        <v>Heat Input</v>
      </c>
      <c r="B183" s="715">
        <f>(AllocationEnergy!$H$29/100)*'Pre-TreatHydrolysis'!J29*(Unitflowchart!$S$286/Unitflowchart!$S$357)</f>
        <v>0</v>
      </c>
      <c r="C183" s="25">
        <f t="shared" ref="C183:C194" si="40">(B183/B$354)*100</f>
        <v>0</v>
      </c>
      <c r="D183" s="355">
        <f>(AllocationEnergy!$H$29/100)*'Pre-TreatHydrolysis'!K29*(Unitflowchart!$S$286/Unitflowchart!$S$357)</f>
        <v>0</v>
      </c>
      <c r="E183" s="715">
        <f>(AllocationEnergy!$H$29/100)*'Pre-TreatHydrolysis'!P29*(Unitflowchart!$S$286/Unitflowchart!$S$357)</f>
        <v>0</v>
      </c>
      <c r="F183" s="25">
        <f t="shared" ref="F183:F194" si="41">(E183/E$354)*100</f>
        <v>0</v>
      </c>
      <c r="G183" s="355">
        <f>(AllocationEnergy!$H$29/100)*'Pre-TreatHydrolysis'!Q29*(Unitflowchart!$S$286/Unitflowchart!$S$357)</f>
        <v>0</v>
      </c>
      <c r="H183" s="730">
        <f>(AllocationEnergy!$H$29/100)*'Pre-TreatHydrolysis'!V29*(Unitflowchart!$S$286/Unitflowchart!$S$357)</f>
        <v>4.2299481139922218E-3</v>
      </c>
      <c r="I183" s="25">
        <f t="shared" ref="I183:I194" si="42">(H183/H$354)*100</f>
        <v>0.23664192270064613</v>
      </c>
      <c r="J183" s="733">
        <f>(AllocationEnergy!$H$29/100)*'Pre-TreatHydrolysis'!W29*(Unitflowchart!$S$286/Unitflowchart!$S$357)</f>
        <v>0</v>
      </c>
      <c r="K183" s="730">
        <f>(AllocationEnergy!$H$29/100)*'Pre-TreatHydrolysis'!AB29*(Unitflowchart!$S$286/Unitflowchart!$S$357)</f>
        <v>1.2689844341976667E-3</v>
      </c>
      <c r="L183" s="25">
        <f t="shared" ref="L183:L194" si="43">(K183/K$354)*100</f>
        <v>6.9858357776736379E-2</v>
      </c>
      <c r="M183" s="733">
        <f>(AllocationEnergy!$H$29/100)*'Pre-TreatHydrolysis'!AC29*(Unitflowchart!$S$286/Unitflowchart!$S$357)</f>
        <v>0</v>
      </c>
      <c r="N183" s="711">
        <f>E183+(GlobalWarmingPotentials!$B$11*H183)+(GlobalWarmingPotentials!$C$11*K183)</f>
        <v>0.47290819914433041</v>
      </c>
      <c r="O183" s="25">
        <f t="shared" ref="O183:O194" si="44">(N183/N$354)*100</f>
        <v>2.6642886908387814E-2</v>
      </c>
      <c r="P183" s="740">
        <f>SQRT((G183^2)+((GlobalWarmingPotentials!$B$11*J183)^2)+((GlobalWarmingPotentials!$C$11*M183)^2))</f>
        <v>0</v>
      </c>
      <c r="Q183" s="29"/>
    </row>
    <row r="184" spans="1:17" x14ac:dyDescent="0.25">
      <c r="A184" t="str">
        <f>'Pre-TreatHydrolysis'!A30</f>
        <v>Electricity Input</v>
      </c>
      <c r="B184" s="715">
        <f>(AllocationEnergy!$H$29/100)*'Pre-TreatHydrolysis'!J30*(Unitflowchart!$S$286/Unitflowchart!$S$357)</f>
        <v>0</v>
      </c>
      <c r="C184" s="25">
        <f t="shared" si="40"/>
        <v>0</v>
      </c>
      <c r="D184" s="355">
        <f>(AllocationEnergy!$H$29/100)*'Pre-TreatHydrolysis'!K30*(Unitflowchart!$S$286/Unitflowchart!$S$357)</f>
        <v>0</v>
      </c>
      <c r="E184" s="715">
        <f>(AllocationEnergy!$H$29/100)*'Pre-TreatHydrolysis'!P30*(Unitflowchart!$S$286/Unitflowchart!$S$357)</f>
        <v>0</v>
      </c>
      <c r="F184" s="25">
        <f t="shared" si="41"/>
        <v>0</v>
      </c>
      <c r="G184" s="355">
        <f>(AllocationEnergy!$H$29/100)*'Pre-TreatHydrolysis'!Q30*(Unitflowchart!$S$286/Unitflowchart!$S$357)</f>
        <v>0</v>
      </c>
      <c r="H184" s="730">
        <f>(AllocationEnergy!$H$29/100)*'Pre-TreatHydrolysis'!V30*(Unitflowchart!$S$286/Unitflowchart!$S$357)</f>
        <v>3.215407285887064E-2</v>
      </c>
      <c r="I184" s="25">
        <f t="shared" si="42"/>
        <v>1.7988404157512086</v>
      </c>
      <c r="J184" s="733">
        <f>(AllocationEnergy!$H$29/100)*'Pre-TreatHydrolysis'!W30*(Unitflowchart!$S$286/Unitflowchart!$S$357)</f>
        <v>0</v>
      </c>
      <c r="K184" s="730">
        <f>(AllocationEnergy!$H$29/100)*'Pre-TreatHydrolysis'!AB30*(Unitflowchart!$S$286/Unitflowchart!$S$357)</f>
        <v>9.6462218576611903E-3</v>
      </c>
      <c r="L184" s="25">
        <f t="shared" si="43"/>
        <v>0.53103032595694</v>
      </c>
      <c r="M184" s="733">
        <f>(AllocationEnergy!$H$29/100)*'Pre-TreatHydrolysis'!AC30*(Unitflowchart!$S$286/Unitflowchart!$S$357)</f>
        <v>0</v>
      </c>
      <c r="N184" s="711">
        <f>E184+(GlobalWarmingPotentials!$B$11*H184)+(GlobalWarmingPotentials!$C$11*K184)</f>
        <v>3.5948253456217367</v>
      </c>
      <c r="O184" s="25">
        <f t="shared" si="44"/>
        <v>0.20252667497011467</v>
      </c>
      <c r="P184" s="740">
        <f>SQRT((G184^2)+((GlobalWarmingPotentials!$B$11*J184)^2)+((GlobalWarmingPotentials!$C$11*M184)^2))</f>
        <v>0</v>
      </c>
      <c r="Q184" s="29"/>
    </row>
    <row r="185" spans="1:17" x14ac:dyDescent="0.25">
      <c r="A185" s="219" t="str">
        <f>'Pre-TreatHydrolysis'!A31</f>
        <v>Sulphuric Acid (93%) Input</v>
      </c>
      <c r="B185" s="715">
        <f>(AllocationEnergy!$H$29/100)*'Pre-TreatHydrolysis'!J31*(Unitflowchart!$S$286/Unitflowchart!$S$357)</f>
        <v>408.8478277403853</v>
      </c>
      <c r="C185" s="25">
        <f t="shared" si="40"/>
        <v>2.1484469125798289</v>
      </c>
      <c r="D185" s="355">
        <f>(AllocationEnergy!$H$29/100)*'Pre-TreatHydrolysis'!K31*(Unitflowchart!$S$286/Unitflowchart!$S$357)</f>
        <v>459.9538062079335</v>
      </c>
      <c r="E185" s="715">
        <f>(AllocationEnergy!$H$29/100)*'Pre-TreatHydrolysis'!P31*(Unitflowchart!$S$286/Unitflowchart!$S$357)</f>
        <v>22.145924002604204</v>
      </c>
      <c r="F185" s="25">
        <f t="shared" si="41"/>
        <v>1.8513729930997784</v>
      </c>
      <c r="G185" s="355">
        <f>(AllocationEnergy!$H$29/100)*'Pre-TreatHydrolysis'!Q31*(Unitflowchart!$S$286/Unitflowchart!$S$357)</f>
        <v>27.256521849359018</v>
      </c>
      <c r="H185" s="730">
        <f>(AllocationEnergy!$H$29/100)*'Pre-TreatHydrolysis'!V31*(Unitflowchart!$S$286/Unitflowchart!$S$357)</f>
        <v>4.5995380620793343E-2</v>
      </c>
      <c r="I185" s="25">
        <f t="shared" si="42"/>
        <v>2.5731841176604533</v>
      </c>
      <c r="J185" s="733">
        <f>(AllocationEnergy!$H$29/100)*'Pre-TreatHydrolysis'!W31*(Unitflowchart!$S$286/Unitflowchart!$S$357)</f>
        <v>5.1105978467548156E-2</v>
      </c>
      <c r="K185" s="730">
        <f>(AllocationEnergy!$H$29/100)*'Pre-TreatHydrolysis'!AB31*(Unitflowchart!$S$286/Unitflowchart!$S$357)</f>
        <v>3.4070652311698774E-5</v>
      </c>
      <c r="L185" s="25">
        <f t="shared" si="43"/>
        <v>1.8756099403081392E-3</v>
      </c>
      <c r="M185" s="733">
        <f>(AllocationEnergy!$H$29/100)*'Pre-TreatHydrolysis'!AC31*(Unitflowchart!$S$286/Unitflowchart!$S$357)</f>
        <v>5.1105978467548161E-5</v>
      </c>
      <c r="N185" s="711">
        <f>E185+(GlobalWarmingPotentials!$B$11*H185)+(GlobalWarmingPotentials!$C$11*K185)</f>
        <v>23.213902669966714</v>
      </c>
      <c r="O185" s="25">
        <f t="shared" si="44"/>
        <v>1.3078339192623827</v>
      </c>
      <c r="P185" s="740">
        <f>SQRT((G185^2)+((GlobalWarmingPotentials!$B$11*J185)^2)+((GlobalWarmingPotentials!$C$11*M185)^2))</f>
        <v>27.281859641334545</v>
      </c>
      <c r="Q185" s="29"/>
    </row>
    <row r="186" spans="1:17" x14ac:dyDescent="0.25">
      <c r="A186" s="219" t="str">
        <f>'Pre-TreatHydrolysis'!A32</f>
        <v>Caustic Soda Input</v>
      </c>
      <c r="B186" s="715">
        <f>(AllocationEnergy!$H$29/100)*'Pre-TreatHydrolysis'!J32*(Unitflowchart!$S$286/Unitflowchart!$S$357)</f>
        <v>0</v>
      </c>
      <c r="C186" s="25">
        <f t="shared" si="40"/>
        <v>0</v>
      </c>
      <c r="D186" s="355">
        <f>(AllocationEnergy!$H$29/100)*'Pre-TreatHydrolysis'!K32*(Unitflowchart!$S$286/Unitflowchart!$S$357)</f>
        <v>0</v>
      </c>
      <c r="E186" s="715">
        <f>(AllocationEnergy!$H$29/100)*'Pre-TreatHydrolysis'!P32*(Unitflowchart!$S$286/Unitflowchart!$S$357)</f>
        <v>0</v>
      </c>
      <c r="F186" s="25">
        <f t="shared" si="41"/>
        <v>0</v>
      </c>
      <c r="G186" s="355">
        <f>(AllocationEnergy!$H$29/100)*'Pre-TreatHydrolysis'!Q32*(Unitflowchart!$S$286/Unitflowchart!$S$357)</f>
        <v>0</v>
      </c>
      <c r="H186" s="730">
        <f>(AllocationEnergy!$H$29/100)*'Pre-TreatHydrolysis'!V32*(Unitflowchart!$S$286/Unitflowchart!$S$357)</f>
        <v>0</v>
      </c>
      <c r="I186" s="25">
        <f t="shared" si="42"/>
        <v>0</v>
      </c>
      <c r="J186" s="733">
        <f>(AllocationEnergy!$H$29/100)*'Pre-TreatHydrolysis'!W32*(Unitflowchart!$S$286/Unitflowchart!$S$357)</f>
        <v>0</v>
      </c>
      <c r="K186" s="730">
        <f>(AllocationEnergy!$H$29/100)*'Pre-TreatHydrolysis'!AB32*(Unitflowchart!$S$286/Unitflowchart!$S$357)</f>
        <v>0</v>
      </c>
      <c r="L186" s="25">
        <f t="shared" si="43"/>
        <v>0</v>
      </c>
      <c r="M186" s="733">
        <f>(AllocationEnergy!$H$29/100)*'Pre-TreatHydrolysis'!AC32*(Unitflowchart!$S$286/Unitflowchart!$S$357)</f>
        <v>0</v>
      </c>
      <c r="N186" s="711">
        <f>E186+(GlobalWarmingPotentials!$B$11*H186)+(GlobalWarmingPotentials!$C$11*K186)</f>
        <v>0</v>
      </c>
      <c r="O186" s="25">
        <f t="shared" si="44"/>
        <v>0</v>
      </c>
      <c r="P186" s="740">
        <f>SQRT((G186^2)+((GlobalWarmingPotentials!$B$11*J186)^2)+((GlobalWarmingPotentials!$C$11*M186)^2))</f>
        <v>0</v>
      </c>
      <c r="Q186" s="29"/>
    </row>
    <row r="187" spans="1:17" x14ac:dyDescent="0.25">
      <c r="A187" s="219" t="str">
        <f>'Pre-TreatHydrolysis'!A33</f>
        <v>Water Input</v>
      </c>
      <c r="B187" s="715">
        <f>(AllocationEnergy!$H$29/100)*'Pre-TreatHydrolysis'!J33*(Unitflowchart!$S$286/Unitflowchart!$S$357)</f>
        <v>0</v>
      </c>
      <c r="C187" s="25">
        <f t="shared" si="40"/>
        <v>0</v>
      </c>
      <c r="D187" s="355">
        <f>(AllocationEnergy!$H$29/100)*'Pre-TreatHydrolysis'!K33*(Unitflowchart!$S$286/Unitflowchart!$S$357)</f>
        <v>0</v>
      </c>
      <c r="E187" s="715">
        <f>(AllocationEnergy!$H$29/100)*'Pre-TreatHydrolysis'!P33*(Unitflowchart!$S$286/Unitflowchart!$S$357)</f>
        <v>0</v>
      </c>
      <c r="F187" s="25">
        <f t="shared" si="41"/>
        <v>0</v>
      </c>
      <c r="G187" s="355">
        <f>(AllocationEnergy!$H$29/100)*'Pre-TreatHydrolysis'!Q33*(Unitflowchart!$S$286/Unitflowchart!$S$357)</f>
        <v>0</v>
      </c>
      <c r="H187" s="730">
        <f>(AllocationEnergy!$H$29/100)*'Pre-TreatHydrolysis'!V33*(Unitflowchart!$S$286/Unitflowchart!$S$357)</f>
        <v>0</v>
      </c>
      <c r="I187" s="25">
        <f t="shared" si="42"/>
        <v>0</v>
      </c>
      <c r="J187" s="733">
        <f>(AllocationEnergy!$H$29/100)*'Pre-TreatHydrolysis'!W33*(Unitflowchart!$S$286/Unitflowchart!$S$357)</f>
        <v>0</v>
      </c>
      <c r="K187" s="730">
        <f>(AllocationEnergy!$H$29/100)*'Pre-TreatHydrolysis'!AB33*(Unitflowchart!$S$286/Unitflowchart!$S$357)</f>
        <v>0</v>
      </c>
      <c r="L187" s="25">
        <f t="shared" si="43"/>
        <v>0</v>
      </c>
      <c r="M187" s="733">
        <f>(AllocationEnergy!$H$29/100)*'Pre-TreatHydrolysis'!AC33*(Unitflowchart!$S$286/Unitflowchart!$S$357)</f>
        <v>0</v>
      </c>
      <c r="N187" s="711">
        <f>E187+(GlobalWarmingPotentials!$B$11*H187)+(GlobalWarmingPotentials!$C$11*K187)</f>
        <v>0</v>
      </c>
      <c r="O187" s="25">
        <f t="shared" si="44"/>
        <v>0</v>
      </c>
      <c r="P187" s="740">
        <f>SQRT((G187^2)+((GlobalWarmingPotentials!$B$11*J187)^2)+((GlobalWarmingPotentials!$C$11*M187)^2))</f>
        <v>0</v>
      </c>
      <c r="Q187" s="29"/>
    </row>
    <row r="188" spans="1:17" x14ac:dyDescent="0.25">
      <c r="A188" s="219" t="str">
        <f>'Pre-TreatHydrolysis'!A34</f>
        <v>Ammonia Input</v>
      </c>
      <c r="B188" s="715">
        <f>(AllocationEnergy!$H$29/100)*'Pre-TreatHydrolysis'!J34*(Unitflowchart!$S$286/Unitflowchart!$S$357)</f>
        <v>3196.6288492446788</v>
      </c>
      <c r="C188" s="25">
        <f t="shared" si="40"/>
        <v>16.797906007670719</v>
      </c>
      <c r="D188" s="355">
        <f>(AllocationEnergy!$H$29/100)*'Pre-TreatHydrolysis'!K34*(Unitflowchart!$S$286/Unitflowchart!$S$357)</f>
        <v>511.05978467548158</v>
      </c>
      <c r="E188" s="715">
        <f>(AllocationEnergy!$H$29/100)*'Pre-TreatHydrolysis'!P34*(Unitflowchart!$S$286/Unitflowchart!$S$357)</f>
        <v>144.29923332013598</v>
      </c>
      <c r="F188" s="25">
        <f t="shared" si="41"/>
        <v>12.063244841917109</v>
      </c>
      <c r="G188" s="355">
        <f>(AllocationEnergy!$H$29/100)*'Pre-TreatHydrolysis'!Q34*(Unitflowchart!$S$286/Unitflowchart!$S$357)</f>
        <v>21.043638192519829</v>
      </c>
      <c r="H188" s="730">
        <f>(AllocationEnergy!$H$29/100)*'Pre-TreatHydrolysis'!V34*(Unitflowchart!$S$286/Unitflowchart!$S$357)</f>
        <v>0.31164626085112701</v>
      </c>
      <c r="I188" s="25">
        <f t="shared" si="42"/>
        <v>17.434864065193921</v>
      </c>
      <c r="J188" s="733">
        <f>(AllocationEnergy!$H$29/100)*'Pre-TreatHydrolysis'!W34*(Unitflowchart!$S$286/Unitflowchart!$S$357)</f>
        <v>4.9101822449212941E-2</v>
      </c>
      <c r="K188" s="730">
        <f>(AllocationEnergy!$H$29/100)*'Pre-TreatHydrolysis'!AB34*(Unitflowchart!$S$286/Unitflowchart!$S$357)</f>
        <v>3.8479795552036258E-4</v>
      </c>
      <c r="L188" s="25">
        <f t="shared" si="43"/>
        <v>2.1183359325833099E-2</v>
      </c>
      <c r="M188" s="733">
        <f>(AllocationEnergy!$H$29/100)*'Pre-TreatHydrolysis'!AC34*(Unitflowchart!$S$286/Unitflowchart!$S$357)</f>
        <v>1.5732624743931492E-4</v>
      </c>
      <c r="N188" s="711">
        <f>E188+(GlobalWarmingPotentials!$B$11*H188)+(GlobalWarmingPotentials!$C$11*K188)</f>
        <v>151.58099751454594</v>
      </c>
      <c r="O188" s="25">
        <f t="shared" si="44"/>
        <v>8.5398294670042389</v>
      </c>
      <c r="P188" s="740">
        <f>SQRT((G188^2)+((GlobalWarmingPotentials!$B$11*J188)^2)+((GlobalWarmingPotentials!$C$11*M188)^2))</f>
        <v>21.073971865154054</v>
      </c>
      <c r="Q188" s="29"/>
    </row>
    <row r="189" spans="1:17" x14ac:dyDescent="0.25">
      <c r="A189" s="219" t="str">
        <f>'Pre-TreatHydrolysis'!A35</f>
        <v>Corn Steep Liquor Input</v>
      </c>
      <c r="B189" s="715">
        <f>(AllocationEnergy!$H$29/100)*'Pre-TreatHydrolysis'!J35*(Unitflowchart!$S$286/Unitflowchart!$S$357)</f>
        <v>2157.7888925407474</v>
      </c>
      <c r="C189" s="25">
        <f t="shared" si="40"/>
        <v>11.338925070972783</v>
      </c>
      <c r="D189" s="355">
        <f>(AllocationEnergy!$H$29/100)*'Pre-TreatHydrolysis'!K35*(Unitflowchart!$S$286/Unitflowchart!$S$357)</f>
        <v>20.087011578768031</v>
      </c>
      <c r="E189" s="715">
        <f>(AllocationEnergy!$H$29/100)*'Pre-TreatHydrolysis'!P35*(Unitflowchart!$S$286/Unitflowchart!$S$357)</f>
        <v>115.37228321799486</v>
      </c>
      <c r="F189" s="25">
        <f t="shared" si="41"/>
        <v>9.6449861056570505</v>
      </c>
      <c r="G189" s="355">
        <f>(AllocationEnergy!$H$29/100)*'Pre-TreatHydrolysis'!Q35*(Unitflowchart!$S$286/Unitflowchart!$S$357)</f>
        <v>12.097729919677292</v>
      </c>
      <c r="H189" s="730">
        <f>(AllocationEnergy!$H$29/100)*'Pre-TreatHydrolysis'!V35*(Unitflowchart!$S$286/Unitflowchart!$S$357)</f>
        <v>0.28713614851689379</v>
      </c>
      <c r="I189" s="25">
        <f t="shared" si="42"/>
        <v>16.063660458890674</v>
      </c>
      <c r="J189" s="733">
        <f>(AllocationEnergy!$H$29/100)*'Pre-TreatHydrolysis'!W35*(Unitflowchart!$S$286/Unitflowchart!$S$357)</f>
        <v>2.1623411897823946E-3</v>
      </c>
      <c r="K189" s="730">
        <f>(AllocationEnergy!$H$29/100)*'Pre-TreatHydrolysis'!AB35*(Unitflowchart!$S$286/Unitflowchart!$S$357)</f>
        <v>0.11335220131701394</v>
      </c>
      <c r="L189" s="25">
        <f t="shared" si="43"/>
        <v>6.240106987120968</v>
      </c>
      <c r="M189" s="733">
        <f>(AllocationEnergy!$H$29/100)*'Pre-TreatHydrolysis'!AC35*(Unitflowchart!$S$286/Unitflowchart!$S$357)</f>
        <v>2.276148620823573E-4</v>
      </c>
      <c r="N189" s="711">
        <f>E189+(GlobalWarmingPotentials!$B$11*H189)+(GlobalWarmingPotentials!$C$11*K189)</f>
        <v>155.52866622371954</v>
      </c>
      <c r="O189" s="25">
        <f t="shared" si="44"/>
        <v>8.7622347692607843</v>
      </c>
      <c r="P189" s="740">
        <f>SQRT((G189^2)+((GlobalWarmingPotentials!$B$11*J189)^2)+((GlobalWarmingPotentials!$C$11*M189)^2))</f>
        <v>12.098019752041814</v>
      </c>
      <c r="Q189" s="29"/>
    </row>
    <row r="190" spans="1:17" x14ac:dyDescent="0.25">
      <c r="A190" s="219" t="str">
        <f>'Pre-TreatHydrolysis'!A36</f>
        <v>Diammonium Phosphate Input</v>
      </c>
      <c r="B190" s="715">
        <f>(AllocationEnergy!$H$29/100)*'Pre-TreatHydrolysis'!J36*(Unitflowchart!$S$286/Unitflowchart!$S$357)</f>
        <v>146.3091154985236</v>
      </c>
      <c r="C190" s="25">
        <f t="shared" si="40"/>
        <v>0.76883707371606724</v>
      </c>
      <c r="D190" s="355">
        <f>(AllocationEnergy!$H$29/100)*'Pre-TreatHydrolysis'!K36*(Unitflowchart!$S$286/Unitflowchart!$S$357)</f>
        <v>21.902562200377783</v>
      </c>
      <c r="E190" s="715">
        <f>(AllocationEnergy!$H$29/100)*'Pre-TreatHydrolysis'!P36*(Unitflowchart!$S$286/Unitflowchart!$S$357)</f>
        <v>8.1521336509806108</v>
      </c>
      <c r="F190" s="25">
        <f t="shared" si="41"/>
        <v>0.68150870904237792</v>
      </c>
      <c r="G190" s="355">
        <f>(AllocationEnergy!$H$29/100)*'Pre-TreatHydrolysis'!Q36*(Unitflowchart!$S$286/Unitflowchart!$S$357)</f>
        <v>1.2228200476470916</v>
      </c>
      <c r="H190" s="730">
        <f>(AllocationEnergy!$H$29/100)*'Pre-TreatHydrolysis'!V36*(Unitflowchart!$S$286/Unitflowchart!$S$357)</f>
        <v>1.5769844784272007E-2</v>
      </c>
      <c r="I190" s="25">
        <f t="shared" si="42"/>
        <v>0.8822345546264414</v>
      </c>
      <c r="J190" s="733">
        <f>(AllocationEnergy!$H$29/100)*'Pre-TreatHydrolysis'!W36*(Unitflowchart!$S$286/Unitflowchart!$S$357)</f>
        <v>2.3654767176408006E-3</v>
      </c>
      <c r="K190" s="730">
        <f>(AllocationEnergy!$H$29/100)*'Pre-TreatHydrolysis'!AB36*(Unitflowchart!$S$286/Unitflowchart!$S$357)</f>
        <v>0</v>
      </c>
      <c r="L190" s="25">
        <f t="shared" si="43"/>
        <v>0</v>
      </c>
      <c r="M190" s="733">
        <f>(AllocationEnergy!$H$29/100)*'Pre-TreatHydrolysis'!AC36*(Unitflowchart!$S$286/Unitflowchart!$S$357)</f>
        <v>0</v>
      </c>
      <c r="N190" s="711">
        <f>E190+(GlobalWarmingPotentials!$B$11*H190)+(GlobalWarmingPotentials!$C$11*K190)</f>
        <v>8.5148400810188676</v>
      </c>
      <c r="O190" s="25">
        <f t="shared" si="44"/>
        <v>0.47971238758826495</v>
      </c>
      <c r="P190" s="740">
        <f>SQRT((G190^2)+((GlobalWarmingPotentials!$B$11*J190)^2)+((GlobalWarmingPotentials!$C$11*M190)^2))</f>
        <v>1.2240297700225413</v>
      </c>
      <c r="Q190" s="29"/>
    </row>
    <row r="191" spans="1:17" x14ac:dyDescent="0.25">
      <c r="A191" s="219" t="str">
        <f>'Pre-TreatHydrolysis'!A37</f>
        <v>Sorbitol Input</v>
      </c>
      <c r="B191" s="715">
        <f>(AllocationEnergy!$H$29/100)*'Pre-TreatHydrolysis'!J37*(Unitflowchart!$S$286/Unitflowchart!$S$357)</f>
        <v>38.293695350333699</v>
      </c>
      <c r="C191" s="25">
        <f t="shared" si="40"/>
        <v>0.20122883372377595</v>
      </c>
      <c r="D191" s="355">
        <f>(AllocationEnergy!$H$29/100)*'Pre-TreatHydrolysis'!K37*(Unitflowchart!$S$286/Unitflowchart!$S$357)</f>
        <v>5.761948552713763</v>
      </c>
      <c r="E191" s="715">
        <f>(AllocationEnergy!$H$29/100)*'Pre-TreatHydrolysis'!P37*(Unitflowchart!$S$286/Unitflowchart!$S$357)</f>
        <v>2.5731931735411151</v>
      </c>
      <c r="F191" s="25">
        <f t="shared" si="41"/>
        <v>0.21511589884271828</v>
      </c>
      <c r="G191" s="355">
        <f>(AllocationEnergy!$H$29/100)*'Pre-TreatHydrolysis'!Q37*(Unitflowchart!$S$286/Unitflowchart!$S$357)</f>
        <v>0.38651580353607845</v>
      </c>
      <c r="H191" s="730">
        <f>(AllocationEnergy!$H$29/100)*'Pre-TreatHydrolysis'!V37*(Unitflowchart!$S$286/Unitflowchart!$S$357)</f>
        <v>3.686215533723712E-3</v>
      </c>
      <c r="I191" s="25">
        <f t="shared" si="42"/>
        <v>0.2062231280104472</v>
      </c>
      <c r="J191" s="733">
        <f>(AllocationEnergy!$H$29/100)*'Pre-TreatHydrolysis'!W37*(Unitflowchart!$S$286/Unitflowchart!$S$357)</f>
        <v>5.3682750491122007E-4</v>
      </c>
      <c r="K191" s="730">
        <f>(AllocationEnergy!$H$29/100)*'Pre-TreatHydrolysis'!AB37*(Unitflowchart!$S$286/Unitflowchart!$S$357)</f>
        <v>3.7220040340511257E-3</v>
      </c>
      <c r="L191" s="25">
        <f t="shared" si="43"/>
        <v>0.2048985649076118</v>
      </c>
      <c r="M191" s="733">
        <f>(AllocationEnergy!$H$29/100)*'Pre-TreatHydrolysis'!AC37*(Unitflowchart!$S$286/Unitflowchart!$S$357)</f>
        <v>5.726160052386348E-4</v>
      </c>
      <c r="N191" s="711">
        <f>E191+(GlobalWarmingPotentials!$B$11*H191)+(GlobalWarmingPotentials!$C$11*K191)</f>
        <v>3.759689324895894</v>
      </c>
      <c r="O191" s="25">
        <f t="shared" si="44"/>
        <v>0.21181484625370792</v>
      </c>
      <c r="P191" s="740">
        <f>SQRT((G191^2)+((GlobalWarmingPotentials!$B$11*J191)^2)+((GlobalWarmingPotentials!$C$11*M191)^2))</f>
        <v>0.42222653405395394</v>
      </c>
      <c r="Q191" s="29"/>
    </row>
    <row r="192" spans="1:17" x14ac:dyDescent="0.25">
      <c r="A192" s="219" t="str">
        <f>'Pre-TreatHydrolysis'!A38</f>
        <v>Glucose Input</v>
      </c>
      <c r="B192" s="715">
        <f>(AllocationEnergy!$H$29/100)*'Pre-TreatHydrolysis'!J38*(Unitflowchart!$S$286/Unitflowchart!$S$357)</f>
        <v>1670.965080286991</v>
      </c>
      <c r="C192" s="25">
        <f t="shared" si="40"/>
        <v>8.7807235949187845</v>
      </c>
      <c r="D192" s="355">
        <f>(AllocationEnergy!$H$29/100)*'Pre-TreatHydrolysis'!K38*(Unitflowchart!$S$286/Unitflowchart!$S$357)</f>
        <v>251.16369529779615</v>
      </c>
      <c r="E192" s="715">
        <f>(AllocationEnergy!$H$29/100)*'Pre-TreatHydrolysis'!P38*(Unitflowchart!$S$286/Unitflowchart!$S$357)</f>
        <v>186.81597170910459</v>
      </c>
      <c r="F192" s="25">
        <f t="shared" si="41"/>
        <v>15.617593768553398</v>
      </c>
      <c r="G192" s="355">
        <f>(AllocationEnergy!$H$29/100)*'Pre-TreatHydrolysis'!Q38*(Unitflowchart!$S$286/Unitflowchart!$S$357)</f>
        <v>28.02239575636569</v>
      </c>
      <c r="H192" s="730">
        <f>(AllocationEnergy!$H$29/100)*'Pre-TreatHydrolysis'!V38*(Unitflowchart!$S$286/Unitflowchart!$S$357)</f>
        <v>0</v>
      </c>
      <c r="I192" s="25">
        <f t="shared" si="42"/>
        <v>0</v>
      </c>
      <c r="J192" s="733">
        <f>(AllocationEnergy!$H$29/100)*'Pre-TreatHydrolysis'!W38*(Unitflowchart!$S$286/Unitflowchart!$S$357)</f>
        <v>0</v>
      </c>
      <c r="K192" s="730">
        <f>(AllocationEnergy!$H$29/100)*'Pre-TreatHydrolysis'!AB38*(Unitflowchart!$S$286/Unitflowchart!$S$357)</f>
        <v>0</v>
      </c>
      <c r="L192" s="25">
        <f t="shared" si="43"/>
        <v>0</v>
      </c>
      <c r="M192" s="733">
        <f>(AllocationEnergy!$H$29/100)*'Pre-TreatHydrolysis'!AC38*(Unitflowchart!$S$286/Unitflowchart!$S$357)</f>
        <v>0</v>
      </c>
      <c r="N192" s="711">
        <f>E192+(GlobalWarmingPotentials!$B$11*H192)+(GlobalWarmingPotentials!$C$11*K192)</f>
        <v>186.81597170910459</v>
      </c>
      <c r="O192" s="25">
        <f t="shared" si="44"/>
        <v>10.524911210954043</v>
      </c>
      <c r="P192" s="740">
        <f>SQRT((G192^2)+((GlobalWarmingPotentials!$B$11*J192)^2)+((GlobalWarmingPotentials!$C$11*M192)^2))</f>
        <v>28.02239575636569</v>
      </c>
      <c r="Q192" s="29"/>
    </row>
    <row r="193" spans="1:17" x14ac:dyDescent="0.25">
      <c r="A193" s="219" t="str">
        <f>'Pre-TreatHydrolysis'!A39</f>
        <v>Hot Nutrient Input</v>
      </c>
      <c r="B193" s="715">
        <f>(AllocationEnergy!$H$29/100)*'Pre-TreatHydrolysis'!J39*(Unitflowchart!$S$286/Unitflowchart!$S$357)</f>
        <v>46.095588421710104</v>
      </c>
      <c r="C193" s="25">
        <f t="shared" si="40"/>
        <v>0.24222685779086303</v>
      </c>
      <c r="D193" s="355">
        <f>(AllocationEnergy!$H$29/100)*'Pre-TreatHydrolysis'!K39*(Unitflowchart!$S$286/Unitflowchart!$S$357)</f>
        <v>6.9286536633874807</v>
      </c>
      <c r="E193" s="715">
        <f>(AllocationEnergy!$H$29/100)*'Pre-TreatHydrolysis'!P39*(Unitflowchart!$S$286/Unitflowchart!$S$357)</f>
        <v>5.1535440471477134</v>
      </c>
      <c r="F193" s="25">
        <f t="shared" si="41"/>
        <v>0.43083017292561099</v>
      </c>
      <c r="G193" s="355">
        <f>(AllocationEnergy!$H$29/100)*'Pre-TreatHydrolysis'!Q39*(Unitflowchart!$S$286/Unitflowchart!$S$357)</f>
        <v>0.77303160707215701</v>
      </c>
      <c r="H193" s="730">
        <f>(AllocationEnergy!$H$29/100)*'Pre-TreatHydrolysis'!V39*(Unitflowchart!$S$286/Unitflowchart!$S$357)</f>
        <v>0</v>
      </c>
      <c r="I193" s="25">
        <f t="shared" si="42"/>
        <v>0</v>
      </c>
      <c r="J193" s="733">
        <f>(AllocationEnergy!$H$29/100)*'Pre-TreatHydrolysis'!W39*(Unitflowchart!$S$286/Unitflowchart!$S$357)</f>
        <v>0</v>
      </c>
      <c r="K193" s="730">
        <f>(AllocationEnergy!$H$29/100)*'Pre-TreatHydrolysis'!AB39*(Unitflowchart!$S$286/Unitflowchart!$S$357)</f>
        <v>0</v>
      </c>
      <c r="L193" s="25">
        <f t="shared" si="43"/>
        <v>0</v>
      </c>
      <c r="M193" s="733">
        <f>(AllocationEnergy!$H$29/100)*'Pre-TreatHydrolysis'!AC39*(Unitflowchart!$S$286/Unitflowchart!$S$357)</f>
        <v>0</v>
      </c>
      <c r="N193" s="711">
        <f>E193+(GlobalWarmingPotentials!$B$11*H193)+(GlobalWarmingPotentials!$C$11*K193)</f>
        <v>5.1535440471477134</v>
      </c>
      <c r="O193" s="25">
        <f t="shared" si="44"/>
        <v>0.29034237823321507</v>
      </c>
      <c r="P193" s="740">
        <f>SQRT((G193^2)+((GlobalWarmingPotentials!$B$11*J193)^2)+((GlobalWarmingPotentials!$C$11*M193)^2))</f>
        <v>0.77303160707215701</v>
      </c>
      <c r="Q193" s="29"/>
    </row>
    <row r="194" spans="1:17" x14ac:dyDescent="0.25">
      <c r="A194" s="219" t="str">
        <f>'Pre-TreatHydrolysis'!A40</f>
        <v>Sulphur Dioxide Input</v>
      </c>
      <c r="B194" s="715">
        <f>(AllocationEnergy!$H$29/100)*'Pre-TreatHydrolysis'!J40*(Unitflowchart!$S$286/Unitflowchart!$S$357)</f>
        <v>7.8734700720312283</v>
      </c>
      <c r="C194" s="25">
        <f t="shared" si="40"/>
        <v>4.1374152728252997E-2</v>
      </c>
      <c r="D194" s="355">
        <f>(AllocationEnergy!$H$29/100)*'Pre-TreatHydrolysis'!K40*(Unitflowchart!$S$286/Unitflowchart!$S$357)</f>
        <v>2.1473100196448804</v>
      </c>
      <c r="E194" s="715">
        <f>(AllocationEnergy!$H$29/100)*'Pre-TreatHydrolysis'!P40*(Unitflowchart!$S$286/Unitflowchart!$S$357)</f>
        <v>0.63703530582798118</v>
      </c>
      <c r="F194" s="25">
        <f t="shared" si="41"/>
        <v>5.3255396375526912E-2</v>
      </c>
      <c r="G194" s="355">
        <f>(AllocationEnergy!$H$29/100)*'Pre-TreatHydrolysis'!Q40*(Unitflowchart!$S$286/Unitflowchart!$S$357)</f>
        <v>0.17178480157159043</v>
      </c>
      <c r="H194" s="730">
        <f>(AllocationEnergy!$H$29/100)*'Pre-TreatHydrolysis'!V40*(Unitflowchart!$S$286/Unitflowchart!$S$357)</f>
        <v>1.7894250163707337E-5</v>
      </c>
      <c r="I194" s="25">
        <f t="shared" si="42"/>
        <v>1.0010831456817824E-3</v>
      </c>
      <c r="J194" s="733">
        <f>(AllocationEnergy!$H$29/100)*'Pre-TreatHydrolysis'!W40*(Unitflowchart!$S$286/Unitflowchart!$S$357)</f>
        <v>5.0103900458380541E-6</v>
      </c>
      <c r="K194" s="730">
        <f>(AllocationEnergy!$H$29/100)*'Pre-TreatHydrolysis'!AB40*(Unitflowchart!$S$286/Unitflowchart!$S$357)</f>
        <v>4.7240820432187374E-6</v>
      </c>
      <c r="L194" s="25">
        <f t="shared" si="43"/>
        <v>2.6006356315196884E-4</v>
      </c>
      <c r="M194" s="733">
        <f>(AllocationEnergy!$H$29/100)*'Pre-TreatHydrolysis'!AC40*(Unitflowchart!$S$286/Unitflowchart!$S$357)</f>
        <v>1.2883860117869281E-6</v>
      </c>
      <c r="N194" s="711">
        <f>E194+(GlobalWarmingPotentials!$B$11*H194)+(GlobalWarmingPotentials!$C$11*K194)</f>
        <v>0.63884520186653915</v>
      </c>
      <c r="O194" s="25">
        <f t="shared" si="44"/>
        <v>3.5991510606272481E-2</v>
      </c>
      <c r="P194" s="740">
        <f>SQRT((G194^2)+((GlobalWarmingPotentials!$B$11*J194)^2)+((GlobalWarmingPotentials!$C$11*M194)^2))</f>
        <v>0.17178526353614884</v>
      </c>
      <c r="Q194" s="29"/>
    </row>
    <row r="195" spans="1:17" s="42" customFormat="1" x14ac:dyDescent="0.25">
      <c r="A195" s="219"/>
      <c r="B195" s="746"/>
      <c r="C195" s="863"/>
      <c r="D195" s="805"/>
      <c r="E195" s="746"/>
      <c r="F195" s="863"/>
      <c r="G195" s="805"/>
      <c r="H195" s="763"/>
      <c r="I195" s="863"/>
      <c r="J195" s="806"/>
      <c r="K195" s="763"/>
      <c r="L195" s="863"/>
      <c r="M195" s="806"/>
      <c r="N195" s="713"/>
      <c r="O195" s="863"/>
      <c r="P195" s="892"/>
      <c r="Q195" s="823"/>
    </row>
    <row r="196" spans="1:17" x14ac:dyDescent="0.25">
      <c r="A196" s="1514" t="s">
        <v>1921</v>
      </c>
      <c r="B196" s="714">
        <f>(AllocationEnergy!$H$29/100)*'Pre-TreatHydrolysis'!J42*(Unitflowchart!$S$286/Unitflowchart!$S$357)</f>
        <v>7672.8025191554007</v>
      </c>
      <c r="C196" s="14">
        <f>(B196/B$354)*100</f>
        <v>40.319668504101067</v>
      </c>
      <c r="D196" s="720">
        <f>(AllocationEnergy!$H$29/100)*'Pre-TreatHydrolysis'!K42*(Unitflowchart!$S$286/Unitflowchart!$S$357)</f>
        <v>732.66079238041505</v>
      </c>
      <c r="E196" s="714">
        <f>(AllocationEnergy!$H$29/100)*'Pre-TreatHydrolysis'!P42*(Unitflowchart!$S$286/Unitflowchart!$S$357)</f>
        <v>485.14931842733705</v>
      </c>
      <c r="F196" s="14">
        <f>(E196/E$354)*100</f>
        <v>40.557907886413567</v>
      </c>
      <c r="G196" s="720">
        <f>(AllocationEnergy!$H$29/100)*'Pre-TreatHydrolysis'!Q42*(Unitflowchart!$S$286/Unitflowchart!$S$357)</f>
        <v>46.039485184534769</v>
      </c>
      <c r="H196" s="211">
        <f>(AllocationEnergy!$H$29/100)*'Pre-TreatHydrolysis'!V42*(Unitflowchart!$S$286/Unitflowchart!$S$357)</f>
        <v>0.70063576552983653</v>
      </c>
      <c r="I196" s="14">
        <f>(H196/H$354)*100</f>
        <v>39.196649745979478</v>
      </c>
      <c r="J196" s="728">
        <f>(AllocationEnergy!$H$29/100)*'Pre-TreatHydrolysis'!W42*(Unitflowchart!$S$286/Unitflowchart!$S$357)</f>
        <v>7.0946243109528323E-2</v>
      </c>
      <c r="K196" s="211">
        <f>(AllocationEnergy!$H$29/100)*'Pre-TreatHydrolysis'!AB42*(Unitflowchart!$S$286/Unitflowchart!$S$357)</f>
        <v>0.1284130043327992</v>
      </c>
      <c r="L196" s="14">
        <f>(K196/K$354)*100</f>
        <v>7.0692132685915494</v>
      </c>
      <c r="M196" s="728">
        <f>(AllocationEnergy!$H$29/100)*'Pre-TreatHydrolysis'!AC42*(Unitflowchart!$S$286/Unitflowchart!$S$357)</f>
        <v>6.3801461112046663E-4</v>
      </c>
      <c r="N196" s="714">
        <f>E196+(GlobalWarmingPotentials!$B$11*H196)+(GlobalWarmingPotentials!$C$11*K196)</f>
        <v>539.27419031703187</v>
      </c>
      <c r="O196" s="14">
        <f>(N196/N$354)*100</f>
        <v>30.381840051041415</v>
      </c>
      <c r="P196" s="739">
        <f>SQRT((G196^2)+((GlobalWarmingPotentials!$B$11*J196)^2)+((GlobalWarmingPotentials!$C$11*M196)^2))</f>
        <v>46.068780249494573</v>
      </c>
      <c r="Q196" s="29"/>
    </row>
    <row r="197" spans="1:17" s="42" customFormat="1" x14ac:dyDescent="0.25">
      <c r="A197" s="219"/>
      <c r="B197" s="746"/>
      <c r="C197" s="863"/>
      <c r="D197" s="759"/>
      <c r="E197" s="746"/>
      <c r="F197" s="863"/>
      <c r="G197" s="805"/>
      <c r="H197" s="763"/>
      <c r="I197" s="863"/>
      <c r="J197" s="806"/>
      <c r="K197" s="763"/>
      <c r="L197" s="863"/>
      <c r="M197" s="806"/>
      <c r="N197" s="713"/>
      <c r="O197" s="863"/>
      <c r="P197" s="892"/>
      <c r="Q197" s="823"/>
    </row>
    <row r="198" spans="1:17" x14ac:dyDescent="0.25">
      <c r="A198" s="817" t="s">
        <v>284</v>
      </c>
      <c r="B198" s="712"/>
      <c r="D198" s="718"/>
      <c r="E198" s="712"/>
      <c r="G198" s="718"/>
      <c r="H198" s="30"/>
      <c r="J198" s="708"/>
      <c r="K198" s="30"/>
      <c r="M198" s="708"/>
      <c r="N198" s="712"/>
      <c r="P198" s="718"/>
      <c r="Q198" s="29"/>
    </row>
    <row r="199" spans="1:17" x14ac:dyDescent="0.25">
      <c r="A199" s="219"/>
      <c r="B199" s="712"/>
      <c r="D199" s="718"/>
      <c r="E199" s="712"/>
      <c r="G199" s="718"/>
      <c r="H199" s="30"/>
      <c r="J199" s="708"/>
      <c r="K199" s="30"/>
      <c r="M199" s="708"/>
      <c r="N199" s="712"/>
      <c r="P199" s="718"/>
      <c r="Q199" s="29"/>
    </row>
    <row r="200" spans="1:17" x14ac:dyDescent="0.25">
      <c r="A200" s="219" t="str">
        <f>Ferment!A19</f>
        <v>Heat Input</v>
      </c>
      <c r="B200" s="715">
        <f>(AllocationEnergy!$H$36/100)*Ferment!J19*Unitflowchart!$S$286/Unitflowchart!$S$357</f>
        <v>0</v>
      </c>
      <c r="C200" s="25">
        <f>(B200/B$354)*100</f>
        <v>0</v>
      </c>
      <c r="D200" s="355">
        <f>(AllocationEnergy!$H$36/100)*Ferment!K19*Unitflowchart!$S$286/Unitflowchart!$S$357</f>
        <v>0</v>
      </c>
      <c r="E200" s="715">
        <f>(AllocationEnergy!$H$36/100)*Ferment!P19*Unitflowchart!$S$286/Unitflowchart!$S$357</f>
        <v>0</v>
      </c>
      <c r="F200" s="25">
        <f>(E200/E$354)*100</f>
        <v>0</v>
      </c>
      <c r="G200" s="355">
        <f>(AllocationEnergy!$H$36/100)*Ferment!Q19*Unitflowchart!$S$286/Unitflowchart!$S$357</f>
        <v>0</v>
      </c>
      <c r="H200" s="730">
        <f>(AllocationEnergy!$H$36/100)*Ferment!V19*Unitflowchart!$S$286/Unitflowchart!$S$357</f>
        <v>0</v>
      </c>
      <c r="I200" s="25">
        <f>(H200/H$354)*100</f>
        <v>0</v>
      </c>
      <c r="J200" s="733">
        <f>(AllocationEnergy!$H$36/100)*Ferment!W19*Unitflowchart!$S$286/Unitflowchart!$S$357</f>
        <v>0</v>
      </c>
      <c r="K200" s="730">
        <f>(AllocationEnergy!$H$36/100)*Ferment!AB19*Unitflowchart!$S$286/Unitflowchart!$S$357</f>
        <v>0</v>
      </c>
      <c r="L200" s="25">
        <f>(K200/K$354)*100</f>
        <v>0</v>
      </c>
      <c r="M200" s="733">
        <f>(AllocationEnergy!$H$36/100)*Ferment!AC19*Unitflowchart!$S$286/Unitflowchart!$S$357</f>
        <v>0</v>
      </c>
      <c r="N200" s="711">
        <f>E200+(GlobalWarmingPotentials!$B$11*H200)+(GlobalWarmingPotentials!$C$11*K200)</f>
        <v>0</v>
      </c>
      <c r="O200" s="25">
        <f>(N200/N$354)*100</f>
        <v>0</v>
      </c>
      <c r="P200" s="740">
        <f>SQRT((G200^2)+((GlobalWarmingPotentials!$B$11*J200)^2)+((GlobalWarmingPotentials!$C$11*M200)^2))</f>
        <v>0</v>
      </c>
      <c r="Q200" s="29"/>
    </row>
    <row r="201" spans="1:17" x14ac:dyDescent="0.25">
      <c r="A201" s="219" t="str">
        <f>Ferment!A20</f>
        <v>Electricity Input</v>
      </c>
      <c r="B201" s="715">
        <f>(AllocationEnergy!$H$36/100)*Ferment!J20*Unitflowchart!$S$286/Unitflowchart!$S$357</f>
        <v>0</v>
      </c>
      <c r="C201" s="25">
        <f>(B201/B$354)*100</f>
        <v>0</v>
      </c>
      <c r="D201" s="355">
        <f>(AllocationEnergy!$H$36/100)*Ferment!K20*Unitflowchart!$S$286/Unitflowchart!$S$357</f>
        <v>0</v>
      </c>
      <c r="E201" s="715">
        <f>(AllocationEnergy!$H$36/100)*Ferment!P20*Unitflowchart!$S$286/Unitflowchart!$S$357</f>
        <v>0</v>
      </c>
      <c r="F201" s="25">
        <f>(E201/E$354)*100</f>
        <v>0</v>
      </c>
      <c r="G201" s="355">
        <f>(AllocationEnergy!$H$36/100)*Ferment!Q20*Unitflowchart!$S$286/Unitflowchart!$S$357</f>
        <v>0</v>
      </c>
      <c r="H201" s="730">
        <f>(AllocationEnergy!$H$36/100)*Ferment!V20*Unitflowchart!$S$286/Unitflowchart!$S$357</f>
        <v>3.3882352941176478E-4</v>
      </c>
      <c r="I201" s="25">
        <f>(H201/H$354)*100</f>
        <v>1.8955280134759209E-2</v>
      </c>
      <c r="J201" s="733">
        <f>(AllocationEnergy!$H$36/100)*Ferment!W20*Unitflowchart!$S$286/Unitflowchart!$S$357</f>
        <v>0</v>
      </c>
      <c r="K201" s="730">
        <f>(AllocationEnergy!$H$36/100)*Ferment!AB20*Unitflowchart!$S$286/Unitflowchart!$S$357</f>
        <v>1.0164705882352942E-4</v>
      </c>
      <c r="L201" s="25">
        <f>(K201/K$354)*100</f>
        <v>5.5957318394821197E-3</v>
      </c>
      <c r="M201" s="733">
        <f>(AllocationEnergy!$H$36/100)*Ferment!AC20*Unitflowchart!$S$286/Unitflowchart!$S$357</f>
        <v>0</v>
      </c>
      <c r="N201" s="711">
        <f>E201+(GlobalWarmingPotentials!$B$11*H201)+(GlobalWarmingPotentials!$C$11*K201)</f>
        <v>3.78804705882353E-2</v>
      </c>
      <c r="O201" s="25">
        <f>(N201/N$354)*100</f>
        <v>2.1341247534827469E-3</v>
      </c>
      <c r="P201" s="740">
        <f>SQRT((G201^2)+((GlobalWarmingPotentials!$B$11*J201)^2)+((GlobalWarmingPotentials!$C$11*M201)^2))</f>
        <v>0</v>
      </c>
      <c r="Q201" s="29"/>
    </row>
    <row r="202" spans="1:17" x14ac:dyDescent="0.25">
      <c r="A202" s="219"/>
      <c r="B202" s="712"/>
      <c r="D202" s="718"/>
      <c r="E202" s="712"/>
      <c r="G202" s="718"/>
      <c r="H202" s="30"/>
      <c r="J202" s="708"/>
      <c r="K202" s="30"/>
      <c r="M202" s="708"/>
      <c r="N202" s="712"/>
      <c r="P202" s="718"/>
      <c r="Q202" s="29"/>
    </row>
    <row r="203" spans="1:17" x14ac:dyDescent="0.25">
      <c r="A203" s="1515" t="s">
        <v>879</v>
      </c>
      <c r="B203" s="714">
        <f>(AllocationEnergy!$H$36/100)*Ferment!J22*Unitflowchart!$S$286/Unitflowchart!$S$357</f>
        <v>0</v>
      </c>
      <c r="C203" s="14">
        <f>(B203/B$354)*100</f>
        <v>0</v>
      </c>
      <c r="D203" s="722">
        <f>(AllocationEnergy!$H$36/100)*Ferment!K22*Unitflowchart!$S$286/Unitflowchart!$S$357</f>
        <v>0</v>
      </c>
      <c r="E203" s="714">
        <f>(AllocationEnergy!$H$36/100)*Ferment!P22*Unitflowchart!$S$286/Unitflowchart!$S$357</f>
        <v>0</v>
      </c>
      <c r="F203" s="14">
        <f>(E203/E$354)*100</f>
        <v>0</v>
      </c>
      <c r="G203" s="722">
        <f>(AllocationEnergy!$H$36/100)*Ferment!Q22*Unitflowchart!$S$286/Unitflowchart!$S$357</f>
        <v>0</v>
      </c>
      <c r="H203" s="211">
        <f>(AllocationEnergy!$H$36/100)*Ferment!V22*Unitflowchart!$S$286/Unitflowchart!$S$357</f>
        <v>3.3882352941176478E-4</v>
      </c>
      <c r="I203" s="14">
        <f>(H203/H$354)*100</f>
        <v>1.8955280134759209E-2</v>
      </c>
      <c r="J203" s="212">
        <f>(AllocationEnergy!$H$36/100)*Ferment!W22*Unitflowchart!$S$286/Unitflowchart!$S$357</f>
        <v>0</v>
      </c>
      <c r="K203" s="211">
        <f>(AllocationEnergy!$H$36/100)*Ferment!AB22*Unitflowchart!$S$286/Unitflowchart!$S$357</f>
        <v>1.0164705882352942E-4</v>
      </c>
      <c r="L203" s="14">
        <f>(K203/K$354)*100</f>
        <v>5.5957318394821197E-3</v>
      </c>
      <c r="M203" s="212">
        <f>(AllocationEnergy!$H$36/100)*Ferment!AC22*Unitflowchart!$S$286/Unitflowchart!$S$357</f>
        <v>0</v>
      </c>
      <c r="N203" s="714">
        <f>E203+(GlobalWarmingPotentials!$B$11*H203)+(GlobalWarmingPotentials!$C$11*K203)</f>
        <v>3.78804705882353E-2</v>
      </c>
      <c r="O203" s="14">
        <f>(N203/N$354)*100</f>
        <v>2.1341247534827469E-3</v>
      </c>
      <c r="P203" s="739">
        <f>SQRT((G203^2)+((GlobalWarmingPotentials!$B$11*J203)^2)+((GlobalWarmingPotentials!$C$11*M203)^2))</f>
        <v>0</v>
      </c>
    </row>
    <row r="204" spans="1:17" x14ac:dyDescent="0.25">
      <c r="A204" s="219"/>
      <c r="B204" s="712"/>
      <c r="D204" s="718"/>
      <c r="E204" s="716"/>
      <c r="G204" s="718"/>
      <c r="H204" s="731"/>
      <c r="J204" s="708"/>
      <c r="K204" s="731"/>
      <c r="M204" s="708"/>
      <c r="N204" s="716"/>
      <c r="P204" s="718"/>
      <c r="Q204" s="29"/>
    </row>
    <row r="205" spans="1:17" x14ac:dyDescent="0.25">
      <c r="A205" s="817" t="s">
        <v>1959</v>
      </c>
      <c r="B205" s="712"/>
      <c r="D205" s="718"/>
      <c r="E205" s="712"/>
      <c r="G205" s="718"/>
      <c r="H205" s="30"/>
      <c r="J205" s="708"/>
      <c r="K205" s="30"/>
      <c r="M205" s="708"/>
      <c r="N205" s="712"/>
      <c r="P205" s="718"/>
      <c r="Q205" s="29"/>
    </row>
    <row r="206" spans="1:17" x14ac:dyDescent="0.25">
      <c r="A206" s="219"/>
      <c r="B206" s="712"/>
      <c r="D206" s="718"/>
      <c r="E206" s="712"/>
      <c r="G206" s="718"/>
      <c r="H206" s="30"/>
      <c r="J206" s="708"/>
      <c r="K206" s="30"/>
      <c r="M206" s="708"/>
      <c r="N206" s="712"/>
      <c r="P206" s="718"/>
      <c r="Q206" s="29"/>
    </row>
    <row r="207" spans="1:17" x14ac:dyDescent="0.25">
      <c r="A207" t="str">
        <f>EthanolRecovery!A19</f>
        <v>Heat Input</v>
      </c>
      <c r="B207" s="715">
        <f>(AllocationEnergy!$H$36/100)*EthanolRecovery!J19*(Unitflowchart!$S$286/Unitflowchart!$S$357)</f>
        <v>0</v>
      </c>
      <c r="C207" s="25">
        <f>(B207/B$354)*100</f>
        <v>0</v>
      </c>
      <c r="D207" s="355">
        <f>(AllocationEnergy!$H$36/100)*EthanolRecovery!K19*(Unitflowchart!$S$286/Unitflowchart!$S$357)</f>
        <v>0</v>
      </c>
      <c r="E207" s="715">
        <f>(AllocationEnergy!$H$36/100)*EthanolRecovery!P19*(Unitflowchart!$S$286/Unitflowchart!$S$357)</f>
        <v>0</v>
      </c>
      <c r="F207" s="25">
        <f>(E207/E$354)*100</f>
        <v>0</v>
      </c>
      <c r="G207" s="355">
        <f>(AllocationEnergy!$H$36/100)*EthanolRecovery!Q19*(Unitflowchart!$S$286/Unitflowchart!$S$357)</f>
        <v>0</v>
      </c>
      <c r="H207" s="730">
        <f>(AllocationEnergy!$H$36/100)*EthanolRecovery!V19*(Unitflowchart!$S$286/Unitflowchart!$S$357)</f>
        <v>2.9162823529411762E-2</v>
      </c>
      <c r="I207" s="25">
        <f>(H207/H$354)*100</f>
        <v>1.6314967572655035</v>
      </c>
      <c r="J207" s="733">
        <f>(AllocationEnergy!$H$36/100)*EthanolRecovery!W19*(Unitflowchart!$S$286/Unitflowchart!$S$357)</f>
        <v>0</v>
      </c>
      <c r="K207" s="730">
        <f>(AllocationEnergy!$H$36/100)*EthanolRecovery!AB19*(Unitflowchart!$S$286/Unitflowchart!$S$357)</f>
        <v>8.7488470588235299E-3</v>
      </c>
      <c r="L207" s="25">
        <f>(K207/K$354)*100</f>
        <v>0.48162930253409231</v>
      </c>
      <c r="M207" s="733">
        <f>(AllocationEnergy!$H$36/100)*EthanolRecovery!AC19*(Unitflowchart!$S$286/Unitflowchart!$S$357)</f>
        <v>0</v>
      </c>
      <c r="N207" s="711">
        <f>E207+(GlobalWarmingPotentials!$B$11*H207)+(GlobalWarmingPotentials!$C$11*K207)</f>
        <v>3.2604036705882353</v>
      </c>
      <c r="O207" s="25">
        <f>(N207/N$354)*100</f>
        <v>0.18368589596955456</v>
      </c>
      <c r="P207" s="740">
        <f>SQRT((G207^2)+((GlobalWarmingPotentials!$B$11*J207)^2)+((GlobalWarmingPotentials!$C$11*M207)^2))</f>
        <v>0</v>
      </c>
      <c r="Q207" s="29"/>
    </row>
    <row r="208" spans="1:17" x14ac:dyDescent="0.25">
      <c r="A208" t="str">
        <f>EthanolRecovery!A20</f>
        <v>Electricity Input</v>
      </c>
      <c r="B208" s="715">
        <f>(AllocationEnergy!$H$36/100)*EthanolRecovery!J20*(Unitflowchart!$S$286/Unitflowchart!$S$357)</f>
        <v>0</v>
      </c>
      <c r="C208" s="25">
        <f>(B208/B$354)*100</f>
        <v>0</v>
      </c>
      <c r="D208" s="355">
        <f>(AllocationEnergy!$H$36/100)*EthanolRecovery!K20*(Unitflowchart!$S$286/Unitflowchart!$S$357)</f>
        <v>0</v>
      </c>
      <c r="E208" s="715">
        <f>(AllocationEnergy!$H$36/100)*EthanolRecovery!P20*(Unitflowchart!$S$286/Unitflowchart!$S$357)</f>
        <v>0</v>
      </c>
      <c r="F208" s="25">
        <f>(E208/E$354)*100</f>
        <v>0</v>
      </c>
      <c r="G208" s="355">
        <f>(AllocationEnergy!$H$36/100)*EthanolRecovery!Q20*(Unitflowchart!$S$286/Unitflowchart!$S$357)</f>
        <v>0</v>
      </c>
      <c r="H208" s="730">
        <f>(AllocationEnergy!$H$36/100)*EthanolRecovery!V20*(Unitflowchart!$S$286/Unitflowchart!$S$357)</f>
        <v>2.6371764705882361E-3</v>
      </c>
      <c r="I208" s="25">
        <f>(H208/H$354)*100</f>
        <v>0.14753526371554251</v>
      </c>
      <c r="J208" s="733">
        <f>(AllocationEnergy!$H$36/100)*EthanolRecovery!W20*(Unitflowchart!$S$286/Unitflowchart!$S$357)</f>
        <v>0</v>
      </c>
      <c r="K208" s="730">
        <f>(AllocationEnergy!$H$36/100)*EthanolRecovery!AB20*(Unitflowchart!$S$286/Unitflowchart!$S$357)</f>
        <v>7.9115294117647068E-4</v>
      </c>
      <c r="L208" s="25">
        <f>(K208/K$354)*100</f>
        <v>4.355344615063584E-2</v>
      </c>
      <c r="M208" s="733">
        <f>(AllocationEnergy!$H$36/100)*EthanolRecovery!AC20*(Unitflowchart!$S$286/Unitflowchart!$S$357)</f>
        <v>0</v>
      </c>
      <c r="N208" s="711">
        <f>E208+(GlobalWarmingPotentials!$B$11*H208)+(GlobalWarmingPotentials!$C$11*K208)</f>
        <v>0.29483632941176474</v>
      </c>
      <c r="O208" s="25">
        <f>(N208/N$354)*100</f>
        <v>1.6610604331274044E-2</v>
      </c>
      <c r="P208" s="740">
        <f>SQRT((G208^2)+((GlobalWarmingPotentials!$B$11*J208)^2)+((GlobalWarmingPotentials!$C$11*M208)^2))</f>
        <v>0</v>
      </c>
      <c r="Q208" s="29"/>
    </row>
    <row r="209" spans="1:17" x14ac:dyDescent="0.25">
      <c r="B209" s="712"/>
      <c r="D209" s="718"/>
      <c r="E209" s="712"/>
      <c r="G209" s="718"/>
      <c r="H209" s="30"/>
      <c r="J209" s="708"/>
      <c r="K209" s="30"/>
      <c r="M209" s="708"/>
      <c r="N209" s="712"/>
      <c r="P209" s="718"/>
      <c r="Q209" s="29"/>
    </row>
    <row r="210" spans="1:17" x14ac:dyDescent="0.25">
      <c r="A210" s="1515" t="s">
        <v>1989</v>
      </c>
      <c r="B210" s="714">
        <f>(AllocationEnergy!$H$36/100)*EthanolRecovery!J22*(Unitflowchart!$S$286/Unitflowchart!$S$357)</f>
        <v>0</v>
      </c>
      <c r="C210" s="14">
        <f>(B210/B$354)*100</f>
        <v>0</v>
      </c>
      <c r="D210" s="722">
        <f>(AllocationEnergy!$H$36/100)*EthanolRecovery!K22*(Unitflowchart!$S$286/Unitflowchart!$S$357)</f>
        <v>0</v>
      </c>
      <c r="E210" s="714">
        <f>(AllocationEnergy!$H$36/100)*EthanolRecovery!P22*(Unitflowchart!$S$286/Unitflowchart!$S$357)</f>
        <v>0</v>
      </c>
      <c r="F210" s="14">
        <f>(E210/E$354)*100</f>
        <v>0</v>
      </c>
      <c r="G210" s="722">
        <f>(AllocationEnergy!$H$36/100)*EthanolRecovery!Q22*(Unitflowchart!$S$286/Unitflowchart!$S$357)</f>
        <v>0</v>
      </c>
      <c r="H210" s="211">
        <f>(AllocationEnergy!$H$36/100)*EthanolRecovery!V22*(Unitflowchart!$S$286/Unitflowchart!$S$357)</f>
        <v>3.1799999999999995E-2</v>
      </c>
      <c r="I210" s="14">
        <f>(H210/H$354)*100</f>
        <v>1.779032020981046</v>
      </c>
      <c r="J210" s="212">
        <f>(AllocationEnergy!$H$36/100)*EthanolRecovery!W22*(Unitflowchart!$S$286/Unitflowchart!$S$357)</f>
        <v>0</v>
      </c>
      <c r="K210" s="211">
        <f>(AllocationEnergy!$H$36/100)*EthanolRecovery!AB22*(Unitflowchart!$S$286/Unitflowchart!$S$357)</f>
        <v>9.5399999999999999E-3</v>
      </c>
      <c r="L210" s="14">
        <f>(K210/K$354)*100</f>
        <v>0.52518274868472814</v>
      </c>
      <c r="M210" s="212">
        <f>(AllocationEnergy!$H$36/100)*EthanolRecovery!AC22*(Unitflowchart!$S$286/Unitflowchart!$S$357)</f>
        <v>0</v>
      </c>
      <c r="N210" s="714">
        <f>E210+(GlobalWarmingPotentials!$B$11*H210)+(GlobalWarmingPotentials!$C$11*K210)</f>
        <v>3.55524</v>
      </c>
      <c r="O210" s="14">
        <f>(N210/N$354)*100</f>
        <v>0.2002965003008286</v>
      </c>
      <c r="P210" s="739">
        <f>SQRT((G210^2)+((GlobalWarmingPotentials!$B$11*J210)^2)+((GlobalWarmingPotentials!$C$11*M210)^2))</f>
        <v>0</v>
      </c>
    </row>
    <row r="211" spans="1:17" x14ac:dyDescent="0.25">
      <c r="A211" s="219"/>
      <c r="B211" s="716"/>
      <c r="D211" s="718"/>
      <c r="E211" s="716"/>
      <c r="G211" s="718"/>
      <c r="H211" s="731"/>
      <c r="J211" s="708"/>
      <c r="K211" s="731"/>
      <c r="M211" s="708"/>
      <c r="N211" s="716"/>
      <c r="P211" s="718"/>
      <c r="Q211" s="29"/>
    </row>
    <row r="212" spans="1:17" x14ac:dyDescent="0.25">
      <c r="A212" s="817" t="s">
        <v>2007</v>
      </c>
      <c r="B212" s="712"/>
      <c r="D212" s="718"/>
      <c r="E212" s="712"/>
      <c r="G212" s="718"/>
      <c r="H212" s="30"/>
      <c r="J212" s="708"/>
      <c r="K212" s="30"/>
      <c r="M212" s="708"/>
      <c r="N212" s="712"/>
      <c r="P212" s="718"/>
      <c r="Q212" s="29"/>
    </row>
    <row r="213" spans="1:17" x14ac:dyDescent="0.25">
      <c r="A213" s="219"/>
      <c r="B213" s="712"/>
      <c r="D213" s="718"/>
      <c r="E213" s="712"/>
      <c r="G213" s="718"/>
      <c r="H213" s="30"/>
      <c r="J213" s="708"/>
      <c r="K213" s="30"/>
      <c r="M213" s="708"/>
      <c r="N213" s="712"/>
      <c r="P213" s="718"/>
      <c r="Q213" s="29"/>
    </row>
    <row r="214" spans="1:17" x14ac:dyDescent="0.25">
      <c r="A214" s="219" t="str">
        <f>WasteSolidFilter!A19</f>
        <v>Heat Input</v>
      </c>
      <c r="B214" s="715">
        <f>(AllocationEnergy!$H$40/100)*WasteSolidFilter!J19*(Unitflowchart!$S$286/Unitflowchart!$S$357)</f>
        <v>0</v>
      </c>
      <c r="C214" s="25">
        <f>(B214/B$354)*100</f>
        <v>0</v>
      </c>
      <c r="D214" s="355">
        <f>(AllocationEnergy!$H$40/100)*WasteSolidFilter!K19*(Unitflowchart!$S$286/Unitflowchart!$S$357)</f>
        <v>0</v>
      </c>
      <c r="E214" s="715">
        <f>(AllocationEnergy!$H$40/100)*WasteSolidFilter!P19*(Unitflowchart!$S$286/Unitflowchart!$S$357)</f>
        <v>0</v>
      </c>
      <c r="F214" s="25">
        <f>(E214/E$354)*100</f>
        <v>0</v>
      </c>
      <c r="G214" s="355">
        <f>(AllocationEnergy!$H$40/100)*WasteSolidFilter!Q19*(Unitflowchart!$S$286/Unitflowchart!$S$357)</f>
        <v>0</v>
      </c>
      <c r="H214" s="730">
        <f>(AllocationEnergy!$H$40/100)*WasteSolidFilter!V19*(Unitflowchart!$S$286/Unitflowchart!$S$357)</f>
        <v>0</v>
      </c>
      <c r="I214" s="25">
        <f>(H214/H$354)*100</f>
        <v>0</v>
      </c>
      <c r="J214" s="733">
        <f>(AllocationEnergy!$H$40/100)*WasteSolidFilter!W19*(Unitflowchart!$S$286/Unitflowchart!$S$357)</f>
        <v>0</v>
      </c>
      <c r="K214" s="730">
        <f>(AllocationEnergy!$H$40/100)*WasteSolidFilter!AB19*(Unitflowchart!$S$286/Unitflowchart!$S$357)</f>
        <v>0</v>
      </c>
      <c r="L214" s="25">
        <f>(K214/K$354)*100</f>
        <v>0</v>
      </c>
      <c r="M214" s="733">
        <f>(AllocationEnergy!$H$40/100)*WasteSolidFilter!AC19*(Unitflowchart!$S$286/Unitflowchart!$S$357)</f>
        <v>0</v>
      </c>
      <c r="N214" s="711">
        <f>E214+(GlobalWarmingPotentials!$B$11*H214)+(GlobalWarmingPotentials!$C$11*K214)</f>
        <v>0</v>
      </c>
      <c r="O214" s="25">
        <f>(N214/N$354)*100</f>
        <v>0</v>
      </c>
      <c r="P214" s="740">
        <f>SQRT((G214^2)+((GlobalWarmingPotentials!$B$11*J214)^2)+((GlobalWarmingPotentials!$C$11*M214)^2))</f>
        <v>0</v>
      </c>
      <c r="Q214" s="29"/>
    </row>
    <row r="215" spans="1:17" x14ac:dyDescent="0.25">
      <c r="A215" s="219" t="str">
        <f>WasteSolidFilter!A20</f>
        <v>Electricity Input</v>
      </c>
      <c r="B215" s="715">
        <f>(AllocationEnergy!$H$40/100)*WasteSolidFilter!J20*(Unitflowchart!$S$286/Unitflowchart!$S$357)</f>
        <v>0</v>
      </c>
      <c r="C215" s="25">
        <f>(B215/B$354)*100</f>
        <v>0</v>
      </c>
      <c r="D215" s="355">
        <f>(AllocationEnergy!$H$40/100)*WasteSolidFilter!K20*(Unitflowchart!$S$286/Unitflowchart!$S$357)</f>
        <v>0</v>
      </c>
      <c r="E215" s="715">
        <f>(AllocationEnergy!$H$40/100)*WasteSolidFilter!P20*(Unitflowchart!$S$286/Unitflowchart!$S$357)</f>
        <v>0</v>
      </c>
      <c r="F215" s="25">
        <f>(E215/E$354)*100</f>
        <v>0</v>
      </c>
      <c r="G215" s="355">
        <f>(AllocationEnergy!$H$40/100)*WasteSolidFilter!Q20*(Unitflowchart!$S$286/Unitflowchart!$S$357)</f>
        <v>0</v>
      </c>
      <c r="H215" s="730">
        <f>(AllocationEnergy!$H$40/100)*WasteSolidFilter!V20*(Unitflowchart!$S$286/Unitflowchart!$S$357)</f>
        <v>3.2504775017513283E-3</v>
      </c>
      <c r="I215" s="25">
        <f>(H215/H$354)*100</f>
        <v>0.18184602387088325</v>
      </c>
      <c r="J215" s="733">
        <f>(AllocationEnergy!$H$40/100)*WasteSolidFilter!W20*(Unitflowchart!$S$286/Unitflowchart!$S$357)</f>
        <v>0</v>
      </c>
      <c r="K215" s="730">
        <f>(AllocationEnergy!$H$40/100)*WasteSolidFilter!AB20*(Unitflowchart!$S$286/Unitflowchart!$S$357)</f>
        <v>9.7514325052539832E-4</v>
      </c>
      <c r="L215" s="25">
        <f>(K215/K$354)*100</f>
        <v>5.3682223550554416E-2</v>
      </c>
      <c r="M215" s="733">
        <f>(AllocationEnergy!$H$40/100)*WasteSolidFilter!AC20*(Unitflowchart!$S$286/Unitflowchart!$S$357)</f>
        <v>0</v>
      </c>
      <c r="N215" s="711">
        <f>E215+(GlobalWarmingPotentials!$B$11*H215)+(GlobalWarmingPotentials!$C$11*K215)</f>
        <v>0.36340338469579847</v>
      </c>
      <c r="O215" s="25">
        <f>(N215/N$354)*100</f>
        <v>2.0473561883879606E-2</v>
      </c>
      <c r="P215" s="740">
        <f>SQRT((G215^2)+((GlobalWarmingPotentials!$B$11*J215)^2)+((GlobalWarmingPotentials!$C$11*M215)^2))</f>
        <v>0</v>
      </c>
      <c r="Q215" s="29"/>
    </row>
    <row r="216" spans="1:17" x14ac:dyDescent="0.25">
      <c r="A216" s="219"/>
      <c r="B216" s="712"/>
      <c r="D216" s="718"/>
      <c r="E216" s="712"/>
      <c r="G216" s="718"/>
      <c r="H216" s="30"/>
      <c r="J216" s="708"/>
      <c r="K216" s="30"/>
      <c r="M216" s="708"/>
      <c r="N216" s="712"/>
      <c r="P216" s="718"/>
      <c r="Q216" s="29"/>
    </row>
    <row r="217" spans="1:17" x14ac:dyDescent="0.25">
      <c r="A217" s="1515" t="s">
        <v>2008</v>
      </c>
      <c r="B217" s="714">
        <f>(AllocationEnergy!$H$40/100)*WasteSolidFilter!J22*(Unitflowchart!$S$286/Unitflowchart!$S$357)</f>
        <v>0</v>
      </c>
      <c r="C217" s="14">
        <f>(B217/B$354)*100</f>
        <v>0</v>
      </c>
      <c r="D217" s="722">
        <f>(AllocationEnergy!$H$40/100)*WasteSolidFilter!K22*(Unitflowchart!$S$286/Unitflowchart!$S$357)</f>
        <v>0</v>
      </c>
      <c r="E217" s="714">
        <f>(AllocationEnergy!$H$40/100)*WasteSolidFilter!P22*(Unitflowchart!$S$286/Unitflowchart!$S$357)</f>
        <v>0</v>
      </c>
      <c r="F217" s="14">
        <f>(E217/E$354)*100</f>
        <v>0</v>
      </c>
      <c r="G217" s="722">
        <f>(AllocationEnergy!$H$40/100)*WasteSolidFilter!Q22*(Unitflowchart!$S$286/Unitflowchart!$S$357)</f>
        <v>0</v>
      </c>
      <c r="H217" s="211">
        <f>(AllocationEnergy!$H$40/100)*WasteSolidFilter!V22*(Unitflowchart!$S$286/Unitflowchart!$S$357)</f>
        <v>3.2504775017513283E-3</v>
      </c>
      <c r="I217" s="14">
        <f>(H217/H$354)*100</f>
        <v>0.18184602387088325</v>
      </c>
      <c r="J217" s="212">
        <f>(AllocationEnergy!$H$40/100)*WasteSolidFilter!W22*(Unitflowchart!$S$286/Unitflowchart!$S$357)</f>
        <v>0</v>
      </c>
      <c r="K217" s="211">
        <f>(AllocationEnergy!$H$40/100)*WasteSolidFilter!AB22*(Unitflowchart!$S$286/Unitflowchart!$S$357)</f>
        <v>9.7514325052539832E-4</v>
      </c>
      <c r="L217" s="14">
        <f>(K217/K$354)*100</f>
        <v>5.3682223550554416E-2</v>
      </c>
      <c r="M217" s="212">
        <f>(AllocationEnergy!$H$40/100)*WasteSolidFilter!AC22*(Unitflowchart!$S$286/Unitflowchart!$S$357)</f>
        <v>0</v>
      </c>
      <c r="N217" s="714">
        <f>E217+(GlobalWarmingPotentials!$B$11*H217)+(GlobalWarmingPotentials!$C$11*K217)</f>
        <v>0.36340338469579847</v>
      </c>
      <c r="O217" s="14">
        <f>(N217/N$354)*100</f>
        <v>2.0473561883879606E-2</v>
      </c>
      <c r="P217" s="741">
        <f>SQRT((G217^2)+((GlobalWarmingPotentials!$B$11*J217)^2)+((GlobalWarmingPotentials!$C$11*M217)^2))</f>
        <v>0</v>
      </c>
      <c r="Q217" s="29"/>
    </row>
    <row r="218" spans="1:17" x14ac:dyDescent="0.25">
      <c r="A218" s="219"/>
      <c r="B218" s="716"/>
      <c r="D218" s="718"/>
      <c r="E218" s="716"/>
      <c r="G218" s="718"/>
      <c r="H218" s="731"/>
      <c r="J218" s="708"/>
      <c r="K218" s="731"/>
      <c r="M218" s="708"/>
      <c r="N218" s="716"/>
      <c r="P218" s="718"/>
      <c r="Q218" s="29"/>
    </row>
    <row r="219" spans="1:17" x14ac:dyDescent="0.25">
      <c r="A219" s="817" t="s">
        <v>871</v>
      </c>
      <c r="B219" s="712"/>
      <c r="D219" s="718"/>
      <c r="E219" s="712"/>
      <c r="G219" s="718"/>
      <c r="H219" s="30"/>
      <c r="J219" s="708"/>
      <c r="K219" s="30"/>
      <c r="M219" s="708"/>
      <c r="N219" s="712"/>
      <c r="P219" s="718"/>
      <c r="Q219" s="29"/>
    </row>
    <row r="220" spans="1:17" x14ac:dyDescent="0.25">
      <c r="A220" s="219"/>
      <c r="B220" s="712"/>
      <c r="D220" s="718"/>
      <c r="E220" s="712"/>
      <c r="G220" s="718"/>
      <c r="H220" s="30"/>
      <c r="J220" s="708"/>
      <c r="K220" s="30"/>
      <c r="M220" s="708"/>
      <c r="N220" s="712"/>
      <c r="P220" s="718"/>
      <c r="Q220" s="29"/>
    </row>
    <row r="221" spans="1:17" x14ac:dyDescent="0.25">
      <c r="A221" s="219" t="str">
        <f>AnaerobicDigestion!A19</f>
        <v>Electricity Input</v>
      </c>
      <c r="B221" s="715">
        <f>(AllocationEnergy!$H$40/100)*AnaerobicDigestion!J19*(Unitflowchart!$S$286/Unitflowchart!$S$357)</f>
        <v>0</v>
      </c>
      <c r="C221" s="25">
        <f>(B221/B$354)*100</f>
        <v>0</v>
      </c>
      <c r="D221" s="355">
        <f>(AllocationEnergy!$H$40/100)*AnaerobicDigestion!K19*(Unitflowchart!$S$286/Unitflowchart!$S$357)</f>
        <v>0</v>
      </c>
      <c r="E221" s="715">
        <f>(AllocationEnergy!$H$40/100)*AnaerobicDigestion!P19*(Unitflowchart!$S$286/Unitflowchart!$S$357)</f>
        <v>0</v>
      </c>
      <c r="F221" s="25">
        <f>(E221/E$354)*100</f>
        <v>0</v>
      </c>
      <c r="G221" s="355">
        <f>(AllocationEnergy!$H$40/100)*AnaerobicDigestion!Q19*(Unitflowchart!$S$286/Unitflowchart!$S$357)</f>
        <v>0</v>
      </c>
      <c r="H221" s="730">
        <f>(AllocationEnergy!$H$40/100)*AnaerobicDigestion!V19*(Unitflowchart!$S$286/Unitflowchart!$S$357)</f>
        <v>9.5522823529411768E-3</v>
      </c>
      <c r="I221" s="25">
        <f>(H221/H$354)*100</f>
        <v>0.53439673519919884</v>
      </c>
      <c r="J221" s="733">
        <f>(AllocationEnergy!$H$40/100)*AnaerobicDigestion!W19*(Unitflowchart!$S$286/Unitflowchart!$S$357)</f>
        <v>0</v>
      </c>
      <c r="K221" s="730">
        <f>(AllocationEnergy!$H$40/100)*AnaerobicDigestion!AB19*(Unitflowchart!$S$286/Unitflowchart!$S$357)</f>
        <v>2.8656847058823529E-3</v>
      </c>
      <c r="L221" s="25">
        <f>(K221/K$354)*100</f>
        <v>0.15775766988459966</v>
      </c>
      <c r="M221" s="733">
        <f>(AllocationEnergy!$H$40/100)*AnaerobicDigestion!AC19*(Unitflowchart!$S$286/Unitflowchart!$S$357)</f>
        <v>0</v>
      </c>
      <c r="N221" s="711">
        <f>E221+(GlobalWarmingPotentials!$B$11*H221)+(GlobalWarmingPotentials!$C$11*K221)</f>
        <v>1.0679451670588236</v>
      </c>
      <c r="O221" s="25">
        <f>(N221/N$354)*100</f>
        <v>6.0166312112562334E-2</v>
      </c>
      <c r="P221" s="740">
        <f>SQRT((G221^2)+((GlobalWarmingPotentials!$B$11*J221)^2)+((GlobalWarmingPotentials!$C$11*M221)^2))</f>
        <v>0</v>
      </c>
      <c r="Q221" s="29"/>
    </row>
    <row r="222" spans="1:17" x14ac:dyDescent="0.25">
      <c r="A222" s="219" t="str">
        <f>AnaerobicDigestion!A20</f>
        <v>Caustic Soda Input</v>
      </c>
      <c r="B222" s="715">
        <f>(AllocationEnergy!$H$40/100)*AnaerobicDigestion!J20*(Unitflowchart!$S$286/Unitflowchart!$S$357)</f>
        <v>1927.7999999999997</v>
      </c>
      <c r="C222" s="25">
        <f>(B222/B$354)*100</f>
        <v>10.130360679576324</v>
      </c>
      <c r="D222" s="355">
        <f>(AllocationEnergy!$H$40/100)*AnaerobicDigestion!K20*(Unitflowchart!$S$286/Unitflowchart!$S$357)</f>
        <v>289.16999999999996</v>
      </c>
      <c r="E222" s="715">
        <f>(AllocationEnergy!$H$40/100)*AnaerobicDigestion!P20*(Unitflowchart!$S$286/Unitflowchart!$S$357)</f>
        <v>107.9568</v>
      </c>
      <c r="F222" s="25">
        <f>(E222/E$354)*100</f>
        <v>9.0250604995289923</v>
      </c>
      <c r="G222" s="355">
        <f>(AllocationEnergy!$H$40/100)*AnaerobicDigestion!Q20*(Unitflowchart!$S$286/Unitflowchart!$S$357)</f>
        <v>16.386299999999999</v>
      </c>
      <c r="H222" s="730">
        <f>(AllocationEnergy!$H$40/100)*AnaerobicDigestion!V20*(Unitflowchart!$S$286/Unitflowchart!$S$357)</f>
        <v>0.31326749999999992</v>
      </c>
      <c r="I222" s="25">
        <f>(H222/H$354)*100</f>
        <v>17.525563321782382</v>
      </c>
      <c r="J222" s="733">
        <f>(AllocationEnergy!$H$40/100)*AnaerobicDigestion!W20*(Unitflowchart!$S$286/Unitflowchart!$S$357)</f>
        <v>4.7231099999999991E-2</v>
      </c>
      <c r="K222" s="730">
        <f>(AllocationEnergy!$H$40/100)*AnaerobicDigestion!AB20*(Unitflowchart!$S$286/Unitflowchart!$S$357)</f>
        <v>0</v>
      </c>
      <c r="L222" s="25">
        <f>(K222/K$354)*100</f>
        <v>0</v>
      </c>
      <c r="M222" s="733">
        <f>(AllocationEnergy!$H$40/100)*AnaerobicDigestion!AC20*(Unitflowchart!$S$286/Unitflowchart!$S$357)</f>
        <v>0</v>
      </c>
      <c r="N222" s="711">
        <f>E222+(GlobalWarmingPotentials!$B$11*H222)+(GlobalWarmingPotentials!$C$11*K222)</f>
        <v>115.1619525</v>
      </c>
      <c r="O222" s="25">
        <f>(N222/N$354)*100</f>
        <v>6.4880390785320428</v>
      </c>
      <c r="P222" s="740">
        <f>SQRT((G222^2)+((GlobalWarmingPotentials!$B$11*J222)^2)+((GlobalWarmingPotentials!$C$11*M222)^2))</f>
        <v>16.422268680697378</v>
      </c>
      <c r="Q222" s="29"/>
    </row>
    <row r="223" spans="1:17" x14ac:dyDescent="0.25">
      <c r="A223" s="219"/>
      <c r="B223" s="712"/>
      <c r="D223" s="718"/>
      <c r="E223" s="712"/>
      <c r="G223" s="718"/>
      <c r="H223" s="30"/>
      <c r="J223" s="708"/>
      <c r="K223" s="30"/>
      <c r="M223" s="708"/>
      <c r="N223" s="712"/>
      <c r="P223" s="721"/>
      <c r="Q223" s="29"/>
    </row>
    <row r="224" spans="1:17" x14ac:dyDescent="0.25">
      <c r="A224" s="1515" t="s">
        <v>880</v>
      </c>
      <c r="B224" s="714">
        <f>(AllocationEnergy!$H$40/100)*AnaerobicDigestion!J22*(Unitflowchart!$S$286/Unitflowchart!$S$357)</f>
        <v>1927.7999999999997</v>
      </c>
      <c r="C224" s="14">
        <f>(B224/B$354)*100</f>
        <v>10.130360679576324</v>
      </c>
      <c r="D224" s="722">
        <f>(AllocationEnergy!$H$40/100)*AnaerobicDigestion!K22*(Unitflowchart!$S$286/Unitflowchart!$S$357)</f>
        <v>289.16999999999996</v>
      </c>
      <c r="E224" s="714">
        <f>(AllocationEnergy!$H$40/100)*AnaerobicDigestion!P22*(Unitflowchart!$S$286/Unitflowchart!$S$357)</f>
        <v>107.9568</v>
      </c>
      <c r="F224" s="14">
        <f>(E224/E$354)*100</f>
        <v>9.0250604995289923</v>
      </c>
      <c r="G224" s="722">
        <f>(AllocationEnergy!$H$40/100)*AnaerobicDigestion!Q22*(Unitflowchart!$S$286/Unitflowchart!$S$357)</f>
        <v>16.386299999999999</v>
      </c>
      <c r="H224" s="211">
        <f>(AllocationEnergy!$H$40/100)*AnaerobicDigestion!V22*(Unitflowchart!$S$286/Unitflowchart!$S$357)</f>
        <v>0.32281978235294112</v>
      </c>
      <c r="I224" s="14">
        <f>(H224/H$354)*100</f>
        <v>18.059960056981581</v>
      </c>
      <c r="J224" s="212">
        <f>(AllocationEnergy!$H$40/100)*AnaerobicDigestion!W22*(Unitflowchart!$S$286/Unitflowchart!$S$357)</f>
        <v>4.7231099999999991E-2</v>
      </c>
      <c r="K224" s="211">
        <f>(AllocationEnergy!$H$40/100)*AnaerobicDigestion!AB22*(Unitflowchart!$S$286/Unitflowchart!$S$357)</f>
        <v>2.8656847058823529E-3</v>
      </c>
      <c r="L224" s="14">
        <f>(K224/K$354)*100</f>
        <v>0.15775766988459966</v>
      </c>
      <c r="M224" s="212">
        <f>(AllocationEnergy!$H$40/100)*AnaerobicDigestion!AC22*(Unitflowchart!$S$286/Unitflowchart!$S$357)</f>
        <v>0</v>
      </c>
      <c r="N224" s="714">
        <f>E224+(GlobalWarmingPotentials!$B$11*H224)+(GlobalWarmingPotentials!$C$11*K224)</f>
        <v>116.22989766705884</v>
      </c>
      <c r="O224" s="14">
        <f>(N224/N$354)*100</f>
        <v>6.5482053906446058</v>
      </c>
      <c r="P224" s="741">
        <f>SQRT((G224^2)+((GlobalWarmingPotentials!$B$11*J224)^2)+((GlobalWarmingPotentials!$C$11*M224)^2))</f>
        <v>16.422268680697378</v>
      </c>
      <c r="Q224" s="29"/>
    </row>
    <row r="225" spans="1:17" x14ac:dyDescent="0.25">
      <c r="A225" s="219"/>
      <c r="B225" s="716"/>
      <c r="D225" s="718"/>
      <c r="E225" s="716"/>
      <c r="G225" s="718"/>
      <c r="H225" s="731"/>
      <c r="J225" s="708"/>
      <c r="K225" s="731"/>
      <c r="M225" s="708"/>
      <c r="N225" s="716"/>
      <c r="P225" s="718"/>
      <c r="Q225" s="29"/>
    </row>
    <row r="226" spans="1:17" x14ac:dyDescent="0.25">
      <c r="A226" s="817" t="s">
        <v>1996</v>
      </c>
      <c r="B226" s="712"/>
      <c r="D226" s="718"/>
      <c r="E226" s="712"/>
      <c r="G226" s="718"/>
      <c r="H226" s="30"/>
      <c r="J226" s="708"/>
      <c r="K226" s="30"/>
      <c r="M226" s="708"/>
      <c r="N226" s="712"/>
      <c r="P226" s="718"/>
      <c r="Q226" s="29"/>
    </row>
    <row r="227" spans="1:17" x14ac:dyDescent="0.25">
      <c r="B227" s="712"/>
      <c r="D227" s="718"/>
      <c r="E227" s="712"/>
      <c r="G227" s="718"/>
      <c r="H227" s="30"/>
      <c r="J227" s="708"/>
      <c r="K227" s="30"/>
      <c r="M227" s="708"/>
      <c r="N227" s="712"/>
      <c r="P227" s="718"/>
      <c r="Q227" s="29"/>
    </row>
    <row r="228" spans="1:17" x14ac:dyDescent="0.25">
      <c r="A228" t="str">
        <f>Utilities!A18</f>
        <v>Electricity Input</v>
      </c>
      <c r="B228" s="715">
        <f>(AllocationEnergy!$H$40/100)*Utilities!J18*(Unitflowchart!$S$294/Unitflowchart!$S$357)</f>
        <v>0</v>
      </c>
      <c r="C228" s="25">
        <f>(B228/B$354)*100</f>
        <v>0</v>
      </c>
      <c r="D228" s="726">
        <f>(AllocationEnergy!$H$40/100)*Utilities!K18*(Unitflowchart!$S$294/Unitflowchart!$S$357)</f>
        <v>0</v>
      </c>
      <c r="E228" s="710">
        <f>(AllocationEnergy!$H$40/100)*Utilities!P18*(Unitflowchart!$S$294/Unitflowchart!$S$357)</f>
        <v>0</v>
      </c>
      <c r="F228" s="24">
        <f t="shared" ref="F228:F230" si="45">(E228/E$354)*100</f>
        <v>0</v>
      </c>
      <c r="G228" s="726">
        <f>(AllocationEnergy!$H$40/100)*Utilities!Q18*(Unitflowchart!$S$294/Unitflowchart!$S$357)</f>
        <v>0</v>
      </c>
      <c r="H228" s="707">
        <f>(AllocationEnergy!$H$40/100)*Utilities!V18*(Unitflowchart!$S$294/Unitflowchart!$S$357)</f>
        <v>4.2465882352941192E-3</v>
      </c>
      <c r="I228" s="24">
        <f t="shared" ref="I228:I230" si="46">(H228/H$354)*100</f>
        <v>0.23757284435564877</v>
      </c>
      <c r="J228" s="709">
        <f>(AllocationEnergy!$H$40/100)*Utilities!W18*(Unitflowchart!$S$294/Unitflowchart!$S$357)</f>
        <v>0</v>
      </c>
      <c r="K228" s="707">
        <f>(AllocationEnergy!$H$40/100)*Utilities!AB18*(Unitflowchart!$S$294/Unitflowchart!$S$357)</f>
        <v>1.2739764705882355E-3</v>
      </c>
      <c r="L228" s="24">
        <f t="shared" ref="L228:L230" si="47">(K228/K$354)*100</f>
        <v>7.0133172388175902E-2</v>
      </c>
      <c r="M228" s="709">
        <f>(AllocationEnergy!$H$40/100)*Utilities!AC18*(Unitflowchart!$S$294/Unitflowchart!$S$357)</f>
        <v>0</v>
      </c>
      <c r="N228" s="710">
        <f>E228+(GlobalWarmingPotentials!$B$11*H228)+(GlobalWarmingPotentials!$C$11*K228)</f>
        <v>0.47476856470588247</v>
      </c>
      <c r="O228" s="24">
        <f>(N228/N$354)*100</f>
        <v>2.6747696910317097E-2</v>
      </c>
      <c r="P228" s="726">
        <f>SQRT((G228^2)+((GlobalWarmingPotentials!$B$11*J228)^2)+((GlobalWarmingPotentials!$C$11*M228)^2))</f>
        <v>0</v>
      </c>
      <c r="Q228" s="29"/>
    </row>
    <row r="229" spans="1:17" x14ac:dyDescent="0.25">
      <c r="B229" s="712"/>
      <c r="D229" s="718"/>
      <c r="E229" s="712"/>
      <c r="G229" s="718"/>
      <c r="H229" s="30"/>
      <c r="J229" s="708"/>
      <c r="K229" s="30"/>
      <c r="M229" s="708"/>
      <c r="N229" s="712"/>
      <c r="P229" s="718"/>
      <c r="Q229" s="29"/>
    </row>
    <row r="230" spans="1:17" x14ac:dyDescent="0.25">
      <c r="A230" s="214" t="s">
        <v>2021</v>
      </c>
      <c r="B230" s="717">
        <f>(AllocationEnergy!$H$40/100)*Utilities!J20*(Unitflowchart!$S$294/Unitflowchart!$S$357)</f>
        <v>0</v>
      </c>
      <c r="C230" s="705">
        <f>(B230/B$354)*100</f>
        <v>0</v>
      </c>
      <c r="D230" s="727">
        <f>(AllocationEnergy!$H$40/100)*Utilities!K20*(Unitflowchart!$S$294/Unitflowchart!$S$357)</f>
        <v>0</v>
      </c>
      <c r="E230" s="717">
        <f>(AllocationEnergy!$H$40/100)*Utilities!P20*(Unitflowchart!$S$294/Unitflowchart!$S$357)</f>
        <v>0</v>
      </c>
      <c r="F230" s="705">
        <f t="shared" si="45"/>
        <v>0</v>
      </c>
      <c r="G230" s="727">
        <f>(AllocationEnergy!$H$40/100)*Utilities!Q20*(Unitflowchart!$S$294/Unitflowchart!$S$357)</f>
        <v>0</v>
      </c>
      <c r="H230" s="706">
        <f>(AllocationEnergy!$H$40/100)*Utilities!V20*(Unitflowchart!$S$294/Unitflowchart!$S$357)</f>
        <v>4.2465882352941192E-3</v>
      </c>
      <c r="I230" s="705">
        <f t="shared" si="46"/>
        <v>0.23757284435564877</v>
      </c>
      <c r="J230" s="704">
        <f>(AllocationEnergy!$H$40/100)*Utilities!W20*(Unitflowchart!$S$294/Unitflowchart!$S$357)</f>
        <v>0</v>
      </c>
      <c r="K230" s="706">
        <f>(AllocationEnergy!$H$40/100)*Utilities!AB20*(Unitflowchart!$S$294/Unitflowchart!$S$357)</f>
        <v>1.2739764705882355E-3</v>
      </c>
      <c r="L230" s="705">
        <f t="shared" si="47"/>
        <v>7.0133172388175902E-2</v>
      </c>
      <c r="M230" s="704">
        <f>(AllocationEnergy!$H$40/100)*Utilities!AC20*(Unitflowchart!$S$294/Unitflowchart!$S$357)</f>
        <v>0</v>
      </c>
      <c r="N230" s="717">
        <f>E230+(GlobalWarmingPotentials!$B$11*H230)+(GlobalWarmingPotentials!$C$11*K230)</f>
        <v>0.47476856470588247</v>
      </c>
      <c r="O230" s="705">
        <f>(N230/N$354)*100</f>
        <v>2.6747696910317097E-2</v>
      </c>
      <c r="P230" s="725">
        <f>SQRT((G230^2)+((GlobalWarmingPotentials!$B$11*J230)^2)+((GlobalWarmingPotentials!$C$11*M230)^2))</f>
        <v>0</v>
      </c>
      <c r="Q230" s="29"/>
    </row>
    <row r="231" spans="1:17" x14ac:dyDescent="0.25">
      <c r="B231" s="712"/>
      <c r="D231" s="718"/>
      <c r="E231" s="712"/>
      <c r="G231" s="718"/>
      <c r="H231" s="30"/>
      <c r="J231" s="708"/>
      <c r="K231" s="30"/>
      <c r="M231" s="708"/>
      <c r="N231" s="712"/>
      <c r="P231" s="718"/>
      <c r="Q231" s="29"/>
    </row>
    <row r="232" spans="1:17" x14ac:dyDescent="0.25">
      <c r="A232" s="2" t="s">
        <v>862</v>
      </c>
      <c r="B232" s="712"/>
      <c r="D232" s="718"/>
      <c r="E232" s="712"/>
      <c r="G232" s="718"/>
      <c r="H232" s="30"/>
      <c r="J232" s="708"/>
      <c r="K232" s="30"/>
      <c r="M232" s="708"/>
      <c r="N232" s="712"/>
      <c r="P232" s="718"/>
      <c r="Q232" s="29"/>
    </row>
    <row r="233" spans="1:17" x14ac:dyDescent="0.25">
      <c r="B233" s="712"/>
      <c r="D233" s="718"/>
      <c r="E233" s="712"/>
      <c r="G233" s="718"/>
      <c r="H233" s="30"/>
      <c r="J233" s="708"/>
      <c r="K233" s="30"/>
      <c r="M233" s="708"/>
      <c r="N233" s="712"/>
      <c r="P233" s="718"/>
      <c r="Q233" s="29"/>
    </row>
    <row r="234" spans="1:17" x14ac:dyDescent="0.25">
      <c r="A234" s="3" t="s">
        <v>863</v>
      </c>
      <c r="B234" s="771">
        <v>0</v>
      </c>
      <c r="C234" s="24">
        <f>(B234/B$354)*100</f>
        <v>0</v>
      </c>
      <c r="D234" s="726">
        <v>0</v>
      </c>
      <c r="E234" s="710">
        <f>-(AllocationEnergy!$H$40/100)/Unitflowchart!$S$357*(Unitflowchart!AC226*1000)*gas_credit</f>
        <v>0</v>
      </c>
      <c r="F234" s="24">
        <f>(E234/E$354)*100</f>
        <v>0</v>
      </c>
      <c r="G234" s="726">
        <v>0</v>
      </c>
      <c r="H234" s="707">
        <v>0</v>
      </c>
      <c r="I234" s="24">
        <f>(H234/H$354)*100</f>
        <v>0</v>
      </c>
      <c r="J234" s="709">
        <v>0</v>
      </c>
      <c r="K234" s="707">
        <v>0</v>
      </c>
      <c r="L234" s="24">
        <f>(K234/K$354)*100</f>
        <v>0</v>
      </c>
      <c r="M234" s="709">
        <v>0</v>
      </c>
      <c r="N234" s="710">
        <f>E234+(GlobalWarmingPotentials!$B$11*H234)+(GlobalWarmingPotentials!$C$11*K234)</f>
        <v>0</v>
      </c>
      <c r="O234" s="24">
        <f>(N234/N$354)*100</f>
        <v>0</v>
      </c>
      <c r="P234" s="726">
        <f>SQRT((G234^2)+((GlobalWarmingPotentials!$B$11*J234)^2)+((GlobalWarmingPotentials!$C$11*M234)^2))</f>
        <v>0</v>
      </c>
      <c r="Q234" s="29"/>
    </row>
    <row r="235" spans="1:17" x14ac:dyDescent="0.25">
      <c r="B235" s="712"/>
      <c r="D235" s="718"/>
      <c r="E235" s="712"/>
      <c r="F235" s="24"/>
      <c r="G235" s="718"/>
      <c r="H235" s="30"/>
      <c r="I235" s="24"/>
      <c r="J235" s="708"/>
      <c r="K235" s="30"/>
      <c r="L235" s="24"/>
      <c r="M235" s="708"/>
      <c r="N235" s="712"/>
      <c r="O235" s="24"/>
      <c r="P235" s="718"/>
      <c r="Q235" s="29"/>
    </row>
    <row r="236" spans="1:17" x14ac:dyDescent="0.25">
      <c r="A236" s="699" t="s">
        <v>864</v>
      </c>
      <c r="B236" s="717">
        <v>0</v>
      </c>
      <c r="C236" s="705">
        <f>(B236/B$354)*100</f>
        <v>0</v>
      </c>
      <c r="D236" s="727">
        <v>0</v>
      </c>
      <c r="E236" s="717">
        <f>E234</f>
        <v>0</v>
      </c>
      <c r="F236" s="705">
        <f>(E236/E$354)*100</f>
        <v>0</v>
      </c>
      <c r="G236" s="727"/>
      <c r="H236" s="706">
        <v>0</v>
      </c>
      <c r="I236" s="705">
        <f>(H236/H$354)*100</f>
        <v>0</v>
      </c>
      <c r="J236" s="704">
        <v>0</v>
      </c>
      <c r="K236" s="706">
        <v>0</v>
      </c>
      <c r="L236" s="705">
        <f>(K236/K$354)*100</f>
        <v>0</v>
      </c>
      <c r="M236" s="704">
        <v>0</v>
      </c>
      <c r="N236" s="717">
        <f>E236+(GlobalWarmingPotentials!$B$11*H236)+(GlobalWarmingPotentials!$C$11*K236)</f>
        <v>0</v>
      </c>
      <c r="O236" s="705">
        <f>(N236/N$354)*100</f>
        <v>0</v>
      </c>
      <c r="P236" s="725">
        <f>SQRT((G236^2)+((GlobalWarmingPotentials!$B$11*J236)^2)+((GlobalWarmingPotentials!$C$11*M236)^2))</f>
        <v>0</v>
      </c>
      <c r="Q236" s="29"/>
    </row>
    <row r="237" spans="1:17" x14ac:dyDescent="0.25">
      <c r="B237" s="712"/>
      <c r="D237" s="718"/>
      <c r="E237" s="712"/>
      <c r="G237" s="718"/>
      <c r="H237" s="30"/>
      <c r="J237" s="708"/>
      <c r="K237" s="30"/>
      <c r="M237" s="708"/>
      <c r="N237" s="712"/>
      <c r="P237" s="718"/>
      <c r="Q237" s="29"/>
    </row>
    <row r="238" spans="1:17" x14ac:dyDescent="0.25">
      <c r="A238" s="2" t="s">
        <v>872</v>
      </c>
      <c r="B238" s="712"/>
      <c r="D238" s="718"/>
      <c r="E238" s="712"/>
      <c r="G238" s="718"/>
      <c r="H238" s="30"/>
      <c r="J238" s="708"/>
      <c r="K238" s="30"/>
      <c r="M238" s="708"/>
      <c r="N238" s="712"/>
      <c r="P238" s="718"/>
      <c r="Q238" s="29"/>
    </row>
    <row r="239" spans="1:17" x14ac:dyDescent="0.25">
      <c r="B239" s="712"/>
      <c r="D239" s="718"/>
      <c r="E239" s="712"/>
      <c r="G239" s="718"/>
      <c r="H239" s="30"/>
      <c r="J239" s="708"/>
      <c r="K239" s="30"/>
      <c r="M239" s="708"/>
      <c r="N239" s="712"/>
      <c r="P239" s="718"/>
      <c r="Q239" s="29"/>
    </row>
    <row r="240" spans="1:17" x14ac:dyDescent="0.25">
      <c r="A240" t="str">
        <f>ElectricitySales!A15</f>
        <v>Electricity Credit</v>
      </c>
      <c r="B240" s="715">
        <f>Unitflowchart!$S$286*(AllocationEnergy!$H$40/100)/Unitflowchart!$S$357*(ElectricitySales!J15)</f>
        <v>0</v>
      </c>
      <c r="C240" s="25">
        <f>(B240/B$354)*100</f>
        <v>0</v>
      </c>
      <c r="D240" s="355">
        <f>Unitflowchart!S286*(AllocationEnergy!$H$40/100)/Unitflowchart!$S$357*(ElectricitySales!K15)</f>
        <v>0</v>
      </c>
      <c r="E240" s="715">
        <f>Unitflowchart!$S$286*(AllocationEnergy!$H$40/100)/Unitflowchart!$S$357*(ElectricitySales!P15)</f>
        <v>0</v>
      </c>
      <c r="F240" s="25">
        <f>(E240/E$354)*100</f>
        <v>0</v>
      </c>
      <c r="G240" s="355">
        <f>Unitflowchart!S286*(AllocationEnergy!$H$40/100)/Unitflowchart!$S$357*(ElectricitySales!Q15)</f>
        <v>0</v>
      </c>
      <c r="H240" s="730">
        <f>Unitflowchart!$S$286*(AllocationEnergy!$H$40/100)/Unitflowchart!$S$357*(ElectricitySales!V15)</f>
        <v>-4.9045600190756829E-2</v>
      </c>
      <c r="I240" s="25">
        <f>(H240/H$354)*100</f>
        <v>-2.743826831056305</v>
      </c>
      <c r="J240" s="733">
        <f>Unitflowchart!S286*(AllocationEnergy!$H$40/100)/Unitflowchart!$S$357*(ElectricitySales!W15)</f>
        <v>0</v>
      </c>
      <c r="K240" s="730">
        <f>Unitflowchart!$S$286*(AllocationEnergy!$H$40/100)/Unitflowchart!$S$357*(ElectricitySales!AB15)</f>
        <v>-1.4713680057227048E-2</v>
      </c>
      <c r="L240" s="25">
        <f>(K240/K$354)*100</f>
        <v>-0.80999695342999656</v>
      </c>
      <c r="M240" s="733">
        <f>Unitflowchart!S286*(AllocationEnergy!$H$40/100)/Unitflowchart!$S$357*(ElectricitySales!AC15)</f>
        <v>0</v>
      </c>
      <c r="N240" s="711">
        <f>E240+(GlobalWarmingPotentials!$B$11*H240)+(GlobalWarmingPotentials!$C$11*K240)</f>
        <v>-5.4832981013266133</v>
      </c>
      <c r="O240" s="25">
        <f>(N240/N$354)*100</f>
        <v>-0.30892019098623408</v>
      </c>
      <c r="P240" s="740">
        <f>SQRT((G240^2)+((GlobalWarmingPotentials!$B$11*J240)^2)+((GlobalWarmingPotentials!$C$11*M240)^2))</f>
        <v>0</v>
      </c>
      <c r="Q240" s="29"/>
    </row>
    <row r="241" spans="1:17" x14ac:dyDescent="0.25">
      <c r="B241" s="712"/>
      <c r="D241" s="718"/>
      <c r="E241" s="712"/>
      <c r="G241" s="718"/>
      <c r="H241" s="30"/>
      <c r="J241" s="729"/>
      <c r="K241" s="30"/>
      <c r="M241" s="708"/>
      <c r="N241" s="712"/>
      <c r="P241" s="718"/>
      <c r="Q241" s="29"/>
    </row>
    <row r="242" spans="1:17" x14ac:dyDescent="0.25">
      <c r="A242" s="214" t="s">
        <v>881</v>
      </c>
      <c r="B242" s="714">
        <f>Unitflowchart!$S$286*(AllocationEnergy!$H$40/100)/Unitflowchart!$S$357*(ElectricitySales!J17)</f>
        <v>0</v>
      </c>
      <c r="C242" s="14">
        <f>(B242/B$354)*100</f>
        <v>0</v>
      </c>
      <c r="D242" s="722">
        <f>Unitflowchart!S286*(AllocationEnergy!$H$40/100)/Unitflowchart!$S$357*(ElectricitySales!K17)</f>
        <v>0</v>
      </c>
      <c r="E242" s="714">
        <f>Unitflowchart!$S$286*(AllocationEnergy!$H$40/100)/Unitflowchart!$S$357*(ElectricitySales!P17)</f>
        <v>0</v>
      </c>
      <c r="F242" s="14">
        <f>(E242/E$354)*100</f>
        <v>0</v>
      </c>
      <c r="G242" s="722">
        <f>Unitflowchart!S286*(AllocationEnergy!$H$40/100)/Unitflowchart!$S$357*(ElectricitySales!Q17)</f>
        <v>0</v>
      </c>
      <c r="H242" s="211">
        <f>Unitflowchart!$S$286*(AllocationEnergy!$H$40/100)/Unitflowchart!$S$357*(ElectricitySales!V17)</f>
        <v>-4.9045600190756829E-2</v>
      </c>
      <c r="I242" s="14">
        <f>(H242/H$354)*100</f>
        <v>-2.743826831056305</v>
      </c>
      <c r="J242" s="212">
        <f>Unitflowchart!S286*(AllocationEnergy!$H$40/100)/Unitflowchart!$S$357*(ElectricitySales!W17)</f>
        <v>0</v>
      </c>
      <c r="K242" s="211">
        <f>Unitflowchart!$S$286*(AllocationEnergy!$H$40/100)/Unitflowchart!$S$357*(ElectricitySales!AB17)</f>
        <v>-1.4713680057227048E-2</v>
      </c>
      <c r="L242" s="14">
        <f>(K242/K$354)*100</f>
        <v>-0.80999695342999656</v>
      </c>
      <c r="M242" s="212">
        <f>Unitflowchart!S286*(AllocationEnergy!$H$40/100)/Unitflowchart!$S$357*(ElectricitySales!AC17)</f>
        <v>0</v>
      </c>
      <c r="N242" s="714">
        <f>E242+(GlobalWarmingPotentials!$B$11*H242)+(GlobalWarmingPotentials!$C$11*K242)</f>
        <v>-5.4832981013266133</v>
      </c>
      <c r="O242" s="14">
        <f>(N242/N$354)*100</f>
        <v>-0.30892019098623408</v>
      </c>
      <c r="P242" s="741">
        <f>SQRT((G242^2)+((GlobalWarmingPotentials!$B$11*J242)^2)+((GlobalWarmingPotentials!$C$11*M242)^2))</f>
        <v>0</v>
      </c>
      <c r="Q242" s="29"/>
    </row>
    <row r="243" spans="1:17" x14ac:dyDescent="0.25">
      <c r="B243" s="716"/>
      <c r="D243" s="718"/>
      <c r="E243" s="716"/>
      <c r="G243" s="718"/>
      <c r="H243" s="731"/>
      <c r="J243" s="708"/>
      <c r="K243" s="731"/>
      <c r="M243" s="708"/>
      <c r="N243" s="716"/>
      <c r="P243" s="718"/>
      <c r="Q243" s="29"/>
    </row>
    <row r="244" spans="1:17" x14ac:dyDescent="0.25">
      <c r="A244" s="384" t="s">
        <v>415</v>
      </c>
      <c r="B244" s="712"/>
      <c r="D244" s="718"/>
      <c r="E244" s="712"/>
      <c r="G244" s="718"/>
      <c r="H244" s="30"/>
      <c r="J244" s="708"/>
      <c r="K244" s="30"/>
      <c r="M244" s="708"/>
      <c r="N244" s="712"/>
      <c r="P244" s="718"/>
      <c r="Q244" s="29"/>
    </row>
    <row r="245" spans="1:17" x14ac:dyDescent="0.25">
      <c r="B245" s="712"/>
      <c r="D245" s="718"/>
      <c r="E245" s="712"/>
      <c r="G245" s="718"/>
      <c r="H245" s="30"/>
      <c r="J245" s="708"/>
      <c r="K245" s="30"/>
      <c r="M245" s="708"/>
      <c r="N245" s="712"/>
      <c r="P245" s="718"/>
      <c r="Q245" s="29"/>
    </row>
    <row r="246" spans="1:17" x14ac:dyDescent="0.25">
      <c r="A246" s="13" t="str">
        <f>RoadTransportEthanolStage1!A42</f>
        <v xml:space="preserve"> - Diesel Fuel</v>
      </c>
      <c r="B246" s="715">
        <f>(Unitflowchart!$S$294/Unitflowchart!$S$357)*RoadTransportEthanolStage1!J42*Unitflowchart!$S$303</f>
        <v>517.88672232212184</v>
      </c>
      <c r="C246" s="25">
        <f>(B246/B$354)*100</f>
        <v>2.7214333895044533</v>
      </c>
      <c r="D246" s="481">
        <f>(Unitflowchart!$S$294/Unitflowchart!$S$357)*RoadTransportEthanolStage1!K42*Unitflowchart!$S$303</f>
        <v>24.34067594913973</v>
      </c>
      <c r="E246" s="715">
        <f>(Unitflowchart!$S$294/Unitflowchart!$S$357)*RoadTransportEthanolStage1!P42*Unitflowchart!$S$303</f>
        <v>37.164284826471004</v>
      </c>
      <c r="F246" s="25">
        <f>(E246/E$354)*100</f>
        <v>3.106890154030391</v>
      </c>
      <c r="G246" s="355">
        <f>(Unitflowchart!$S$294/Unitflowchart!$S$357)*RoadTransportEthanolStage1!Q42*Unitflowchart!$S$303</f>
        <v>1.7467213868441371</v>
      </c>
      <c r="H246" s="730">
        <f>(Unitflowchart!$S$294/Unitflowchart!$S$357)*RoadTransportEthanolStage1!V42*Unitflowchart!$S$303</f>
        <v>7.7224487951108563E-3</v>
      </c>
      <c r="I246" s="25">
        <f>(H246/H$354)*100</f>
        <v>0.4320277888958714</v>
      </c>
      <c r="J246" s="733">
        <f>(Unitflowchart!$S$294/Unitflowchart!$S$357)*RoadTransportEthanolStage1!W42*Unitflowchart!$S$303</f>
        <v>3.6295509337021026E-4</v>
      </c>
      <c r="K246" s="730">
        <f>(Unitflowchart!$S$294/Unitflowchart!$S$357)*RoadTransportEthanolStage1!AB42*Unitflowchart!$S$303</f>
        <v>1.0039183433644116E-2</v>
      </c>
      <c r="L246" s="25">
        <f>(K246/K$354)*100</f>
        <v>0.55266309750853282</v>
      </c>
      <c r="M246" s="733">
        <f>(Unitflowchart!$S$294/Unitflowchart!$S$357)*RoadTransportEthanolStage1!AC42*Unitflowchart!$S$303</f>
        <v>4.7184162138127345E-4</v>
      </c>
      <c r="N246" s="711">
        <f>E246+(GlobalWarmingPotentials!$B$11*H246)+(GlobalWarmingPotentials!$C$11*K246)</f>
        <v>40.313499445117209</v>
      </c>
      <c r="O246" s="25">
        <f>(N246/N$354)*100</f>
        <v>2.2711976839078019</v>
      </c>
      <c r="P246" s="740">
        <f>SQRT((G246^2)+((GlobalWarmingPotentials!$B$11*J246)^2)+((GlobalWarmingPotentials!$C$11*M246)^2))</f>
        <v>1.7523160780917761</v>
      </c>
      <c r="Q246" s="29"/>
    </row>
    <row r="247" spans="1:17" x14ac:dyDescent="0.25">
      <c r="A247" s="13" t="str">
        <f>RoadTransportEthanolStage1!A43</f>
        <v xml:space="preserve"> - Vehicle </v>
      </c>
      <c r="B247" s="715">
        <f>(Unitflowchart!$S$294/Unitflowchart!$S$357)*RoadTransportEthanolStage1!J43*Unitflowchart!$S$303</f>
        <v>0</v>
      </c>
      <c r="C247" s="25">
        <f t="shared" ref="C247:C250" si="48">(B247/B$354)*100</f>
        <v>0</v>
      </c>
      <c r="D247" s="481">
        <f>(Unitflowchart!$S$294/Unitflowchart!$S$357)*RoadTransportEthanolStage1!K43*Unitflowchart!$S$303</f>
        <v>0</v>
      </c>
      <c r="E247" s="715">
        <f>(Unitflowchart!$S$294/Unitflowchart!$S$357)*RoadTransportEthanolStage1!P43*Unitflowchart!$S$303</f>
        <v>0</v>
      </c>
      <c r="F247" s="25">
        <f t="shared" ref="F247:F250" si="49">(E247/E$354)*100</f>
        <v>0</v>
      </c>
      <c r="G247" s="355">
        <f>(Unitflowchart!$S$294/Unitflowchart!$S$357)*RoadTransportEthanolStage1!Q43*Unitflowchart!$S$303</f>
        <v>0</v>
      </c>
      <c r="H247" s="730">
        <f>(Unitflowchart!$S$294/Unitflowchart!$S$357)*RoadTransportEthanolStage1!V43*Unitflowchart!$S$303</f>
        <v>0</v>
      </c>
      <c r="I247" s="25">
        <f t="shared" ref="I247:I250" si="50">(H247/H$354)*100</f>
        <v>0</v>
      </c>
      <c r="J247" s="733">
        <f>(Unitflowchart!$S$294/Unitflowchart!$S$357)*RoadTransportEthanolStage1!W43*Unitflowchart!$S$303</f>
        <v>0</v>
      </c>
      <c r="K247" s="730">
        <f>(Unitflowchart!$S$294/Unitflowchart!$S$357)*RoadTransportEthanolStage1!AB43*Unitflowchart!$S$303</f>
        <v>0</v>
      </c>
      <c r="L247" s="25">
        <f t="shared" ref="L247:L250" si="51">(K247/K$354)*100</f>
        <v>0</v>
      </c>
      <c r="M247" s="733">
        <f>(Unitflowchart!$S$294/Unitflowchart!$S$357)*RoadTransportEthanolStage1!AC43*Unitflowchart!$S$303</f>
        <v>0</v>
      </c>
      <c r="N247" s="711">
        <f>E247+(GlobalWarmingPotentials!$B$11*H247)+(GlobalWarmingPotentials!$C$11*K247)</f>
        <v>0</v>
      </c>
      <c r="O247" s="25">
        <f>(N247/N$354)*100</f>
        <v>0</v>
      </c>
      <c r="P247" s="740">
        <f>SQRT((G247^2)+((GlobalWarmingPotentials!$B$11*J247)^2)+((GlobalWarmingPotentials!$C$11*M247)^2))</f>
        <v>0</v>
      </c>
      <c r="Q247" s="29"/>
    </row>
    <row r="248" spans="1:17" x14ac:dyDescent="0.25">
      <c r="A248" s="13" t="str">
        <f>RoadTransportEthanolStage1!A44</f>
        <v xml:space="preserve"> - Maintenance</v>
      </c>
      <c r="B248" s="715">
        <f>(Unitflowchart!$S$294/Unitflowchart!$S$357)*RoadTransportEthanolStage1!J44*Unitflowchart!$S$303</f>
        <v>0</v>
      </c>
      <c r="C248" s="25">
        <f t="shared" si="48"/>
        <v>0</v>
      </c>
      <c r="D248" s="481">
        <f>(Unitflowchart!$S$294/Unitflowchart!$S$357)*RoadTransportEthanolStage1!K44*Unitflowchart!$S$303</f>
        <v>0</v>
      </c>
      <c r="E248" s="715">
        <f>(Unitflowchart!$S$294/Unitflowchart!$S$357)*RoadTransportEthanolStage1!P44*Unitflowchart!$S$303</f>
        <v>0</v>
      </c>
      <c r="F248" s="25">
        <f t="shared" si="49"/>
        <v>0</v>
      </c>
      <c r="G248" s="355">
        <f>(Unitflowchart!$S$294/Unitflowchart!$S$357)*RoadTransportEthanolStage1!Q44*Unitflowchart!$S$303</f>
        <v>0</v>
      </c>
      <c r="H248" s="730">
        <f>(Unitflowchart!$S$294/Unitflowchart!$S$357)*RoadTransportEthanolStage1!V44*Unitflowchart!$S$303</f>
        <v>0</v>
      </c>
      <c r="I248" s="25">
        <f t="shared" si="50"/>
        <v>0</v>
      </c>
      <c r="J248" s="733">
        <f>(Unitflowchart!$S$294/Unitflowchart!$S$357)*RoadTransportEthanolStage1!W44*Unitflowchart!$S$303</f>
        <v>0</v>
      </c>
      <c r="K248" s="730">
        <f>(Unitflowchart!$S$294/Unitflowchart!$S$357)*RoadTransportEthanolStage1!AB44*Unitflowchart!$S$303</f>
        <v>0</v>
      </c>
      <c r="L248" s="25">
        <f t="shared" si="51"/>
        <v>0</v>
      </c>
      <c r="M248" s="733">
        <f>(Unitflowchart!$S$294/Unitflowchart!$S$357)*RoadTransportEthanolStage1!AC44*Unitflowchart!$S$303</f>
        <v>0</v>
      </c>
      <c r="N248" s="711">
        <f>E248+(GlobalWarmingPotentials!$B$11*H248)+(GlobalWarmingPotentials!$C$11*K248)</f>
        <v>0</v>
      </c>
      <c r="O248" s="25">
        <f>(N248/N$354)*100</f>
        <v>0</v>
      </c>
      <c r="P248" s="740">
        <f>SQRT((G248^2)+((GlobalWarmingPotentials!$B$11*J248)^2)+((GlobalWarmingPotentials!$C$11*M248)^2))</f>
        <v>0</v>
      </c>
      <c r="Q248" s="29"/>
    </row>
    <row r="249" spans="1:17" s="42" customFormat="1" x14ac:dyDescent="0.25">
      <c r="B249" s="746"/>
      <c r="C249" s="863"/>
      <c r="D249" s="759"/>
      <c r="E249" s="746"/>
      <c r="F249" s="863"/>
      <c r="G249" s="805"/>
      <c r="H249" s="763"/>
      <c r="I249" s="863"/>
      <c r="J249" s="806"/>
      <c r="K249" s="763"/>
      <c r="L249" s="863"/>
      <c r="M249" s="806"/>
      <c r="N249" s="897"/>
      <c r="O249" s="893"/>
      <c r="P249" s="898"/>
      <c r="Q249" s="823"/>
    </row>
    <row r="250" spans="1:17" x14ac:dyDescent="0.25">
      <c r="A250" s="214" t="s">
        <v>842</v>
      </c>
      <c r="B250" s="714">
        <f>(Unitflowchart!$S$294/Unitflowchart!$S$357)*RoadTransportEthanolStage1!J46*Unitflowchart!$S$303</f>
        <v>517.88672232212184</v>
      </c>
      <c r="C250" s="14">
        <f t="shared" si="48"/>
        <v>2.7214333895044533</v>
      </c>
      <c r="D250" s="722">
        <f>(Unitflowchart!$S$294/Unitflowchart!$S$357)*RoadTransportEthanolStage1!K46*Unitflowchart!$S$303</f>
        <v>24.34067594913973</v>
      </c>
      <c r="E250" s="714">
        <f>(Unitflowchart!$S$294/Unitflowchart!$S$357)*RoadTransportEthanolStage1!P46*Unitflowchart!$S$303</f>
        <v>37.164284826471004</v>
      </c>
      <c r="F250" s="14">
        <f t="shared" si="49"/>
        <v>3.106890154030391</v>
      </c>
      <c r="G250" s="720">
        <f>(Unitflowchart!$S$294/Unitflowchart!$S$357)*RoadTransportEthanolStage1!Q46*Unitflowchart!$S$303</f>
        <v>1.7467213868441371</v>
      </c>
      <c r="H250" s="211">
        <f>(Unitflowchart!$S$294/Unitflowchart!$S$357)*RoadTransportEthanolStage1!V46*Unitflowchart!$S$303</f>
        <v>7.7224487951108563E-3</v>
      </c>
      <c r="I250" s="14">
        <f t="shared" si="50"/>
        <v>0.4320277888958714</v>
      </c>
      <c r="J250" s="728">
        <f>(Unitflowchart!$S$294/Unitflowchart!$S$357)*RoadTransportEthanolStage1!W46*Unitflowchart!$S$303</f>
        <v>3.6295509337021026E-4</v>
      </c>
      <c r="K250" s="211">
        <f>(Unitflowchart!$S$294/Unitflowchart!$S$357)*RoadTransportEthanolStage1!AB46*Unitflowchart!$S$303</f>
        <v>1.0039183433644116E-2</v>
      </c>
      <c r="L250" s="14">
        <f t="shared" si="51"/>
        <v>0.55266309750853282</v>
      </c>
      <c r="M250" s="212">
        <f>(Unitflowchart!$S$294/Unitflowchart!$S$357)*RoadTransportEthanolStage1!AC46*Unitflowchart!$S$303</f>
        <v>4.7184162138127345E-4</v>
      </c>
      <c r="N250" s="714">
        <f>E250+(GlobalWarmingPotentials!$B$11*H250)+(GlobalWarmingPotentials!$C$11*K250)</f>
        <v>40.313499445117209</v>
      </c>
      <c r="O250" s="14">
        <f>(N250/N$354)*100</f>
        <v>2.2711976839078019</v>
      </c>
      <c r="P250" s="741">
        <f>SQRT((G250^2)+((GlobalWarmingPotentials!$B$11*J250)^2)+((GlobalWarmingPotentials!$C$11*M250)^2))</f>
        <v>1.7523160780917761</v>
      </c>
      <c r="Q250" s="29"/>
    </row>
    <row r="251" spans="1:17" x14ac:dyDescent="0.25">
      <c r="B251" s="712"/>
      <c r="D251" s="718"/>
      <c r="E251" s="712"/>
      <c r="G251" s="718"/>
      <c r="H251" s="30"/>
      <c r="J251" s="708"/>
      <c r="K251" s="30"/>
      <c r="M251" s="708"/>
      <c r="N251" s="716"/>
      <c r="P251" s="718"/>
      <c r="Q251" s="29"/>
    </row>
    <row r="252" spans="1:17" x14ac:dyDescent="0.25">
      <c r="A252" s="384" t="s">
        <v>883</v>
      </c>
      <c r="B252" s="712"/>
      <c r="D252" s="718"/>
      <c r="E252" s="712"/>
      <c r="G252" s="718"/>
      <c r="H252" s="30"/>
      <c r="J252" s="708"/>
      <c r="K252" s="30"/>
      <c r="M252" s="708"/>
      <c r="N252" s="712"/>
      <c r="P252" s="718"/>
      <c r="Q252" s="29"/>
    </row>
    <row r="253" spans="1:17" x14ac:dyDescent="0.25">
      <c r="B253" s="712"/>
      <c r="D253" s="718"/>
      <c r="E253" s="712"/>
      <c r="G253" s="718"/>
      <c r="H253" s="30"/>
      <c r="J253" s="708"/>
      <c r="K253" s="30"/>
      <c r="M253" s="708"/>
      <c r="N253" s="712"/>
      <c r="P253" s="718"/>
      <c r="Q253" s="29"/>
    </row>
    <row r="254" spans="1:17" x14ac:dyDescent="0.25">
      <c r="A254" t="str">
        <f>RailTransport!A11</f>
        <v xml:space="preserve"> - Gas Oil</v>
      </c>
      <c r="B254" s="710">
        <f>(Unitflowchart!$S$294/Unitflowchart!$S$357)*RailTransport!J11*Unitflowchart!$S$305</f>
        <v>0</v>
      </c>
      <c r="C254" s="24">
        <f>(B254/B$354)*100</f>
        <v>0</v>
      </c>
      <c r="D254" s="726">
        <f>(Unitflowchart!$S$294/Unitflowchart!$S$357)*RailTransport!K11*Unitflowchart!$S$305</f>
        <v>0</v>
      </c>
      <c r="E254" s="710">
        <f>(Unitflowchart!$S$294/Unitflowchart!$S$357)*RailTransport!P11*Unitflowchart!$S$305</f>
        <v>0</v>
      </c>
      <c r="F254" s="24">
        <f>(E254/E$354)*100</f>
        <v>0</v>
      </c>
      <c r="G254" s="726">
        <f>(Unitflowchart!$S$294/Unitflowchart!$S$357)*RailTransport!Q11*Unitflowchart!$S$305</f>
        <v>0</v>
      </c>
      <c r="H254" s="707">
        <f>(Unitflowchart!$S$294/Unitflowchart!$S$357)*RailTransport!V11*Unitflowchart!$S$305</f>
        <v>0</v>
      </c>
      <c r="I254" s="24">
        <f>(H254/H$354)*100</f>
        <v>0</v>
      </c>
      <c r="J254" s="709">
        <f>(Unitflowchart!$S$294/Unitflowchart!$S$357)*RailTransport!W11*Unitflowchart!$S$305</f>
        <v>0</v>
      </c>
      <c r="K254" s="707">
        <f>(Unitflowchart!$S$294/Unitflowchart!$S$357)*RailTransport!AB11*Unitflowchart!$S$305</f>
        <v>0</v>
      </c>
      <c r="L254" s="24">
        <f>(K254/K$354)*100</f>
        <v>0</v>
      </c>
      <c r="M254" s="709">
        <f>(Unitflowchart!$S$294/Unitflowchart!$S$357)*RailTransport!AC11*Unitflowchart!$S$305</f>
        <v>0</v>
      </c>
      <c r="N254" s="710">
        <f>E254+(GlobalWarmingPotentials!$B$11*H254)+(GlobalWarmingPotentials!$C$11*K254)</f>
        <v>0</v>
      </c>
      <c r="O254" s="24">
        <f>(N254/N$354)*100</f>
        <v>0</v>
      </c>
      <c r="P254" s="726">
        <f>SQRT((G254^2)+((GlobalWarmingPotentials!$B$11*J254)^2)+((GlobalWarmingPotentials!$C$11*M254)^2))</f>
        <v>0</v>
      </c>
      <c r="Q254" s="29"/>
    </row>
    <row r="255" spans="1:17" x14ac:dyDescent="0.25">
      <c r="A255" t="str">
        <f>RailTransport!A12</f>
        <v xml:space="preserve"> - Capital Equipment</v>
      </c>
      <c r="B255" s="710">
        <f>(Unitflowchart!$S$294/Unitflowchart!$S$357)*RailTransport!J12*Unitflowchart!$S$305</f>
        <v>0</v>
      </c>
      <c r="C255" s="24">
        <f>(B255/B$354)*100</f>
        <v>0</v>
      </c>
      <c r="D255" s="726">
        <f>(Unitflowchart!$S$294/Unitflowchart!$S$357)*RailTransport!K12*Unitflowchart!$S$305</f>
        <v>0</v>
      </c>
      <c r="E255" s="710">
        <f>(Unitflowchart!$S$294/Unitflowchart!$S$357)*RailTransport!P12*Unitflowchart!$S$305</f>
        <v>0</v>
      </c>
      <c r="F255" s="24">
        <f>(E255/E$354)*100</f>
        <v>0</v>
      </c>
      <c r="G255" s="726">
        <f>(Unitflowchart!$S$294/Unitflowchart!$S$357)*RailTransport!Q12*Unitflowchart!$S$305</f>
        <v>0</v>
      </c>
      <c r="H255" s="707">
        <f>(Unitflowchart!$S$294/Unitflowchart!$S$357)*RailTransport!V12*Unitflowchart!$S$305</f>
        <v>0</v>
      </c>
      <c r="I255" s="24">
        <f>(H255/H$354)*100</f>
        <v>0</v>
      </c>
      <c r="J255" s="709">
        <f>(Unitflowchart!$S$294/Unitflowchart!$S$357)*RailTransport!W12*Unitflowchart!$S$305</f>
        <v>0</v>
      </c>
      <c r="K255" s="707">
        <f>(Unitflowchart!$S$294/Unitflowchart!$S$357)*RailTransport!AB12*Unitflowchart!$S$305</f>
        <v>0</v>
      </c>
      <c r="L255" s="24">
        <f>(K255/K$354)*100</f>
        <v>0</v>
      </c>
      <c r="M255" s="709">
        <f>(Unitflowchart!$S$294/Unitflowchart!$S$357)*RailTransport!AC12*Unitflowchart!$S$305</f>
        <v>0</v>
      </c>
      <c r="N255" s="710">
        <f>E255+(GlobalWarmingPotentials!$B$11*H255)+(GlobalWarmingPotentials!$C$11*K255)</f>
        <v>0</v>
      </c>
      <c r="O255" s="24">
        <f>(N255/N$354)*100</f>
        <v>0</v>
      </c>
      <c r="P255" s="726">
        <f>SQRT((G255^2)+((GlobalWarmingPotentials!$B$11*J255)^2)+((GlobalWarmingPotentials!$C$11*M255)^2))</f>
        <v>0</v>
      </c>
      <c r="Q255" s="29"/>
    </row>
    <row r="256" spans="1:17" x14ac:dyDescent="0.25">
      <c r="A256" t="str">
        <f>RailTransport!A13</f>
        <v xml:space="preserve"> - Maintenance</v>
      </c>
      <c r="B256" s="710">
        <f>(Unitflowchart!$S$294/Unitflowchart!$S$357)*RailTransport!J13*Unitflowchart!$S$305</f>
        <v>0</v>
      </c>
      <c r="C256" s="24">
        <f>(B256/B$354)*100</f>
        <v>0</v>
      </c>
      <c r="D256" s="726">
        <f>(Unitflowchart!$S$294/Unitflowchart!$S$357)*RailTransport!K13*Unitflowchart!$S$305</f>
        <v>0</v>
      </c>
      <c r="E256" s="710">
        <f>(Unitflowchart!$S$294/Unitflowchart!$S$357)*RailTransport!P13*Unitflowchart!$S$305</f>
        <v>0</v>
      </c>
      <c r="F256" s="24">
        <f>(E256/E$354)*100</f>
        <v>0</v>
      </c>
      <c r="G256" s="726">
        <f>(Unitflowchart!$S$294/Unitflowchart!$S$357)*RailTransport!Q13*Unitflowchart!$S$305</f>
        <v>0</v>
      </c>
      <c r="H256" s="707">
        <f>(Unitflowchart!$S$294/Unitflowchart!$S$357)*RailTransport!V13*Unitflowchart!$S$305</f>
        <v>0</v>
      </c>
      <c r="I256" s="24">
        <f>(H256/H$354)*100</f>
        <v>0</v>
      </c>
      <c r="J256" s="709">
        <f>(Unitflowchart!$S$294/Unitflowchart!$S$357)*RailTransport!W13*Unitflowchart!$S$305</f>
        <v>0</v>
      </c>
      <c r="K256" s="707">
        <f>(Unitflowchart!$S$294/Unitflowchart!$S$357)*RailTransport!AB13*Unitflowchart!$S$305</f>
        <v>0</v>
      </c>
      <c r="L256" s="24">
        <f>(K256/K$354)*100</f>
        <v>0</v>
      </c>
      <c r="M256" s="709">
        <f>(Unitflowchart!$S$294/Unitflowchart!$S$357)*RailTransport!AC13*Unitflowchart!$S$305</f>
        <v>0</v>
      </c>
      <c r="N256" s="710">
        <f>E256+(GlobalWarmingPotentials!$B$11*H256)+(GlobalWarmingPotentials!$C$11*K256)</f>
        <v>0</v>
      </c>
      <c r="O256" s="24">
        <f>(N256/N$354)*100</f>
        <v>0</v>
      </c>
      <c r="P256" s="726">
        <f>SQRT((G256^2)+((GlobalWarmingPotentials!$B$11*J256)^2)+((GlobalWarmingPotentials!$C$11*M256)^2))</f>
        <v>0</v>
      </c>
      <c r="Q256" s="29"/>
    </row>
    <row r="257" spans="1:17" x14ac:dyDescent="0.25">
      <c r="B257" s="712"/>
      <c r="C257" s="24"/>
      <c r="D257" s="718"/>
      <c r="E257" s="712"/>
      <c r="F257" s="24"/>
      <c r="G257" s="718"/>
      <c r="H257" s="30"/>
      <c r="I257" s="24"/>
      <c r="J257" s="708"/>
      <c r="K257" s="30"/>
      <c r="L257" s="24"/>
      <c r="M257" s="708"/>
      <c r="N257" s="712"/>
      <c r="O257" s="24"/>
      <c r="P257" s="718"/>
      <c r="Q257" s="29"/>
    </row>
    <row r="258" spans="1:17" x14ac:dyDescent="0.25">
      <c r="A258" s="214" t="s">
        <v>843</v>
      </c>
      <c r="B258" s="717">
        <f>(Unitflowchart!$S$294/Unitflowchart!$S$357)*RailTransport!J15*Unitflowchart!$S$305</f>
        <v>0</v>
      </c>
      <c r="C258" s="705">
        <f>(B258/B$354)*100</f>
        <v>0</v>
      </c>
      <c r="D258" s="727">
        <f>(Unitflowchart!$S$294/Unitflowchart!$S$357)*RailTransport!K15*Unitflowchart!$S$305</f>
        <v>0</v>
      </c>
      <c r="E258" s="717">
        <f>(Unitflowchart!$S$294/Unitflowchart!$S$357)*RailTransport!P15*Unitflowchart!$S$305</f>
        <v>0</v>
      </c>
      <c r="F258" s="705">
        <f>(E258/E$354)*100</f>
        <v>0</v>
      </c>
      <c r="G258" s="727">
        <f>(Unitflowchart!$S$294/Unitflowchart!$S$357)*RailTransport!Q15*Unitflowchart!$S$305</f>
        <v>0</v>
      </c>
      <c r="H258" s="706">
        <f>(Unitflowchart!$S$294/Unitflowchart!$S$357)*RailTransport!V15*Unitflowchart!$S$305</f>
        <v>0</v>
      </c>
      <c r="I258" s="705">
        <f>(H258/H$354)*100</f>
        <v>0</v>
      </c>
      <c r="J258" s="704">
        <f>(Unitflowchart!$S$294/Unitflowchart!$S$357)*RailTransport!W15*Unitflowchart!$S$305</f>
        <v>0</v>
      </c>
      <c r="K258" s="706">
        <f>(Unitflowchart!$S$294/Unitflowchart!$S$357)*RailTransport!AB15*Unitflowchart!$S$305</f>
        <v>0</v>
      </c>
      <c r="L258" s="705">
        <f>(K258/K$354)*100</f>
        <v>0</v>
      </c>
      <c r="M258" s="704">
        <f>(Unitflowchart!$S$294/Unitflowchart!$S$357)*RailTransport!AC15*Unitflowchart!$S$305</f>
        <v>0</v>
      </c>
      <c r="N258" s="717">
        <f>E258+(GlobalWarmingPotentials!$B$11*H258)+(GlobalWarmingPotentials!$C$11*K258)</f>
        <v>0</v>
      </c>
      <c r="O258" s="705">
        <f>(N258/N$354)*100</f>
        <v>0</v>
      </c>
      <c r="P258" s="725">
        <f>SQRT((G258^2)+((GlobalWarmingPotentials!$B$11*J258)^2)+((GlobalWarmingPotentials!$C$11*M258)^2))</f>
        <v>0</v>
      </c>
      <c r="Q258" s="29"/>
    </row>
    <row r="259" spans="1:17" x14ac:dyDescent="0.25">
      <c r="B259" s="712"/>
      <c r="C259" s="24"/>
      <c r="D259" s="718"/>
      <c r="E259" s="712"/>
      <c r="F259" s="24"/>
      <c r="G259" s="718"/>
      <c r="H259" s="30"/>
      <c r="I259" s="24"/>
      <c r="J259" s="708"/>
      <c r="K259" s="30"/>
      <c r="L259" s="24"/>
      <c r="M259" s="708"/>
      <c r="N259" s="712"/>
      <c r="O259" s="24"/>
      <c r="P259" s="718"/>
      <c r="Q259" s="29"/>
    </row>
    <row r="260" spans="1:17" x14ac:dyDescent="0.25">
      <c r="A260" s="384" t="s">
        <v>884</v>
      </c>
      <c r="B260" s="712"/>
      <c r="C260" s="24"/>
      <c r="D260" s="718"/>
      <c r="E260" s="712"/>
      <c r="F260" s="24"/>
      <c r="G260" s="718"/>
      <c r="H260" s="30"/>
      <c r="I260" s="24"/>
      <c r="J260" s="708"/>
      <c r="K260" s="30"/>
      <c r="L260" s="24"/>
      <c r="M260" s="708"/>
      <c r="N260" s="712"/>
      <c r="O260" s="24"/>
      <c r="P260" s="718"/>
      <c r="Q260" s="29"/>
    </row>
    <row r="261" spans="1:17" x14ac:dyDescent="0.25">
      <c r="B261" s="712"/>
      <c r="C261" s="24"/>
      <c r="D261" s="718"/>
      <c r="E261" s="712"/>
      <c r="F261" s="24"/>
      <c r="G261" s="718"/>
      <c r="H261" s="30"/>
      <c r="I261" s="24"/>
      <c r="J261" s="708"/>
      <c r="K261" s="30"/>
      <c r="L261" s="24"/>
      <c r="M261" s="708"/>
      <c r="N261" s="712"/>
      <c r="O261" s="24"/>
      <c r="P261" s="718"/>
      <c r="Q261" s="29"/>
    </row>
    <row r="262" spans="1:17" x14ac:dyDescent="0.25">
      <c r="A262" t="str">
        <f>BargeTransport!A11</f>
        <v xml:space="preserve"> - Marine Diesel</v>
      </c>
      <c r="B262" s="710">
        <f>(Unitflowchart!$S$294/Unitflowchart!$S$357)*BargeTransport!J11*Unitflowchart!$S$307</f>
        <v>0</v>
      </c>
      <c r="C262" s="24">
        <f>(B262/B$354)*100</f>
        <v>0</v>
      </c>
      <c r="D262" s="726">
        <f>(Unitflowchart!$S$294/Unitflowchart!$S$357)*BargeTransport!K11*Unitflowchart!$S$307</f>
        <v>0</v>
      </c>
      <c r="E262" s="710">
        <f>(Unitflowchart!$S$294/Unitflowchart!$S$357)*BargeTransport!P11*Unitflowchart!$S$307</f>
        <v>0</v>
      </c>
      <c r="F262" s="24">
        <f>(E262/E$354)*100</f>
        <v>0</v>
      </c>
      <c r="G262" s="726">
        <f>(Unitflowchart!$S$294/Unitflowchart!$S$357)*BargeTransport!Q11*Unitflowchart!$S$307</f>
        <v>0</v>
      </c>
      <c r="H262" s="707">
        <f>(Unitflowchart!$S$294/Unitflowchart!$S$357)*BargeTransport!V11*Unitflowchart!$S$307</f>
        <v>0</v>
      </c>
      <c r="I262" s="24">
        <f>(H262/H$354)*100</f>
        <v>0</v>
      </c>
      <c r="J262" s="709">
        <f>(Unitflowchart!$S$294/Unitflowchart!$S$357)*BargeTransport!W11*Unitflowchart!$S$307</f>
        <v>0</v>
      </c>
      <c r="K262" s="707">
        <f>(Unitflowchart!$S$294/Unitflowchart!$S$357)*BargeTransport!AB11*Unitflowchart!$S$307</f>
        <v>0</v>
      </c>
      <c r="L262" s="24">
        <f>(K262/K$354)*100</f>
        <v>0</v>
      </c>
      <c r="M262" s="709">
        <f>(Unitflowchart!$S$294/Unitflowchart!$S$357)*BargeTransport!AC11*Unitflowchart!$S$307</f>
        <v>0</v>
      </c>
      <c r="N262" s="710">
        <f>E262+(GlobalWarmingPotentials!$B$11*H262)+(GlobalWarmingPotentials!$C$11*K262)</f>
        <v>0</v>
      </c>
      <c r="O262" s="24">
        <f>(N262/N$354)*100</f>
        <v>0</v>
      </c>
      <c r="P262" s="726">
        <f>SQRT((G262^2)+((GlobalWarmingPotentials!$B$11*J262)^2)+((GlobalWarmingPotentials!$C$11*M262)^2))</f>
        <v>0</v>
      </c>
      <c r="Q262" s="29"/>
    </row>
    <row r="263" spans="1:17" x14ac:dyDescent="0.25">
      <c r="A263" t="str">
        <f>BargeTransport!A12</f>
        <v xml:space="preserve"> - Barge Construction</v>
      </c>
      <c r="B263" s="710">
        <f>(Unitflowchart!$S$294/Unitflowchart!$S$357)*BargeTransport!J12*Unitflowchart!$S$307</f>
        <v>0</v>
      </c>
      <c r="C263" s="24">
        <f>(B263/B$354)*100</f>
        <v>0</v>
      </c>
      <c r="D263" s="726">
        <f>(Unitflowchart!$S$294/Unitflowchart!$S$357)*BargeTransport!K12*Unitflowchart!$S$307</f>
        <v>0</v>
      </c>
      <c r="E263" s="710">
        <f>(Unitflowchart!$S$294/Unitflowchart!$S$357)*BargeTransport!P12*Unitflowchart!$S$307</f>
        <v>0</v>
      </c>
      <c r="F263" s="24">
        <f>(E263/E$354)*100</f>
        <v>0</v>
      </c>
      <c r="G263" s="726">
        <f>(Unitflowchart!$S$294/Unitflowchart!$S$357)*BargeTransport!Q12*Unitflowchart!$S$307</f>
        <v>0</v>
      </c>
      <c r="H263" s="707">
        <f>(Unitflowchart!$S$294/Unitflowchart!$S$357)*BargeTransport!V12*Unitflowchart!$S$307</f>
        <v>0</v>
      </c>
      <c r="I263" s="24">
        <f>(H263/H$354)*100</f>
        <v>0</v>
      </c>
      <c r="J263" s="709">
        <f>(Unitflowchart!$S$294/Unitflowchart!$S$357)*BargeTransport!W12*Unitflowchart!$S$307</f>
        <v>0</v>
      </c>
      <c r="K263" s="707">
        <f>(Unitflowchart!$S$294/Unitflowchart!$S$357)*BargeTransport!AB12*Unitflowchart!$S$307</f>
        <v>0</v>
      </c>
      <c r="L263" s="24">
        <f>(K263/K$354)*100</f>
        <v>0</v>
      </c>
      <c r="M263" s="709">
        <f>(Unitflowchart!$S$294/Unitflowchart!$S$357)*BargeTransport!AC12*Unitflowchart!$S$307</f>
        <v>0</v>
      </c>
      <c r="N263" s="710">
        <f>E263+(GlobalWarmingPotentials!$B$11*H263)+(GlobalWarmingPotentials!$C$11*K263)</f>
        <v>0</v>
      </c>
      <c r="O263" s="24">
        <f>(N263/N$354)*100</f>
        <v>0</v>
      </c>
      <c r="P263" s="726">
        <f>SQRT((G263^2)+((GlobalWarmingPotentials!$B$11*J263)^2)+((GlobalWarmingPotentials!$C$11*M263)^2))</f>
        <v>0</v>
      </c>
      <c r="Q263" s="29"/>
    </row>
    <row r="264" spans="1:17" x14ac:dyDescent="0.25">
      <c r="A264" t="str">
        <f>BargeTransport!A13</f>
        <v xml:space="preserve"> - Barge Maintenance</v>
      </c>
      <c r="B264" s="710">
        <f>(Unitflowchart!$S$294/Unitflowchart!$S$357)*BargeTransport!J13*Unitflowchart!$S$307</f>
        <v>0</v>
      </c>
      <c r="C264" s="24">
        <f>(B264/B$354)*100</f>
        <v>0</v>
      </c>
      <c r="D264" s="726">
        <f>(Unitflowchart!$S$294/Unitflowchart!$S$357)*BargeTransport!K13*Unitflowchart!$S$307</f>
        <v>0</v>
      </c>
      <c r="E264" s="710">
        <f>(Unitflowchart!$S$294/Unitflowchart!$S$357)*BargeTransport!P13*Unitflowchart!$S$307</f>
        <v>0</v>
      </c>
      <c r="F264" s="24">
        <f>(E264/E$354)*100</f>
        <v>0</v>
      </c>
      <c r="G264" s="726">
        <f>(Unitflowchart!$S$294/Unitflowchart!$S$357)*BargeTransport!Q13*Unitflowchart!$S$307</f>
        <v>0</v>
      </c>
      <c r="H264" s="707">
        <f>(Unitflowchart!$S$294/Unitflowchart!$S$357)*BargeTransport!V13*Unitflowchart!$S$307</f>
        <v>0</v>
      </c>
      <c r="I264" s="24">
        <f>(H264/H$354)*100</f>
        <v>0</v>
      </c>
      <c r="J264" s="709">
        <f>(Unitflowchart!$S$294/Unitflowchart!$S$357)*BargeTransport!W13*Unitflowchart!$S$307</f>
        <v>0</v>
      </c>
      <c r="K264" s="707">
        <f>(Unitflowchart!$S$294/Unitflowchart!$S$357)*BargeTransport!AB13*Unitflowchart!$S$307</f>
        <v>0</v>
      </c>
      <c r="L264" s="24">
        <f>(K264/K$354)*100</f>
        <v>0</v>
      </c>
      <c r="M264" s="709">
        <f>(Unitflowchart!$S$294/Unitflowchart!$S$357)*BargeTransport!AC13*Unitflowchart!$S$307</f>
        <v>0</v>
      </c>
      <c r="N264" s="710">
        <f>E264+(GlobalWarmingPotentials!$B$11*H264)+(GlobalWarmingPotentials!$C$11*K264)</f>
        <v>0</v>
      </c>
      <c r="O264" s="24">
        <f>(N264/N$354)*100</f>
        <v>0</v>
      </c>
      <c r="P264" s="726">
        <f>SQRT((G264^2)+((GlobalWarmingPotentials!$B$11*J264)^2)+((GlobalWarmingPotentials!$C$11*M264)^2))</f>
        <v>0</v>
      </c>
      <c r="Q264" s="29"/>
    </row>
    <row r="265" spans="1:17" x14ac:dyDescent="0.25">
      <c r="B265" s="712"/>
      <c r="C265" s="24"/>
      <c r="D265" s="718"/>
      <c r="E265" s="712"/>
      <c r="F265" s="24"/>
      <c r="G265" s="718"/>
      <c r="H265" s="30"/>
      <c r="I265" s="24"/>
      <c r="J265" s="708"/>
      <c r="K265" s="30"/>
      <c r="L265" s="24"/>
      <c r="M265" s="708"/>
      <c r="N265" s="712"/>
      <c r="O265" s="24"/>
      <c r="P265" s="718"/>
      <c r="Q265" s="29"/>
    </row>
    <row r="266" spans="1:17" x14ac:dyDescent="0.25">
      <c r="A266" s="214" t="s">
        <v>847</v>
      </c>
      <c r="B266" s="717">
        <f>(Unitflowchart!$S$294/Unitflowchart!$S$357)*BargeTransport!J15*Unitflowchart!$S$307</f>
        <v>0</v>
      </c>
      <c r="C266" s="705">
        <f>(B266/B$354)*100</f>
        <v>0</v>
      </c>
      <c r="D266" s="727">
        <f>(Unitflowchart!$S$294/Unitflowchart!$S$357)*BargeTransport!K15*Unitflowchart!$S$307</f>
        <v>0</v>
      </c>
      <c r="E266" s="717">
        <f>(Unitflowchart!$S$294/Unitflowchart!$S$357)*BargeTransport!P15*Unitflowchart!$S$307</f>
        <v>0</v>
      </c>
      <c r="F266" s="705">
        <f>(E266/E$354)*100</f>
        <v>0</v>
      </c>
      <c r="G266" s="727">
        <f>(Unitflowchart!$S$294/Unitflowchart!$S$357)*BargeTransport!Q15*Unitflowchart!$S$307</f>
        <v>0</v>
      </c>
      <c r="H266" s="706">
        <f>(Unitflowchart!$S$294/Unitflowchart!$S$357)*BargeTransport!V15*Unitflowchart!$S$307</f>
        <v>0</v>
      </c>
      <c r="I266" s="705">
        <f>(H266/H$354)*100</f>
        <v>0</v>
      </c>
      <c r="J266" s="704">
        <f>(Unitflowchart!$S$294/Unitflowchart!$S$357)*BargeTransport!W15*Unitflowchart!$S$307</f>
        <v>0</v>
      </c>
      <c r="K266" s="706">
        <f>(Unitflowchart!$S$294/Unitflowchart!$S$357)*BargeTransport!AB15*Unitflowchart!$S$307</f>
        <v>0</v>
      </c>
      <c r="L266" s="705">
        <f>(K266/K$354)*100</f>
        <v>0</v>
      </c>
      <c r="M266" s="704">
        <f>(Unitflowchart!$S$294/Unitflowchart!$S$357)*BargeTransport!AC15*Unitflowchart!$S$307</f>
        <v>0</v>
      </c>
      <c r="N266" s="717">
        <f>E266+(GlobalWarmingPotentials!$B$11*H266)+(GlobalWarmingPotentials!$C$11*K266)</f>
        <v>0</v>
      </c>
      <c r="O266" s="705">
        <f>(N266/N$354)*100</f>
        <v>0</v>
      </c>
      <c r="P266" s="725">
        <f>SQRT((G266^2)+((GlobalWarmingPotentials!$B$11*J266)^2)+((GlobalWarmingPotentials!$C$11*M266)^2))</f>
        <v>0</v>
      </c>
      <c r="Q266" s="29"/>
    </row>
    <row r="267" spans="1:17" x14ac:dyDescent="0.25">
      <c r="B267" s="712"/>
      <c r="C267" s="24"/>
      <c r="D267" s="718"/>
      <c r="E267" s="712"/>
      <c r="F267" s="24"/>
      <c r="G267" s="718"/>
      <c r="H267" s="30"/>
      <c r="I267" s="24"/>
      <c r="J267" s="708"/>
      <c r="K267" s="30"/>
      <c r="L267" s="24"/>
      <c r="M267" s="708"/>
      <c r="N267" s="712"/>
      <c r="O267" s="24"/>
      <c r="P267" s="718"/>
      <c r="Q267" s="29"/>
    </row>
    <row r="268" spans="1:17" x14ac:dyDescent="0.25">
      <c r="A268" s="384" t="s">
        <v>885</v>
      </c>
      <c r="B268" s="712"/>
      <c r="C268" s="24"/>
      <c r="D268" s="718"/>
      <c r="E268" s="712"/>
      <c r="F268" s="24"/>
      <c r="G268" s="718"/>
      <c r="H268" s="30"/>
      <c r="I268" s="24"/>
      <c r="J268" s="708"/>
      <c r="K268" s="30"/>
      <c r="L268" s="24"/>
      <c r="M268" s="708"/>
      <c r="N268" s="712"/>
      <c r="O268" s="24"/>
      <c r="P268" s="718"/>
      <c r="Q268" s="29"/>
    </row>
    <row r="269" spans="1:17" x14ac:dyDescent="0.25">
      <c r="B269" s="712"/>
      <c r="C269" s="24"/>
      <c r="D269" s="718"/>
      <c r="E269" s="712"/>
      <c r="F269" s="24"/>
      <c r="G269" s="718"/>
      <c r="H269" s="30"/>
      <c r="I269" s="24"/>
      <c r="J269" s="708"/>
      <c r="K269" s="30"/>
      <c r="L269" s="24"/>
      <c r="M269" s="708"/>
      <c r="N269" s="712"/>
      <c r="O269" s="24"/>
      <c r="P269" s="718"/>
      <c r="Q269" s="29"/>
    </row>
    <row r="270" spans="1:17" x14ac:dyDescent="0.25">
      <c r="A270" t="str">
        <f>ShipTransport!A11</f>
        <v xml:space="preserve"> - Marine Diesel</v>
      </c>
      <c r="B270" s="710">
        <f>(Unitflowchart!$S$294/Unitflowchart!$S$357)*ShipTransport!J11*Unitflowchart!$S$309</f>
        <v>0</v>
      </c>
      <c r="C270" s="24">
        <f>(B270/B$354)*100</f>
        <v>0</v>
      </c>
      <c r="D270" s="726">
        <f>(Unitflowchart!$S$294/Unitflowchart!$S$357)*ShipTransport!K11*Unitflowchart!$S$309</f>
        <v>0</v>
      </c>
      <c r="E270" s="710">
        <f>(Unitflowchart!$S$294/Unitflowchart!$S$357)*ShipTransport!P11*Unitflowchart!$S$309</f>
        <v>0</v>
      </c>
      <c r="F270" s="24">
        <f>(E270/E$354)*100</f>
        <v>0</v>
      </c>
      <c r="G270" s="726">
        <f>(Unitflowchart!$S$294/Unitflowchart!$S$357)*ShipTransport!Q11*Unitflowchart!$S$309</f>
        <v>0</v>
      </c>
      <c r="H270" s="707">
        <f>(Unitflowchart!$S$294/Unitflowchart!$S$357)*ShipTransport!V11*Unitflowchart!$S$309</f>
        <v>0</v>
      </c>
      <c r="I270" s="24">
        <f>(H270/H$354)*100</f>
        <v>0</v>
      </c>
      <c r="J270" s="709">
        <f>(Unitflowchart!$S$294/Unitflowchart!$S$357)*ShipTransport!W11*Unitflowchart!$S$309</f>
        <v>0</v>
      </c>
      <c r="K270" s="707">
        <f>(Unitflowchart!$S$294/Unitflowchart!$S$357)*ShipTransport!AB11*Unitflowchart!$S$309</f>
        <v>0</v>
      </c>
      <c r="L270" s="24">
        <f>(K270/K$354)*100</f>
        <v>0</v>
      </c>
      <c r="M270" s="709">
        <f>(Unitflowchart!$S$294/Unitflowchart!$S$357)*ShipTransport!AC11*Unitflowchart!$S$309</f>
        <v>0</v>
      </c>
      <c r="N270" s="710">
        <f>E270+(GlobalWarmingPotentials!$B$11*H270)+(GlobalWarmingPotentials!$C$11*K270)</f>
        <v>0</v>
      </c>
      <c r="O270" s="24">
        <f>(N270/N$354)*100</f>
        <v>0</v>
      </c>
      <c r="P270" s="726">
        <f>SQRT((G270^2)+((GlobalWarmingPotentials!$B$11*J270)^2)+((GlobalWarmingPotentials!$C$11*M270)^2))</f>
        <v>0</v>
      </c>
      <c r="Q270" s="29"/>
    </row>
    <row r="271" spans="1:17" x14ac:dyDescent="0.25">
      <c r="A271" t="str">
        <f>ShipTransport!A12</f>
        <v xml:space="preserve"> - Ship Construction</v>
      </c>
      <c r="B271" s="710">
        <f>(Unitflowchart!$S$294/Unitflowchart!$S$357)*ShipTransport!J12*Unitflowchart!$S$309</f>
        <v>0</v>
      </c>
      <c r="C271" s="24">
        <f>(B271/B$354)*100</f>
        <v>0</v>
      </c>
      <c r="D271" s="726">
        <f>(Unitflowchart!$S$294/Unitflowchart!$S$357)*ShipTransport!K12*Unitflowchart!$S$309</f>
        <v>0</v>
      </c>
      <c r="E271" s="710">
        <f>(Unitflowchart!$S$294/Unitflowchart!$S$357)*ShipTransport!P12*Unitflowchart!$S$309</f>
        <v>0</v>
      </c>
      <c r="F271" s="24">
        <f>(E271/E$354)*100</f>
        <v>0</v>
      </c>
      <c r="G271" s="726">
        <f>(Unitflowchart!$S$294/Unitflowchart!$S$357)*ShipTransport!Q12*Unitflowchart!$S$309</f>
        <v>0</v>
      </c>
      <c r="H271" s="707">
        <f>(Unitflowchart!$S$294/Unitflowchart!$S$357)*ShipTransport!V12*Unitflowchart!$S$309</f>
        <v>0</v>
      </c>
      <c r="I271" s="24">
        <f>(H271/H$354)*100</f>
        <v>0</v>
      </c>
      <c r="J271" s="709">
        <f>(Unitflowchart!$S$294/Unitflowchart!$S$357)*ShipTransport!W12*Unitflowchart!$S$309</f>
        <v>0</v>
      </c>
      <c r="K271" s="707">
        <f>(Unitflowchart!$S$294/Unitflowchart!$S$357)*ShipTransport!AB12*Unitflowchart!$S$309</f>
        <v>0</v>
      </c>
      <c r="L271" s="24">
        <f>(K271/K$354)*100</f>
        <v>0</v>
      </c>
      <c r="M271" s="709">
        <f>(Unitflowchart!$S$294/Unitflowchart!$S$357)*ShipTransport!AC12*Unitflowchart!$S$309</f>
        <v>0</v>
      </c>
      <c r="N271" s="710">
        <f>E271+(GlobalWarmingPotentials!$B$11*H271)+(GlobalWarmingPotentials!$C$11*K271)</f>
        <v>0</v>
      </c>
      <c r="O271" s="24">
        <f>(N271/N$354)*100</f>
        <v>0</v>
      </c>
      <c r="P271" s="726">
        <f>SQRT((G271^2)+((GlobalWarmingPotentials!$B$11*J271)^2)+((GlobalWarmingPotentials!$C$11*M271)^2))</f>
        <v>0</v>
      </c>
      <c r="Q271" s="29"/>
    </row>
    <row r="272" spans="1:17" x14ac:dyDescent="0.25">
      <c r="A272" t="str">
        <f>ShipTransport!A13</f>
        <v xml:space="preserve"> - Ship Maintenance</v>
      </c>
      <c r="B272" s="710">
        <f>(Unitflowchart!$S$294/Unitflowchart!$S$357)*ShipTransport!J13*Unitflowchart!$S$309</f>
        <v>0</v>
      </c>
      <c r="C272" s="24">
        <f>(B272/B$354)*100</f>
        <v>0</v>
      </c>
      <c r="D272" s="726">
        <f>(Unitflowchart!$S$294/Unitflowchart!$S$357)*ShipTransport!K13*Unitflowchart!$S$309</f>
        <v>0</v>
      </c>
      <c r="E272" s="710">
        <f>(Unitflowchart!$S$294/Unitflowchart!$S$357)*ShipTransport!P13*Unitflowchart!$S$309</f>
        <v>0</v>
      </c>
      <c r="F272" s="24">
        <f>(E272/E$354)*100</f>
        <v>0</v>
      </c>
      <c r="G272" s="726">
        <f>(Unitflowchart!$S$294/Unitflowchart!$S$357)*ShipTransport!Q13*Unitflowchart!$S$309</f>
        <v>0</v>
      </c>
      <c r="H272" s="707">
        <f>(Unitflowchart!$S$294/Unitflowchart!$S$357)*ShipTransport!V13*Unitflowchart!$S$309</f>
        <v>0</v>
      </c>
      <c r="I272" s="24">
        <f>(H272/H$354)*100</f>
        <v>0</v>
      </c>
      <c r="J272" s="709">
        <f>(Unitflowchart!$S$294/Unitflowchart!$S$357)*ShipTransport!W13*Unitflowchart!$S$309</f>
        <v>0</v>
      </c>
      <c r="K272" s="707">
        <f>(Unitflowchart!$S$294/Unitflowchart!$S$357)*ShipTransport!AB13*Unitflowchart!$S$309</f>
        <v>0</v>
      </c>
      <c r="L272" s="24">
        <f>(K272/K$354)*100</f>
        <v>0</v>
      </c>
      <c r="M272" s="709">
        <f>(Unitflowchart!$S$294/Unitflowchart!$S$357)*ShipTransport!AC13*Unitflowchart!$S$309</f>
        <v>0</v>
      </c>
      <c r="N272" s="710">
        <f>E272+(GlobalWarmingPotentials!$B$11*H272)+(GlobalWarmingPotentials!$C$11*K272)</f>
        <v>0</v>
      </c>
      <c r="O272" s="24">
        <f>(N272/N$354)*100</f>
        <v>0</v>
      </c>
      <c r="P272" s="726">
        <f>SQRT((G272^2)+((GlobalWarmingPotentials!$B$11*J272)^2)+((GlobalWarmingPotentials!$C$11*M272)^2))</f>
        <v>0</v>
      </c>
      <c r="Q272" s="29"/>
    </row>
    <row r="273" spans="1:17" x14ac:dyDescent="0.25">
      <c r="B273" s="712"/>
      <c r="C273" s="24"/>
      <c r="D273" s="718"/>
      <c r="E273" s="712"/>
      <c r="F273" s="24"/>
      <c r="G273" s="718"/>
      <c r="H273" s="30"/>
      <c r="I273" s="24"/>
      <c r="J273" s="708"/>
      <c r="K273" s="30"/>
      <c r="L273" s="24"/>
      <c r="M273" s="708"/>
      <c r="N273" s="712"/>
      <c r="O273" s="24"/>
      <c r="P273" s="718"/>
      <c r="Q273" s="29"/>
    </row>
    <row r="274" spans="1:17" x14ac:dyDescent="0.25">
      <c r="A274" s="214" t="s">
        <v>849</v>
      </c>
      <c r="B274" s="717">
        <f>(Unitflowchart!$S$294/Unitflowchart!$S$357)*ShipTransport!J15*Unitflowchart!$S$309</f>
        <v>0</v>
      </c>
      <c r="C274" s="705">
        <f>(B274/B$354)*100</f>
        <v>0</v>
      </c>
      <c r="D274" s="727">
        <f>(Unitflowchart!$S$294/Unitflowchart!$S$357)*ShipTransport!K15*Unitflowchart!$S$309</f>
        <v>0</v>
      </c>
      <c r="E274" s="717">
        <f>(Unitflowchart!$S$294/Unitflowchart!$S$357)*ShipTransport!P15*Unitflowchart!$S$309</f>
        <v>0</v>
      </c>
      <c r="F274" s="705">
        <f>(E274/E$354)*100</f>
        <v>0</v>
      </c>
      <c r="G274" s="727">
        <f>(Unitflowchart!$S$294/Unitflowchart!$S$357)*ShipTransport!Q15*Unitflowchart!$S$309</f>
        <v>0</v>
      </c>
      <c r="H274" s="706">
        <f>(Unitflowchart!$S$294/Unitflowchart!$S$357)*ShipTransport!V15*Unitflowchart!$S$309</f>
        <v>0</v>
      </c>
      <c r="I274" s="705">
        <f>(H274/H$354)*100</f>
        <v>0</v>
      </c>
      <c r="J274" s="704">
        <f>(Unitflowchart!$S$294/Unitflowchart!$S$357)*ShipTransport!W15*Unitflowchart!$S$309</f>
        <v>0</v>
      </c>
      <c r="K274" s="706">
        <f>(Unitflowchart!$S$294/Unitflowchart!$S$357)*ShipTransport!AB15*Unitflowchart!$S$309</f>
        <v>0</v>
      </c>
      <c r="L274" s="705">
        <f>(K274/K$354)*100</f>
        <v>0</v>
      </c>
      <c r="M274" s="704">
        <f>(Unitflowchart!$S$294/Unitflowchart!$S$357)*ShipTransport!AC15*Unitflowchart!$S$309</f>
        <v>0</v>
      </c>
      <c r="N274" s="717">
        <f>E274+(GlobalWarmingPotentials!$B$11*H274)+(GlobalWarmingPotentials!$C$11*K274)</f>
        <v>0</v>
      </c>
      <c r="O274" s="705">
        <f>(N274/N$354)*100</f>
        <v>0</v>
      </c>
      <c r="P274" s="725">
        <f>SQRT((G274^2)+((GlobalWarmingPotentials!$B$11*J274)^2)+((GlobalWarmingPotentials!$C$11*M274)^2))</f>
        <v>0</v>
      </c>
      <c r="Q274" s="29"/>
    </row>
    <row r="275" spans="1:17" x14ac:dyDescent="0.25">
      <c r="B275" s="712"/>
      <c r="D275" s="718"/>
      <c r="E275" s="712"/>
      <c r="F275" s="24"/>
      <c r="G275" s="718"/>
      <c r="H275" s="30"/>
      <c r="I275" s="24"/>
      <c r="J275" s="708"/>
      <c r="K275" s="30"/>
      <c r="L275" s="24"/>
      <c r="M275" s="708"/>
      <c r="N275" s="712"/>
      <c r="O275" s="24"/>
      <c r="P275" s="718"/>
      <c r="Q275" s="29"/>
    </row>
    <row r="276" spans="1:17" x14ac:dyDescent="0.25">
      <c r="A276" s="699" t="s">
        <v>876</v>
      </c>
      <c r="B276" s="717">
        <f>B250+B258+B266+B274</f>
        <v>517.88672232212184</v>
      </c>
      <c r="C276" s="705">
        <f>(B276/B$354)*100</f>
        <v>2.7214333895044533</v>
      </c>
      <c r="D276" s="727">
        <f>SQRT((D250^2)+(D258^2)+(D266^2)+(D274^2))</f>
        <v>24.34067594913973</v>
      </c>
      <c r="E276" s="717">
        <f t="shared" ref="E276" si="52">E250+E258+E266+E274</f>
        <v>37.164284826471004</v>
      </c>
      <c r="F276" s="705">
        <f t="shared" ref="F276" si="53">(E276/E$354)*100</f>
        <v>3.106890154030391</v>
      </c>
      <c r="G276" s="727">
        <f t="shared" ref="G276" si="54">SQRT((G250^2)+(G258^2)+(G266^2)+(G274^2))</f>
        <v>1.7467213868441371</v>
      </c>
      <c r="H276" s="706">
        <f t="shared" ref="H276" si="55">H250+H258+H266+H274</f>
        <v>7.7224487951108563E-3</v>
      </c>
      <c r="I276" s="705">
        <f t="shared" ref="I276" si="56">(H276/H$354)*100</f>
        <v>0.4320277888958714</v>
      </c>
      <c r="J276" s="704">
        <f t="shared" ref="J276" si="57">SQRT((J250^2)+(J258^2)+(J266^2)+(J274^2))</f>
        <v>3.6295509337021026E-4</v>
      </c>
      <c r="K276" s="706">
        <f t="shared" ref="K276" si="58">K250+K258+K266+K274</f>
        <v>1.0039183433644116E-2</v>
      </c>
      <c r="L276" s="705">
        <f t="shared" ref="L276" si="59">(K276/K$354)*100</f>
        <v>0.55266309750853282</v>
      </c>
      <c r="M276" s="704">
        <f t="shared" ref="M276" si="60">SQRT((M250^2)+(M258^2)+(M266^2)+(M274^2))</f>
        <v>4.7184162138127345E-4</v>
      </c>
      <c r="N276" s="717">
        <f t="shared" ref="N276" si="61">N250+N258+N266+N274</f>
        <v>40.313499445117209</v>
      </c>
      <c r="O276" s="705">
        <f t="shared" ref="O276" si="62">(N276/N$354)*100</f>
        <v>2.2711976839078019</v>
      </c>
      <c r="P276" s="725">
        <f t="shared" ref="P276" si="63">SQRT((P250^2)+(P258^2)+(P266^2)+(P274^2))</f>
        <v>1.7523160780917761</v>
      </c>
      <c r="Q276" s="29"/>
    </row>
    <row r="277" spans="1:17" x14ac:dyDescent="0.25">
      <c r="B277" s="712"/>
      <c r="D277" s="718"/>
      <c r="E277" s="712"/>
      <c r="G277" s="718"/>
      <c r="H277" s="30"/>
      <c r="J277" s="708"/>
      <c r="K277" s="30"/>
      <c r="M277" s="708"/>
      <c r="N277" s="712"/>
      <c r="P277" s="718"/>
      <c r="Q277" s="29"/>
    </row>
    <row r="278" spans="1:17" x14ac:dyDescent="0.25">
      <c r="A278" s="384" t="s">
        <v>416</v>
      </c>
      <c r="B278" s="712"/>
      <c r="D278" s="718"/>
      <c r="E278" s="712"/>
      <c r="G278" s="718"/>
      <c r="H278" s="30"/>
      <c r="J278" s="708"/>
      <c r="K278" s="30"/>
      <c r="M278" s="708"/>
      <c r="N278" s="712"/>
      <c r="P278" s="718"/>
      <c r="Q278" s="29"/>
    </row>
    <row r="279" spans="1:17" x14ac:dyDescent="0.25">
      <c r="B279" s="712"/>
      <c r="D279" s="718"/>
      <c r="E279" s="712"/>
      <c r="G279" s="718"/>
      <c r="H279" s="30"/>
      <c r="J279" s="708"/>
      <c r="K279" s="30"/>
      <c r="M279" s="708"/>
      <c r="N279" s="712"/>
      <c r="P279" s="718"/>
      <c r="Q279" s="29"/>
    </row>
    <row r="280" spans="1:17" x14ac:dyDescent="0.25">
      <c r="A280" s="13" t="str">
        <f>RoadTransportEthanolStage2!A42</f>
        <v xml:space="preserve"> - Diesel Fuel</v>
      </c>
      <c r="B280" s="715">
        <f>(Unitflowchart!$S$315/Unitflowchart!$S$357)*RoadTransportEthanolStage2!J42*Unitflowchart!$S$324</f>
        <v>0</v>
      </c>
      <c r="C280" s="25">
        <f>(B280/B$354)*100</f>
        <v>0</v>
      </c>
      <c r="D280" s="481">
        <f>(Unitflowchart!$S$315/Unitflowchart!$S$357)*RoadTransportEthanolStage2!K42*Unitflowchart!$S$324</f>
        <v>0</v>
      </c>
      <c r="E280" s="715">
        <f>(Unitflowchart!$S$315/Unitflowchart!$S$357)*RoadTransportEthanolStage2!P42*Unitflowchart!$S$324</f>
        <v>0</v>
      </c>
      <c r="F280" s="25">
        <f>(E280/E$354)*100</f>
        <v>0</v>
      </c>
      <c r="G280" s="481">
        <f>(Unitflowchart!$S$315/Unitflowchart!$S$357)*RoadTransportEthanolStage2!Q42*Unitflowchart!$S$324</f>
        <v>0</v>
      </c>
      <c r="H280" s="730">
        <f>(Unitflowchart!$S$315/Unitflowchart!$S$357)*RoadTransportEthanolStage2!V42*Unitflowchart!$S$324</f>
        <v>0</v>
      </c>
      <c r="I280" s="25">
        <f>(H280/H$354)*100</f>
        <v>0</v>
      </c>
      <c r="J280" s="733">
        <f>(Unitflowchart!$S$315/Unitflowchart!$S$357)*RoadTransportEthanolStage2!W42*Unitflowchart!$S$324</f>
        <v>0</v>
      </c>
      <c r="K280" s="730">
        <f>(Unitflowchart!$S$315/Unitflowchart!$S$357)*RoadTransportEthanolStage2!AB42*Unitflowchart!$S$324</f>
        <v>0</v>
      </c>
      <c r="L280" s="25">
        <f>(K280/K$354)*100</f>
        <v>0</v>
      </c>
      <c r="M280" s="732">
        <f>(Unitflowchart!$S$315/Unitflowchart!$S$357)*RoadTransportEthanolStage2!AC42*Unitflowchart!$S$324</f>
        <v>0</v>
      </c>
      <c r="N280" s="711">
        <f>E280+(GlobalWarmingPotentials!$B$11*H280)+(GlobalWarmingPotentials!$C$11*K280)</f>
        <v>0</v>
      </c>
      <c r="O280" s="25">
        <f>(N280/N$354)*100</f>
        <v>0</v>
      </c>
      <c r="P280" s="740">
        <f>SQRT((G280^2)+((GlobalWarmingPotentials!$B$11*J280)^2)+((GlobalWarmingPotentials!$C$11*M280)^2))</f>
        <v>0</v>
      </c>
      <c r="Q280" s="29"/>
    </row>
    <row r="281" spans="1:17" x14ac:dyDescent="0.25">
      <c r="A281" s="13" t="str">
        <f>RoadTransportEthanolStage2!A43</f>
        <v xml:space="preserve"> - Vehicle </v>
      </c>
      <c r="B281" s="715">
        <f>(Unitflowchart!$S$315/Unitflowchart!$S$357)*RoadTransportEthanolStage2!J43*Unitflowchart!$S$324</f>
        <v>0</v>
      </c>
      <c r="C281" s="25">
        <f t="shared" ref="C281:C284" si="64">(B281/B$354)*100</f>
        <v>0</v>
      </c>
      <c r="D281" s="481">
        <f>(Unitflowchart!$S$315/Unitflowchart!$S$357)*RoadTransportEthanolStage2!K43*Unitflowchart!$S$324</f>
        <v>0</v>
      </c>
      <c r="E281" s="715">
        <f>(Unitflowchart!$S$315/Unitflowchart!$S$357)*RoadTransportEthanolStage2!P43*Unitflowchart!$S$324</f>
        <v>0</v>
      </c>
      <c r="F281" s="25">
        <f t="shared" ref="F281:F284" si="65">(E281/E$354)*100</f>
        <v>0</v>
      </c>
      <c r="G281" s="481">
        <f>(Unitflowchart!$S$315/Unitflowchart!$S$357)*RoadTransportEthanolStage2!Q43*Unitflowchart!$S$324</f>
        <v>0</v>
      </c>
      <c r="H281" s="730">
        <f>(Unitflowchart!$S$315/Unitflowchart!$S$357)*RoadTransportEthanolStage2!V43*Unitflowchart!$S$324</f>
        <v>0</v>
      </c>
      <c r="I281" s="25">
        <f t="shared" ref="I281:I284" si="66">(H281/H$354)*100</f>
        <v>0</v>
      </c>
      <c r="J281" s="733">
        <f>(Unitflowchart!$S$315/Unitflowchart!$S$357)*RoadTransportEthanolStage2!W43*Unitflowchart!$S$324</f>
        <v>0</v>
      </c>
      <c r="K281" s="730">
        <f>(Unitflowchart!$S$315/Unitflowchart!$S$357)*RoadTransportEthanolStage2!AB43*Unitflowchart!$S$324</f>
        <v>0</v>
      </c>
      <c r="L281" s="25">
        <f t="shared" ref="L281:L284" si="67">(K281/K$354)*100</f>
        <v>0</v>
      </c>
      <c r="M281" s="732">
        <f>(Unitflowchart!$S$315/Unitflowchart!$S$357)*RoadTransportEthanolStage2!AC43*Unitflowchart!$S$324</f>
        <v>0</v>
      </c>
      <c r="N281" s="711">
        <f>E281+(GlobalWarmingPotentials!$B$11*H281)+(GlobalWarmingPotentials!$C$11*K281)</f>
        <v>0</v>
      </c>
      <c r="O281" s="25">
        <f>(N281/N$354)*100</f>
        <v>0</v>
      </c>
      <c r="P281" s="740">
        <f>SQRT((G281^2)+((GlobalWarmingPotentials!$B$11*J281)^2)+((GlobalWarmingPotentials!$C$11*M281)^2))</f>
        <v>0</v>
      </c>
      <c r="Q281" s="29"/>
    </row>
    <row r="282" spans="1:17" x14ac:dyDescent="0.25">
      <c r="A282" s="13" t="str">
        <f>RoadTransportEthanolStage2!A44</f>
        <v xml:space="preserve"> - Maintenance</v>
      </c>
      <c r="B282" s="715">
        <f>(Unitflowchart!$S$315/Unitflowchart!$S$357)*RoadTransportEthanolStage2!J44*Unitflowchart!$S$324</f>
        <v>0</v>
      </c>
      <c r="C282" s="25">
        <f t="shared" si="64"/>
        <v>0</v>
      </c>
      <c r="D282" s="481">
        <f>(Unitflowchart!$S$315/Unitflowchart!$S$357)*RoadTransportEthanolStage2!K44*Unitflowchart!$S$324</f>
        <v>0</v>
      </c>
      <c r="E282" s="715">
        <f>(Unitflowchart!$S$315/Unitflowchart!$S$357)*RoadTransportEthanolStage2!P44*Unitflowchart!$S$324</f>
        <v>0</v>
      </c>
      <c r="F282" s="25">
        <f t="shared" si="65"/>
        <v>0</v>
      </c>
      <c r="G282" s="481">
        <f>(Unitflowchart!$S$315/Unitflowchart!$S$357)*RoadTransportEthanolStage2!Q44*Unitflowchart!$S$324</f>
        <v>0</v>
      </c>
      <c r="H282" s="730">
        <f>(Unitflowchart!$S$315/Unitflowchart!$S$357)*RoadTransportEthanolStage2!V44*Unitflowchart!$S$324</f>
        <v>0</v>
      </c>
      <c r="I282" s="25">
        <f t="shared" si="66"/>
        <v>0</v>
      </c>
      <c r="J282" s="733">
        <f>(Unitflowchart!$S$315/Unitflowchart!$S$357)*RoadTransportEthanolStage2!W44*Unitflowchart!$S$324</f>
        <v>0</v>
      </c>
      <c r="K282" s="730">
        <f>(Unitflowchart!$S$315/Unitflowchart!$S$357)*RoadTransportEthanolStage2!AB44*Unitflowchart!$S$324</f>
        <v>0</v>
      </c>
      <c r="L282" s="25">
        <f t="shared" si="67"/>
        <v>0</v>
      </c>
      <c r="M282" s="732">
        <f>(Unitflowchart!$S$315/Unitflowchart!$S$357)*RoadTransportEthanolStage2!AC44*Unitflowchart!$S$324</f>
        <v>0</v>
      </c>
      <c r="N282" s="711">
        <f>E282+(GlobalWarmingPotentials!$B$11*H282)+(GlobalWarmingPotentials!$C$11*K282)</f>
        <v>0</v>
      </c>
      <c r="O282" s="25">
        <f>(N282/N$354)*100</f>
        <v>0</v>
      </c>
      <c r="P282" s="740">
        <f>SQRT((G282^2)+((GlobalWarmingPotentials!$B$11*J282)^2)+((GlobalWarmingPotentials!$C$11*M282)^2))</f>
        <v>0</v>
      </c>
      <c r="Q282" s="29"/>
    </row>
    <row r="283" spans="1:17" s="42" customFormat="1" x14ac:dyDescent="0.25">
      <c r="B283" s="746"/>
      <c r="C283" s="863"/>
      <c r="D283" s="759"/>
      <c r="E283" s="746"/>
      <c r="F283" s="863"/>
      <c r="G283" s="759"/>
      <c r="H283" s="763"/>
      <c r="I283" s="863"/>
      <c r="J283" s="806"/>
      <c r="K283" s="763"/>
      <c r="L283" s="863"/>
      <c r="M283" s="764"/>
      <c r="N283" s="713"/>
      <c r="O283" s="893"/>
      <c r="P283" s="209"/>
      <c r="Q283" s="823"/>
    </row>
    <row r="284" spans="1:17" x14ac:dyDescent="0.25">
      <c r="A284" s="214" t="s">
        <v>844</v>
      </c>
      <c r="B284" s="871">
        <f>(Unitflowchart!$S$315/Unitflowchart!$S$357)*RoadTransportEthanolStage2!J46*Unitflowchart!$S$324</f>
        <v>0</v>
      </c>
      <c r="C284" s="864">
        <f t="shared" si="64"/>
        <v>0</v>
      </c>
      <c r="D284" s="872">
        <f>(Unitflowchart!$S$315/Unitflowchart!$S$357)*RoadTransportEthanolStage2!K46*Unitflowchart!$S$324</f>
        <v>0</v>
      </c>
      <c r="E284" s="871">
        <f>(Unitflowchart!$S$315/Unitflowchart!$S$357)*RoadTransportEthanolStage2!P46*Unitflowchart!$S$324</f>
        <v>0</v>
      </c>
      <c r="F284" s="864">
        <f t="shared" si="65"/>
        <v>0</v>
      </c>
      <c r="G284" s="872">
        <f>(Unitflowchart!$S$315/Unitflowchart!$S$357)*RoadTransportEthanolStage2!Q46*Unitflowchart!$S$324</f>
        <v>0</v>
      </c>
      <c r="H284" s="873">
        <f>(Unitflowchart!$S$315/Unitflowchart!$S$357)*RoadTransportEthanolStage2!V46*Unitflowchart!$S$324</f>
        <v>0</v>
      </c>
      <c r="I284" s="864">
        <f t="shared" si="66"/>
        <v>0</v>
      </c>
      <c r="J284" s="876">
        <f>(Unitflowchart!$S$315/Unitflowchart!$S$357)*RoadTransportEthanolStage2!W46*Unitflowchart!$S$324</f>
        <v>0</v>
      </c>
      <c r="K284" s="873">
        <f>(Unitflowchart!$S$315/Unitflowchart!$S$357)*RoadTransportEthanolStage2!AB46*Unitflowchart!$S$324</f>
        <v>0</v>
      </c>
      <c r="L284" s="864">
        <f t="shared" si="67"/>
        <v>0</v>
      </c>
      <c r="M284" s="874">
        <f>(Unitflowchart!$S$315/Unitflowchart!$S$357)*RoadTransportEthanolStage2!AC46*Unitflowchart!$S$324</f>
        <v>0</v>
      </c>
      <c r="N284" s="714">
        <f>E284+(GlobalWarmingPotentials!$B$11*H284)+(GlobalWarmingPotentials!$C$11*K284)</f>
        <v>0</v>
      </c>
      <c r="O284" s="14">
        <f>(N284/N$354)*100</f>
        <v>0</v>
      </c>
      <c r="P284" s="741">
        <f>SQRT((G284^2)+((GlobalWarmingPotentials!$B$11*J284)^2)+((GlobalWarmingPotentials!$C$11*M284)^2))</f>
        <v>0</v>
      </c>
      <c r="Q284" s="29"/>
    </row>
    <row r="285" spans="1:17" x14ac:dyDescent="0.25">
      <c r="B285" s="712"/>
      <c r="D285" s="718"/>
      <c r="E285" s="712"/>
      <c r="G285" s="718"/>
      <c r="H285" s="30"/>
      <c r="J285" s="708"/>
      <c r="K285" s="30"/>
      <c r="M285" s="708"/>
      <c r="N285" s="716"/>
      <c r="P285" s="718"/>
      <c r="Q285" s="29"/>
    </row>
    <row r="286" spans="1:17" x14ac:dyDescent="0.25">
      <c r="A286" s="384" t="s">
        <v>887</v>
      </c>
      <c r="B286" s="712"/>
      <c r="D286" s="718"/>
      <c r="E286" s="712"/>
      <c r="G286" s="718"/>
      <c r="H286" s="30"/>
      <c r="J286" s="708"/>
      <c r="K286" s="30"/>
      <c r="M286" s="708"/>
      <c r="N286" s="712"/>
      <c r="P286" s="718"/>
      <c r="Q286" s="29"/>
    </row>
    <row r="287" spans="1:17" x14ac:dyDescent="0.25">
      <c r="B287" s="712"/>
      <c r="D287" s="718"/>
      <c r="E287" s="712"/>
      <c r="G287" s="718"/>
      <c r="H287" s="30"/>
      <c r="J287" s="708"/>
      <c r="K287" s="30"/>
      <c r="M287" s="708"/>
      <c r="N287" s="712"/>
      <c r="P287" s="718"/>
      <c r="Q287" s="29"/>
    </row>
    <row r="288" spans="1:17" x14ac:dyDescent="0.25">
      <c r="A288" t="str">
        <f>RailTransport!A11</f>
        <v xml:space="preserve"> - Gas Oil</v>
      </c>
      <c r="B288" s="710">
        <f>(Unitflowchart!$S$315/Unitflowchart!$S$357)*RailTransport!J11*Unitflowchart!$S$326</f>
        <v>0</v>
      </c>
      <c r="C288" s="24">
        <f>(B288/B$354)*100</f>
        <v>0</v>
      </c>
      <c r="D288" s="726">
        <f>(Unitflowchart!$S$315/Unitflowchart!$S$357)*RailTransport!K11*Unitflowchart!$S$326</f>
        <v>0</v>
      </c>
      <c r="E288" s="710">
        <f>(Unitflowchart!$S$315/Unitflowchart!$S$357)*RailTransport!P11*Unitflowchart!$S$326</f>
        <v>0</v>
      </c>
      <c r="F288" s="24">
        <f>(E288/E$354)*100</f>
        <v>0</v>
      </c>
      <c r="G288" s="726">
        <f>(Unitflowchart!$S$315/Unitflowchart!$S$357)*RailTransport!Q11*Unitflowchart!$S$326</f>
        <v>0</v>
      </c>
      <c r="H288" s="707">
        <f>(Unitflowchart!$S$315/Unitflowchart!$S$357)*RailTransport!V11*Unitflowchart!$S$326</f>
        <v>0</v>
      </c>
      <c r="I288" s="24">
        <f>(H288/H$354)*100</f>
        <v>0</v>
      </c>
      <c r="J288" s="709">
        <f>(Unitflowchart!$S$315/Unitflowchart!$S$357)*RailTransport!W11*Unitflowchart!$S$326</f>
        <v>0</v>
      </c>
      <c r="K288" s="707">
        <f>(Unitflowchart!$S$315/Unitflowchart!$S$357)*RailTransport!AB11*Unitflowchart!$S$326</f>
        <v>0</v>
      </c>
      <c r="L288" s="24">
        <f>(K288/K$354)*100</f>
        <v>0</v>
      </c>
      <c r="M288" s="709">
        <f>(Unitflowchart!$S$315/Unitflowchart!$S$357)*RailTransport!AC11*Unitflowchart!$S$326</f>
        <v>0</v>
      </c>
      <c r="N288" s="710">
        <f>E288+(GlobalWarmingPotentials!$B$11*H288)+(GlobalWarmingPotentials!$C$11*K288)</f>
        <v>0</v>
      </c>
      <c r="O288" s="24">
        <f>(N288/N$354)*100</f>
        <v>0</v>
      </c>
      <c r="P288" s="726">
        <f>SQRT((G288^2)+((GlobalWarmingPotentials!$B$11*J288)^2)+((GlobalWarmingPotentials!$C$11*M288)^2))</f>
        <v>0</v>
      </c>
      <c r="Q288" s="29"/>
    </row>
    <row r="289" spans="1:17" x14ac:dyDescent="0.25">
      <c r="A289" t="str">
        <f>RailTransport!A12</f>
        <v xml:space="preserve"> - Capital Equipment</v>
      </c>
      <c r="B289" s="710">
        <f>(Unitflowchart!$S$315/Unitflowchart!$S$357)*RailTransport!J12*Unitflowchart!$S$326</f>
        <v>0</v>
      </c>
      <c r="C289" s="24">
        <f>(B289/B$354)*100</f>
        <v>0</v>
      </c>
      <c r="D289" s="726">
        <f>(Unitflowchart!$S$315/Unitflowchart!$S$357)*RailTransport!K12*Unitflowchart!$S$326</f>
        <v>0</v>
      </c>
      <c r="E289" s="710">
        <f>(Unitflowchart!$S$315/Unitflowchart!$S$357)*RailTransport!P12*Unitflowchart!$S$326</f>
        <v>0</v>
      </c>
      <c r="F289" s="24">
        <f>(E289/E$354)*100</f>
        <v>0</v>
      </c>
      <c r="G289" s="726">
        <f>(Unitflowchart!$S$315/Unitflowchart!$S$357)*RailTransport!Q12*Unitflowchart!$S$326</f>
        <v>0</v>
      </c>
      <c r="H289" s="707">
        <f>(Unitflowchart!$S$315/Unitflowchart!$S$357)*RailTransport!V12*Unitflowchart!$S$326</f>
        <v>0</v>
      </c>
      <c r="I289" s="24">
        <f>(H289/H$354)*100</f>
        <v>0</v>
      </c>
      <c r="J289" s="709">
        <f>(Unitflowchart!$S$315/Unitflowchart!$S$357)*RailTransport!W12*Unitflowchart!$S$326</f>
        <v>0</v>
      </c>
      <c r="K289" s="707">
        <f>(Unitflowchart!$S$315/Unitflowchart!$S$357)*RailTransport!AB12*Unitflowchart!$S$326</f>
        <v>0</v>
      </c>
      <c r="L289" s="24">
        <f>(K289/K$354)*100</f>
        <v>0</v>
      </c>
      <c r="M289" s="709">
        <f>(Unitflowchart!$S$315/Unitflowchart!$S$357)*RailTransport!AC12*Unitflowchart!$S$326</f>
        <v>0</v>
      </c>
      <c r="N289" s="710">
        <f>E289+(GlobalWarmingPotentials!$B$11*H289)+(GlobalWarmingPotentials!$C$11*K289)</f>
        <v>0</v>
      </c>
      <c r="O289" s="24">
        <f>(N289/N$354)*100</f>
        <v>0</v>
      </c>
      <c r="P289" s="726">
        <f>SQRT((G289^2)+((GlobalWarmingPotentials!$B$11*J289)^2)+((GlobalWarmingPotentials!$C$11*M289)^2))</f>
        <v>0</v>
      </c>
      <c r="Q289" s="29"/>
    </row>
    <row r="290" spans="1:17" x14ac:dyDescent="0.25">
      <c r="A290" t="str">
        <f>RailTransport!A13</f>
        <v xml:space="preserve"> - Maintenance</v>
      </c>
      <c r="B290" s="710">
        <f>(Unitflowchart!$S$315/Unitflowchart!$S$357)*RailTransport!J13*Unitflowchart!$S$326</f>
        <v>0</v>
      </c>
      <c r="C290" s="24">
        <f>(B290/B$354)*100</f>
        <v>0</v>
      </c>
      <c r="D290" s="726">
        <f>(Unitflowchart!$S$315/Unitflowchart!$S$357)*RailTransport!K13*Unitflowchart!$S$326</f>
        <v>0</v>
      </c>
      <c r="E290" s="710">
        <f>(Unitflowchart!$S$315/Unitflowchart!$S$357)*RailTransport!P13*Unitflowchart!$S$326</f>
        <v>0</v>
      </c>
      <c r="F290" s="24">
        <f>(E290/E$354)*100</f>
        <v>0</v>
      </c>
      <c r="G290" s="726">
        <f>(Unitflowchart!$S$315/Unitflowchart!$S$357)*RailTransport!Q13*Unitflowchart!$S$326</f>
        <v>0</v>
      </c>
      <c r="H290" s="707">
        <f>(Unitflowchart!$S$315/Unitflowchart!$S$357)*RailTransport!V13*Unitflowchart!$S$326</f>
        <v>0</v>
      </c>
      <c r="I290" s="24">
        <f>(H290/H$354)*100</f>
        <v>0</v>
      </c>
      <c r="J290" s="709">
        <f>(Unitflowchart!$S$315/Unitflowchart!$S$357)*RailTransport!W13*Unitflowchart!$S$326</f>
        <v>0</v>
      </c>
      <c r="K290" s="707">
        <f>(Unitflowchart!$S$315/Unitflowchart!$S$357)*RailTransport!AB13*Unitflowchart!$S$326</f>
        <v>0</v>
      </c>
      <c r="L290" s="24">
        <f>(K290/K$354)*100</f>
        <v>0</v>
      </c>
      <c r="M290" s="709">
        <f>(Unitflowchart!$S$315/Unitflowchart!$S$357)*RailTransport!AC13*Unitflowchart!$S$326</f>
        <v>0</v>
      </c>
      <c r="N290" s="710">
        <f>E290+(GlobalWarmingPotentials!$B$11*H290)+(GlobalWarmingPotentials!$C$11*K290)</f>
        <v>0</v>
      </c>
      <c r="O290" s="24">
        <f>(N290/N$354)*100</f>
        <v>0</v>
      </c>
      <c r="P290" s="726">
        <f>SQRT((G290^2)+((GlobalWarmingPotentials!$B$11*J290)^2)+((GlobalWarmingPotentials!$C$11*M290)^2))</f>
        <v>0</v>
      </c>
      <c r="Q290" s="29"/>
    </row>
    <row r="291" spans="1:17" x14ac:dyDescent="0.25">
      <c r="B291" s="712"/>
      <c r="C291" s="24"/>
      <c r="D291" s="718"/>
      <c r="E291" s="712"/>
      <c r="F291" s="24"/>
      <c r="G291" s="718"/>
      <c r="H291" s="30"/>
      <c r="I291" s="24"/>
      <c r="J291" s="708"/>
      <c r="K291" s="30"/>
      <c r="L291" s="24"/>
      <c r="M291" s="708"/>
      <c r="N291" s="712"/>
      <c r="O291" s="24"/>
      <c r="P291" s="718"/>
      <c r="Q291" s="29"/>
    </row>
    <row r="292" spans="1:17" x14ac:dyDescent="0.25">
      <c r="A292" s="214" t="s">
        <v>857</v>
      </c>
      <c r="B292" s="717">
        <f>(Unitflowchart!$S$315/Unitflowchart!$S$357)*RailTransport!J15*Unitflowchart!$S$326</f>
        <v>0</v>
      </c>
      <c r="C292" s="705">
        <f>(B292/B$354)*100</f>
        <v>0</v>
      </c>
      <c r="D292" s="727">
        <f>(Unitflowchart!$S$315/Unitflowchart!$S$357)*RailTransport!K15*Unitflowchart!$S$326</f>
        <v>0</v>
      </c>
      <c r="E292" s="717">
        <f>(Unitflowchart!$S$315/Unitflowchart!$S$357)*RailTransport!P15*Unitflowchart!$S$326</f>
        <v>0</v>
      </c>
      <c r="F292" s="705">
        <f>(E292/E$354)*100</f>
        <v>0</v>
      </c>
      <c r="G292" s="727">
        <f>(Unitflowchart!$S$315/Unitflowchart!$S$357)*RailTransport!Q15*Unitflowchart!$S$326</f>
        <v>0</v>
      </c>
      <c r="H292" s="706">
        <f>(Unitflowchart!$S$315/Unitflowchart!$S$357)*RailTransport!V15*Unitflowchart!$S$326</f>
        <v>0</v>
      </c>
      <c r="I292" s="705">
        <f>(H292/H$354)*100</f>
        <v>0</v>
      </c>
      <c r="J292" s="704">
        <f>(Unitflowchart!$S$315/Unitflowchart!$S$357)*RailTransport!W15*Unitflowchart!$S$326</f>
        <v>0</v>
      </c>
      <c r="K292" s="706">
        <f>(Unitflowchart!$S$315/Unitflowchart!$S$357)*RailTransport!AB15*Unitflowchart!$S$326</f>
        <v>0</v>
      </c>
      <c r="L292" s="705">
        <f>(K292/K$354)*100</f>
        <v>0</v>
      </c>
      <c r="M292" s="704">
        <f>(Unitflowchart!$S$315/Unitflowchart!$S$357)*RailTransport!AC15*Unitflowchart!$S$326</f>
        <v>0</v>
      </c>
      <c r="N292" s="717">
        <f>E292+(GlobalWarmingPotentials!$B$11*H292)+(GlobalWarmingPotentials!$C$11*K292)</f>
        <v>0</v>
      </c>
      <c r="O292" s="705">
        <f>(N292/N$354)*100</f>
        <v>0</v>
      </c>
      <c r="P292" s="725">
        <f>SQRT((G292^2)+((GlobalWarmingPotentials!$B$11*J292)^2)+((GlobalWarmingPotentials!$C$11*M292)^2))</f>
        <v>0</v>
      </c>
      <c r="Q292" s="29"/>
    </row>
    <row r="293" spans="1:17" x14ac:dyDescent="0.25">
      <c r="B293" s="712"/>
      <c r="D293" s="718"/>
      <c r="E293" s="712"/>
      <c r="G293" s="718"/>
      <c r="H293" s="30"/>
      <c r="J293" s="708"/>
      <c r="K293" s="30"/>
      <c r="M293" s="708"/>
      <c r="N293" s="712"/>
      <c r="P293" s="718"/>
      <c r="Q293" s="29"/>
    </row>
    <row r="294" spans="1:17" x14ac:dyDescent="0.25">
      <c r="A294" s="384" t="s">
        <v>888</v>
      </c>
      <c r="B294" s="712"/>
      <c r="D294" s="718"/>
      <c r="E294" s="712"/>
      <c r="G294" s="718"/>
      <c r="H294" s="30"/>
      <c r="J294" s="708"/>
      <c r="K294" s="30"/>
      <c r="M294" s="708"/>
      <c r="N294" s="712"/>
      <c r="P294" s="718"/>
      <c r="Q294" s="29"/>
    </row>
    <row r="295" spans="1:17" x14ac:dyDescent="0.25">
      <c r="B295" s="712"/>
      <c r="D295" s="718"/>
      <c r="E295" s="712"/>
      <c r="G295" s="718"/>
      <c r="H295" s="30"/>
      <c r="J295" s="708"/>
      <c r="K295" s="30"/>
      <c r="M295" s="708"/>
      <c r="N295" s="712"/>
      <c r="P295" s="718"/>
      <c r="Q295" s="29"/>
    </row>
    <row r="296" spans="1:17" x14ac:dyDescent="0.25">
      <c r="A296" t="str">
        <f>BargeTransport!A11</f>
        <v xml:space="preserve"> - Marine Diesel</v>
      </c>
      <c r="B296" s="710">
        <f>(Unitflowchart!$S$315/Unitflowchart!$S$357)*BargeTransport!J11*Unitflowchart!$S$328</f>
        <v>0</v>
      </c>
      <c r="C296" s="24">
        <f>(B296/B$354)*100</f>
        <v>0</v>
      </c>
      <c r="D296" s="726">
        <f>(Unitflowchart!$S$315/Unitflowchart!$S$357)*BargeTransport!K11*Unitflowchart!$S$328</f>
        <v>0</v>
      </c>
      <c r="E296" s="710">
        <f>(Unitflowchart!$S$315/Unitflowchart!$S$357)*BargeTransport!P11*Unitflowchart!$S$328</f>
        <v>0</v>
      </c>
      <c r="F296" s="24">
        <f>(E296/E$354)*100</f>
        <v>0</v>
      </c>
      <c r="G296" s="726">
        <f>(Unitflowchart!$S$315/Unitflowchart!$S$357)*BargeTransport!Q11*Unitflowchart!$S$328</f>
        <v>0</v>
      </c>
      <c r="H296" s="707">
        <f>(Unitflowchart!$S$315/Unitflowchart!$S$357)*BargeTransport!V11*Unitflowchart!$S$328</f>
        <v>0</v>
      </c>
      <c r="I296" s="24">
        <f>(H296/H$354)*100</f>
        <v>0</v>
      </c>
      <c r="J296" s="709">
        <f>(Unitflowchart!$S$315/Unitflowchart!$S$357)*BargeTransport!W11*Unitflowchart!$S$328</f>
        <v>0</v>
      </c>
      <c r="K296" s="707">
        <f>(Unitflowchart!$S$315/Unitflowchart!$S$357)*BargeTransport!AB11*Unitflowchart!$S$328</f>
        <v>0</v>
      </c>
      <c r="L296" s="24">
        <f>(K296/K$354)*100</f>
        <v>0</v>
      </c>
      <c r="M296" s="709">
        <f>(Unitflowchart!$S$315/Unitflowchart!$S$357)*BargeTransport!AC11*Unitflowchart!$S$328</f>
        <v>0</v>
      </c>
      <c r="N296" s="710">
        <f>E296+(GlobalWarmingPotentials!$B$11*H296)+(GlobalWarmingPotentials!$C$11*K296)</f>
        <v>0</v>
      </c>
      <c r="O296" s="24">
        <f>(N296/N$354)*100</f>
        <v>0</v>
      </c>
      <c r="P296" s="726">
        <f>SQRT((G296^2)+((GlobalWarmingPotentials!$B$11*J296)^2)+((GlobalWarmingPotentials!$C$11*M296)^2))</f>
        <v>0</v>
      </c>
      <c r="Q296" s="29"/>
    </row>
    <row r="297" spans="1:17" x14ac:dyDescent="0.25">
      <c r="A297" t="str">
        <f>BargeTransport!A12</f>
        <v xml:space="preserve"> - Barge Construction</v>
      </c>
      <c r="B297" s="710">
        <f>(Unitflowchart!$S$315/Unitflowchart!$S$357)*BargeTransport!J12*Unitflowchart!$S$328</f>
        <v>0</v>
      </c>
      <c r="C297" s="24">
        <f>(B297/B$354)*100</f>
        <v>0</v>
      </c>
      <c r="D297" s="726">
        <f>(Unitflowchart!$S$315/Unitflowchart!$S$357)*BargeTransport!K12*Unitflowchart!$S$328</f>
        <v>0</v>
      </c>
      <c r="E297" s="710">
        <f>(Unitflowchart!$S$315/Unitflowchart!$S$357)*BargeTransport!P12*Unitflowchart!$S$328</f>
        <v>0</v>
      </c>
      <c r="F297" s="24">
        <f>(E297/E$354)*100</f>
        <v>0</v>
      </c>
      <c r="G297" s="726">
        <f>(Unitflowchart!$S$315/Unitflowchart!$S$357)*BargeTransport!Q12*Unitflowchart!$S$328</f>
        <v>0</v>
      </c>
      <c r="H297" s="707">
        <f>(Unitflowchart!$S$315/Unitflowchart!$S$357)*BargeTransport!V12*Unitflowchart!$S$328</f>
        <v>0</v>
      </c>
      <c r="I297" s="24">
        <f>(H297/H$354)*100</f>
        <v>0</v>
      </c>
      <c r="J297" s="709">
        <f>(Unitflowchart!$S$315/Unitflowchart!$S$357)*BargeTransport!W12*Unitflowchart!$S$328</f>
        <v>0</v>
      </c>
      <c r="K297" s="707">
        <f>(Unitflowchart!$S$315/Unitflowchart!$S$357)*BargeTransport!AB12*Unitflowchart!$S$328</f>
        <v>0</v>
      </c>
      <c r="L297" s="24">
        <f>(K297/K$354)*100</f>
        <v>0</v>
      </c>
      <c r="M297" s="709">
        <f>(Unitflowchart!$S$315/Unitflowchart!$S$357)*BargeTransport!AC12*Unitflowchart!$S$328</f>
        <v>0</v>
      </c>
      <c r="N297" s="710">
        <f>E297+(GlobalWarmingPotentials!$B$11*H297)+(GlobalWarmingPotentials!$C$11*K297)</f>
        <v>0</v>
      </c>
      <c r="O297" s="24">
        <f>(N297/N$354)*100</f>
        <v>0</v>
      </c>
      <c r="P297" s="726">
        <f>SQRT((G297^2)+((GlobalWarmingPotentials!$B$11*J297)^2)+((GlobalWarmingPotentials!$C$11*M297)^2))</f>
        <v>0</v>
      </c>
      <c r="Q297" s="29"/>
    </row>
    <row r="298" spans="1:17" x14ac:dyDescent="0.25">
      <c r="A298" t="str">
        <f>BargeTransport!A13</f>
        <v xml:space="preserve"> - Barge Maintenance</v>
      </c>
      <c r="B298" s="710">
        <f>(Unitflowchart!$S$315/Unitflowchart!$S$357)*BargeTransport!J13*Unitflowchart!$S$328</f>
        <v>0</v>
      </c>
      <c r="C298" s="24">
        <f>(B298/B$354)*100</f>
        <v>0</v>
      </c>
      <c r="D298" s="726">
        <f>(Unitflowchart!$S$315/Unitflowchart!$S$357)*BargeTransport!K13*Unitflowchart!$S$328</f>
        <v>0</v>
      </c>
      <c r="E298" s="710">
        <f>(Unitflowchart!$S$315/Unitflowchart!$S$357)*BargeTransport!P13*Unitflowchart!$S$328</f>
        <v>0</v>
      </c>
      <c r="F298" s="24">
        <f>(E298/E$354)*100</f>
        <v>0</v>
      </c>
      <c r="G298" s="726">
        <f>(Unitflowchart!$S$315/Unitflowchart!$S$357)*BargeTransport!Q13*Unitflowchart!$S$328</f>
        <v>0</v>
      </c>
      <c r="H298" s="707">
        <f>(Unitflowchart!$S$315/Unitflowchart!$S$357)*BargeTransport!V13*Unitflowchart!$S$328</f>
        <v>0</v>
      </c>
      <c r="I298" s="24">
        <f>(H298/H$354)*100</f>
        <v>0</v>
      </c>
      <c r="J298" s="709">
        <f>(Unitflowchart!$S$315/Unitflowchart!$S$357)*BargeTransport!W13*Unitflowchart!$S$328</f>
        <v>0</v>
      </c>
      <c r="K298" s="707">
        <f>(Unitflowchart!$S$315/Unitflowchart!$S$357)*BargeTransport!AB13*Unitflowchart!$S$328</f>
        <v>0</v>
      </c>
      <c r="L298" s="24">
        <f>(K298/K$354)*100</f>
        <v>0</v>
      </c>
      <c r="M298" s="709">
        <f>(Unitflowchart!$S$315/Unitflowchart!$S$357)*BargeTransport!AC13*Unitflowchart!$S$328</f>
        <v>0</v>
      </c>
      <c r="N298" s="710">
        <f>E298+(GlobalWarmingPotentials!$B$11*H298)+(GlobalWarmingPotentials!$C$11*K298)</f>
        <v>0</v>
      </c>
      <c r="O298" s="24">
        <f>(N298/N$354)*100</f>
        <v>0</v>
      </c>
      <c r="P298" s="726">
        <f>SQRT((G298^2)+((GlobalWarmingPotentials!$B$11*J298)^2)+((GlobalWarmingPotentials!$C$11*M298)^2))</f>
        <v>0</v>
      </c>
      <c r="Q298" s="29"/>
    </row>
    <row r="299" spans="1:17" x14ac:dyDescent="0.25">
      <c r="B299" s="712"/>
      <c r="C299" s="24"/>
      <c r="D299" s="718"/>
      <c r="E299" s="712"/>
      <c r="F299" s="24"/>
      <c r="G299" s="718"/>
      <c r="H299" s="30"/>
      <c r="I299" s="24"/>
      <c r="J299" s="708"/>
      <c r="K299" s="30"/>
      <c r="L299" s="24"/>
      <c r="M299" s="708"/>
      <c r="N299" s="712"/>
      <c r="O299" s="24"/>
      <c r="P299" s="718"/>
      <c r="Q299" s="29"/>
    </row>
    <row r="300" spans="1:17" x14ac:dyDescent="0.25">
      <c r="A300" s="214" t="s">
        <v>859</v>
      </c>
      <c r="B300" s="717">
        <f>(Unitflowchart!$S$315/Unitflowchart!$S$357)*BargeTransport!J15*Unitflowchart!$S$328</f>
        <v>0</v>
      </c>
      <c r="C300" s="705">
        <f>(B300/B$354)*100</f>
        <v>0</v>
      </c>
      <c r="D300" s="727">
        <f>(Unitflowchart!$S$315/Unitflowchart!$S$357)*BargeTransport!K15*Unitflowchart!$S$328</f>
        <v>0</v>
      </c>
      <c r="E300" s="717">
        <f>(Unitflowchart!$S$315/Unitflowchart!$S$357)*BargeTransport!P15*Unitflowchart!$S$328</f>
        <v>0</v>
      </c>
      <c r="F300" s="705">
        <f>(E300/E$354)*100</f>
        <v>0</v>
      </c>
      <c r="G300" s="727">
        <f>(Unitflowchart!$S$315/Unitflowchart!$S$357)*BargeTransport!Q15*Unitflowchart!$S$328</f>
        <v>0</v>
      </c>
      <c r="H300" s="706">
        <f>(Unitflowchart!$S$315/Unitflowchart!$S$357)*BargeTransport!V15*Unitflowchart!$S$328</f>
        <v>0</v>
      </c>
      <c r="I300" s="705">
        <f>(H300/H$354)*100</f>
        <v>0</v>
      </c>
      <c r="J300" s="704">
        <f>(Unitflowchart!$S$315/Unitflowchart!$S$357)*BargeTransport!W15*Unitflowchart!$S$328</f>
        <v>0</v>
      </c>
      <c r="K300" s="706">
        <f>(Unitflowchart!$S$315/Unitflowchart!$S$357)*BargeTransport!AB15*Unitflowchart!$S$328</f>
        <v>0</v>
      </c>
      <c r="L300" s="705">
        <f>(K300/K$354)*100</f>
        <v>0</v>
      </c>
      <c r="M300" s="704">
        <f>(Unitflowchart!$S$315/Unitflowchart!$S$357)*BargeTransport!AC15*Unitflowchart!$S$328</f>
        <v>0</v>
      </c>
      <c r="N300" s="717">
        <f>E300+(GlobalWarmingPotentials!$B$11*H300)+(GlobalWarmingPotentials!$C$11*K300)</f>
        <v>0</v>
      </c>
      <c r="O300" s="705">
        <f>(N300/N$354)*100</f>
        <v>0</v>
      </c>
      <c r="P300" s="725">
        <f>SQRT((G300^2)+((GlobalWarmingPotentials!$B$11*J300)^2)+((GlobalWarmingPotentials!$C$11*M300)^2))</f>
        <v>0</v>
      </c>
      <c r="Q300" s="29"/>
    </row>
    <row r="301" spans="1:17" x14ac:dyDescent="0.25">
      <c r="B301" s="712"/>
      <c r="D301" s="718"/>
      <c r="E301" s="712"/>
      <c r="G301" s="718"/>
      <c r="H301" s="30"/>
      <c r="J301" s="708"/>
      <c r="K301" s="30"/>
      <c r="M301" s="708"/>
      <c r="N301" s="712"/>
      <c r="P301" s="718"/>
      <c r="Q301" s="29"/>
    </row>
    <row r="302" spans="1:17" x14ac:dyDescent="0.25">
      <c r="A302" s="384" t="s">
        <v>889</v>
      </c>
      <c r="B302" s="712"/>
      <c r="D302" s="718"/>
      <c r="E302" s="712"/>
      <c r="G302" s="718"/>
      <c r="H302" s="30"/>
      <c r="J302" s="708"/>
      <c r="K302" s="30"/>
      <c r="M302" s="708"/>
      <c r="N302" s="712"/>
      <c r="P302" s="718"/>
      <c r="Q302" s="29"/>
    </row>
    <row r="303" spans="1:17" x14ac:dyDescent="0.25">
      <c r="B303" s="712"/>
      <c r="D303" s="718"/>
      <c r="E303" s="712"/>
      <c r="G303" s="718"/>
      <c r="H303" s="30"/>
      <c r="J303" s="708"/>
      <c r="K303" s="30"/>
      <c r="M303" s="708"/>
      <c r="N303" s="712"/>
      <c r="P303" s="718"/>
      <c r="Q303" s="29"/>
    </row>
    <row r="304" spans="1:17" x14ac:dyDescent="0.25">
      <c r="A304" t="str">
        <f>ShipTransport!A11</f>
        <v xml:space="preserve"> - Marine Diesel</v>
      </c>
      <c r="B304" s="710">
        <f>(Unitflowchart!$S$315/Unitflowchart!$S$357)*ShipTransport!J11*Unitflowchart!$S$330</f>
        <v>0</v>
      </c>
      <c r="C304" s="24">
        <f>(B304/B$354)*100</f>
        <v>0</v>
      </c>
      <c r="D304" s="726">
        <f>(Unitflowchart!$S$315/Unitflowchart!$S$357)*ShipTransport!K11*Unitflowchart!$S$330</f>
        <v>0</v>
      </c>
      <c r="E304" s="710">
        <f>(Unitflowchart!$S$315/Unitflowchart!$S$357)*ShipTransport!P11*Unitflowchart!$S$330</f>
        <v>0</v>
      </c>
      <c r="F304" s="24">
        <f>(E304/E$354)*100</f>
        <v>0</v>
      </c>
      <c r="G304" s="726">
        <f>(Unitflowchart!$S$315/Unitflowchart!$S$357)*ShipTransport!Q11*Unitflowchart!$S$330</f>
        <v>0</v>
      </c>
      <c r="H304" s="707">
        <f>(Unitflowchart!$S$315/Unitflowchart!$S$357)*ShipTransport!V11*Unitflowchart!$S$330</f>
        <v>0</v>
      </c>
      <c r="I304" s="24">
        <f>(H304/H$354)*100</f>
        <v>0</v>
      </c>
      <c r="J304" s="709">
        <f>(Unitflowchart!$S$315/Unitflowchart!$S$357)*ShipTransport!W11*Unitflowchart!$S$330</f>
        <v>0</v>
      </c>
      <c r="K304" s="707">
        <f>(Unitflowchart!$S$315/Unitflowchart!$S$357)*ShipTransport!AB11*Unitflowchart!$S$330</f>
        <v>0</v>
      </c>
      <c r="L304" s="24">
        <f>(K304/K$354)*100</f>
        <v>0</v>
      </c>
      <c r="M304" s="709">
        <f>(Unitflowchart!$S$315/Unitflowchart!$S$357)*BargeTransport!AC19*Unitflowchart!$S$328</f>
        <v>0</v>
      </c>
      <c r="N304" s="710">
        <f>E304+(GlobalWarmingPotentials!$B$11*H304)+(GlobalWarmingPotentials!$C$11*K304)</f>
        <v>0</v>
      </c>
      <c r="O304" s="24">
        <f>(N304/N$354)*100</f>
        <v>0</v>
      </c>
      <c r="P304" s="726">
        <f>SQRT((G304^2)+((GlobalWarmingPotentials!$B$11*J304)^2)+((GlobalWarmingPotentials!$C$11*M304)^2))</f>
        <v>0</v>
      </c>
      <c r="Q304" s="29"/>
    </row>
    <row r="305" spans="1:17" x14ac:dyDescent="0.25">
      <c r="A305" t="str">
        <f>ShipTransport!A12</f>
        <v xml:space="preserve"> - Ship Construction</v>
      </c>
      <c r="B305" s="710">
        <f>(Unitflowchart!$S$315/Unitflowchart!$S$357)*ShipTransport!J12*Unitflowchart!$S$330</f>
        <v>0</v>
      </c>
      <c r="C305" s="24">
        <f t="shared" ref="C305:C306" si="68">(B305/B$354)*100</f>
        <v>0</v>
      </c>
      <c r="D305" s="726">
        <f>(Unitflowchart!$S$315/Unitflowchart!$S$357)*ShipTransport!K12*Unitflowchart!$S$330</f>
        <v>0</v>
      </c>
      <c r="E305" s="710">
        <f>(Unitflowchart!$S$315/Unitflowchart!$S$357)*ShipTransport!P12*Unitflowchart!$S$330</f>
        <v>0</v>
      </c>
      <c r="F305" s="24">
        <f t="shared" ref="F305:F306" si="69">(E305/E$354)*100</f>
        <v>0</v>
      </c>
      <c r="G305" s="726">
        <f>(Unitflowchart!$S$315/Unitflowchart!$S$357)*ShipTransport!Q12*Unitflowchart!$S$330</f>
        <v>0</v>
      </c>
      <c r="H305" s="707">
        <f>(Unitflowchart!$S$315/Unitflowchart!$S$357)*ShipTransport!V12*Unitflowchart!$S$330</f>
        <v>0</v>
      </c>
      <c r="I305" s="24">
        <f t="shared" ref="I305:I306" si="70">(H305/H$354)*100</f>
        <v>0</v>
      </c>
      <c r="J305" s="709">
        <f>(Unitflowchart!$S$315/Unitflowchart!$S$357)*ShipTransport!W12*Unitflowchart!$S$330</f>
        <v>0</v>
      </c>
      <c r="K305" s="707">
        <f>(Unitflowchart!$S$315/Unitflowchart!$S$357)*ShipTransport!AB12*Unitflowchart!$S$330</f>
        <v>0</v>
      </c>
      <c r="L305" s="24">
        <f t="shared" ref="L305:L306" si="71">(K305/K$354)*100</f>
        <v>0</v>
      </c>
      <c r="M305" s="709">
        <f>(Unitflowchart!$S$315/Unitflowchart!$S$357)*BargeTransport!AC20*Unitflowchart!$S$328</f>
        <v>0</v>
      </c>
      <c r="N305" s="710">
        <f>E305+(GlobalWarmingPotentials!$B$11*H305)+(GlobalWarmingPotentials!$C$11*K305)</f>
        <v>0</v>
      </c>
      <c r="O305" s="24">
        <f t="shared" ref="O305:O306" si="72">(N305/N$354)*100</f>
        <v>0</v>
      </c>
      <c r="P305" s="726">
        <f>SQRT((G305^2)+((GlobalWarmingPotentials!$B$11*J305)^2)+((GlobalWarmingPotentials!$C$11*M305)^2))</f>
        <v>0</v>
      </c>
      <c r="Q305" s="29"/>
    </row>
    <row r="306" spans="1:17" x14ac:dyDescent="0.25">
      <c r="A306" t="str">
        <f>ShipTransport!A13</f>
        <v xml:space="preserve"> - Ship Maintenance</v>
      </c>
      <c r="B306" s="710">
        <f>(Unitflowchart!$S$315/Unitflowchart!$S$357)*ShipTransport!J13*Unitflowchart!$S$330</f>
        <v>0</v>
      </c>
      <c r="C306" s="24">
        <f t="shared" si="68"/>
        <v>0</v>
      </c>
      <c r="D306" s="726">
        <f>(Unitflowchart!$S$315/Unitflowchart!$S$357)*ShipTransport!K13*Unitflowchart!$S$330</f>
        <v>0</v>
      </c>
      <c r="E306" s="710">
        <f>(Unitflowchart!$S$315/Unitflowchart!$S$357)*ShipTransport!P13*Unitflowchart!$S$330</f>
        <v>0</v>
      </c>
      <c r="F306" s="24">
        <f t="shared" si="69"/>
        <v>0</v>
      </c>
      <c r="G306" s="726">
        <f>(Unitflowchart!$S$315/Unitflowchart!$S$357)*ShipTransport!Q13*Unitflowchart!$S$330</f>
        <v>0</v>
      </c>
      <c r="H306" s="707">
        <f>(Unitflowchart!$S$315/Unitflowchart!$S$357)*ShipTransport!V13*Unitflowchart!$S$330</f>
        <v>0</v>
      </c>
      <c r="I306" s="24">
        <f t="shared" si="70"/>
        <v>0</v>
      </c>
      <c r="J306" s="709">
        <f>(Unitflowchart!$S$315/Unitflowchart!$S$357)*ShipTransport!W13*Unitflowchart!$S$330</f>
        <v>0</v>
      </c>
      <c r="K306" s="707">
        <f>(Unitflowchart!$S$315/Unitflowchart!$S$357)*ShipTransport!AB13*Unitflowchart!$S$330</f>
        <v>0</v>
      </c>
      <c r="L306" s="24">
        <f t="shared" si="71"/>
        <v>0</v>
      </c>
      <c r="M306" s="709">
        <f>(Unitflowchart!$S$315/Unitflowchart!$S$357)*BargeTransport!AC21*Unitflowchart!$S$328</f>
        <v>0</v>
      </c>
      <c r="N306" s="710">
        <f>E306+(GlobalWarmingPotentials!$B$11*H306)+(GlobalWarmingPotentials!$C$11*K306)</f>
        <v>0</v>
      </c>
      <c r="O306" s="24">
        <f t="shared" si="72"/>
        <v>0</v>
      </c>
      <c r="P306" s="726">
        <f>SQRT((G306^2)+((GlobalWarmingPotentials!$B$11*J306)^2)+((GlobalWarmingPotentials!$C$11*M306)^2))</f>
        <v>0</v>
      </c>
      <c r="Q306" s="29"/>
    </row>
    <row r="307" spans="1:17" x14ac:dyDescent="0.25">
      <c r="B307" s="712"/>
      <c r="D307" s="718"/>
      <c r="E307" s="712"/>
      <c r="F307" s="24"/>
      <c r="G307" s="718"/>
      <c r="H307" s="30"/>
      <c r="I307" s="24"/>
      <c r="J307" s="708"/>
      <c r="K307" s="30"/>
      <c r="L307" s="24"/>
      <c r="M307" s="708"/>
      <c r="N307" s="712"/>
      <c r="O307" s="24"/>
      <c r="P307" s="718"/>
      <c r="Q307" s="29"/>
    </row>
    <row r="308" spans="1:17" x14ac:dyDescent="0.25">
      <c r="A308" s="214" t="s">
        <v>861</v>
      </c>
      <c r="B308" s="717">
        <f>(Unitflowchart!$S$315/Unitflowchart!$S$357)*ShipTransport!J15*Unitflowchart!$S$330</f>
        <v>0</v>
      </c>
      <c r="C308" s="705">
        <f>(B308/B$354)*100</f>
        <v>0</v>
      </c>
      <c r="D308" s="727">
        <f>(Unitflowchart!$S$315/Unitflowchart!$S$357)*ShipTransport!K15*Unitflowchart!$S$330</f>
        <v>0</v>
      </c>
      <c r="E308" s="717">
        <f>(Unitflowchart!$S$315/Unitflowchart!$S$357)*ShipTransport!P15*Unitflowchart!$S$330</f>
        <v>0</v>
      </c>
      <c r="F308" s="705">
        <f>(E308/E$354)*100</f>
        <v>0</v>
      </c>
      <c r="G308" s="727">
        <f>(Unitflowchart!$S$315/Unitflowchart!$S$357)*ShipTransport!Q15*Unitflowchart!$S$330</f>
        <v>0</v>
      </c>
      <c r="H308" s="706">
        <f>(Unitflowchart!$S$315/Unitflowchart!$S$357)*ShipTransport!V15*Unitflowchart!$S$330</f>
        <v>0</v>
      </c>
      <c r="I308" s="705">
        <f>(H308/H$354)*100</f>
        <v>0</v>
      </c>
      <c r="J308" s="704">
        <f>(Unitflowchart!$S$315/Unitflowchart!$S$357)*ShipTransport!W15*Unitflowchart!$S$330</f>
        <v>0</v>
      </c>
      <c r="K308" s="706">
        <f>(Unitflowchart!$S$315/Unitflowchart!$S$357)*ShipTransport!AB15*Unitflowchart!$S$330</f>
        <v>0</v>
      </c>
      <c r="L308" s="705">
        <f>(K308/K$354)*100</f>
        <v>0</v>
      </c>
      <c r="M308" s="704">
        <f>(Unitflowchart!$S$315/Unitflowchart!$S$357)*BargeTransport!AC23*Unitflowchart!$S$328</f>
        <v>0</v>
      </c>
      <c r="N308" s="717">
        <f>E308+(GlobalWarmingPotentials!$B$11*H308)+(GlobalWarmingPotentials!$C$11*K308)</f>
        <v>0</v>
      </c>
      <c r="O308" s="705">
        <f>(N308/N$354)*100</f>
        <v>0</v>
      </c>
      <c r="P308" s="725">
        <f>SQRT((G308^2)+((GlobalWarmingPotentials!$B$11*J308)^2)+((GlobalWarmingPotentials!$C$11*M308)^2))</f>
        <v>0</v>
      </c>
      <c r="Q308" s="29"/>
    </row>
    <row r="309" spans="1:17" x14ac:dyDescent="0.25">
      <c r="B309" s="712"/>
      <c r="D309" s="718"/>
      <c r="E309" s="712"/>
      <c r="G309" s="718"/>
      <c r="H309" s="30"/>
      <c r="J309" s="708"/>
      <c r="K309" s="30"/>
      <c r="M309" s="708"/>
      <c r="N309" s="712"/>
      <c r="P309" s="718"/>
      <c r="Q309" s="29"/>
    </row>
    <row r="310" spans="1:17" x14ac:dyDescent="0.25">
      <c r="A310" s="214" t="s">
        <v>898</v>
      </c>
      <c r="B310" s="714">
        <f>B284+B292+B300+B308</f>
        <v>0</v>
      </c>
      <c r="C310" s="14">
        <f>(B310/B$354)*100</f>
        <v>0</v>
      </c>
      <c r="D310" s="722">
        <f>SQRT((D284^2)+(D292^2)+(D300^2)+(D308^2))</f>
        <v>0</v>
      </c>
      <c r="E310" s="714">
        <f t="shared" ref="E310" si="73">E284+E292+E300+E308</f>
        <v>0</v>
      </c>
      <c r="F310" s="14">
        <f t="shared" ref="F310" si="74">(E310/E$354)*100</f>
        <v>0</v>
      </c>
      <c r="G310" s="722">
        <f t="shared" ref="G310" si="75">SQRT((G284^2)+(G292^2)+(G300^2)+(G308^2))</f>
        <v>0</v>
      </c>
      <c r="H310" s="211">
        <f t="shared" ref="H310" si="76">H284+H292+H300+H308</f>
        <v>0</v>
      </c>
      <c r="I310" s="14">
        <f t="shared" ref="I310" si="77">(H310/H$354)*100</f>
        <v>0</v>
      </c>
      <c r="J310" s="212">
        <f t="shared" ref="J310" si="78">SQRT((J284^2)+(J292^2)+(J300^2)+(J308^2))</f>
        <v>0</v>
      </c>
      <c r="K310" s="211">
        <f t="shared" ref="K310" si="79">K284+K292+K300+K308</f>
        <v>0</v>
      </c>
      <c r="L310" s="14">
        <f t="shared" ref="L310" si="80">(K310/K$354)*100</f>
        <v>0</v>
      </c>
      <c r="M310" s="212">
        <f t="shared" ref="M310" si="81">SQRT((M284^2)+(M292^2)+(M300^2)+(M308^2))</f>
        <v>0</v>
      </c>
      <c r="N310" s="714">
        <f t="shared" ref="N310" si="82">N284+N292+N300+N308</f>
        <v>0</v>
      </c>
      <c r="O310" s="14">
        <f t="shared" ref="O310" si="83">(N310/N$354)*100</f>
        <v>0</v>
      </c>
      <c r="P310" s="722">
        <f t="shared" ref="P310" si="84">SQRT((P284^2)+(P292^2)+(P300^2)+(P308^2))</f>
        <v>0</v>
      </c>
      <c r="Q310" s="29"/>
    </row>
    <row r="311" spans="1:17" x14ac:dyDescent="0.25">
      <c r="B311" s="712"/>
      <c r="D311" s="718"/>
      <c r="E311" s="712"/>
      <c r="G311" s="718"/>
      <c r="H311" s="30"/>
      <c r="J311" s="708"/>
      <c r="K311" s="30"/>
      <c r="M311" s="708"/>
      <c r="N311" s="712"/>
      <c r="P311" s="718"/>
      <c r="Q311" s="29"/>
    </row>
    <row r="312" spans="1:17" x14ac:dyDescent="0.25">
      <c r="A312" s="384" t="s">
        <v>890</v>
      </c>
      <c r="B312" s="712"/>
      <c r="D312" s="718"/>
      <c r="E312" s="712"/>
      <c r="G312" s="718"/>
      <c r="H312" s="30"/>
      <c r="J312" s="708"/>
      <c r="K312" s="30"/>
      <c r="M312" s="708"/>
      <c r="N312" s="712"/>
      <c r="P312" s="718"/>
      <c r="Q312" s="29"/>
    </row>
    <row r="313" spans="1:17" x14ac:dyDescent="0.25">
      <c r="B313" s="712"/>
      <c r="D313" s="718"/>
      <c r="E313" s="712"/>
      <c r="G313" s="718"/>
      <c r="H313" s="30"/>
      <c r="J313" s="708"/>
      <c r="K313" s="30"/>
      <c r="M313" s="708"/>
      <c r="N313" s="712"/>
      <c r="P313" s="718"/>
      <c r="Q313" s="29"/>
    </row>
    <row r="314" spans="1:17" x14ac:dyDescent="0.25">
      <c r="A314" s="13" t="str">
        <f>RoadTransportEthanolStage3!A42</f>
        <v xml:space="preserve"> - Diesel Fuel</v>
      </c>
      <c r="B314" s="715">
        <f>(Unitflowchart!$S$336/Unitflowchart!$S$357)*RoadTransportEthanolStage3!J42*Unitflowchart!$S$345</f>
        <v>0</v>
      </c>
      <c r="C314" s="25">
        <f>(B314/B$354)*100</f>
        <v>0</v>
      </c>
      <c r="D314" s="481">
        <f>(Unitflowchart!$S$336/Unitflowchart!$S$357)*RoadTransportEthanolStage3!K42*Unitflowchart!$S$345</f>
        <v>0</v>
      </c>
      <c r="E314" s="715">
        <f>(Unitflowchart!$S$336/Unitflowchart!$S$357)*RoadTransportEthanolStage3!P42*Unitflowchart!$S$345</f>
        <v>0</v>
      </c>
      <c r="F314" s="25">
        <f>(E314/E$354)*100</f>
        <v>0</v>
      </c>
      <c r="G314" s="481">
        <f>(Unitflowchart!$S$336/Unitflowchart!$S$357)*RoadTransportEthanolStage3!Q42*Unitflowchart!$S$345</f>
        <v>0</v>
      </c>
      <c r="H314" s="730">
        <f>(Unitflowchart!$S$336/Unitflowchart!$S$357)*RoadTransportEthanolStage3!V42*Unitflowchart!$S$345</f>
        <v>0</v>
      </c>
      <c r="I314" s="25">
        <f>(H314/H$354)*100</f>
        <v>0</v>
      </c>
      <c r="J314" s="733">
        <f>(Unitflowchart!$S$336/Unitflowchart!$S$357)*RoadTransportEthanolStage3!W42*Unitflowchart!$S$345</f>
        <v>0</v>
      </c>
      <c r="K314" s="730">
        <f>(Unitflowchart!$S$336/Unitflowchart!$S$357)*RoadTransportEthanolStage3!AB42*Unitflowchart!$S$345</f>
        <v>0</v>
      </c>
      <c r="L314" s="25">
        <f>(K314/K$354)*100</f>
        <v>0</v>
      </c>
      <c r="M314" s="732">
        <f>(Unitflowchart!$S$336/Unitflowchart!$S$357)*RoadTransportEthanolStage3!AC42*Unitflowchart!$S$345</f>
        <v>0</v>
      </c>
      <c r="N314" s="711">
        <f>E314+(GlobalWarmingPotentials!$B$11*H314)+(GlobalWarmingPotentials!$C$11*K314)</f>
        <v>0</v>
      </c>
      <c r="O314" s="25">
        <f>(N314/N$354)*100</f>
        <v>0</v>
      </c>
      <c r="P314" s="740">
        <f>SQRT((G314^2)+((GlobalWarmingPotentials!$B$11*J314)^2)+((GlobalWarmingPotentials!$C$11*M314)^2))</f>
        <v>0</v>
      </c>
      <c r="Q314" s="29"/>
    </row>
    <row r="315" spans="1:17" x14ac:dyDescent="0.25">
      <c r="A315" s="13" t="str">
        <f>RoadTransportEthanolStage3!A43</f>
        <v xml:space="preserve"> - Vehicle</v>
      </c>
      <c r="B315" s="715">
        <f>(Unitflowchart!$S$336/Unitflowchart!$S$357)*RoadTransportEthanolStage3!J43*Unitflowchart!$S$345</f>
        <v>0</v>
      </c>
      <c r="C315" s="25">
        <f t="shared" ref="C315:C318" si="85">(B315/B$354)*100</f>
        <v>0</v>
      </c>
      <c r="D315" s="481">
        <f>(Unitflowchart!$S$336/Unitflowchart!$S$357)*RoadTransportEthanolStage3!K43*Unitflowchart!$S$345</f>
        <v>0</v>
      </c>
      <c r="E315" s="715">
        <f>(Unitflowchart!$S$336/Unitflowchart!$S$357)*RoadTransportEthanolStage3!P43*Unitflowchart!$S$345</f>
        <v>0</v>
      </c>
      <c r="F315" s="25">
        <f t="shared" ref="F315:F318" si="86">(E315/E$354)*100</f>
        <v>0</v>
      </c>
      <c r="G315" s="481">
        <f>(Unitflowchart!$S$336/Unitflowchart!$S$357)*RoadTransportEthanolStage3!Q43*Unitflowchart!$S$345</f>
        <v>0</v>
      </c>
      <c r="H315" s="730">
        <f>(Unitflowchart!$S$336/Unitflowchart!$S$357)*RoadTransportEthanolStage3!V43*Unitflowchart!$S$345</f>
        <v>0</v>
      </c>
      <c r="I315" s="25">
        <f t="shared" ref="I315:I318" si="87">(H315/H$354)*100</f>
        <v>0</v>
      </c>
      <c r="J315" s="733">
        <f>(Unitflowchart!$S$336/Unitflowchart!$S$357)*RoadTransportEthanolStage3!W43*Unitflowchart!$S$345</f>
        <v>0</v>
      </c>
      <c r="K315" s="730">
        <f>(Unitflowchart!$S$336/Unitflowchart!$S$357)*RoadTransportEthanolStage3!AB43*Unitflowchart!$S$345</f>
        <v>0</v>
      </c>
      <c r="L315" s="25">
        <f t="shared" ref="L315:L318" si="88">(K315/K$354)*100</f>
        <v>0</v>
      </c>
      <c r="M315" s="732">
        <f>(Unitflowchart!$S$336/Unitflowchart!$S$357)*RoadTransportEthanolStage3!AC43*Unitflowchart!$S$345</f>
        <v>0</v>
      </c>
      <c r="N315" s="711">
        <f>E315+(GlobalWarmingPotentials!$B$11*H315)+(GlobalWarmingPotentials!$C$11*K315)</f>
        <v>0</v>
      </c>
      <c r="O315" s="25">
        <f t="shared" ref="O315:O316" si="89">(N315/N$354)*100</f>
        <v>0</v>
      </c>
      <c r="P315" s="740">
        <f>SQRT((G315^2)+((GlobalWarmingPotentials!$B$11*J315)^2)+((GlobalWarmingPotentials!$C$11*M315)^2))</f>
        <v>0</v>
      </c>
      <c r="Q315" s="29"/>
    </row>
    <row r="316" spans="1:17" x14ac:dyDescent="0.25">
      <c r="A316" s="13" t="str">
        <f>RoadTransportEthanolStage3!A44</f>
        <v xml:space="preserve"> - Maintenance</v>
      </c>
      <c r="B316" s="715">
        <f>(Unitflowchart!$S$336/Unitflowchart!$S$357)*RoadTransportEthanolStage3!J44*Unitflowchart!$S$345</f>
        <v>0</v>
      </c>
      <c r="C316" s="25">
        <f t="shared" si="85"/>
        <v>0</v>
      </c>
      <c r="D316" s="481">
        <f>(Unitflowchart!$S$336/Unitflowchart!$S$357)*RoadTransportEthanolStage3!K44*Unitflowchart!$S$345</f>
        <v>0</v>
      </c>
      <c r="E316" s="715">
        <f>(Unitflowchart!$S$336/Unitflowchart!$S$357)*RoadTransportEthanolStage3!P44*Unitflowchart!$S$345</f>
        <v>0</v>
      </c>
      <c r="F316" s="25">
        <f t="shared" si="86"/>
        <v>0</v>
      </c>
      <c r="G316" s="481">
        <f>(Unitflowchart!$S$336/Unitflowchart!$S$357)*RoadTransportEthanolStage3!Q44*Unitflowchart!$S$345</f>
        <v>0</v>
      </c>
      <c r="H316" s="730">
        <f>(Unitflowchart!$S$336/Unitflowchart!$S$357)*RoadTransportEthanolStage3!V44*Unitflowchart!$S$345</f>
        <v>0</v>
      </c>
      <c r="I316" s="25">
        <f t="shared" si="87"/>
        <v>0</v>
      </c>
      <c r="J316" s="733">
        <f>(Unitflowchart!$S$336/Unitflowchart!$S$357)*RoadTransportEthanolStage3!W44*Unitflowchart!$S$345</f>
        <v>0</v>
      </c>
      <c r="K316" s="730">
        <f>(Unitflowchart!$S$336/Unitflowchart!$S$357)*RoadTransportEthanolStage3!AB44*Unitflowchart!$S$345</f>
        <v>0</v>
      </c>
      <c r="L316" s="25">
        <f t="shared" si="88"/>
        <v>0</v>
      </c>
      <c r="M316" s="732">
        <f>(Unitflowchart!$S$336/Unitflowchart!$S$357)*RoadTransportEthanolStage3!AC44*Unitflowchart!$S$345</f>
        <v>0</v>
      </c>
      <c r="N316" s="711">
        <f>E316+(GlobalWarmingPotentials!$B$11*H316)+(GlobalWarmingPotentials!$C$11*K316)</f>
        <v>0</v>
      </c>
      <c r="O316" s="25">
        <f t="shared" si="89"/>
        <v>0</v>
      </c>
      <c r="P316" s="740">
        <f>SQRT((G316^2)+((GlobalWarmingPotentials!$B$11*J316)^2)+((GlobalWarmingPotentials!$C$11*M316)^2))</f>
        <v>0</v>
      </c>
      <c r="Q316" s="29"/>
    </row>
    <row r="317" spans="1:17" s="42" customFormat="1" x14ac:dyDescent="0.25">
      <c r="A317" s="150"/>
      <c r="B317" s="746"/>
      <c r="C317" s="863"/>
      <c r="D317" s="759"/>
      <c r="E317" s="746"/>
      <c r="F317" s="863"/>
      <c r="G317" s="759"/>
      <c r="H317" s="763"/>
      <c r="I317" s="863"/>
      <c r="J317" s="806"/>
      <c r="K317" s="763"/>
      <c r="L317" s="863"/>
      <c r="M317" s="764"/>
      <c r="N317" s="713"/>
      <c r="O317" s="152"/>
      <c r="P317" s="209"/>
      <c r="Q317" s="823"/>
    </row>
    <row r="318" spans="1:17" x14ac:dyDescent="0.25">
      <c r="A318" s="214" t="s">
        <v>893</v>
      </c>
      <c r="B318" s="714">
        <f>(Unitflowchart!$S$336/Unitflowchart!$S$357)*RoadTransportEthanolStage3!J46*Unitflowchart!$S$345</f>
        <v>0</v>
      </c>
      <c r="C318" s="14">
        <f t="shared" si="85"/>
        <v>0</v>
      </c>
      <c r="D318" s="722">
        <f>(Unitflowchart!$S$336/Unitflowchart!$S$357)*RoadTransportEthanolStage3!K46*Unitflowchart!$S$345</f>
        <v>0</v>
      </c>
      <c r="E318" s="714">
        <f>(Unitflowchart!$S$336/Unitflowchart!$S$357)*RoadTransportEthanolStage3!P46*Unitflowchart!$S$345</f>
        <v>0</v>
      </c>
      <c r="F318" s="14">
        <f t="shared" si="86"/>
        <v>0</v>
      </c>
      <c r="G318" s="722">
        <f>(Unitflowchart!$S$336/Unitflowchart!$S$357)*RoadTransportEthanolStage3!Q46*Unitflowchart!$S$345</f>
        <v>0</v>
      </c>
      <c r="H318" s="211">
        <f>(Unitflowchart!$S$336/Unitflowchart!$S$357)*RoadTransportEthanolStage3!V46*Unitflowchart!$S$345</f>
        <v>0</v>
      </c>
      <c r="I318" s="14">
        <f t="shared" si="87"/>
        <v>0</v>
      </c>
      <c r="J318" s="728">
        <f>(Unitflowchart!$S$336/Unitflowchart!$S$357)*RoadTransportEthanolStage3!W46*Unitflowchart!$S$345</f>
        <v>0</v>
      </c>
      <c r="K318" s="211">
        <f>(Unitflowchart!$S$336/Unitflowchart!$S$357)*RoadTransportEthanolStage3!AB46*Unitflowchart!$S$345</f>
        <v>0</v>
      </c>
      <c r="L318" s="14">
        <f t="shared" si="88"/>
        <v>0</v>
      </c>
      <c r="M318" s="212">
        <f>(Unitflowchart!$S$336/Unitflowchart!$S$357)*RoadTransportEthanolStage3!AC46*Unitflowchart!$S$345</f>
        <v>0</v>
      </c>
      <c r="N318" s="717">
        <f>E318+(GlobalWarmingPotentials!$B$11*H318)+(GlobalWarmingPotentials!$C$11*K318)</f>
        <v>0</v>
      </c>
      <c r="O318" s="214">
        <f>(N318/N$354)*100</f>
        <v>0</v>
      </c>
      <c r="P318" s="725">
        <f>SQRT((G318^2)+((GlobalWarmingPotentials!$B$11*J318)^2)+((GlobalWarmingPotentials!$C$11*M318)^2))</f>
        <v>0</v>
      </c>
      <c r="Q318" s="29"/>
    </row>
    <row r="319" spans="1:17" x14ac:dyDescent="0.25">
      <c r="B319" s="712"/>
      <c r="D319" s="718"/>
      <c r="E319" s="712"/>
      <c r="G319" s="718"/>
      <c r="H319" s="30"/>
      <c r="J319" s="708"/>
      <c r="K319" s="30"/>
      <c r="M319" s="708"/>
      <c r="N319" s="712"/>
      <c r="P319" s="718"/>
      <c r="Q319" s="29"/>
    </row>
    <row r="320" spans="1:17" x14ac:dyDescent="0.25">
      <c r="A320" s="384" t="s">
        <v>891</v>
      </c>
      <c r="B320" s="712"/>
      <c r="D320" s="718"/>
      <c r="E320" s="712"/>
      <c r="G320" s="718"/>
      <c r="H320" s="30"/>
      <c r="J320" s="708"/>
      <c r="K320" s="30"/>
      <c r="M320" s="708"/>
      <c r="N320" s="712"/>
      <c r="P320" s="718"/>
      <c r="Q320" s="29"/>
    </row>
    <row r="321" spans="1:17" x14ac:dyDescent="0.25">
      <c r="B321" s="712"/>
      <c r="D321" s="718"/>
      <c r="E321" s="712"/>
      <c r="G321" s="718"/>
      <c r="H321" s="30"/>
      <c r="J321" s="708"/>
      <c r="K321" s="30"/>
      <c r="M321" s="708"/>
      <c r="N321" s="712"/>
      <c r="P321" s="718"/>
      <c r="Q321" s="29"/>
    </row>
    <row r="322" spans="1:17" x14ac:dyDescent="0.25">
      <c r="A322" s="13" t="str">
        <f>RailTransport!A11</f>
        <v xml:space="preserve"> - Gas Oil</v>
      </c>
      <c r="B322" s="710">
        <f>(Unitflowchart!$S$336/Unitflowchart!$S$357)*RailTransport!J11*Unitflowchart!$S$347</f>
        <v>0</v>
      </c>
      <c r="C322" s="24">
        <f>(B322/B$354)*100</f>
        <v>0</v>
      </c>
      <c r="D322" s="726">
        <f>(Unitflowchart!$S$336/Unitflowchart!$S$357)*RailTransport!K11*Unitflowchart!$S$347</f>
        <v>0</v>
      </c>
      <c r="E322" s="710">
        <f>(Unitflowchart!$S$336/Unitflowchart!$S$357)*RailTransport!P11*Unitflowchart!$S$347</f>
        <v>0</v>
      </c>
      <c r="F322" s="24">
        <f>(E322/E$354)*100</f>
        <v>0</v>
      </c>
      <c r="G322" s="726">
        <f>(Unitflowchart!$S$336/Unitflowchart!$S$357)*RailTransport!Q11*Unitflowchart!$S$347</f>
        <v>0</v>
      </c>
      <c r="H322" s="707">
        <f>(Unitflowchart!$S$336/Unitflowchart!$S$357)*RailTransport!V11*Unitflowchart!$S$347</f>
        <v>0</v>
      </c>
      <c r="I322" s="24">
        <f>(H322/H$354)*100</f>
        <v>0</v>
      </c>
      <c r="J322" s="709">
        <f>(Unitflowchart!$S$336/Unitflowchart!$S$357)*RailTransport!W11*Unitflowchart!$S$347</f>
        <v>0</v>
      </c>
      <c r="K322" s="707">
        <f>(Unitflowchart!$S$336/Unitflowchart!$S$357)*RailTransport!AB11*Unitflowchart!$S$347</f>
        <v>0</v>
      </c>
      <c r="L322" s="24">
        <f>(K322/K$354)*100</f>
        <v>0</v>
      </c>
      <c r="M322" s="709">
        <f>(Unitflowchart!$S$336/Unitflowchart!$S$357)*RailTransport!AC11*Unitflowchart!$S$347</f>
        <v>0</v>
      </c>
      <c r="N322" s="710">
        <f>E322+(GlobalWarmingPotentials!$B$11*H322)+(GlobalWarmingPotentials!$C$11*K322)</f>
        <v>0</v>
      </c>
      <c r="O322" s="24">
        <f>(N322/N$354)*100</f>
        <v>0</v>
      </c>
      <c r="P322" s="726">
        <f>SQRT((G322^2)+((GlobalWarmingPotentials!$B$11*J322)^2)+((GlobalWarmingPotentials!$C$11*M322)^2))</f>
        <v>0</v>
      </c>
      <c r="Q322" s="29"/>
    </row>
    <row r="323" spans="1:17" x14ac:dyDescent="0.25">
      <c r="A323" s="13" t="str">
        <f>RailTransport!A12</f>
        <v xml:space="preserve"> - Capital Equipment</v>
      </c>
      <c r="B323" s="710">
        <f>(Unitflowchart!$S$336/Unitflowchart!$S$357)*RailTransport!J12*Unitflowchart!$S$347</f>
        <v>0</v>
      </c>
      <c r="C323" s="24">
        <f t="shared" ref="C323:C324" si="90">(B323/B$354)*100</f>
        <v>0</v>
      </c>
      <c r="D323" s="726">
        <f>(Unitflowchart!$S$336/Unitflowchart!$S$357)*RailTransport!K12*Unitflowchart!$S$347</f>
        <v>0</v>
      </c>
      <c r="E323" s="710">
        <f>(Unitflowchart!$S$336/Unitflowchart!$S$357)*RailTransport!P12*Unitflowchart!$S$347</f>
        <v>0</v>
      </c>
      <c r="F323" s="24">
        <f t="shared" ref="F323:F324" si="91">(E323/E$354)*100</f>
        <v>0</v>
      </c>
      <c r="G323" s="726">
        <f>(Unitflowchart!$S$336/Unitflowchart!$S$357)*RailTransport!Q12*Unitflowchart!$S$347</f>
        <v>0</v>
      </c>
      <c r="H323" s="707">
        <f>(Unitflowchart!$S$336/Unitflowchart!$S$357)*RailTransport!V12*Unitflowchart!$S$347</f>
        <v>0</v>
      </c>
      <c r="I323" s="24">
        <f t="shared" ref="I323:I324" si="92">(H323/H$354)*100</f>
        <v>0</v>
      </c>
      <c r="J323" s="709">
        <f>(Unitflowchart!$S$336/Unitflowchart!$S$357)*RailTransport!W12*Unitflowchart!$S$347</f>
        <v>0</v>
      </c>
      <c r="K323" s="707">
        <f>(Unitflowchart!$S$336/Unitflowchart!$S$357)*RailTransport!AB12*Unitflowchart!$S$347</f>
        <v>0</v>
      </c>
      <c r="L323" s="24">
        <f t="shared" ref="L323:L324" si="93">(K323/K$354)*100</f>
        <v>0</v>
      </c>
      <c r="M323" s="709">
        <f>(Unitflowchart!$S$336/Unitflowchart!$S$357)*RailTransport!AC12*Unitflowchart!$S$347</f>
        <v>0</v>
      </c>
      <c r="N323" s="710">
        <f>E323+(GlobalWarmingPotentials!$B$11*H323)+(GlobalWarmingPotentials!$C$11*K323)</f>
        <v>0</v>
      </c>
      <c r="O323" s="24">
        <f t="shared" ref="O323:O324" si="94">(N323/N$354)*100</f>
        <v>0</v>
      </c>
      <c r="P323" s="726">
        <f>SQRT((G323^2)+((GlobalWarmingPotentials!$B$11*J323)^2)+((GlobalWarmingPotentials!$C$11*M323)^2))</f>
        <v>0</v>
      </c>
      <c r="Q323" s="29"/>
    </row>
    <row r="324" spans="1:17" x14ac:dyDescent="0.25">
      <c r="A324" s="13" t="str">
        <f>RailTransport!A13</f>
        <v xml:space="preserve"> - Maintenance</v>
      </c>
      <c r="B324" s="710">
        <f>(Unitflowchart!$S$336/Unitflowchart!$S$357)*RailTransport!J13*Unitflowchart!$S$347</f>
        <v>0</v>
      </c>
      <c r="C324" s="24">
        <f t="shared" si="90"/>
        <v>0</v>
      </c>
      <c r="D324" s="726">
        <f>(Unitflowchart!$S$336/Unitflowchart!$S$357)*RailTransport!K13*Unitflowchart!$S$347</f>
        <v>0</v>
      </c>
      <c r="E324" s="710">
        <f>(Unitflowchart!$S$336/Unitflowchart!$S$357)*RailTransport!P13*Unitflowchart!$S$347</f>
        <v>0</v>
      </c>
      <c r="F324" s="24">
        <f t="shared" si="91"/>
        <v>0</v>
      </c>
      <c r="G324" s="726">
        <f>(Unitflowchart!$S$336/Unitflowchart!$S$357)*RailTransport!Q13*Unitflowchart!$S$347</f>
        <v>0</v>
      </c>
      <c r="H324" s="707">
        <f>(Unitflowchart!$S$336/Unitflowchart!$S$357)*RailTransport!V13*Unitflowchart!$S$347</f>
        <v>0</v>
      </c>
      <c r="I324" s="24">
        <f t="shared" si="92"/>
        <v>0</v>
      </c>
      <c r="J324" s="709">
        <f>(Unitflowchart!$S$336/Unitflowchart!$S$357)*RailTransport!W13*Unitflowchart!$S$347</f>
        <v>0</v>
      </c>
      <c r="K324" s="707">
        <f>(Unitflowchart!$S$336/Unitflowchart!$S$357)*RailTransport!AB13*Unitflowchart!$S$347</f>
        <v>0</v>
      </c>
      <c r="L324" s="24">
        <f t="shared" si="93"/>
        <v>0</v>
      </c>
      <c r="M324" s="709">
        <f>(Unitflowchart!$S$336/Unitflowchart!$S$357)*RailTransport!AC13*Unitflowchart!$S$347</f>
        <v>0</v>
      </c>
      <c r="N324" s="710">
        <f>E324+(GlobalWarmingPotentials!$B$11*H324)+(GlobalWarmingPotentials!$C$11*K324)</f>
        <v>0</v>
      </c>
      <c r="O324" s="24">
        <f t="shared" si="94"/>
        <v>0</v>
      </c>
      <c r="P324" s="726">
        <f>SQRT((G324^2)+((GlobalWarmingPotentials!$B$11*J324)^2)+((GlobalWarmingPotentials!$C$11*M324)^2))</f>
        <v>0</v>
      </c>
      <c r="Q324" s="29"/>
    </row>
    <row r="325" spans="1:17" x14ac:dyDescent="0.25">
      <c r="B325" s="712"/>
      <c r="C325" s="24"/>
      <c r="D325" s="718"/>
      <c r="E325" s="712"/>
      <c r="F325" s="24"/>
      <c r="G325" s="718"/>
      <c r="H325" s="30"/>
      <c r="I325" s="24"/>
      <c r="J325" s="708"/>
      <c r="K325" s="30"/>
      <c r="L325" s="24"/>
      <c r="M325" s="708"/>
      <c r="N325" s="712"/>
      <c r="O325" s="24"/>
      <c r="P325" s="718"/>
      <c r="Q325" s="29"/>
    </row>
    <row r="326" spans="1:17" x14ac:dyDescent="0.25">
      <c r="A326" s="214" t="s">
        <v>892</v>
      </c>
      <c r="B326" s="717">
        <f>(Unitflowchart!$S$336/Unitflowchart!$S$357)*RailTransport!J15*Unitflowchart!$S$347</f>
        <v>0</v>
      </c>
      <c r="C326" s="705">
        <f>(B326/B$354)*100</f>
        <v>0</v>
      </c>
      <c r="D326" s="727">
        <f>(Unitflowchart!$S$336/Unitflowchart!$S$357)*RailTransport!K15*Unitflowchart!$S$347</f>
        <v>0</v>
      </c>
      <c r="E326" s="717">
        <f>(Unitflowchart!$S$336/Unitflowchart!$S$357)*RailTransport!P15*Unitflowchart!$S$347</f>
        <v>0</v>
      </c>
      <c r="F326" s="705">
        <f>(E326/E$354)*100</f>
        <v>0</v>
      </c>
      <c r="G326" s="727">
        <f>(Unitflowchart!$S$336/Unitflowchart!$S$357)*RailTransport!Q15*Unitflowchart!$S$347</f>
        <v>0</v>
      </c>
      <c r="H326" s="706">
        <f>(Unitflowchart!$S$336/Unitflowchart!$S$357)*RailTransport!V15*Unitflowchart!$S$347</f>
        <v>0</v>
      </c>
      <c r="I326" s="705">
        <f>(H326/H$354)*100</f>
        <v>0</v>
      </c>
      <c r="J326" s="704">
        <f>(Unitflowchart!$S$336/Unitflowchart!$S$357)*RailTransport!W15*Unitflowchart!$S$347</f>
        <v>0</v>
      </c>
      <c r="K326" s="706">
        <f>(Unitflowchart!$S$336/Unitflowchart!$S$357)*RailTransport!AB15*Unitflowchart!$S$347</f>
        <v>0</v>
      </c>
      <c r="L326" s="705">
        <f>(K326/K$354)*100</f>
        <v>0</v>
      </c>
      <c r="M326" s="704">
        <f>(Unitflowchart!$S$336/Unitflowchart!$S$357)*RailTransport!AC15*Unitflowchart!$S$347</f>
        <v>0</v>
      </c>
      <c r="N326" s="717">
        <f>E326+(GlobalWarmingPotentials!$B$11*H326)+(GlobalWarmingPotentials!$C$11*K326)</f>
        <v>0</v>
      </c>
      <c r="O326" s="705">
        <f>(N326/N$354)*100</f>
        <v>0</v>
      </c>
      <c r="P326" s="725">
        <f>SQRT((G326^2)+((GlobalWarmingPotentials!$B$11*J326)^2)+((GlobalWarmingPotentials!$C$11*M326)^2))</f>
        <v>0</v>
      </c>
      <c r="Q326" s="29"/>
    </row>
    <row r="327" spans="1:17" x14ac:dyDescent="0.25">
      <c r="B327" s="712"/>
      <c r="D327" s="718"/>
      <c r="E327" s="712"/>
      <c r="G327" s="718"/>
      <c r="H327" s="30"/>
      <c r="J327" s="708"/>
      <c r="K327" s="30"/>
      <c r="M327" s="708"/>
      <c r="N327" s="712"/>
      <c r="P327" s="718"/>
      <c r="Q327" s="29"/>
    </row>
    <row r="328" spans="1:17" x14ac:dyDescent="0.25">
      <c r="A328" s="384" t="s">
        <v>894</v>
      </c>
      <c r="B328" s="712"/>
      <c r="D328" s="718"/>
      <c r="E328" s="712"/>
      <c r="G328" s="718"/>
      <c r="H328" s="30"/>
      <c r="J328" s="708"/>
      <c r="K328" s="30"/>
      <c r="M328" s="708"/>
      <c r="N328" s="712"/>
      <c r="P328" s="718"/>
      <c r="Q328" s="29"/>
    </row>
    <row r="329" spans="1:17" x14ac:dyDescent="0.25">
      <c r="B329" s="712"/>
      <c r="D329" s="718"/>
      <c r="E329" s="712"/>
      <c r="G329" s="718"/>
      <c r="H329" s="30"/>
      <c r="J329" s="708"/>
      <c r="K329" s="30"/>
      <c r="M329" s="708"/>
      <c r="N329" s="712"/>
      <c r="P329" s="718"/>
      <c r="Q329" s="29"/>
    </row>
    <row r="330" spans="1:17" x14ac:dyDescent="0.25">
      <c r="A330" s="13" t="str">
        <f>BargeTransport!A11</f>
        <v xml:space="preserve"> - Marine Diesel</v>
      </c>
      <c r="B330" s="710">
        <f>(Unitflowchart!$S$336/Unitflowchart!$S$357)*BargeTransport!J11*Unitflowchart!$S$349</f>
        <v>0</v>
      </c>
      <c r="C330" s="24">
        <f>(B330/B$354)*100</f>
        <v>0</v>
      </c>
      <c r="D330" s="726">
        <f>(Unitflowchart!$S$336/Unitflowchart!$S$357)*BargeTransport!K11*Unitflowchart!$S$349</f>
        <v>0</v>
      </c>
      <c r="E330" s="710">
        <f>(Unitflowchart!$S$336/Unitflowchart!$S$357)*BargeTransport!P11*Unitflowchart!$S$349</f>
        <v>0</v>
      </c>
      <c r="F330" s="24">
        <f>(E330/E$354)*100</f>
        <v>0</v>
      </c>
      <c r="G330" s="726">
        <f>(Unitflowchart!$S$336/Unitflowchart!$S$357)*BargeTransport!Q11*Unitflowchart!$S$349</f>
        <v>0</v>
      </c>
      <c r="H330" s="707">
        <f>(Unitflowchart!$S$336/Unitflowchart!$S$357)*BargeTransport!V11*Unitflowchart!$S$349</f>
        <v>0</v>
      </c>
      <c r="I330" s="24">
        <f>(H330/H$354)*100</f>
        <v>0</v>
      </c>
      <c r="J330" s="709">
        <f>(Unitflowchart!$S$336/Unitflowchart!$S$357)*BargeTransport!W11*Unitflowchart!$S$349</f>
        <v>0</v>
      </c>
      <c r="K330" s="707">
        <f>(Unitflowchart!$S$336/Unitflowchart!$S$357)*BargeTransport!AB11*Unitflowchart!$S$349</f>
        <v>0</v>
      </c>
      <c r="L330" s="24">
        <f>(K330/K$354)*100</f>
        <v>0</v>
      </c>
      <c r="M330" s="709">
        <f>(Unitflowchart!$S$336/Unitflowchart!$S$357)*BargeTransport!AC11*Unitflowchart!$S$349</f>
        <v>0</v>
      </c>
      <c r="N330" s="710">
        <f>E330+(GlobalWarmingPotentials!$B$11*H330)+(GlobalWarmingPotentials!$C$11*K330)</f>
        <v>0</v>
      </c>
      <c r="O330" s="24">
        <f>(N330/N$354)*100</f>
        <v>0</v>
      </c>
      <c r="P330" s="726">
        <f>SQRT((G330^2)+((GlobalWarmingPotentials!$B$11*J330)^2)+((GlobalWarmingPotentials!$C$11*M330)^2))</f>
        <v>0</v>
      </c>
      <c r="Q330" s="29"/>
    </row>
    <row r="331" spans="1:17" x14ac:dyDescent="0.25">
      <c r="A331" s="13" t="str">
        <f>BargeTransport!A12</f>
        <v xml:space="preserve"> - Barge Construction</v>
      </c>
      <c r="B331" s="710">
        <f>(Unitflowchart!$S$336/Unitflowchart!$S$357)*BargeTransport!J12*Unitflowchart!$S$349</f>
        <v>0</v>
      </c>
      <c r="C331" s="24">
        <f t="shared" ref="C331:C332" si="95">(B331/B$354)*100</f>
        <v>0</v>
      </c>
      <c r="D331" s="726">
        <f>(Unitflowchart!$S$336/Unitflowchart!$S$357)*BargeTransport!K12*Unitflowchart!$S$349</f>
        <v>0</v>
      </c>
      <c r="E331" s="710">
        <f>(Unitflowchart!$S$336/Unitflowchart!$S$357)*BargeTransport!P12*Unitflowchart!$S$349</f>
        <v>0</v>
      </c>
      <c r="F331" s="24">
        <f t="shared" ref="F331:F332" si="96">(E331/E$354)*100</f>
        <v>0</v>
      </c>
      <c r="G331" s="726">
        <f>(Unitflowchart!$S$336/Unitflowchart!$S$357)*BargeTransport!Q12*Unitflowchart!$S$349</f>
        <v>0</v>
      </c>
      <c r="H331" s="707">
        <f>(Unitflowchart!$S$336/Unitflowchart!$S$357)*BargeTransport!V12*Unitflowchart!$S$349</f>
        <v>0</v>
      </c>
      <c r="I331" s="24">
        <f t="shared" ref="I331:I332" si="97">(H331/H$354)*100</f>
        <v>0</v>
      </c>
      <c r="J331" s="709">
        <f>(Unitflowchart!$S$336/Unitflowchart!$S$357)*BargeTransport!W12*Unitflowchart!$S$349</f>
        <v>0</v>
      </c>
      <c r="K331" s="707">
        <f>(Unitflowchart!$S$336/Unitflowchart!$S$357)*BargeTransport!AB12*Unitflowchart!$S$349</f>
        <v>0</v>
      </c>
      <c r="L331" s="24">
        <f t="shared" ref="L331:L332" si="98">(K331/K$354)*100</f>
        <v>0</v>
      </c>
      <c r="M331" s="709">
        <f>(Unitflowchart!$S$336/Unitflowchart!$S$357)*BargeTransport!AC12*Unitflowchart!$S$349</f>
        <v>0</v>
      </c>
      <c r="N331" s="710">
        <f>E331+(GlobalWarmingPotentials!$B$11*H331)+(GlobalWarmingPotentials!$C$11*K331)</f>
        <v>0</v>
      </c>
      <c r="O331" s="24">
        <f t="shared" ref="O331:O332" si="99">(N331/N$354)*100</f>
        <v>0</v>
      </c>
      <c r="P331" s="726">
        <f>SQRT((G331^2)+((GlobalWarmingPotentials!$B$11*J331)^2)+((GlobalWarmingPotentials!$C$11*M331)^2))</f>
        <v>0</v>
      </c>
      <c r="Q331" s="29"/>
    </row>
    <row r="332" spans="1:17" x14ac:dyDescent="0.25">
      <c r="A332" s="13" t="str">
        <f>BargeTransport!A13</f>
        <v xml:space="preserve"> - Barge Maintenance</v>
      </c>
      <c r="B332" s="710">
        <f>(Unitflowchart!$S$336/Unitflowchart!$S$357)*BargeTransport!J13*Unitflowchart!$S$349</f>
        <v>0</v>
      </c>
      <c r="C332" s="24">
        <f t="shared" si="95"/>
        <v>0</v>
      </c>
      <c r="D332" s="726">
        <f>(Unitflowchart!$S$336/Unitflowchart!$S$357)*BargeTransport!K13*Unitflowchart!$S$349</f>
        <v>0</v>
      </c>
      <c r="E332" s="710">
        <f>(Unitflowchart!$S$336/Unitflowchart!$S$357)*BargeTransport!P13*Unitflowchart!$S$349</f>
        <v>0</v>
      </c>
      <c r="F332" s="24">
        <f t="shared" si="96"/>
        <v>0</v>
      </c>
      <c r="G332" s="726">
        <f>(Unitflowchart!$S$336/Unitflowchart!$S$357)*BargeTransport!Q13*Unitflowchart!$S$349</f>
        <v>0</v>
      </c>
      <c r="H332" s="707">
        <f>(Unitflowchart!$S$336/Unitflowchart!$S$357)*BargeTransport!V13*Unitflowchart!$S$349</f>
        <v>0</v>
      </c>
      <c r="I332" s="24">
        <f t="shared" si="97"/>
        <v>0</v>
      </c>
      <c r="J332" s="709">
        <f>(Unitflowchart!$S$336/Unitflowchart!$S$357)*BargeTransport!W13*Unitflowchart!$S$349</f>
        <v>0</v>
      </c>
      <c r="K332" s="707">
        <f>(Unitflowchart!$S$336/Unitflowchart!$S$357)*BargeTransport!AB13*Unitflowchart!$S$349</f>
        <v>0</v>
      </c>
      <c r="L332" s="24">
        <f t="shared" si="98"/>
        <v>0</v>
      </c>
      <c r="M332" s="709">
        <f>(Unitflowchart!$S$336/Unitflowchart!$S$357)*BargeTransport!AC13*Unitflowchart!$S$349</f>
        <v>0</v>
      </c>
      <c r="N332" s="710">
        <f>E332+(GlobalWarmingPotentials!$B$11*H332)+(GlobalWarmingPotentials!$C$11*K332)</f>
        <v>0</v>
      </c>
      <c r="O332" s="24">
        <f t="shared" si="99"/>
        <v>0</v>
      </c>
      <c r="P332" s="726">
        <f>SQRT((G332^2)+((GlobalWarmingPotentials!$B$11*J332)^2)+((GlobalWarmingPotentials!$C$11*M332)^2))</f>
        <v>0</v>
      </c>
      <c r="Q332" s="29"/>
    </row>
    <row r="333" spans="1:17" x14ac:dyDescent="0.25">
      <c r="B333" s="712"/>
      <c r="D333" s="718"/>
      <c r="E333" s="712"/>
      <c r="G333" s="718"/>
      <c r="H333" s="30"/>
      <c r="J333" s="708"/>
      <c r="K333" s="30"/>
      <c r="M333" s="708"/>
      <c r="N333" s="712"/>
      <c r="P333" s="718"/>
      <c r="Q333" s="29"/>
    </row>
    <row r="334" spans="1:17" x14ac:dyDescent="0.25">
      <c r="A334" s="214" t="s">
        <v>895</v>
      </c>
      <c r="B334" s="717">
        <f>(Unitflowchart!$S$336/Unitflowchart!$S$357)*BargeTransport!J15*Unitflowchart!$S$349</f>
        <v>0</v>
      </c>
      <c r="C334" s="705">
        <f>(B334/B$354)*100</f>
        <v>0</v>
      </c>
      <c r="D334" s="727">
        <f>(Unitflowchart!$S$336/Unitflowchart!$S$357)*BargeTransport!K15*Unitflowchart!$S$349</f>
        <v>0</v>
      </c>
      <c r="E334" s="717">
        <f>(Unitflowchart!$S$336/Unitflowchart!$S$357)*BargeTransport!P15*Unitflowchart!$S$349</f>
        <v>0</v>
      </c>
      <c r="F334" s="705">
        <f>(E334/E$354)*100</f>
        <v>0</v>
      </c>
      <c r="G334" s="727">
        <f>(Unitflowchart!$S$336/Unitflowchart!$S$357)*BargeTransport!Q15*Unitflowchart!$S$349</f>
        <v>0</v>
      </c>
      <c r="H334" s="706">
        <f>(Unitflowchart!$S$336/Unitflowchart!$S$357)*BargeTransport!V15*Unitflowchart!$S$349</f>
        <v>0</v>
      </c>
      <c r="I334" s="705">
        <f>(H334/H$354)*100</f>
        <v>0</v>
      </c>
      <c r="J334" s="704">
        <f>(Unitflowchart!$S$336/Unitflowchart!$S$357)*BargeTransport!W15*Unitflowchart!$S$349</f>
        <v>0</v>
      </c>
      <c r="K334" s="706">
        <f>(Unitflowchart!$S$336/Unitflowchart!$S$357)*BargeTransport!AB15*Unitflowchart!$S$349</f>
        <v>0</v>
      </c>
      <c r="L334" s="705">
        <f>(K334/K$354)*100</f>
        <v>0</v>
      </c>
      <c r="M334" s="704">
        <f>(Unitflowchart!$S$336/Unitflowchart!$S$357)*BargeTransport!AC15*Unitflowchart!$S$349</f>
        <v>0</v>
      </c>
      <c r="N334" s="717">
        <f>E334+(GlobalWarmingPotentials!$B$11*H334)+(GlobalWarmingPotentials!$C$11*K334)</f>
        <v>0</v>
      </c>
      <c r="O334" s="705">
        <f>(N334/N$354)*100</f>
        <v>0</v>
      </c>
      <c r="P334" s="725">
        <f>SQRT((G334^2)+((GlobalWarmingPotentials!$B$11*J334)^2)+((GlobalWarmingPotentials!$C$11*M334)^2))</f>
        <v>0</v>
      </c>
      <c r="Q334" s="29"/>
    </row>
    <row r="335" spans="1:17" x14ac:dyDescent="0.25">
      <c r="B335" s="712"/>
      <c r="D335" s="718"/>
      <c r="E335" s="712"/>
      <c r="G335" s="718"/>
      <c r="H335" s="30"/>
      <c r="J335" s="708"/>
      <c r="K335" s="30"/>
      <c r="M335" s="708"/>
      <c r="N335" s="712"/>
      <c r="P335" s="718"/>
      <c r="Q335" s="29"/>
    </row>
    <row r="336" spans="1:17" x14ac:dyDescent="0.25">
      <c r="A336" s="384" t="s">
        <v>896</v>
      </c>
      <c r="B336" s="712"/>
      <c r="D336" s="718"/>
      <c r="E336" s="712"/>
      <c r="G336" s="718"/>
      <c r="H336" s="30"/>
      <c r="J336" s="708"/>
      <c r="K336" s="30"/>
      <c r="M336" s="708"/>
      <c r="N336" s="712"/>
      <c r="P336" s="718"/>
      <c r="Q336" s="29"/>
    </row>
    <row r="337" spans="1:17" x14ac:dyDescent="0.25">
      <c r="B337" s="712"/>
      <c r="D337" s="718"/>
      <c r="E337" s="712"/>
      <c r="G337" s="718"/>
      <c r="H337" s="30"/>
      <c r="J337" s="708"/>
      <c r="K337" s="30"/>
      <c r="M337" s="708"/>
      <c r="N337" s="712"/>
      <c r="P337" s="718"/>
      <c r="Q337" s="29"/>
    </row>
    <row r="338" spans="1:17" x14ac:dyDescent="0.25">
      <c r="A338" s="13" t="str">
        <f>ShipTransport!A11</f>
        <v xml:space="preserve"> - Marine Diesel</v>
      </c>
      <c r="B338" s="710">
        <f>(Unitflowchart!$S$336/Unitflowchart!$S$357)*ShipTransport!J11*Unitflowchart!$S$351</f>
        <v>0</v>
      </c>
      <c r="C338" s="24">
        <f>(B338/B$354)*100</f>
        <v>0</v>
      </c>
      <c r="D338" s="726">
        <f>(Unitflowchart!$S$336/Unitflowchart!$S$357)*ShipTransport!K11*Unitflowchart!$S$351</f>
        <v>0</v>
      </c>
      <c r="E338" s="710">
        <f>(Unitflowchart!$S$336/Unitflowchart!$S$357)*ShipTransport!P11*Unitflowchart!$S$351</f>
        <v>0</v>
      </c>
      <c r="F338" s="24">
        <f>(E338/E$354)*100</f>
        <v>0</v>
      </c>
      <c r="G338" s="726">
        <f>(Unitflowchart!$S$336/Unitflowchart!$S$357)*ShipTransport!Q11*Unitflowchart!$S$351</f>
        <v>0</v>
      </c>
      <c r="H338" s="707">
        <f>(Unitflowchart!$S$336/Unitflowchart!$S$357)*ShipTransport!V11*Unitflowchart!$S$351</f>
        <v>0</v>
      </c>
      <c r="I338" s="24">
        <f>(H338/H$354)*100</f>
        <v>0</v>
      </c>
      <c r="J338" s="709">
        <f>(Unitflowchart!$S$336/Unitflowchart!$S$357)*ShipTransport!W11*Unitflowchart!$S$351</f>
        <v>0</v>
      </c>
      <c r="K338" s="707">
        <f>(Unitflowchart!$S$336/Unitflowchart!$S$357)*ShipTransport!AB11*Unitflowchart!$S$351</f>
        <v>0</v>
      </c>
      <c r="L338" s="24">
        <f>(K338/K$354)*100</f>
        <v>0</v>
      </c>
      <c r="M338" s="709">
        <f>(Unitflowchart!$S$336/Unitflowchart!$S$357)*ShipTransport!AC11*Unitflowchart!$S$351</f>
        <v>0</v>
      </c>
      <c r="N338" s="710">
        <f>E338+(GlobalWarmingPotentials!$B$11*H338)+(GlobalWarmingPotentials!$C$11*K338)</f>
        <v>0</v>
      </c>
      <c r="O338" s="24">
        <f>(N338/N$354)*100</f>
        <v>0</v>
      </c>
      <c r="P338" s="726">
        <f>SQRT((G338^2)+((GlobalWarmingPotentials!$B$11*J338)^2)+((GlobalWarmingPotentials!$C$11*M338)^2))</f>
        <v>0</v>
      </c>
      <c r="Q338" s="29"/>
    </row>
    <row r="339" spans="1:17" x14ac:dyDescent="0.25">
      <c r="A339" s="13" t="str">
        <f>ShipTransport!A12</f>
        <v xml:space="preserve"> - Ship Construction</v>
      </c>
      <c r="B339" s="710">
        <f>(Unitflowchart!$S$336/Unitflowchart!$S$357)*ShipTransport!J12*Unitflowchart!$S$351</f>
        <v>0</v>
      </c>
      <c r="C339" s="24">
        <f t="shared" ref="C339:C340" si="100">(B339/B$354)*100</f>
        <v>0</v>
      </c>
      <c r="D339" s="726">
        <f>(Unitflowchart!$S$336/Unitflowchart!$S$357)*ShipTransport!K12*Unitflowchart!$S$351</f>
        <v>0</v>
      </c>
      <c r="E339" s="710">
        <f>(Unitflowchart!$S$336/Unitflowchart!$S$357)*ShipTransport!P12*Unitflowchart!$S$351</f>
        <v>0</v>
      </c>
      <c r="F339" s="24">
        <f t="shared" ref="F339:F340" si="101">(E339/E$354)*100</f>
        <v>0</v>
      </c>
      <c r="G339" s="726">
        <f>(Unitflowchart!$S$336/Unitflowchart!$S$357)*ShipTransport!Q12*Unitflowchart!$S$351</f>
        <v>0</v>
      </c>
      <c r="H339" s="707">
        <f>(Unitflowchart!$S$336/Unitflowchart!$S$357)*ShipTransport!V12*Unitflowchart!$S$351</f>
        <v>0</v>
      </c>
      <c r="I339" s="24">
        <f t="shared" ref="I339:I340" si="102">(H339/H$354)*100</f>
        <v>0</v>
      </c>
      <c r="J339" s="709">
        <f>(Unitflowchart!$S$336/Unitflowchart!$S$357)*ShipTransport!W12*Unitflowchart!$S$351</f>
        <v>0</v>
      </c>
      <c r="K339" s="707">
        <f>(Unitflowchart!$S$336/Unitflowchart!$S$357)*ShipTransport!AB12*Unitflowchart!$S$351</f>
        <v>0</v>
      </c>
      <c r="L339" s="24">
        <f t="shared" ref="L339:L340" si="103">(K339/K$354)*100</f>
        <v>0</v>
      </c>
      <c r="M339" s="709">
        <f>(Unitflowchart!$S$336/Unitflowchart!$S$357)*ShipTransport!AC12*Unitflowchart!$S$351</f>
        <v>0</v>
      </c>
      <c r="N339" s="710">
        <f>E339+(GlobalWarmingPotentials!$B$11*H339)+(GlobalWarmingPotentials!$C$11*K339)</f>
        <v>0</v>
      </c>
      <c r="O339" s="24">
        <f t="shared" ref="O339:O340" si="104">(N339/N$354)*100</f>
        <v>0</v>
      </c>
      <c r="P339" s="726">
        <f>SQRT((G339^2)+((GlobalWarmingPotentials!$B$11*J339)^2)+((GlobalWarmingPotentials!$C$11*M339)^2))</f>
        <v>0</v>
      </c>
      <c r="Q339" s="29"/>
    </row>
    <row r="340" spans="1:17" x14ac:dyDescent="0.25">
      <c r="A340" s="13" t="str">
        <f>ShipTransport!A13</f>
        <v xml:space="preserve"> - Ship Maintenance</v>
      </c>
      <c r="B340" s="710">
        <f>(Unitflowchart!$S$336/Unitflowchart!$S$357)*ShipTransport!J13*Unitflowchart!$S$351</f>
        <v>0</v>
      </c>
      <c r="C340" s="24">
        <f t="shared" si="100"/>
        <v>0</v>
      </c>
      <c r="D340" s="726">
        <f>(Unitflowchart!$S$336/Unitflowchart!$S$357)*ShipTransport!K13*Unitflowchart!$S$351</f>
        <v>0</v>
      </c>
      <c r="E340" s="710">
        <f>(Unitflowchart!$S$336/Unitflowchart!$S$357)*ShipTransport!P13*Unitflowchart!$S$351</f>
        <v>0</v>
      </c>
      <c r="F340" s="24">
        <f t="shared" si="101"/>
        <v>0</v>
      </c>
      <c r="G340" s="726">
        <f>(Unitflowchart!$S$336/Unitflowchart!$S$357)*ShipTransport!Q13*Unitflowchart!$S$351</f>
        <v>0</v>
      </c>
      <c r="H340" s="707">
        <f>(Unitflowchart!$S$336/Unitflowchart!$S$357)*ShipTransport!V13*Unitflowchart!$S$351</f>
        <v>0</v>
      </c>
      <c r="I340" s="24">
        <f t="shared" si="102"/>
        <v>0</v>
      </c>
      <c r="J340" s="709">
        <f>(Unitflowchart!$S$336/Unitflowchart!$S$357)*ShipTransport!W13*Unitflowchart!$S$351</f>
        <v>0</v>
      </c>
      <c r="K340" s="707">
        <f>(Unitflowchart!$S$336/Unitflowchart!$S$357)*ShipTransport!AB13*Unitflowchart!$S$351</f>
        <v>0</v>
      </c>
      <c r="L340" s="24">
        <f t="shared" si="103"/>
        <v>0</v>
      </c>
      <c r="M340" s="709">
        <f>(Unitflowchart!$S$336/Unitflowchart!$S$357)*ShipTransport!AC13*Unitflowchart!$S$351</f>
        <v>0</v>
      </c>
      <c r="N340" s="710">
        <f>E340+(GlobalWarmingPotentials!$B$11*H340)+(GlobalWarmingPotentials!$C$11*K340)</f>
        <v>0</v>
      </c>
      <c r="O340" s="24">
        <f t="shared" si="104"/>
        <v>0</v>
      </c>
      <c r="P340" s="726">
        <f>SQRT((G340^2)+((GlobalWarmingPotentials!$B$11*J340)^2)+((GlobalWarmingPotentials!$C$11*M340)^2))</f>
        <v>0</v>
      </c>
      <c r="Q340" s="29"/>
    </row>
    <row r="341" spans="1:17" x14ac:dyDescent="0.25">
      <c r="B341" s="712"/>
      <c r="C341" s="24"/>
      <c r="D341" s="718"/>
      <c r="E341" s="712"/>
      <c r="F341" s="24"/>
      <c r="G341" s="718"/>
      <c r="H341" s="30"/>
      <c r="I341" s="24"/>
      <c r="J341" s="708"/>
      <c r="K341" s="30"/>
      <c r="L341" s="24"/>
      <c r="M341" s="708"/>
      <c r="N341" s="712"/>
      <c r="O341" s="24"/>
      <c r="P341" s="718"/>
      <c r="Q341" s="29"/>
    </row>
    <row r="342" spans="1:17" x14ac:dyDescent="0.25">
      <c r="A342" s="214" t="s">
        <v>897</v>
      </c>
      <c r="B342" s="717">
        <f>(Unitflowchart!$S$336/Unitflowchart!$S$357)*ShipTransport!J15*Unitflowchart!$S$351</f>
        <v>0</v>
      </c>
      <c r="C342" s="705">
        <f>(B342/B$354)*100</f>
        <v>0</v>
      </c>
      <c r="D342" s="727">
        <f>(Unitflowchart!$S$336/Unitflowchart!$S$357)*ShipTransport!K15*Unitflowchart!$S$351</f>
        <v>0</v>
      </c>
      <c r="E342" s="717">
        <f>(Unitflowchart!$S$336/Unitflowchart!$S$357)*ShipTransport!P15*Unitflowchart!$S$351</f>
        <v>0</v>
      </c>
      <c r="F342" s="705">
        <f>(E342/E$354)*100</f>
        <v>0</v>
      </c>
      <c r="G342" s="727">
        <f>(Unitflowchart!$S$336/Unitflowchart!$S$357)*ShipTransport!Q15*Unitflowchart!$S$351</f>
        <v>0</v>
      </c>
      <c r="H342" s="706">
        <f>(Unitflowchart!$S$336/Unitflowchart!$S$357)*ShipTransport!V15*Unitflowchart!$S$351</f>
        <v>0</v>
      </c>
      <c r="I342" s="705">
        <f>(H342/H$354)*100</f>
        <v>0</v>
      </c>
      <c r="J342" s="704">
        <f>(Unitflowchart!$S$336/Unitflowchart!$S$357)*ShipTransport!W15*Unitflowchart!$S$351</f>
        <v>0</v>
      </c>
      <c r="K342" s="706">
        <f>(Unitflowchart!$S$336/Unitflowchart!$S$357)*ShipTransport!AB15*Unitflowchart!$S$351</f>
        <v>0</v>
      </c>
      <c r="L342" s="705">
        <f>(K342/K$354)*100</f>
        <v>0</v>
      </c>
      <c r="M342" s="704">
        <f>(Unitflowchart!$S$336/Unitflowchart!$S$357)*ShipTransport!AC15*Unitflowchart!$S$351</f>
        <v>0</v>
      </c>
      <c r="N342" s="717">
        <f>E342+(GlobalWarmingPotentials!$B$11*H342)+(GlobalWarmingPotentials!$C$11*K342)</f>
        <v>0</v>
      </c>
      <c r="O342" s="705">
        <f>(N342/N$354)*100</f>
        <v>0</v>
      </c>
      <c r="P342" s="725">
        <f>SQRT((G342^2)+((GlobalWarmingPotentials!$B$11*J342)^2)+((GlobalWarmingPotentials!$C$11*M342)^2))</f>
        <v>0</v>
      </c>
      <c r="Q342" s="29"/>
    </row>
    <row r="343" spans="1:17" x14ac:dyDescent="0.25">
      <c r="A343" s="22"/>
      <c r="B343" s="712"/>
      <c r="D343" s="718"/>
      <c r="E343" s="712"/>
      <c r="G343" s="718"/>
      <c r="H343" s="30"/>
      <c r="J343" s="708"/>
      <c r="K343" s="30"/>
      <c r="M343" s="708"/>
      <c r="N343" s="712"/>
      <c r="P343" s="718"/>
      <c r="Q343" s="29"/>
    </row>
    <row r="344" spans="1:17" x14ac:dyDescent="0.25">
      <c r="A344" s="214" t="s">
        <v>886</v>
      </c>
      <c r="B344" s="717">
        <f>B318+B326+B334+B342</f>
        <v>0</v>
      </c>
      <c r="C344" s="705">
        <f>(B344/B$354)*100</f>
        <v>0</v>
      </c>
      <c r="D344" s="727">
        <f>SQRT((D318^2)+(D326^2)+(D334^2)+(D342^2))</f>
        <v>0</v>
      </c>
      <c r="E344" s="717">
        <f t="shared" ref="E344" si="105">E318+E326+E334+E342</f>
        <v>0</v>
      </c>
      <c r="F344" s="705">
        <f t="shared" ref="F344" si="106">(E344/E$354)*100</f>
        <v>0</v>
      </c>
      <c r="G344" s="727">
        <f t="shared" ref="G344" si="107">SQRT((G318^2)+(G326^2)+(G334^2)+(G342^2))</f>
        <v>0</v>
      </c>
      <c r="H344" s="706">
        <f t="shared" ref="H344" si="108">H318+H326+H334+H342</f>
        <v>0</v>
      </c>
      <c r="I344" s="705">
        <f t="shared" ref="I344" si="109">(H344/H$354)*100</f>
        <v>0</v>
      </c>
      <c r="J344" s="704">
        <f t="shared" ref="J344" si="110">SQRT((J318^2)+(J326^2)+(J334^2)+(J342^2))</f>
        <v>0</v>
      </c>
      <c r="K344" s="706">
        <f t="shared" ref="K344" si="111">K318+K326+K334+K342</f>
        <v>0</v>
      </c>
      <c r="L344" s="705">
        <f t="shared" ref="L344" si="112">(K344/K$354)*100</f>
        <v>0</v>
      </c>
      <c r="M344" s="704">
        <f t="shared" ref="M344" si="113">SQRT((M318^2)+(M326^2)+(M334^2)+(M342^2))</f>
        <v>0</v>
      </c>
      <c r="N344" s="717">
        <f t="shared" ref="N344" si="114">N318+N326+N334+N342</f>
        <v>0</v>
      </c>
      <c r="O344" s="705">
        <f t="shared" ref="O344" si="115">(N344/N$354)*100</f>
        <v>0</v>
      </c>
      <c r="P344" s="725">
        <f t="shared" ref="P344" si="116">SQRT((P318^2)+(P326^2)+(P334^2)+(P342^2))</f>
        <v>0</v>
      </c>
      <c r="Q344" s="29"/>
    </row>
    <row r="345" spans="1:17" x14ac:dyDescent="0.25">
      <c r="B345" s="712"/>
      <c r="D345" s="718"/>
      <c r="E345" s="712"/>
      <c r="G345" s="718"/>
      <c r="H345" s="30"/>
      <c r="J345" s="708"/>
      <c r="K345" s="30"/>
      <c r="M345" s="708"/>
      <c r="N345" s="712"/>
      <c r="P345" s="718"/>
      <c r="Q345" s="29"/>
    </row>
    <row r="346" spans="1:17" x14ac:dyDescent="0.25">
      <c r="A346" s="384" t="s">
        <v>854</v>
      </c>
      <c r="B346" s="712"/>
      <c r="D346" s="718"/>
      <c r="E346" s="712"/>
      <c r="G346" s="718"/>
      <c r="H346" s="30"/>
      <c r="J346" s="708"/>
      <c r="K346" s="30"/>
      <c r="M346" s="708"/>
      <c r="N346" s="712"/>
      <c r="P346" s="718"/>
      <c r="Q346" s="29"/>
    </row>
    <row r="347" spans="1:17" x14ac:dyDescent="0.25">
      <c r="B347" s="712"/>
      <c r="D347" s="718"/>
      <c r="E347" s="712"/>
      <c r="G347" s="718"/>
      <c r="H347" s="30"/>
      <c r="J347" s="708"/>
      <c r="K347" s="30"/>
      <c r="M347" s="708"/>
      <c r="N347" s="712"/>
      <c r="P347" s="718"/>
      <c r="Q347" s="29"/>
    </row>
    <row r="348" spans="1:17" x14ac:dyDescent="0.25">
      <c r="A348" t="str">
        <f>Biorefinery!A16</f>
        <v xml:space="preserve"> - Plant Construction</v>
      </c>
      <c r="B348" s="715">
        <f>Unitflowchart!$S$286*(AllocationEnergy!$H$40/100)/Unitflowchart!$S$357*(Biorefinery!J16)</f>
        <v>0</v>
      </c>
      <c r="C348" s="25">
        <f t="shared" ref="C348" si="117">(B348/B$354)*100</f>
        <v>0</v>
      </c>
      <c r="D348" s="355">
        <f>Unitflowchart!$S$286*(AllocationEnergy!$H$40/100)/Unitflowchart!$S$357*(Biorefinery!K16)</f>
        <v>0</v>
      </c>
      <c r="E348" s="715">
        <f>Unitflowchart!$S$286*(AllocationEnergy!$H$40/100)/Unitflowchart!$S$357*(Biorefinery!P16)</f>
        <v>0</v>
      </c>
      <c r="F348" s="25">
        <f t="shared" ref="F348" si="118">(E348/E$354)*100</f>
        <v>0</v>
      </c>
      <c r="G348" s="355">
        <f>Unitflowchart!$S$286*(AllocationEnergy!$H$40/100)/Unitflowchart!$S$357*(Biorefinery!Q16)</f>
        <v>0</v>
      </c>
      <c r="H348" s="730">
        <f>Unitflowchart!$S$286*(AllocationEnergy!$H$40/100)/Unitflowchart!$S$357*(Biorefinery!V16)</f>
        <v>0</v>
      </c>
      <c r="I348" s="25">
        <f t="shared" ref="I348" si="119">(H348/H$354)*100</f>
        <v>0</v>
      </c>
      <c r="J348" s="733">
        <f>Unitflowchart!$S$286*(AllocationEnergy!$H$40/100)/Unitflowchart!$S$357*(Biorefinery!W16)</f>
        <v>0</v>
      </c>
      <c r="K348" s="730">
        <f>Unitflowchart!$S$286*(AllocationEnergy!$H$40/100)/Unitflowchart!$S$357*(Biorefinery!AB16)</f>
        <v>0</v>
      </c>
      <c r="L348" s="25">
        <f t="shared" ref="L348" si="120">(K348/K$354)*100</f>
        <v>0</v>
      </c>
      <c r="M348" s="733">
        <f>Unitflowchart!$S$286*(AllocationEnergy!$H$40/100)/Unitflowchart!$S$357*(Biorefinery!AC16)</f>
        <v>0</v>
      </c>
      <c r="N348" s="711">
        <f>E348+(GlobalWarmingPotentials!$B$11*H348)+(GlobalWarmingPotentials!$C$11*K348)</f>
        <v>0</v>
      </c>
      <c r="O348" s="25">
        <f t="shared" ref="O348:O350" si="121">(N348/N$354)*100</f>
        <v>0</v>
      </c>
      <c r="P348" s="740">
        <f>SQRT((G348^2)+((GlobalWarmingPotentials!$B$11*J348)^2)+((GlobalWarmingPotentials!$C$11*M348)^2))</f>
        <v>0</v>
      </c>
      <c r="Q348" s="29"/>
    </row>
    <row r="349" spans="1:17" x14ac:dyDescent="0.25">
      <c r="A349" t="str">
        <f>Biorefinery!A17</f>
        <v xml:space="preserve"> - Plant Maintenance</v>
      </c>
      <c r="B349" s="715">
        <f>Unitflowchart!$S$286*(AllocationEnergy!$H$40/100)/Unitflowchart!$S$357*(Biorefinery!J17)</f>
        <v>0</v>
      </c>
      <c r="C349" s="25">
        <f t="shared" ref="C349:C350" si="122">(B349/B$354)*100</f>
        <v>0</v>
      </c>
      <c r="D349" s="355">
        <f>Unitflowchart!$S$286*(AllocationEnergy!$H$40/100)/Unitflowchart!$S$357*(Biorefinery!K17)</f>
        <v>0</v>
      </c>
      <c r="E349" s="715">
        <f>Unitflowchart!$S$286*(AllocationEnergy!$H$40/100)/Unitflowchart!$S$357*(Biorefinery!P17)</f>
        <v>0</v>
      </c>
      <c r="F349" s="25">
        <f t="shared" ref="F349:F350" si="123">(E349/E$354)*100</f>
        <v>0</v>
      </c>
      <c r="G349" s="355">
        <f>Unitflowchart!$S$286*(AllocationEnergy!$H$40/100)/Unitflowchart!$S$357*(Biorefinery!Q17)</f>
        <v>0</v>
      </c>
      <c r="H349" s="730">
        <f>Unitflowchart!$S$286*(AllocationEnergy!$H$40/100)/Unitflowchart!$S$357*(Biorefinery!V17)</f>
        <v>0</v>
      </c>
      <c r="I349" s="25">
        <f t="shared" ref="I349:I350" si="124">(H349/H$354)*100</f>
        <v>0</v>
      </c>
      <c r="J349" s="733">
        <f>Unitflowchart!$S$286*(AllocationEnergy!$H$40/100)/Unitflowchart!$S$357*(Biorefinery!W17)</f>
        <v>0</v>
      </c>
      <c r="K349" s="730">
        <f>Unitflowchart!$S$286*(AllocationEnergy!$H$40/100)/Unitflowchart!$S$357*(Biorefinery!AB17)</f>
        <v>0</v>
      </c>
      <c r="L349" s="25">
        <f t="shared" ref="L349:L350" si="125">(K349/K$354)*100</f>
        <v>0</v>
      </c>
      <c r="M349" s="733">
        <f>Unitflowchart!$S$286*(AllocationEnergy!$H$40/100)/Unitflowchart!$S$357*(Biorefinery!AC17)</f>
        <v>0</v>
      </c>
      <c r="N349" s="711">
        <f>E349+(GlobalWarmingPotentials!$B$11*H349)+(GlobalWarmingPotentials!$C$11*K349)</f>
        <v>0</v>
      </c>
      <c r="O349" s="25">
        <f t="shared" si="121"/>
        <v>0</v>
      </c>
      <c r="P349" s="740">
        <f>SQRT((G349^2)+((GlobalWarmingPotentials!$B$11*J349)^2)+((GlobalWarmingPotentials!$C$11*M349)^2))</f>
        <v>0</v>
      </c>
      <c r="Q349" s="29"/>
    </row>
    <row r="350" spans="1:17" x14ac:dyDescent="0.25">
      <c r="A350" t="str">
        <f>Biorefinery!A18</f>
        <v xml:space="preserve"> - Plant Decommissioning</v>
      </c>
      <c r="B350" s="715">
        <f>Unitflowchart!$S$286*(AllocationEnergy!$H$40/100)/Unitflowchart!$S$357*(Biorefinery!J18)</f>
        <v>0</v>
      </c>
      <c r="C350" s="25">
        <f t="shared" si="122"/>
        <v>0</v>
      </c>
      <c r="D350" s="355">
        <f>Unitflowchart!$S$286*(AllocationEnergy!$H$40/100)/Unitflowchart!$S$357*(Biorefinery!K18)</f>
        <v>0</v>
      </c>
      <c r="E350" s="715">
        <f>Unitflowchart!$S$286*(AllocationEnergy!$H$40/100)/Unitflowchart!$S$357*(Biorefinery!P18)</f>
        <v>0</v>
      </c>
      <c r="F350" s="25">
        <f t="shared" si="123"/>
        <v>0</v>
      </c>
      <c r="G350" s="355">
        <f>Unitflowchart!$S$286*(AllocationEnergy!$H$40/100)/Unitflowchart!$S$357*(Biorefinery!Q18)</f>
        <v>0</v>
      </c>
      <c r="H350" s="730">
        <f>Unitflowchart!$S$286*(AllocationEnergy!$H$40/100)/Unitflowchart!$S$357*(Biorefinery!V18)</f>
        <v>0</v>
      </c>
      <c r="I350" s="25">
        <f t="shared" si="124"/>
        <v>0</v>
      </c>
      <c r="J350" s="733">
        <f>Unitflowchart!$S$286*(AllocationEnergy!$H$40/100)/Unitflowchart!$S$357*(Biorefinery!W18)</f>
        <v>0</v>
      </c>
      <c r="K350" s="730">
        <f>Unitflowchart!$S$286*(AllocationEnergy!$H$40/100)/Unitflowchart!$S$357*(Biorefinery!AB18)</f>
        <v>0</v>
      </c>
      <c r="L350" s="25">
        <f t="shared" si="125"/>
        <v>0</v>
      </c>
      <c r="M350" s="733">
        <f>Unitflowchart!$S$286*(AllocationEnergy!$H$40/100)/Unitflowchart!$S$357*(Biorefinery!AC18)</f>
        <v>0</v>
      </c>
      <c r="N350" s="711">
        <f>E350+(GlobalWarmingPotentials!$B$11*H350)+(GlobalWarmingPotentials!$C$11*K350)</f>
        <v>0</v>
      </c>
      <c r="O350" s="25">
        <f t="shared" si="121"/>
        <v>0</v>
      </c>
      <c r="P350" s="740">
        <f>SQRT((G350^2)+((GlobalWarmingPotentials!$B$11*J350)^2)+((GlobalWarmingPotentials!$C$11*M350)^2))</f>
        <v>0</v>
      </c>
      <c r="Q350" s="29"/>
    </row>
    <row r="351" spans="1:17" x14ac:dyDescent="0.25">
      <c r="B351" s="712"/>
      <c r="C351" s="153"/>
      <c r="D351" s="718"/>
      <c r="E351" s="712"/>
      <c r="F351" s="153"/>
      <c r="G351" s="718"/>
      <c r="H351" s="30"/>
      <c r="I351" s="153"/>
      <c r="J351" s="708"/>
      <c r="K351" s="30"/>
      <c r="L351" s="153"/>
      <c r="M351" s="708"/>
      <c r="N351" s="712"/>
      <c r="O351" s="153"/>
      <c r="P351" s="718"/>
      <c r="Q351" s="29"/>
    </row>
    <row r="352" spans="1:17" x14ac:dyDescent="0.25">
      <c r="A352" s="214" t="s">
        <v>882</v>
      </c>
      <c r="B352" s="717">
        <f>Unitflowchart!$S$286*(AllocationEnergy!$H$40/100)/Unitflowchart!$S$357*(Biorefinery!J20)</f>
        <v>0</v>
      </c>
      <c r="C352" s="14">
        <f t="shared" ref="C352" si="126">(B352/B$354)*100</f>
        <v>0</v>
      </c>
      <c r="D352" s="722">
        <f>Unitflowchart!$S$286*(AllocationEnergy!$H$40/100)/Unitflowchart!$S$357*(Biorefinery!K20)</f>
        <v>0</v>
      </c>
      <c r="E352" s="714">
        <f>Unitflowchart!$S$286*(AllocationEnergy!$H$40/100)/Unitflowchart!$S$357*(Biorefinery!P20)</f>
        <v>0</v>
      </c>
      <c r="F352" s="14">
        <f t="shared" ref="F352" si="127">(E352/E$354)*100</f>
        <v>0</v>
      </c>
      <c r="G352" s="722">
        <f>Unitflowchart!$S$286*(AllocationEnergy!$H$40/100)/Unitflowchart!$S$357*(Biorefinery!Q20)</f>
        <v>0</v>
      </c>
      <c r="H352" s="211">
        <f>Unitflowchart!$S$286*(AllocationEnergy!$H$40/100)/Unitflowchart!$S$357*(Biorefinery!V20)</f>
        <v>0</v>
      </c>
      <c r="I352" s="14">
        <f t="shared" ref="I352" si="128">(H352/H$354)*100</f>
        <v>0</v>
      </c>
      <c r="J352" s="728">
        <f>Unitflowchart!$S$286*(AllocationEnergy!$H$40/100)/Unitflowchart!$S$357*(Biorefinery!W20)</f>
        <v>0</v>
      </c>
      <c r="K352" s="211">
        <f>Unitflowchart!$S$286*(AllocationEnergy!$H$40/100)/Unitflowchart!$S$357*(Biorefinery!AB20)</f>
        <v>0</v>
      </c>
      <c r="L352" s="14">
        <f t="shared" ref="L352" si="129">(K352/K$354)*100</f>
        <v>0</v>
      </c>
      <c r="M352" s="212">
        <f>Unitflowchart!$S$286*(AllocationEnergy!$H$40/100)/Unitflowchart!$S$357*(Biorefinery!AC20)</f>
        <v>0</v>
      </c>
      <c r="N352" s="714">
        <f>E352+(GlobalWarmingPotentials!$B$11*H352)+(GlobalWarmingPotentials!$C$11*K352)</f>
        <v>0</v>
      </c>
      <c r="O352" s="14">
        <f>(N352/N$354)*100</f>
        <v>0</v>
      </c>
      <c r="P352" s="741">
        <f>SQRT((G352^2)+((GlobalWarmingPotentials!$B$11*J352)^2)+((GlobalWarmingPotentials!$C$11*M352)^2))</f>
        <v>0</v>
      </c>
      <c r="Q352" s="29"/>
    </row>
    <row r="353" spans="1:17" x14ac:dyDescent="0.25">
      <c r="B353" s="712"/>
      <c r="D353" s="718"/>
      <c r="E353" s="712"/>
      <c r="G353" s="718"/>
      <c r="H353" s="30"/>
      <c r="J353" s="708"/>
      <c r="K353" s="731"/>
      <c r="M353" s="734"/>
      <c r="N353" s="718"/>
      <c r="P353" s="718"/>
      <c r="Q353" s="29"/>
    </row>
    <row r="354" spans="1:17" x14ac:dyDescent="0.25">
      <c r="A354" s="214" t="s">
        <v>417</v>
      </c>
      <c r="B354" s="717">
        <f>B105+B139+B173+B179+B196+B203+B210+B217+B224+B230+B236+B242+B276+B310+B344+B352</f>
        <v>19029.924609561138</v>
      </c>
      <c r="C354" s="14">
        <f>(B354/B$354)*100</f>
        <v>100</v>
      </c>
      <c r="D354" s="727">
        <f>SQRT((D105^2)+(D139^2)+(D173^2)+(D179^2)+(D196^2)+(D203^2)+(D210^2)+(D217^2)+(D224^2)+(D230^2)+(D236^2)+(D242^2)+(D276^2)+(D310^2)+(D344^2)+(D352^2))</f>
        <v>927.66717480673935</v>
      </c>
      <c r="E354" s="717">
        <f t="shared" ref="E354" si="130">E105+E139+E173+E179+E196+E203+E210+E217+E224+E230+E236+E242+E276+E310+E344+E352</f>
        <v>1196.1892112040041</v>
      </c>
      <c r="F354" s="14">
        <f t="shared" ref="F354" si="131">(E354/E$354)*100</f>
        <v>100</v>
      </c>
      <c r="G354" s="727">
        <f t="shared" ref="G354" si="132">SQRT((G105^2)+(G139^2)+(G173^2)+(G179^2)+(G196^2)+(G203^2)+(G210^2)+(G217^2)+(G224^2)+(G230^2)+(G236^2)+(G242^2)+(G276^2)+(G310^2)+(G344^2)+(G352^2))</f>
        <v>56.544037044773241</v>
      </c>
      <c r="H354" s="706">
        <f t="shared" ref="H354" si="133">H105+H139+H173+H179+H196+H203+H210+H217+H224+H230+H236+H242+H276+H310+H344+H352</f>
        <v>1.7874889054815275</v>
      </c>
      <c r="I354" s="14">
        <f t="shared" ref="I354" si="134">(H354/H$354)*100</f>
        <v>100</v>
      </c>
      <c r="J354" s="704">
        <f t="shared" ref="J354" si="135">SQRT((J105^2)+(J139^2)+(J173^2)+(J179^2)+(J196^2)+(J203^2)+(J210^2)+(J217^2)+(J224^2)+(J230^2)+(J236^2)+(J242^2)+(J276^2)+(J310^2)+(J344^2)+(J352^2))</f>
        <v>0.11344195657432668</v>
      </c>
      <c r="K354" s="706">
        <f t="shared" ref="K354" si="136">K105+K139+K173+K179+K196+K203+K210+K217+K224+K230+K236+K242+K276+K310+K344+K352</f>
        <v>1.816510543023748</v>
      </c>
      <c r="L354" s="14">
        <f t="shared" ref="L354" si="137">(K354/K$354)*100</f>
        <v>100</v>
      </c>
      <c r="M354" s="704">
        <f t="shared" ref="M354" si="138">SQRT((M105^2)+(M139^2)+(M173^2)+(M179^2)+(M196^2)+(M203^2)+(M210^2)+(M217^2)+(M224^2)+(M230^2)+(M236^2)+(M242^2)+(M276^2)+(M310^2)+(M344^2)+(M352^2))</f>
        <v>0.1393550548877141</v>
      </c>
      <c r="N354" s="717">
        <f t="shared" ref="N354" si="139">N105+N139+N173+N179+N196+N203+N210+N217+N224+N230+N236+N242+N276+N310+N344+N352</f>
        <v>1774.988576765109</v>
      </c>
      <c r="O354" s="14">
        <f t="shared" ref="O354" si="140">(N354/N$354)*100</f>
        <v>100</v>
      </c>
      <c r="P354" s="727">
        <f t="shared" ref="P354" si="141">SQRT((P105^2)+(P139^2)+(P173^2)+(P179^2)+(P196^2)+(P203^2)+(P210^2)+(P217^2)+(P224^2)+(P230^2)+(P236^2)+(P242^2)+(P276^2)+(P310^2)+(P344^2)+(P352^2))</f>
        <v>70.03944466155464</v>
      </c>
      <c r="Q354" s="29"/>
    </row>
    <row r="355" spans="1:17" x14ac:dyDescent="0.25">
      <c r="A355" s="352"/>
      <c r="B355" s="352"/>
      <c r="D355" s="352"/>
      <c r="E355" s="352"/>
      <c r="G355" s="352"/>
      <c r="H355" s="352"/>
      <c r="J355" s="352"/>
      <c r="K355" s="352"/>
      <c r="M355" s="352"/>
      <c r="N355" s="352"/>
      <c r="P355" s="352"/>
      <c r="Q355" s="23"/>
    </row>
    <row r="356" spans="1:17" x14ac:dyDescent="0.25">
      <c r="B356" s="23"/>
      <c r="E356" s="23"/>
      <c r="G356" s="23"/>
      <c r="H356" s="23"/>
      <c r="J356" s="23"/>
      <c r="K356" s="23"/>
      <c r="M356" s="23"/>
      <c r="N356" s="23"/>
      <c r="P356" s="23"/>
    </row>
    <row r="357" spans="1:17" x14ac:dyDescent="0.25">
      <c r="B357" s="23"/>
      <c r="E357" s="23"/>
      <c r="G357" s="23"/>
      <c r="H357" s="23"/>
      <c r="J357" s="23"/>
      <c r="K357" s="23"/>
      <c r="M357" s="23"/>
      <c r="N357" s="23"/>
      <c r="P357" s="23"/>
    </row>
    <row r="358" spans="1:17" x14ac:dyDescent="0.25">
      <c r="B358" s="23"/>
      <c r="E358" s="23"/>
      <c r="G358" s="23"/>
      <c r="H358" s="23"/>
      <c r="J358" s="23"/>
      <c r="K358" s="23"/>
      <c r="M358" s="23"/>
      <c r="N358" s="23"/>
      <c r="P358" s="23"/>
    </row>
    <row r="359" spans="1:17" x14ac:dyDescent="0.25">
      <c r="B359" s="23"/>
      <c r="E359" s="23"/>
      <c r="G359" s="23"/>
      <c r="H359" s="23"/>
      <c r="J359" s="23"/>
      <c r="K359" s="23"/>
      <c r="M359" s="23"/>
      <c r="N359" s="23"/>
      <c r="P359" s="23"/>
    </row>
    <row r="360" spans="1:17" x14ac:dyDescent="0.25">
      <c r="B360" s="23"/>
      <c r="E360" s="23"/>
      <c r="G360" s="23"/>
      <c r="H360" s="23"/>
      <c r="J360" s="23"/>
      <c r="K360" s="23"/>
      <c r="M360" s="23"/>
      <c r="N360" s="23"/>
      <c r="P360" s="23"/>
    </row>
    <row r="361" spans="1:17" x14ac:dyDescent="0.25">
      <c r="B361" s="23"/>
      <c r="E361" s="23"/>
      <c r="G361" s="23"/>
      <c r="H361" s="23"/>
      <c r="J361" s="23"/>
      <c r="K361" s="23"/>
      <c r="M361" s="23"/>
      <c r="N361" s="23"/>
      <c r="P361" s="23"/>
    </row>
    <row r="362" spans="1:17" x14ac:dyDescent="0.25">
      <c r="B362" s="23"/>
      <c r="E362" s="23"/>
      <c r="G362" s="23"/>
      <c r="H362" s="23"/>
      <c r="J362" s="23"/>
      <c r="K362" s="23"/>
      <c r="M362" s="23"/>
      <c r="N362" s="23"/>
      <c r="P362" s="23"/>
    </row>
    <row r="363" spans="1:17" x14ac:dyDescent="0.25">
      <c r="B363" s="23"/>
      <c r="E363" s="23"/>
      <c r="G363" s="23"/>
      <c r="H363" s="23"/>
      <c r="J363" s="23"/>
      <c r="K363" s="23"/>
      <c r="M363" s="23"/>
      <c r="N363" s="23"/>
      <c r="P363" s="23"/>
    </row>
    <row r="364" spans="1:17" x14ac:dyDescent="0.25">
      <c r="B364" s="23"/>
      <c r="E364" s="23"/>
      <c r="G364" s="23"/>
      <c r="H364" s="23"/>
      <c r="J364" s="23"/>
      <c r="K364" s="23"/>
      <c r="M364" s="23"/>
      <c r="N364" s="23"/>
      <c r="P364" s="23"/>
    </row>
    <row r="365" spans="1:17" x14ac:dyDescent="0.25">
      <c r="B365" s="23"/>
      <c r="E365" s="23"/>
      <c r="G365" s="23"/>
      <c r="H365" s="23"/>
      <c r="J365" s="23"/>
      <c r="K365" s="23"/>
      <c r="M365" s="23"/>
      <c r="N365" s="23"/>
      <c r="P365" s="23"/>
    </row>
    <row r="366" spans="1:17" x14ac:dyDescent="0.25">
      <c r="B366" s="23"/>
      <c r="E366" s="23"/>
      <c r="G366" s="23"/>
      <c r="H366" s="23"/>
      <c r="J366" s="23"/>
      <c r="K366" s="23"/>
      <c r="M366" s="23"/>
      <c r="N366" s="23"/>
      <c r="P366" s="23"/>
    </row>
    <row r="367" spans="1:17" x14ac:dyDescent="0.25">
      <c r="B367" s="23"/>
      <c r="E367" s="23"/>
      <c r="G367" s="23"/>
      <c r="H367" s="23"/>
      <c r="J367" s="23"/>
      <c r="K367" s="23"/>
      <c r="M367" s="23"/>
      <c r="N367" s="23"/>
      <c r="P367" s="23"/>
    </row>
    <row r="368" spans="1:17" x14ac:dyDescent="0.25">
      <c r="B368" s="23"/>
      <c r="E368" s="23"/>
      <c r="G368" s="23"/>
      <c r="H368" s="23"/>
      <c r="J368" s="23"/>
      <c r="K368" s="23"/>
      <c r="M368" s="23"/>
      <c r="N368" s="23"/>
      <c r="P368" s="23"/>
    </row>
    <row r="369" spans="2:16" x14ac:dyDescent="0.25">
      <c r="B369" s="23"/>
      <c r="E369" s="23"/>
      <c r="G369" s="23"/>
      <c r="H369" s="23"/>
      <c r="J369" s="23"/>
      <c r="K369" s="23"/>
      <c r="M369" s="23"/>
      <c r="N369" s="23"/>
      <c r="P369" s="23"/>
    </row>
    <row r="370" spans="2:16" x14ac:dyDescent="0.25">
      <c r="B370" s="23"/>
      <c r="E370" s="23"/>
      <c r="G370" s="23"/>
      <c r="H370" s="23"/>
      <c r="J370" s="23"/>
      <c r="K370" s="23"/>
      <c r="M370" s="23"/>
      <c r="N370" s="23"/>
      <c r="P370" s="23"/>
    </row>
    <row r="371" spans="2:16" x14ac:dyDescent="0.25">
      <c r="B371" s="23"/>
      <c r="E371" s="23"/>
      <c r="G371" s="23"/>
      <c r="H371" s="23"/>
      <c r="J371" s="23"/>
      <c r="K371" s="23"/>
      <c r="M371" s="23"/>
      <c r="N371" s="23"/>
      <c r="P371" s="23"/>
    </row>
    <row r="372" spans="2:16" x14ac:dyDescent="0.25">
      <c r="B372" s="23"/>
      <c r="E372" s="23"/>
      <c r="G372" s="23"/>
      <c r="H372" s="23"/>
      <c r="J372" s="23"/>
      <c r="K372" s="23"/>
      <c r="M372" s="23"/>
      <c r="N372" s="23"/>
      <c r="P372" s="23"/>
    </row>
    <row r="373" spans="2:16" x14ac:dyDescent="0.25">
      <c r="B373" s="23"/>
      <c r="E373" s="23"/>
      <c r="G373" s="23"/>
      <c r="H373" s="23"/>
      <c r="J373" s="23"/>
      <c r="K373" s="23"/>
      <c r="M373" s="23"/>
      <c r="N373" s="23"/>
      <c r="P373" s="23"/>
    </row>
    <row r="374" spans="2:16" x14ac:dyDescent="0.25">
      <c r="B374" s="23"/>
      <c r="E374" s="23"/>
      <c r="G374" s="23"/>
      <c r="H374" s="23"/>
      <c r="J374" s="23"/>
      <c r="K374" s="23"/>
      <c r="M374" s="23"/>
      <c r="N374" s="23"/>
      <c r="P374" s="23"/>
    </row>
    <row r="375" spans="2:16" x14ac:dyDescent="0.25">
      <c r="B375" s="23"/>
      <c r="E375" s="23"/>
      <c r="G375" s="23"/>
      <c r="H375" s="23"/>
      <c r="J375" s="23"/>
      <c r="K375" s="23"/>
      <c r="M375" s="23"/>
      <c r="N375" s="23"/>
      <c r="P375" s="23"/>
    </row>
    <row r="376" spans="2:16" x14ac:dyDescent="0.25">
      <c r="B376" s="23"/>
      <c r="E376" s="23"/>
      <c r="G376" s="23"/>
      <c r="H376" s="23"/>
      <c r="J376" s="23"/>
      <c r="K376" s="23"/>
      <c r="M376" s="23"/>
      <c r="N376" s="23"/>
      <c r="P376" s="23"/>
    </row>
    <row r="377" spans="2:16" x14ac:dyDescent="0.25">
      <c r="B377" s="23"/>
      <c r="E377" s="23"/>
      <c r="G377" s="23"/>
      <c r="H377" s="23"/>
      <c r="J377" s="23"/>
      <c r="K377" s="23"/>
      <c r="M377" s="23"/>
      <c r="N377" s="23"/>
      <c r="P377" s="23"/>
    </row>
    <row r="378" spans="2:16" x14ac:dyDescent="0.25">
      <c r="B378" s="23"/>
      <c r="E378" s="23"/>
      <c r="G378" s="23"/>
      <c r="H378" s="23"/>
      <c r="J378" s="23"/>
      <c r="K378" s="23"/>
      <c r="M378" s="23"/>
      <c r="N378" s="23"/>
      <c r="P378" s="23"/>
    </row>
    <row r="379" spans="2:16" x14ac:dyDescent="0.25">
      <c r="B379" s="23"/>
      <c r="E379" s="23"/>
      <c r="G379" s="23"/>
      <c r="H379" s="23"/>
      <c r="J379" s="23"/>
      <c r="K379" s="23"/>
      <c r="M379" s="23"/>
      <c r="N379" s="23"/>
      <c r="P379" s="23"/>
    </row>
    <row r="380" spans="2:16" x14ac:dyDescent="0.25">
      <c r="B380" s="23"/>
      <c r="E380" s="23"/>
      <c r="G380" s="23"/>
      <c r="H380" s="23"/>
      <c r="J380" s="23"/>
      <c r="K380" s="23"/>
      <c r="M380" s="23"/>
      <c r="N380" s="23"/>
      <c r="P380" s="23"/>
    </row>
    <row r="381" spans="2:16" x14ac:dyDescent="0.25">
      <c r="B381" s="23"/>
      <c r="E381" s="23"/>
      <c r="G381" s="23"/>
      <c r="H381" s="23"/>
      <c r="J381" s="23"/>
      <c r="K381" s="23"/>
      <c r="M381" s="23"/>
      <c r="N381" s="23"/>
      <c r="P381" s="23"/>
    </row>
    <row r="382" spans="2:16" x14ac:dyDescent="0.25">
      <c r="B382" s="23"/>
      <c r="E382" s="23"/>
      <c r="G382" s="23"/>
      <c r="H382" s="23"/>
      <c r="J382" s="23"/>
      <c r="K382" s="23"/>
      <c r="M382" s="23"/>
      <c r="N382" s="23"/>
      <c r="P382" s="23"/>
    </row>
    <row r="383" spans="2:16" x14ac:dyDescent="0.25">
      <c r="B383" s="23"/>
      <c r="E383" s="23"/>
      <c r="G383" s="23"/>
      <c r="H383" s="23"/>
      <c r="J383" s="23"/>
      <c r="K383" s="23"/>
      <c r="M383" s="23"/>
      <c r="N383" s="23"/>
      <c r="P383" s="23"/>
    </row>
    <row r="384" spans="2:16" x14ac:dyDescent="0.25">
      <c r="B384" s="23"/>
      <c r="E384" s="23"/>
      <c r="G384" s="23"/>
      <c r="H384" s="23"/>
      <c r="J384" s="23"/>
      <c r="K384" s="23"/>
      <c r="M384" s="23"/>
      <c r="N384" s="23"/>
      <c r="P384" s="23"/>
    </row>
    <row r="385" spans="2:16" x14ac:dyDescent="0.25">
      <c r="B385" s="23"/>
      <c r="E385" s="23"/>
      <c r="G385" s="23"/>
      <c r="H385" s="23"/>
      <c r="J385" s="23"/>
      <c r="K385" s="23"/>
      <c r="M385" s="23"/>
      <c r="N385" s="23"/>
      <c r="P385" s="23"/>
    </row>
    <row r="386" spans="2:16" x14ac:dyDescent="0.25">
      <c r="B386" s="23"/>
      <c r="E386" s="23"/>
      <c r="G386" s="23"/>
      <c r="H386" s="23"/>
      <c r="J386" s="23"/>
      <c r="K386" s="23"/>
      <c r="M386" s="23"/>
      <c r="N386" s="23"/>
      <c r="P386" s="23"/>
    </row>
    <row r="387" spans="2:16" x14ac:dyDescent="0.25">
      <c r="B387" s="23"/>
      <c r="E387" s="23"/>
      <c r="G387" s="23"/>
      <c r="H387" s="23"/>
      <c r="J387" s="23"/>
      <c r="K387" s="23"/>
      <c r="M387" s="23"/>
      <c r="N387" s="23"/>
      <c r="P387" s="23"/>
    </row>
    <row r="388" spans="2:16" x14ac:dyDescent="0.25">
      <c r="B388" s="23"/>
      <c r="E388" s="23"/>
      <c r="G388" s="23"/>
      <c r="H388" s="23"/>
      <c r="J388" s="23"/>
      <c r="K388" s="23"/>
      <c r="M388" s="23"/>
      <c r="N388" s="23"/>
      <c r="P388" s="23"/>
    </row>
    <row r="389" spans="2:16" x14ac:dyDescent="0.25">
      <c r="B389" s="23"/>
      <c r="E389" s="23"/>
      <c r="G389" s="23"/>
      <c r="H389" s="23"/>
      <c r="J389" s="23"/>
      <c r="K389" s="23"/>
      <c r="M389" s="23"/>
      <c r="N389" s="23"/>
      <c r="P389" s="23"/>
    </row>
    <row r="390" spans="2:16" x14ac:dyDescent="0.25">
      <c r="B390" s="23"/>
      <c r="E390" s="23"/>
      <c r="G390" s="23"/>
      <c r="H390" s="23"/>
      <c r="J390" s="23"/>
      <c r="K390" s="23"/>
      <c r="M390" s="23"/>
      <c r="N390" s="23"/>
      <c r="P390" s="23"/>
    </row>
    <row r="391" spans="2:16" x14ac:dyDescent="0.25">
      <c r="B391" s="23"/>
      <c r="E391" s="23"/>
      <c r="G391" s="23"/>
      <c r="H391" s="23"/>
      <c r="J391" s="23"/>
      <c r="K391" s="23"/>
      <c r="M391" s="23"/>
      <c r="N391" s="23"/>
      <c r="P391" s="23"/>
    </row>
    <row r="392" spans="2:16" x14ac:dyDescent="0.25">
      <c r="B392" s="23"/>
      <c r="E392" s="23"/>
      <c r="G392" s="23"/>
      <c r="H392" s="23"/>
      <c r="J392" s="23"/>
      <c r="K392" s="23"/>
      <c r="M392" s="23"/>
      <c r="N392" s="23"/>
      <c r="P392" s="23"/>
    </row>
    <row r="393" spans="2:16" x14ac:dyDescent="0.25">
      <c r="B393" s="23"/>
      <c r="E393" s="23"/>
      <c r="G393" s="23"/>
      <c r="H393" s="23"/>
      <c r="J393" s="23"/>
      <c r="K393" s="23"/>
      <c r="M393" s="23"/>
      <c r="N393" s="23"/>
      <c r="P393" s="23"/>
    </row>
    <row r="394" spans="2:16" x14ac:dyDescent="0.25">
      <c r="B394" s="23"/>
      <c r="E394" s="23"/>
      <c r="G394" s="23"/>
      <c r="H394" s="23"/>
      <c r="J394" s="23"/>
      <c r="K394" s="23"/>
      <c r="M394" s="23"/>
      <c r="N394" s="23"/>
      <c r="P394" s="23"/>
    </row>
    <row r="395" spans="2:16" x14ac:dyDescent="0.25">
      <c r="B395" s="23"/>
      <c r="E395" s="23"/>
      <c r="G395" s="23"/>
      <c r="H395" s="23"/>
      <c r="J395" s="23"/>
      <c r="K395" s="23"/>
      <c r="M395" s="23"/>
      <c r="N395" s="23"/>
      <c r="P395" s="23"/>
    </row>
    <row r="396" spans="2:16" x14ac:dyDescent="0.25">
      <c r="B396" s="23"/>
      <c r="E396" s="23"/>
      <c r="G396" s="23"/>
      <c r="H396" s="23"/>
      <c r="J396" s="23"/>
      <c r="K396" s="23"/>
      <c r="M396" s="23"/>
      <c r="N396" s="23"/>
      <c r="P396" s="23"/>
    </row>
    <row r="397" spans="2:16" x14ac:dyDescent="0.25">
      <c r="B397" s="23"/>
      <c r="E397" s="23"/>
      <c r="G397" s="23"/>
      <c r="H397" s="23"/>
      <c r="J397" s="23"/>
      <c r="K397" s="23"/>
      <c r="M397" s="23"/>
      <c r="N397" s="23"/>
      <c r="P397" s="23"/>
    </row>
    <row r="398" spans="2:16" x14ac:dyDescent="0.25">
      <c r="B398" s="23"/>
      <c r="E398" s="23"/>
      <c r="G398" s="23"/>
      <c r="H398" s="23"/>
      <c r="J398" s="23"/>
      <c r="K398" s="23"/>
      <c r="M398" s="23"/>
      <c r="N398" s="23"/>
      <c r="P398" s="23"/>
    </row>
    <row r="399" spans="2:16" x14ac:dyDescent="0.25">
      <c r="B399" s="23"/>
      <c r="E399" s="23"/>
      <c r="G399" s="23"/>
      <c r="H399" s="23"/>
      <c r="J399" s="23"/>
      <c r="K399" s="23"/>
      <c r="M399" s="23"/>
      <c r="N399" s="23"/>
      <c r="P399" s="23"/>
    </row>
    <row r="400" spans="2:16" x14ac:dyDescent="0.25">
      <c r="B400" s="23"/>
      <c r="E400" s="23"/>
      <c r="G400" s="23"/>
      <c r="H400" s="23"/>
      <c r="J400" s="23"/>
      <c r="K400" s="23"/>
      <c r="M400" s="23"/>
      <c r="N400" s="23"/>
      <c r="P400" s="23"/>
    </row>
    <row r="401" spans="2:16" x14ac:dyDescent="0.25">
      <c r="B401" s="23"/>
      <c r="E401" s="23"/>
      <c r="G401" s="23"/>
      <c r="H401" s="23"/>
      <c r="J401" s="23"/>
      <c r="K401" s="23"/>
      <c r="M401" s="23"/>
      <c r="N401" s="23"/>
      <c r="P401" s="23"/>
    </row>
    <row r="402" spans="2:16" x14ac:dyDescent="0.25">
      <c r="B402" s="23"/>
      <c r="E402" s="23"/>
      <c r="G402" s="23"/>
      <c r="H402" s="23"/>
      <c r="J402" s="23"/>
      <c r="K402" s="23"/>
      <c r="M402" s="23"/>
      <c r="N402" s="23"/>
      <c r="P402" s="23"/>
    </row>
    <row r="403" spans="2:16" x14ac:dyDescent="0.25">
      <c r="B403" s="23"/>
      <c r="E403" s="23"/>
      <c r="G403" s="23"/>
      <c r="H403" s="23"/>
      <c r="J403" s="23"/>
      <c r="K403" s="23"/>
      <c r="M403" s="23"/>
      <c r="N403" s="23"/>
      <c r="P403" s="23"/>
    </row>
    <row r="404" spans="2:16" x14ac:dyDescent="0.25">
      <c r="B404" s="23"/>
      <c r="E404" s="23"/>
      <c r="G404" s="23"/>
      <c r="H404" s="23"/>
      <c r="J404" s="23"/>
      <c r="K404" s="23"/>
      <c r="M404" s="23"/>
      <c r="N404" s="23"/>
      <c r="P404" s="23"/>
    </row>
    <row r="405" spans="2:16" x14ac:dyDescent="0.25">
      <c r="B405" s="23"/>
      <c r="E405" s="23"/>
      <c r="G405" s="23"/>
      <c r="H405" s="23"/>
      <c r="J405" s="23"/>
      <c r="K405" s="23"/>
      <c r="M405" s="23"/>
      <c r="N405" s="23"/>
      <c r="P405" s="23"/>
    </row>
    <row r="406" spans="2:16" x14ac:dyDescent="0.25">
      <c r="B406" s="23"/>
      <c r="E406" s="23"/>
      <c r="G406" s="23"/>
      <c r="H406" s="23"/>
      <c r="J406" s="23"/>
      <c r="K406" s="23"/>
      <c r="M406" s="23"/>
      <c r="N406" s="23"/>
      <c r="P406" s="23"/>
    </row>
    <row r="407" spans="2:16" x14ac:dyDescent="0.25">
      <c r="B407" s="23"/>
      <c r="E407" s="23"/>
      <c r="G407" s="23"/>
      <c r="H407" s="23"/>
      <c r="J407" s="23"/>
      <c r="K407" s="23"/>
      <c r="M407" s="23"/>
      <c r="N407" s="23"/>
      <c r="P407" s="23"/>
    </row>
    <row r="408" spans="2:16" x14ac:dyDescent="0.25">
      <c r="B408" s="23"/>
      <c r="E408" s="23"/>
      <c r="G408" s="23"/>
      <c r="H408" s="23"/>
      <c r="J408" s="23"/>
      <c r="K408" s="23"/>
      <c r="M408" s="23"/>
      <c r="N408" s="23"/>
      <c r="P408" s="23"/>
    </row>
    <row r="409" spans="2:16" x14ac:dyDescent="0.25">
      <c r="B409" s="23"/>
      <c r="E409" s="23"/>
      <c r="G409" s="23"/>
      <c r="H409" s="23"/>
      <c r="J409" s="23"/>
      <c r="K409" s="23"/>
      <c r="M409" s="23"/>
      <c r="N409" s="23"/>
      <c r="P409" s="23"/>
    </row>
    <row r="410" spans="2:16" x14ac:dyDescent="0.25">
      <c r="B410" s="23"/>
      <c r="E410" s="23"/>
      <c r="G410" s="23"/>
      <c r="H410" s="23"/>
      <c r="J410" s="23"/>
      <c r="K410" s="23"/>
      <c r="M410" s="23"/>
      <c r="N410" s="23"/>
      <c r="P410" s="23"/>
    </row>
    <row r="411" spans="2:16" x14ac:dyDescent="0.25">
      <c r="B411" s="23"/>
      <c r="E411" s="23"/>
      <c r="G411" s="23"/>
      <c r="H411" s="23"/>
      <c r="J411" s="23"/>
      <c r="K411" s="23"/>
      <c r="M411" s="23"/>
      <c r="N411" s="23"/>
      <c r="P411" s="23"/>
    </row>
    <row r="412" spans="2:16" x14ac:dyDescent="0.25">
      <c r="B412" s="23"/>
      <c r="E412" s="23"/>
      <c r="G412" s="23"/>
      <c r="H412" s="23"/>
      <c r="J412" s="23"/>
      <c r="K412" s="23"/>
      <c r="M412" s="23"/>
      <c r="N412" s="23"/>
      <c r="P412" s="23"/>
    </row>
    <row r="413" spans="2:16" x14ac:dyDescent="0.25">
      <c r="B413" s="23"/>
      <c r="E413" s="23"/>
      <c r="G413" s="23"/>
      <c r="H413" s="23"/>
      <c r="J413" s="23"/>
      <c r="K413" s="23"/>
      <c r="M413" s="23"/>
      <c r="N413" s="23"/>
      <c r="P413" s="23"/>
    </row>
    <row r="414" spans="2:16" x14ac:dyDescent="0.25">
      <c r="B414" s="23"/>
      <c r="E414" s="23"/>
      <c r="G414" s="23"/>
      <c r="H414" s="23"/>
      <c r="J414" s="23"/>
      <c r="K414" s="23"/>
      <c r="M414" s="23"/>
      <c r="N414" s="23"/>
      <c r="P414" s="23"/>
    </row>
    <row r="415" spans="2:16" x14ac:dyDescent="0.25">
      <c r="B415" s="23"/>
      <c r="E415" s="23"/>
      <c r="G415" s="23"/>
      <c r="H415" s="23"/>
      <c r="J415" s="23"/>
      <c r="K415" s="23"/>
      <c r="M415" s="23"/>
      <c r="N415" s="23"/>
      <c r="P415" s="23"/>
    </row>
    <row r="416" spans="2:16" x14ac:dyDescent="0.25">
      <c r="B416" s="23"/>
      <c r="E416" s="23"/>
      <c r="G416" s="23"/>
      <c r="H416" s="23"/>
      <c r="J416" s="23"/>
      <c r="K416" s="23"/>
      <c r="M416" s="23"/>
      <c r="N416" s="23"/>
      <c r="P416" s="23"/>
    </row>
    <row r="417" spans="2:16" x14ac:dyDescent="0.25">
      <c r="B417" s="23"/>
      <c r="E417" s="23"/>
      <c r="G417" s="23"/>
      <c r="H417" s="23"/>
      <c r="J417" s="23"/>
      <c r="K417" s="23"/>
      <c r="M417" s="23"/>
      <c r="N417" s="23"/>
      <c r="P417" s="23"/>
    </row>
    <row r="418" spans="2:16" x14ac:dyDescent="0.25">
      <c r="B418" s="23"/>
      <c r="E418" s="23"/>
      <c r="G418" s="23"/>
      <c r="H418" s="23"/>
      <c r="J418" s="23"/>
      <c r="K418" s="23"/>
      <c r="M418" s="23"/>
      <c r="N418" s="23"/>
      <c r="P418" s="23"/>
    </row>
    <row r="419" spans="2:16" x14ac:dyDescent="0.25">
      <c r="B419" s="23"/>
      <c r="E419" s="23"/>
      <c r="G419" s="23"/>
      <c r="H419" s="23"/>
      <c r="J419" s="23"/>
      <c r="K419" s="23"/>
      <c r="M419" s="23"/>
      <c r="N419" s="23"/>
      <c r="P419" s="23"/>
    </row>
    <row r="420" spans="2:16" x14ac:dyDescent="0.25">
      <c r="B420" s="23"/>
      <c r="E420" s="23"/>
      <c r="G420" s="23"/>
      <c r="H420" s="23"/>
      <c r="J420" s="23"/>
      <c r="K420" s="23"/>
      <c r="M420" s="23"/>
      <c r="N420" s="23"/>
      <c r="P420" s="23"/>
    </row>
    <row r="421" spans="2:16" x14ac:dyDescent="0.25">
      <c r="B421" s="23"/>
      <c r="E421" s="23"/>
      <c r="G421" s="23"/>
      <c r="H421" s="23"/>
      <c r="J421" s="23"/>
      <c r="K421" s="23"/>
      <c r="M421" s="23"/>
      <c r="N421" s="23"/>
      <c r="P421" s="23"/>
    </row>
    <row r="422" spans="2:16" x14ac:dyDescent="0.25">
      <c r="B422" s="23"/>
      <c r="E422" s="23"/>
      <c r="G422" s="23"/>
      <c r="H422" s="23"/>
      <c r="J422" s="23"/>
      <c r="K422" s="23"/>
      <c r="M422" s="23"/>
      <c r="N422" s="23"/>
      <c r="P422" s="23"/>
    </row>
    <row r="423" spans="2:16" x14ac:dyDescent="0.25">
      <c r="B423" s="23"/>
      <c r="E423" s="23"/>
      <c r="G423" s="23"/>
      <c r="H423" s="23"/>
      <c r="J423" s="23"/>
      <c r="K423" s="23"/>
      <c r="M423" s="23"/>
      <c r="N423" s="23"/>
      <c r="P423" s="23"/>
    </row>
    <row r="424" spans="2:16" x14ac:dyDescent="0.25">
      <c r="B424" s="23"/>
      <c r="E424" s="23"/>
      <c r="G424" s="23"/>
      <c r="H424" s="23"/>
      <c r="J424" s="23"/>
      <c r="K424" s="23"/>
      <c r="M424" s="23"/>
      <c r="N424" s="23"/>
      <c r="P424" s="23"/>
    </row>
    <row r="425" spans="2:16" x14ac:dyDescent="0.25">
      <c r="B425" s="23"/>
      <c r="E425" s="23"/>
      <c r="G425" s="23"/>
      <c r="H425" s="23"/>
      <c r="J425" s="23"/>
      <c r="K425" s="23"/>
      <c r="M425" s="23"/>
      <c r="N425" s="23"/>
      <c r="P425" s="23"/>
    </row>
    <row r="426" spans="2:16" x14ac:dyDescent="0.25">
      <c r="B426" s="23"/>
      <c r="E426" s="23"/>
      <c r="G426" s="23"/>
      <c r="H426" s="23"/>
      <c r="J426" s="23"/>
      <c r="K426" s="23"/>
      <c r="M426" s="23"/>
      <c r="N426" s="23"/>
      <c r="P426" s="23"/>
    </row>
    <row r="427" spans="2:16" x14ac:dyDescent="0.25">
      <c r="B427" s="23"/>
      <c r="E427" s="23"/>
      <c r="G427" s="23"/>
      <c r="H427" s="23"/>
      <c r="J427" s="23"/>
      <c r="K427" s="23"/>
      <c r="M427" s="23"/>
      <c r="N427" s="23"/>
      <c r="P427" s="23"/>
    </row>
    <row r="428" spans="2:16" x14ac:dyDescent="0.25">
      <c r="B428" s="23"/>
      <c r="E428" s="23"/>
      <c r="G428" s="23"/>
      <c r="H428" s="23"/>
      <c r="J428" s="23"/>
      <c r="K428" s="23"/>
      <c r="M428" s="23"/>
      <c r="N428" s="23"/>
      <c r="P428" s="23"/>
    </row>
    <row r="429" spans="2:16" x14ac:dyDescent="0.25">
      <c r="B429" s="23"/>
      <c r="E429" s="23"/>
      <c r="G429" s="23"/>
      <c r="H429" s="23"/>
      <c r="J429" s="23"/>
      <c r="K429" s="23"/>
      <c r="M429" s="23"/>
      <c r="N429" s="23"/>
      <c r="P429" s="23"/>
    </row>
    <row r="430" spans="2:16" x14ac:dyDescent="0.25">
      <c r="B430" s="23"/>
      <c r="E430" s="23"/>
      <c r="G430" s="23"/>
      <c r="H430" s="23"/>
      <c r="J430" s="23"/>
      <c r="K430" s="23"/>
      <c r="M430" s="23"/>
      <c r="N430" s="23"/>
      <c r="P430" s="23"/>
    </row>
    <row r="431" spans="2:16" x14ac:dyDescent="0.25">
      <c r="B431" s="23"/>
      <c r="E431" s="23"/>
      <c r="G431" s="23"/>
      <c r="H431" s="23"/>
      <c r="J431" s="23"/>
      <c r="K431" s="23"/>
      <c r="M431" s="23"/>
      <c r="N431" s="23"/>
      <c r="P431" s="23"/>
    </row>
    <row r="432" spans="2:16" x14ac:dyDescent="0.25">
      <c r="B432" s="23"/>
      <c r="E432" s="23"/>
      <c r="G432" s="23"/>
      <c r="H432" s="23"/>
      <c r="J432" s="23"/>
      <c r="K432" s="23"/>
      <c r="M432" s="23"/>
      <c r="N432" s="23"/>
      <c r="P432" s="23"/>
    </row>
    <row r="433" spans="2:16" x14ac:dyDescent="0.25">
      <c r="B433" s="23"/>
      <c r="E433" s="23"/>
      <c r="G433" s="23"/>
      <c r="H433" s="23"/>
      <c r="J433" s="23"/>
      <c r="K433" s="23"/>
      <c r="M433" s="23"/>
      <c r="N433" s="23"/>
      <c r="P433" s="23"/>
    </row>
    <row r="434" spans="2:16" x14ac:dyDescent="0.25">
      <c r="B434" s="23"/>
      <c r="E434" s="23"/>
      <c r="G434" s="23"/>
      <c r="H434" s="23"/>
      <c r="J434" s="23"/>
      <c r="K434" s="23"/>
      <c r="M434" s="23"/>
      <c r="N434" s="23"/>
      <c r="P434" s="23"/>
    </row>
    <row r="435" spans="2:16" x14ac:dyDescent="0.25">
      <c r="B435" s="23"/>
      <c r="E435" s="23"/>
      <c r="G435" s="23"/>
      <c r="H435" s="23"/>
      <c r="J435" s="23"/>
      <c r="K435" s="23"/>
      <c r="M435" s="23"/>
      <c r="N435" s="23"/>
      <c r="P435" s="23"/>
    </row>
    <row r="436" spans="2:16" x14ac:dyDescent="0.25">
      <c r="B436" s="23"/>
      <c r="E436" s="23"/>
      <c r="G436" s="23"/>
      <c r="H436" s="23"/>
      <c r="J436" s="23"/>
      <c r="K436" s="23"/>
      <c r="M436" s="23"/>
      <c r="N436" s="23"/>
      <c r="P436" s="23"/>
    </row>
    <row r="437" spans="2:16" x14ac:dyDescent="0.25">
      <c r="B437" s="23"/>
      <c r="E437" s="23"/>
      <c r="G437" s="23"/>
      <c r="H437" s="23"/>
      <c r="J437" s="23"/>
      <c r="K437" s="23"/>
      <c r="M437" s="23"/>
      <c r="N437" s="23"/>
      <c r="P437" s="23"/>
    </row>
    <row r="438" spans="2:16" x14ac:dyDescent="0.25">
      <c r="B438" s="23"/>
      <c r="E438" s="23"/>
      <c r="G438" s="23"/>
      <c r="H438" s="23"/>
      <c r="J438" s="23"/>
      <c r="K438" s="23"/>
      <c r="M438" s="23"/>
      <c r="N438" s="23"/>
      <c r="P438" s="23"/>
    </row>
    <row r="439" spans="2:16" x14ac:dyDescent="0.25">
      <c r="B439" s="23"/>
      <c r="E439" s="23"/>
      <c r="G439" s="23"/>
      <c r="H439" s="23"/>
      <c r="J439" s="23"/>
      <c r="K439" s="23"/>
      <c r="M439" s="23"/>
      <c r="N439" s="23"/>
      <c r="P439" s="23"/>
    </row>
    <row r="440" spans="2:16" x14ac:dyDescent="0.25">
      <c r="B440" s="23"/>
      <c r="E440" s="23"/>
      <c r="G440" s="23"/>
      <c r="H440" s="23"/>
      <c r="J440" s="23"/>
      <c r="K440" s="23"/>
      <c r="M440" s="23"/>
      <c r="N440" s="23"/>
      <c r="P440" s="23"/>
    </row>
    <row r="441" spans="2:16" x14ac:dyDescent="0.25">
      <c r="B441" s="23"/>
      <c r="E441" s="23"/>
      <c r="G441" s="23"/>
      <c r="H441" s="23"/>
      <c r="J441" s="23"/>
      <c r="K441" s="23"/>
      <c r="M441" s="23"/>
      <c r="N441" s="23"/>
      <c r="P441" s="23"/>
    </row>
    <row r="442" spans="2:16" x14ac:dyDescent="0.25">
      <c r="B442" s="23"/>
      <c r="E442" s="23"/>
      <c r="G442" s="23"/>
      <c r="H442" s="23"/>
      <c r="J442" s="23"/>
      <c r="K442" s="23"/>
      <c r="M442" s="23"/>
      <c r="N442" s="23"/>
      <c r="P442" s="23"/>
    </row>
    <row r="443" spans="2:16" x14ac:dyDescent="0.25">
      <c r="B443" s="23"/>
      <c r="E443" s="23"/>
      <c r="G443" s="23"/>
      <c r="H443" s="23"/>
      <c r="J443" s="23"/>
      <c r="K443" s="23"/>
      <c r="M443" s="23"/>
      <c r="N443" s="23"/>
      <c r="P443" s="23"/>
    </row>
    <row r="444" spans="2:16" x14ac:dyDescent="0.25">
      <c r="B444" s="23"/>
      <c r="E444" s="23"/>
      <c r="G444" s="23"/>
      <c r="H444" s="23"/>
      <c r="J444" s="23"/>
      <c r="K444" s="23"/>
      <c r="M444" s="23"/>
      <c r="N444" s="23"/>
      <c r="P444" s="23"/>
    </row>
    <row r="445" spans="2:16" x14ac:dyDescent="0.25">
      <c r="B445" s="23"/>
      <c r="E445" s="23"/>
      <c r="G445" s="23"/>
      <c r="H445" s="23"/>
      <c r="J445" s="23"/>
      <c r="K445" s="23"/>
      <c r="M445" s="23"/>
      <c r="N445" s="23"/>
      <c r="P445" s="23"/>
    </row>
    <row r="446" spans="2:16" x14ac:dyDescent="0.25">
      <c r="B446" s="23"/>
      <c r="E446" s="23"/>
      <c r="G446" s="23"/>
      <c r="H446" s="23"/>
      <c r="J446" s="23"/>
      <c r="K446" s="23"/>
      <c r="M446" s="23"/>
      <c r="N446" s="23"/>
      <c r="P446" s="23"/>
    </row>
    <row r="447" spans="2:16" x14ac:dyDescent="0.25">
      <c r="B447" s="23"/>
      <c r="E447" s="23"/>
      <c r="G447" s="23"/>
      <c r="H447" s="23"/>
      <c r="J447" s="23"/>
      <c r="K447" s="23"/>
      <c r="M447" s="23"/>
      <c r="N447" s="23"/>
      <c r="P447" s="23"/>
    </row>
    <row r="448" spans="2:16" x14ac:dyDescent="0.25">
      <c r="B448" s="23"/>
      <c r="E448" s="23"/>
      <c r="G448" s="23"/>
      <c r="H448" s="23"/>
      <c r="J448" s="23"/>
      <c r="K448" s="23"/>
      <c r="M448" s="23"/>
      <c r="N448" s="23"/>
      <c r="P448" s="23"/>
    </row>
    <row r="449" spans="2:16" x14ac:dyDescent="0.25">
      <c r="B449" s="23"/>
      <c r="E449" s="23"/>
      <c r="G449" s="23"/>
      <c r="H449" s="23"/>
      <c r="J449" s="23"/>
      <c r="K449" s="23"/>
      <c r="M449" s="23"/>
      <c r="N449" s="23"/>
      <c r="P449" s="23"/>
    </row>
    <row r="450" spans="2:16" x14ac:dyDescent="0.25">
      <c r="B450" s="23"/>
      <c r="E450" s="23"/>
      <c r="G450" s="23"/>
      <c r="H450" s="23"/>
      <c r="J450" s="23"/>
      <c r="K450" s="23"/>
      <c r="M450" s="23"/>
      <c r="N450" s="23"/>
      <c r="P450" s="23"/>
    </row>
    <row r="451" spans="2:16" x14ac:dyDescent="0.25">
      <c r="B451" s="23"/>
      <c r="E451" s="23"/>
      <c r="G451" s="23"/>
      <c r="H451" s="23"/>
      <c r="J451" s="23"/>
      <c r="K451" s="23"/>
      <c r="M451" s="23"/>
      <c r="N451" s="23"/>
      <c r="P451" s="23"/>
    </row>
    <row r="452" spans="2:16" x14ac:dyDescent="0.25">
      <c r="B452" s="23"/>
      <c r="E452" s="23"/>
      <c r="G452" s="23"/>
      <c r="H452" s="23"/>
      <c r="J452" s="23"/>
      <c r="K452" s="23"/>
      <c r="M452" s="23"/>
      <c r="N452" s="23"/>
      <c r="P452" s="23"/>
    </row>
    <row r="453" spans="2:16" x14ac:dyDescent="0.25">
      <c r="B453" s="23"/>
      <c r="E453" s="23"/>
      <c r="G453" s="23"/>
      <c r="H453" s="23"/>
      <c r="J453" s="23"/>
      <c r="K453" s="23"/>
      <c r="M453" s="23"/>
      <c r="N453" s="23"/>
      <c r="P453" s="23"/>
    </row>
    <row r="454" spans="2:16" x14ac:dyDescent="0.25">
      <c r="B454" s="23"/>
      <c r="E454" s="23"/>
      <c r="G454" s="23"/>
      <c r="H454" s="23"/>
      <c r="J454" s="23"/>
      <c r="K454" s="23"/>
      <c r="M454" s="23"/>
      <c r="N454" s="23"/>
      <c r="P454" s="23"/>
    </row>
    <row r="455" spans="2:16" x14ac:dyDescent="0.25">
      <c r="B455" s="23"/>
      <c r="E455" s="23"/>
      <c r="G455" s="23"/>
      <c r="H455" s="23"/>
      <c r="J455" s="23"/>
      <c r="K455" s="23"/>
      <c r="M455" s="23"/>
      <c r="N455" s="23"/>
      <c r="P455" s="23"/>
    </row>
    <row r="456" spans="2:16" x14ac:dyDescent="0.25">
      <c r="B456" s="23"/>
      <c r="E456" s="23"/>
      <c r="G456" s="23"/>
      <c r="H456" s="23"/>
      <c r="J456" s="23"/>
      <c r="K456" s="23"/>
      <c r="M456" s="23"/>
      <c r="N456" s="23"/>
      <c r="P456" s="23"/>
    </row>
    <row r="457" spans="2:16" x14ac:dyDescent="0.25">
      <c r="B457" s="23"/>
      <c r="E457" s="23"/>
      <c r="G457" s="23"/>
      <c r="H457" s="23"/>
      <c r="J457" s="23"/>
      <c r="K457" s="23"/>
      <c r="M457" s="23"/>
      <c r="N457" s="23"/>
      <c r="P457" s="23"/>
    </row>
    <row r="458" spans="2:16" x14ac:dyDescent="0.25">
      <c r="B458" s="23"/>
      <c r="E458" s="23"/>
      <c r="G458" s="23"/>
      <c r="H458" s="23"/>
      <c r="J458" s="23"/>
      <c r="K458" s="23"/>
      <c r="M458" s="23"/>
      <c r="N458" s="23"/>
      <c r="P458" s="23"/>
    </row>
    <row r="459" spans="2:16" x14ac:dyDescent="0.25">
      <c r="B459" s="23"/>
      <c r="E459" s="23"/>
      <c r="G459" s="23"/>
      <c r="H459" s="23"/>
      <c r="J459" s="23"/>
      <c r="K459" s="23"/>
      <c r="M459" s="23"/>
      <c r="N459" s="23"/>
      <c r="P459" s="23"/>
    </row>
    <row r="460" spans="2:16" x14ac:dyDescent="0.25">
      <c r="B460" s="23"/>
      <c r="E460" s="23"/>
      <c r="G460" s="23"/>
      <c r="H460" s="23"/>
      <c r="J460" s="23"/>
      <c r="K460" s="23"/>
      <c r="M460" s="23"/>
      <c r="N460" s="23"/>
      <c r="P460" s="23"/>
    </row>
    <row r="461" spans="2:16" x14ac:dyDescent="0.25">
      <c r="B461" s="23"/>
      <c r="E461" s="23"/>
      <c r="G461" s="23"/>
      <c r="H461" s="23"/>
      <c r="J461" s="23"/>
      <c r="K461" s="23"/>
      <c r="M461" s="23"/>
      <c r="N461" s="23"/>
      <c r="P461" s="23"/>
    </row>
    <row r="462" spans="2:16" x14ac:dyDescent="0.25">
      <c r="B462" s="23"/>
      <c r="E462" s="23"/>
      <c r="G462" s="23"/>
      <c r="H462" s="23"/>
      <c r="J462" s="23"/>
      <c r="K462" s="23"/>
      <c r="M462" s="23"/>
      <c r="N462" s="23"/>
      <c r="P462" s="23"/>
    </row>
    <row r="463" spans="2:16" x14ac:dyDescent="0.25">
      <c r="B463" s="23"/>
      <c r="E463" s="23"/>
      <c r="G463" s="23"/>
      <c r="H463" s="23"/>
      <c r="J463" s="23"/>
      <c r="K463" s="23"/>
      <c r="M463" s="23"/>
      <c r="N463" s="23"/>
      <c r="P463" s="23"/>
    </row>
    <row r="464" spans="2:16" x14ac:dyDescent="0.25">
      <c r="B464" s="23"/>
      <c r="E464" s="23"/>
      <c r="G464" s="23"/>
      <c r="H464" s="23"/>
      <c r="J464" s="23"/>
      <c r="K464" s="23"/>
      <c r="M464" s="23"/>
      <c r="N464" s="23"/>
      <c r="P464" s="23"/>
    </row>
    <row r="465" spans="2:16" x14ac:dyDescent="0.25">
      <c r="B465" s="23"/>
      <c r="E465" s="23"/>
      <c r="G465" s="23"/>
      <c r="H465" s="23"/>
      <c r="J465" s="23"/>
      <c r="K465" s="23"/>
      <c r="M465" s="23"/>
      <c r="N465" s="23"/>
      <c r="P465" s="23"/>
    </row>
    <row r="466" spans="2:16" x14ac:dyDescent="0.25">
      <c r="B466" s="23"/>
      <c r="E466" s="23"/>
      <c r="G466" s="23"/>
      <c r="H466" s="23"/>
      <c r="J466" s="23"/>
      <c r="K466" s="23"/>
      <c r="M466" s="23"/>
      <c r="N466" s="23"/>
      <c r="P466" s="23"/>
    </row>
    <row r="467" spans="2:16" x14ac:dyDescent="0.25">
      <c r="B467" s="23"/>
      <c r="E467" s="23"/>
      <c r="G467" s="23"/>
      <c r="H467" s="23"/>
      <c r="J467" s="23"/>
      <c r="K467" s="23"/>
      <c r="M467" s="23"/>
      <c r="N467" s="23"/>
      <c r="P467" s="23"/>
    </row>
    <row r="468" spans="2:16" x14ac:dyDescent="0.25">
      <c r="B468" s="23"/>
      <c r="E468" s="23"/>
      <c r="G468" s="23"/>
      <c r="H468" s="23"/>
      <c r="J468" s="23"/>
      <c r="K468" s="23"/>
      <c r="M468" s="23"/>
      <c r="N468" s="23"/>
      <c r="P468" s="23"/>
    </row>
    <row r="469" spans="2:16" x14ac:dyDescent="0.25">
      <c r="B469" s="23"/>
      <c r="E469" s="23"/>
      <c r="G469" s="23"/>
      <c r="H469" s="23"/>
      <c r="J469" s="23"/>
      <c r="K469" s="23"/>
      <c r="M469" s="23"/>
      <c r="N469" s="23"/>
      <c r="P469" s="23"/>
    </row>
    <row r="470" spans="2:16" x14ac:dyDescent="0.25">
      <c r="B470" s="23"/>
      <c r="E470" s="23"/>
      <c r="G470" s="23"/>
      <c r="H470" s="23"/>
      <c r="J470" s="23"/>
      <c r="K470" s="23"/>
      <c r="M470" s="23"/>
      <c r="N470" s="23"/>
      <c r="P470" s="23"/>
    </row>
    <row r="471" spans="2:16" x14ac:dyDescent="0.25">
      <c r="B471" s="23"/>
      <c r="E471" s="23"/>
      <c r="G471" s="23"/>
      <c r="H471" s="23"/>
      <c r="J471" s="23"/>
      <c r="K471" s="23"/>
      <c r="M471" s="23"/>
      <c r="N471" s="23"/>
      <c r="P471" s="23"/>
    </row>
    <row r="472" spans="2:16" x14ac:dyDescent="0.25">
      <c r="B472" s="23"/>
      <c r="E472" s="23"/>
      <c r="G472" s="23"/>
      <c r="H472" s="23"/>
      <c r="J472" s="23"/>
      <c r="K472" s="23"/>
      <c r="M472" s="23"/>
      <c r="N472" s="23"/>
      <c r="P472" s="23"/>
    </row>
    <row r="473" spans="2:16" x14ac:dyDescent="0.25">
      <c r="B473" s="23"/>
      <c r="E473" s="23"/>
      <c r="G473" s="23"/>
      <c r="H473" s="23"/>
      <c r="J473" s="23"/>
      <c r="K473" s="23"/>
      <c r="M473" s="23"/>
      <c r="N473" s="23"/>
      <c r="P473" s="23"/>
    </row>
    <row r="474" spans="2:16" x14ac:dyDescent="0.25">
      <c r="B474" s="23"/>
      <c r="E474" s="23"/>
      <c r="G474" s="23"/>
      <c r="H474" s="23"/>
      <c r="J474" s="23"/>
      <c r="K474" s="23"/>
      <c r="M474" s="23"/>
      <c r="N474" s="23"/>
      <c r="P474" s="23"/>
    </row>
    <row r="475" spans="2:16" x14ac:dyDescent="0.25">
      <c r="B475" s="23"/>
      <c r="E475" s="23"/>
      <c r="G475" s="23"/>
      <c r="H475" s="23"/>
      <c r="J475" s="23"/>
      <c r="K475" s="23"/>
      <c r="M475" s="23"/>
      <c r="N475" s="23"/>
      <c r="P475" s="23"/>
    </row>
    <row r="476" spans="2:16" x14ac:dyDescent="0.25">
      <c r="B476" s="23"/>
      <c r="E476" s="23"/>
      <c r="G476" s="23"/>
      <c r="H476" s="23"/>
      <c r="J476" s="23"/>
      <c r="K476" s="23"/>
      <c r="M476" s="23"/>
      <c r="N476" s="23"/>
      <c r="P476" s="23"/>
    </row>
    <row r="477" spans="2:16" x14ac:dyDescent="0.25">
      <c r="B477" s="23"/>
      <c r="E477" s="23"/>
      <c r="G477" s="23"/>
      <c r="H477" s="23"/>
      <c r="J477" s="23"/>
      <c r="K477" s="23"/>
      <c r="M477" s="23"/>
      <c r="N477" s="23"/>
      <c r="P477" s="23"/>
    </row>
    <row r="478" spans="2:16" x14ac:dyDescent="0.25">
      <c r="B478" s="23"/>
      <c r="E478" s="23"/>
      <c r="G478" s="23"/>
      <c r="H478" s="23"/>
      <c r="J478" s="23"/>
      <c r="K478" s="23"/>
      <c r="M478" s="23"/>
      <c r="N478" s="23"/>
      <c r="P478" s="23"/>
    </row>
    <row r="479" spans="2:16" x14ac:dyDescent="0.25">
      <c r="B479" s="23"/>
      <c r="E479" s="23"/>
      <c r="G479" s="23"/>
      <c r="H479" s="23"/>
      <c r="J479" s="23"/>
      <c r="K479" s="23"/>
      <c r="M479" s="23"/>
      <c r="N479" s="23"/>
      <c r="P479" s="23"/>
    </row>
    <row r="480" spans="2:16" x14ac:dyDescent="0.25">
      <c r="B480" s="23"/>
      <c r="E480" s="23"/>
      <c r="G480" s="23"/>
      <c r="H480" s="23"/>
      <c r="J480" s="23"/>
      <c r="K480" s="23"/>
      <c r="M480" s="23"/>
      <c r="N480" s="23"/>
      <c r="P480" s="23"/>
    </row>
    <row r="481" spans="2:16" x14ac:dyDescent="0.25">
      <c r="B481" s="23"/>
      <c r="E481" s="23"/>
      <c r="G481" s="23"/>
      <c r="H481" s="23"/>
      <c r="J481" s="23"/>
      <c r="K481" s="23"/>
      <c r="M481" s="23"/>
      <c r="N481" s="23"/>
      <c r="P481" s="23"/>
    </row>
    <row r="482" spans="2:16" x14ac:dyDescent="0.25">
      <c r="B482" s="23"/>
      <c r="E482" s="23"/>
      <c r="G482" s="23"/>
      <c r="H482" s="23"/>
      <c r="J482" s="23"/>
      <c r="K482" s="23"/>
      <c r="M482" s="23"/>
      <c r="N482" s="23"/>
      <c r="P482" s="23"/>
    </row>
    <row r="483" spans="2:16" x14ac:dyDescent="0.25">
      <c r="B483" s="23"/>
      <c r="E483" s="23"/>
      <c r="G483" s="23"/>
      <c r="H483" s="23"/>
      <c r="J483" s="23"/>
      <c r="K483" s="23"/>
      <c r="M483" s="23"/>
      <c r="N483" s="23"/>
      <c r="P483" s="23"/>
    </row>
    <row r="484" spans="2:16" x14ac:dyDescent="0.25">
      <c r="B484" s="23"/>
      <c r="E484" s="23"/>
      <c r="G484" s="23"/>
      <c r="H484" s="23"/>
      <c r="J484" s="23"/>
      <c r="K484" s="23"/>
      <c r="M484" s="23"/>
      <c r="N484" s="23"/>
      <c r="P484" s="23"/>
    </row>
    <row r="485" spans="2:16" x14ac:dyDescent="0.25">
      <c r="B485" s="23"/>
      <c r="E485" s="23"/>
      <c r="G485" s="23"/>
      <c r="H485" s="23"/>
      <c r="J485" s="23"/>
      <c r="K485" s="23"/>
      <c r="M485" s="23"/>
      <c r="N485" s="23"/>
      <c r="P485" s="23"/>
    </row>
    <row r="486" spans="2:16" x14ac:dyDescent="0.25">
      <c r="B486" s="23"/>
      <c r="E486" s="23"/>
      <c r="G486" s="23"/>
      <c r="H486" s="23"/>
      <c r="J486" s="23"/>
      <c r="K486" s="23"/>
      <c r="M486" s="23"/>
      <c r="N486" s="23"/>
      <c r="P486" s="23"/>
    </row>
    <row r="487" spans="2:16" x14ac:dyDescent="0.25">
      <c r="B487" s="23"/>
      <c r="E487" s="23"/>
      <c r="G487" s="23"/>
      <c r="H487" s="23"/>
      <c r="J487" s="23"/>
      <c r="K487" s="23"/>
      <c r="M487" s="23"/>
      <c r="N487" s="23"/>
      <c r="P487" s="23"/>
    </row>
    <row r="488" spans="2:16" x14ac:dyDescent="0.25">
      <c r="B488" s="23"/>
      <c r="E488" s="23"/>
      <c r="G488" s="23"/>
      <c r="H488" s="23"/>
      <c r="J488" s="23"/>
      <c r="K488" s="23"/>
      <c r="M488" s="23"/>
      <c r="N488" s="23"/>
      <c r="P488" s="23"/>
    </row>
    <row r="489" spans="2:16" x14ac:dyDescent="0.25">
      <c r="B489" s="23"/>
      <c r="E489" s="23"/>
      <c r="G489" s="23"/>
      <c r="H489" s="23"/>
      <c r="J489" s="23"/>
      <c r="K489" s="23"/>
      <c r="M489" s="23"/>
      <c r="N489" s="23"/>
      <c r="P489" s="23"/>
    </row>
    <row r="490" spans="2:16" x14ac:dyDescent="0.25">
      <c r="B490" s="23"/>
      <c r="E490" s="23"/>
      <c r="G490" s="23"/>
      <c r="H490" s="23"/>
      <c r="J490" s="23"/>
      <c r="K490" s="23"/>
      <c r="M490" s="23"/>
      <c r="N490" s="23"/>
      <c r="P490" s="23"/>
    </row>
    <row r="491" spans="2:16" x14ac:dyDescent="0.25">
      <c r="B491" s="23"/>
      <c r="E491" s="23"/>
      <c r="G491" s="23"/>
      <c r="H491" s="23"/>
      <c r="J491" s="23"/>
      <c r="K491" s="23"/>
      <c r="M491" s="23"/>
      <c r="N491" s="23"/>
      <c r="P491" s="23"/>
    </row>
    <row r="492" spans="2:16" x14ac:dyDescent="0.25">
      <c r="B492" s="23"/>
      <c r="E492" s="23"/>
      <c r="G492" s="23"/>
      <c r="H492" s="23"/>
      <c r="J492" s="23"/>
      <c r="K492" s="23"/>
      <c r="M492" s="23"/>
      <c r="N492" s="23"/>
      <c r="P492" s="23"/>
    </row>
    <row r="493" spans="2:16" x14ac:dyDescent="0.25">
      <c r="B493" s="23"/>
      <c r="E493" s="23"/>
      <c r="G493" s="23"/>
      <c r="H493" s="23"/>
      <c r="J493" s="23"/>
      <c r="K493" s="23"/>
      <c r="M493" s="23"/>
      <c r="N493" s="23"/>
      <c r="P493" s="23"/>
    </row>
    <row r="494" spans="2:16" x14ac:dyDescent="0.25">
      <c r="B494" s="23"/>
      <c r="E494" s="23"/>
      <c r="G494" s="23"/>
      <c r="H494" s="23"/>
      <c r="J494" s="23"/>
      <c r="K494" s="23"/>
      <c r="M494" s="23"/>
      <c r="N494" s="23"/>
      <c r="P494" s="23"/>
    </row>
    <row r="495" spans="2:16" x14ac:dyDescent="0.25">
      <c r="B495" s="23"/>
      <c r="E495" s="23"/>
      <c r="G495" s="23"/>
      <c r="H495" s="23"/>
      <c r="J495" s="23"/>
      <c r="K495" s="23"/>
      <c r="M495" s="23"/>
      <c r="N495" s="23"/>
      <c r="P495" s="23"/>
    </row>
    <row r="496" spans="2:16" x14ac:dyDescent="0.25">
      <c r="B496" s="23"/>
      <c r="E496" s="23"/>
      <c r="G496" s="23"/>
      <c r="H496" s="23"/>
      <c r="J496" s="23"/>
      <c r="K496" s="23"/>
      <c r="M496" s="23"/>
      <c r="N496" s="23"/>
      <c r="P496" s="23"/>
    </row>
    <row r="497" spans="2:16" x14ac:dyDescent="0.25">
      <c r="B497" s="23"/>
      <c r="E497" s="23"/>
      <c r="G497" s="23"/>
      <c r="H497" s="23"/>
      <c r="J497" s="23"/>
      <c r="K497" s="23"/>
      <c r="M497" s="23"/>
      <c r="N497" s="23"/>
      <c r="P497" s="23"/>
    </row>
    <row r="498" spans="2:16" x14ac:dyDescent="0.25">
      <c r="B498" s="23"/>
      <c r="E498" s="23"/>
      <c r="G498" s="23"/>
      <c r="H498" s="23"/>
      <c r="J498" s="23"/>
      <c r="K498" s="23"/>
      <c r="M498" s="23"/>
      <c r="N498" s="23"/>
      <c r="P498" s="23"/>
    </row>
    <row r="499" spans="2:16" x14ac:dyDescent="0.25">
      <c r="B499" s="23"/>
      <c r="E499" s="23"/>
      <c r="G499" s="23"/>
      <c r="H499" s="23"/>
      <c r="J499" s="23"/>
      <c r="K499" s="23"/>
      <c r="M499" s="23"/>
      <c r="N499" s="23"/>
      <c r="P499" s="23"/>
    </row>
    <row r="500" spans="2:16" x14ac:dyDescent="0.25">
      <c r="B500" s="23"/>
      <c r="E500" s="23"/>
      <c r="G500" s="23"/>
      <c r="H500" s="23"/>
      <c r="J500" s="23"/>
      <c r="K500" s="23"/>
      <c r="M500" s="23"/>
      <c r="N500" s="23"/>
      <c r="P500" s="23"/>
    </row>
    <row r="501" spans="2:16" x14ac:dyDescent="0.25">
      <c r="B501" s="23"/>
      <c r="E501" s="23"/>
      <c r="G501" s="23"/>
      <c r="H501" s="23"/>
      <c r="J501" s="23"/>
      <c r="K501" s="23"/>
      <c r="M501" s="23"/>
      <c r="N501" s="23"/>
      <c r="P501" s="23"/>
    </row>
    <row r="502" spans="2:16" x14ac:dyDescent="0.25">
      <c r="B502" s="23"/>
      <c r="E502" s="23"/>
      <c r="G502" s="23"/>
      <c r="H502" s="23"/>
      <c r="J502" s="23"/>
      <c r="K502" s="23"/>
      <c r="M502" s="23"/>
      <c r="N502" s="23"/>
      <c r="P502" s="23"/>
    </row>
    <row r="503" spans="2:16" x14ac:dyDescent="0.25">
      <c r="B503" s="23"/>
      <c r="E503" s="23"/>
      <c r="G503" s="23"/>
      <c r="H503" s="23"/>
      <c r="J503" s="23"/>
      <c r="K503" s="23"/>
      <c r="M503" s="23"/>
      <c r="N503" s="23"/>
      <c r="P503" s="23"/>
    </row>
    <row r="504" spans="2:16" x14ac:dyDescent="0.25">
      <c r="B504" s="23"/>
      <c r="E504" s="23"/>
      <c r="G504" s="23"/>
      <c r="H504" s="23"/>
      <c r="J504" s="23"/>
      <c r="K504" s="23"/>
      <c r="M504" s="23"/>
      <c r="N504" s="23"/>
      <c r="P504" s="23"/>
    </row>
    <row r="505" spans="2:16" x14ac:dyDescent="0.25">
      <c r="B505" s="23"/>
      <c r="E505" s="23"/>
      <c r="G505" s="23"/>
      <c r="H505" s="23"/>
      <c r="J505" s="23"/>
      <c r="K505" s="23"/>
      <c r="M505" s="23"/>
      <c r="N505" s="23"/>
      <c r="P505" s="23"/>
    </row>
    <row r="506" spans="2:16" x14ac:dyDescent="0.25">
      <c r="B506" s="23"/>
      <c r="E506" s="23"/>
      <c r="G506" s="23"/>
      <c r="H506" s="23"/>
      <c r="J506" s="23"/>
      <c r="K506" s="23"/>
      <c r="M506" s="23"/>
      <c r="N506" s="23"/>
      <c r="P506" s="23"/>
    </row>
    <row r="507" spans="2:16" x14ac:dyDescent="0.25">
      <c r="B507" s="23"/>
      <c r="E507" s="23"/>
      <c r="G507" s="23"/>
      <c r="H507" s="23"/>
      <c r="J507" s="23"/>
      <c r="K507" s="23"/>
      <c r="M507" s="23"/>
      <c r="N507" s="23"/>
      <c r="P507" s="23"/>
    </row>
    <row r="508" spans="2:16" x14ac:dyDescent="0.25">
      <c r="B508" s="23"/>
      <c r="E508" s="23"/>
      <c r="G508" s="23"/>
      <c r="H508" s="23"/>
      <c r="J508" s="23"/>
      <c r="K508" s="23"/>
      <c r="M508" s="23"/>
      <c r="N508" s="23"/>
      <c r="P508" s="23"/>
    </row>
    <row r="509" spans="2:16" x14ac:dyDescent="0.25">
      <c r="B509" s="23"/>
      <c r="E509" s="23"/>
      <c r="G509" s="23"/>
      <c r="H509" s="23"/>
      <c r="J509" s="23"/>
      <c r="K509" s="23"/>
      <c r="M509" s="23"/>
      <c r="N509" s="23"/>
      <c r="P509" s="23"/>
    </row>
    <row r="510" spans="2:16" x14ac:dyDescent="0.25">
      <c r="B510" s="23"/>
      <c r="E510" s="23"/>
      <c r="G510" s="23"/>
      <c r="H510" s="23"/>
      <c r="J510" s="23"/>
      <c r="K510" s="23"/>
      <c r="M510" s="23"/>
      <c r="N510" s="23"/>
      <c r="P510" s="23"/>
    </row>
    <row r="511" spans="2:16" x14ac:dyDescent="0.25">
      <c r="B511" s="23"/>
      <c r="E511" s="23"/>
      <c r="G511" s="23"/>
      <c r="H511" s="23"/>
      <c r="J511" s="23"/>
      <c r="K511" s="23"/>
      <c r="M511" s="23"/>
      <c r="N511" s="23"/>
      <c r="P511" s="23"/>
    </row>
    <row r="512" spans="2:16" x14ac:dyDescent="0.25">
      <c r="B512" s="23"/>
      <c r="E512" s="23"/>
      <c r="G512" s="23"/>
      <c r="H512" s="23"/>
      <c r="J512" s="23"/>
      <c r="K512" s="23"/>
      <c r="M512" s="23"/>
      <c r="N512" s="23"/>
      <c r="P512" s="23"/>
    </row>
    <row r="513" spans="2:16" x14ac:dyDescent="0.25">
      <c r="B513" s="23"/>
      <c r="E513" s="23"/>
      <c r="G513" s="23"/>
      <c r="H513" s="23"/>
      <c r="J513" s="23"/>
      <c r="K513" s="23"/>
      <c r="M513" s="23"/>
      <c r="N513" s="23"/>
      <c r="P513" s="23"/>
    </row>
    <row r="514" spans="2:16" x14ac:dyDescent="0.25">
      <c r="B514" s="23"/>
      <c r="E514" s="23"/>
      <c r="G514" s="23"/>
      <c r="H514" s="23"/>
      <c r="J514" s="23"/>
      <c r="K514" s="23"/>
      <c r="M514" s="23"/>
      <c r="N514" s="23"/>
      <c r="P514" s="23"/>
    </row>
    <row r="515" spans="2:16" x14ac:dyDescent="0.25">
      <c r="B515" s="23"/>
      <c r="E515" s="23"/>
      <c r="G515" s="23"/>
      <c r="H515" s="23"/>
      <c r="J515" s="23"/>
      <c r="K515" s="23"/>
      <c r="M515" s="23"/>
      <c r="N515" s="23"/>
      <c r="P515" s="23"/>
    </row>
    <row r="516" spans="2:16" x14ac:dyDescent="0.25">
      <c r="B516" s="23"/>
      <c r="E516" s="23"/>
      <c r="G516" s="23"/>
      <c r="H516" s="23"/>
      <c r="J516" s="23"/>
      <c r="K516" s="23"/>
      <c r="M516" s="23"/>
      <c r="N516" s="23"/>
      <c r="P516" s="23"/>
    </row>
    <row r="517" spans="2:16" x14ac:dyDescent="0.25">
      <c r="B517" s="23"/>
      <c r="E517" s="23"/>
      <c r="G517" s="23"/>
      <c r="H517" s="23"/>
      <c r="J517" s="23"/>
      <c r="K517" s="23"/>
      <c r="M517" s="23"/>
      <c r="N517" s="23"/>
      <c r="P517" s="23"/>
    </row>
    <row r="518" spans="2:16" x14ac:dyDescent="0.25">
      <c r="B518" s="23"/>
      <c r="E518" s="23"/>
      <c r="G518" s="23"/>
      <c r="H518" s="23"/>
      <c r="J518" s="23"/>
      <c r="K518" s="23"/>
      <c r="M518" s="23"/>
      <c r="N518" s="23"/>
      <c r="P518" s="23"/>
    </row>
    <row r="519" spans="2:16" x14ac:dyDescent="0.25">
      <c r="B519" s="23"/>
      <c r="E519" s="23"/>
      <c r="G519" s="23"/>
      <c r="H519" s="23"/>
      <c r="J519" s="23"/>
      <c r="K519" s="23"/>
      <c r="M519" s="23"/>
      <c r="N519" s="23"/>
      <c r="P519" s="23"/>
    </row>
    <row r="520" spans="2:16" x14ac:dyDescent="0.25">
      <c r="B520" s="23"/>
      <c r="E520" s="23"/>
      <c r="G520" s="23"/>
      <c r="H520" s="23"/>
      <c r="J520" s="23"/>
      <c r="K520" s="23"/>
      <c r="M520" s="23"/>
      <c r="N520" s="23"/>
      <c r="P520" s="23"/>
    </row>
    <row r="521" spans="2:16" x14ac:dyDescent="0.25">
      <c r="B521" s="23"/>
      <c r="E521" s="23"/>
      <c r="G521" s="23"/>
      <c r="H521" s="23"/>
      <c r="J521" s="23"/>
      <c r="K521" s="23"/>
      <c r="M521" s="23"/>
      <c r="N521" s="23"/>
      <c r="P521" s="23"/>
    </row>
    <row r="522" spans="2:16" x14ac:dyDescent="0.25">
      <c r="B522" s="23"/>
      <c r="E522" s="23"/>
      <c r="G522" s="23"/>
      <c r="H522" s="23"/>
      <c r="J522" s="23"/>
      <c r="K522" s="23"/>
      <c r="M522" s="23"/>
      <c r="N522" s="23"/>
      <c r="P522" s="23"/>
    </row>
    <row r="523" spans="2:16" x14ac:dyDescent="0.25">
      <c r="B523" s="23"/>
      <c r="E523" s="23"/>
      <c r="G523" s="23"/>
      <c r="H523" s="23"/>
      <c r="J523" s="23"/>
      <c r="K523" s="23"/>
      <c r="M523" s="23"/>
      <c r="N523" s="23"/>
      <c r="P523" s="23"/>
    </row>
    <row r="524" spans="2:16" x14ac:dyDescent="0.25">
      <c r="B524" s="23"/>
      <c r="E524" s="23"/>
      <c r="G524" s="23"/>
      <c r="H524" s="23"/>
      <c r="J524" s="23"/>
      <c r="K524" s="23"/>
      <c r="M524" s="23"/>
      <c r="N524" s="23"/>
      <c r="P524" s="23"/>
    </row>
    <row r="525" spans="2:16" x14ac:dyDescent="0.25">
      <c r="B525" s="23"/>
      <c r="E525" s="23"/>
      <c r="G525" s="23"/>
      <c r="H525" s="23"/>
      <c r="J525" s="23"/>
      <c r="K525" s="23"/>
      <c r="M525" s="23"/>
      <c r="N525" s="23"/>
      <c r="P525" s="23"/>
    </row>
    <row r="526" spans="2:16" x14ac:dyDescent="0.25">
      <c r="B526" s="23"/>
      <c r="E526" s="23"/>
      <c r="G526" s="23"/>
      <c r="H526" s="23"/>
      <c r="J526" s="23"/>
      <c r="K526" s="23"/>
      <c r="M526" s="23"/>
      <c r="N526" s="23"/>
      <c r="P526" s="23"/>
    </row>
    <row r="527" spans="2:16" x14ac:dyDescent="0.25">
      <c r="B527" s="23"/>
      <c r="E527" s="23"/>
      <c r="G527" s="23"/>
      <c r="H527" s="23"/>
      <c r="J527" s="23"/>
      <c r="K527" s="23"/>
      <c r="M527" s="23"/>
      <c r="N527" s="23"/>
      <c r="P527" s="23"/>
    </row>
    <row r="528" spans="2:16" x14ac:dyDescent="0.25">
      <c r="B528" s="23"/>
      <c r="E528" s="23"/>
      <c r="G528" s="23"/>
      <c r="H528" s="23"/>
      <c r="J528" s="23"/>
      <c r="K528" s="23"/>
      <c r="M528" s="23"/>
      <c r="N528" s="23"/>
      <c r="P528" s="23"/>
    </row>
    <row r="529" spans="2:16" x14ac:dyDescent="0.25">
      <c r="B529" s="23"/>
      <c r="E529" s="23"/>
      <c r="G529" s="23"/>
      <c r="H529" s="23"/>
      <c r="J529" s="23"/>
      <c r="K529" s="23"/>
      <c r="M529" s="23"/>
      <c r="N529" s="23"/>
      <c r="P529" s="23"/>
    </row>
    <row r="530" spans="2:16" x14ac:dyDescent="0.25">
      <c r="B530" s="23"/>
      <c r="E530" s="23"/>
      <c r="G530" s="23"/>
      <c r="H530" s="23"/>
      <c r="J530" s="23"/>
      <c r="K530" s="23"/>
      <c r="M530" s="23"/>
      <c r="N530" s="23"/>
      <c r="P530" s="23"/>
    </row>
    <row r="531" spans="2:16" x14ac:dyDescent="0.25">
      <c r="B531" s="23"/>
      <c r="E531" s="23"/>
      <c r="G531" s="23"/>
      <c r="H531" s="23"/>
      <c r="J531" s="23"/>
      <c r="K531" s="23"/>
      <c r="M531" s="23"/>
      <c r="N531" s="23"/>
      <c r="P531" s="23"/>
    </row>
    <row r="532" spans="2:16" x14ac:dyDescent="0.25">
      <c r="B532" s="23"/>
      <c r="E532" s="23"/>
      <c r="G532" s="23"/>
      <c r="H532" s="23"/>
      <c r="J532" s="23"/>
      <c r="K532" s="23"/>
      <c r="M532" s="23"/>
      <c r="N532" s="23"/>
      <c r="P532" s="23"/>
    </row>
    <row r="533" spans="2:16" x14ac:dyDescent="0.25">
      <c r="B533" s="23"/>
      <c r="E533" s="23"/>
      <c r="G533" s="23"/>
      <c r="H533" s="23"/>
      <c r="J533" s="23"/>
      <c r="K533" s="23"/>
      <c r="M533" s="23"/>
      <c r="N533" s="23"/>
      <c r="P533" s="23"/>
    </row>
    <row r="534" spans="2:16" x14ac:dyDescent="0.25">
      <c r="B534" s="23"/>
      <c r="E534" s="23"/>
      <c r="G534" s="23"/>
      <c r="H534" s="23"/>
      <c r="J534" s="23"/>
      <c r="K534" s="23"/>
      <c r="M534" s="23"/>
      <c r="N534" s="23"/>
      <c r="P534" s="23"/>
    </row>
    <row r="535" spans="2:16" x14ac:dyDescent="0.25">
      <c r="B535" s="23"/>
      <c r="E535" s="23"/>
      <c r="G535" s="23"/>
      <c r="H535" s="23"/>
      <c r="J535" s="23"/>
      <c r="K535" s="23"/>
      <c r="M535" s="23"/>
      <c r="N535" s="23"/>
      <c r="P535" s="23"/>
    </row>
    <row r="536" spans="2:16" x14ac:dyDescent="0.25">
      <c r="B536" s="23"/>
      <c r="E536" s="23"/>
      <c r="G536" s="23"/>
      <c r="H536" s="23"/>
      <c r="J536" s="23"/>
      <c r="K536" s="23"/>
      <c r="M536" s="23"/>
      <c r="N536" s="23"/>
      <c r="P536" s="23"/>
    </row>
    <row r="537" spans="2:16" x14ac:dyDescent="0.25">
      <c r="B537" s="23"/>
      <c r="E537" s="23"/>
      <c r="G537" s="23"/>
      <c r="H537" s="23"/>
      <c r="J537" s="23"/>
      <c r="K537" s="23"/>
      <c r="M537" s="23"/>
      <c r="N537" s="23"/>
      <c r="P537" s="23"/>
    </row>
    <row r="538" spans="2:16" x14ac:dyDescent="0.25">
      <c r="B538" s="23"/>
      <c r="E538" s="23"/>
      <c r="G538" s="23"/>
      <c r="H538" s="23"/>
      <c r="J538" s="23"/>
      <c r="K538" s="23"/>
      <c r="M538" s="23"/>
      <c r="N538" s="23"/>
      <c r="P538" s="23"/>
    </row>
    <row r="539" spans="2:16" x14ac:dyDescent="0.25">
      <c r="B539" s="23"/>
      <c r="E539" s="23"/>
      <c r="G539" s="23"/>
      <c r="H539" s="23"/>
      <c r="J539" s="23"/>
      <c r="K539" s="23"/>
      <c r="M539" s="23"/>
      <c r="N539" s="23"/>
      <c r="P539" s="23"/>
    </row>
    <row r="540" spans="2:16" x14ac:dyDescent="0.25">
      <c r="B540" s="23"/>
      <c r="E540" s="23"/>
      <c r="G540" s="23"/>
      <c r="H540" s="23"/>
      <c r="J540" s="23"/>
      <c r="K540" s="23"/>
      <c r="M540" s="23"/>
      <c r="N540" s="23"/>
      <c r="P540" s="23"/>
    </row>
    <row r="541" spans="2:16" x14ac:dyDescent="0.25">
      <c r="B541" s="23"/>
      <c r="E541" s="23"/>
      <c r="G541" s="23"/>
      <c r="H541" s="23"/>
      <c r="J541" s="23"/>
      <c r="K541" s="23"/>
      <c r="M541" s="23"/>
      <c r="N541" s="23"/>
      <c r="P541" s="23"/>
    </row>
    <row r="542" spans="2:16" x14ac:dyDescent="0.25">
      <c r="B542" s="23"/>
      <c r="E542" s="23"/>
      <c r="G542" s="23"/>
      <c r="H542" s="23"/>
      <c r="J542" s="23"/>
      <c r="K542" s="23"/>
      <c r="M542" s="23"/>
      <c r="N542" s="23"/>
      <c r="P542" s="23"/>
    </row>
    <row r="543" spans="2:16" x14ac:dyDescent="0.25">
      <c r="B543" s="23"/>
      <c r="E543" s="23"/>
      <c r="G543" s="23"/>
      <c r="H543" s="23"/>
      <c r="J543" s="23"/>
      <c r="K543" s="23"/>
      <c r="M543" s="23"/>
      <c r="N543" s="23"/>
      <c r="P543" s="23"/>
    </row>
    <row r="544" spans="2:16" x14ac:dyDescent="0.25">
      <c r="B544" s="23"/>
      <c r="E544" s="23"/>
      <c r="G544" s="23"/>
      <c r="H544" s="23"/>
      <c r="J544" s="23"/>
      <c r="K544" s="23"/>
      <c r="M544" s="23"/>
      <c r="N544" s="23"/>
      <c r="P544" s="23"/>
    </row>
    <row r="545" spans="2:16" x14ac:dyDescent="0.25">
      <c r="B545" s="23"/>
      <c r="E545" s="23"/>
      <c r="G545" s="23"/>
      <c r="H545" s="23"/>
      <c r="J545" s="23"/>
      <c r="K545" s="23"/>
      <c r="M545" s="23"/>
      <c r="N545" s="23"/>
      <c r="P545" s="23"/>
    </row>
    <row r="546" spans="2:16" x14ac:dyDescent="0.25">
      <c r="B546" s="23"/>
      <c r="E546" s="23"/>
      <c r="G546" s="23"/>
      <c r="H546" s="23"/>
      <c r="J546" s="23"/>
      <c r="K546" s="23"/>
      <c r="M546" s="23"/>
      <c r="N546" s="23"/>
      <c r="P546" s="23"/>
    </row>
    <row r="547" spans="2:16" x14ac:dyDescent="0.25">
      <c r="B547" s="23"/>
      <c r="E547" s="23"/>
      <c r="G547" s="23"/>
      <c r="H547" s="23"/>
      <c r="J547" s="23"/>
      <c r="K547" s="23"/>
      <c r="M547" s="23"/>
      <c r="N547" s="23"/>
      <c r="P547" s="23"/>
    </row>
    <row r="548" spans="2:16" x14ac:dyDescent="0.25">
      <c r="B548" s="23"/>
      <c r="E548" s="23"/>
      <c r="G548" s="23"/>
      <c r="H548" s="23"/>
      <c r="J548" s="23"/>
      <c r="K548" s="23"/>
      <c r="M548" s="23"/>
      <c r="N548" s="23"/>
      <c r="P548" s="23"/>
    </row>
    <row r="549" spans="2:16" x14ac:dyDescent="0.25">
      <c r="B549" s="23"/>
      <c r="E549" s="23"/>
      <c r="G549" s="23"/>
      <c r="H549" s="23"/>
      <c r="J549" s="23"/>
      <c r="K549" s="23"/>
      <c r="M549" s="23"/>
      <c r="N549" s="23"/>
      <c r="P549" s="23"/>
    </row>
    <row r="550" spans="2:16" x14ac:dyDescent="0.25">
      <c r="B550" s="23"/>
      <c r="E550" s="23"/>
      <c r="G550" s="23"/>
      <c r="H550" s="23"/>
      <c r="J550" s="23"/>
      <c r="K550" s="23"/>
      <c r="M550" s="23"/>
      <c r="N550" s="23"/>
      <c r="P550" s="23"/>
    </row>
    <row r="551" spans="2:16" x14ac:dyDescent="0.25">
      <c r="B551" s="23"/>
      <c r="E551" s="23"/>
      <c r="G551" s="23"/>
      <c r="H551" s="23"/>
      <c r="J551" s="23"/>
      <c r="K551" s="23"/>
      <c r="M551" s="23"/>
      <c r="N551" s="23"/>
      <c r="P551" s="23"/>
    </row>
    <row r="552" spans="2:16" x14ac:dyDescent="0.25">
      <c r="B552" s="23"/>
      <c r="E552" s="23"/>
      <c r="G552" s="23"/>
      <c r="H552" s="23"/>
      <c r="J552" s="23"/>
      <c r="K552" s="23"/>
      <c r="M552" s="23"/>
      <c r="N552" s="23"/>
      <c r="P552" s="23"/>
    </row>
    <row r="553" spans="2:16" x14ac:dyDescent="0.25">
      <c r="B553" s="23"/>
      <c r="E553" s="23"/>
      <c r="G553" s="23"/>
      <c r="H553" s="23"/>
      <c r="J553" s="23"/>
      <c r="K553" s="23"/>
      <c r="M553" s="23"/>
      <c r="N553" s="23"/>
      <c r="P553" s="23"/>
    </row>
    <row r="554" spans="2:16" x14ac:dyDescent="0.25">
      <c r="B554" s="23"/>
      <c r="E554" s="23"/>
      <c r="G554" s="23"/>
      <c r="H554" s="23"/>
      <c r="J554" s="23"/>
      <c r="K554" s="23"/>
      <c r="M554" s="23"/>
      <c r="N554" s="23"/>
      <c r="P554" s="23"/>
    </row>
    <row r="555" spans="2:16" x14ac:dyDescent="0.25">
      <c r="B555" s="23"/>
      <c r="E555" s="23"/>
      <c r="G555" s="23"/>
      <c r="H555" s="23"/>
      <c r="J555" s="23"/>
      <c r="K555" s="23"/>
      <c r="M555" s="23"/>
      <c r="N555" s="23"/>
      <c r="P555" s="23"/>
    </row>
    <row r="556" spans="2:16" x14ac:dyDescent="0.25">
      <c r="B556" s="23"/>
      <c r="E556" s="23"/>
      <c r="G556" s="23"/>
      <c r="H556" s="23"/>
      <c r="J556" s="23"/>
      <c r="K556" s="23"/>
      <c r="M556" s="23"/>
      <c r="N556" s="23"/>
      <c r="P556" s="23"/>
    </row>
    <row r="557" spans="2:16" x14ac:dyDescent="0.25">
      <c r="B557" s="23"/>
      <c r="E557" s="23"/>
      <c r="G557" s="23"/>
      <c r="H557" s="23"/>
      <c r="J557" s="23"/>
      <c r="K557" s="23"/>
      <c r="M557" s="23"/>
      <c r="N557" s="23"/>
      <c r="P557" s="23"/>
    </row>
    <row r="558" spans="2:16" x14ac:dyDescent="0.25">
      <c r="B558" s="23"/>
      <c r="E558" s="23"/>
      <c r="G558" s="23"/>
      <c r="H558" s="23"/>
      <c r="J558" s="23"/>
      <c r="K558" s="23"/>
      <c r="M558" s="23"/>
      <c r="N558" s="23"/>
      <c r="P558" s="23"/>
    </row>
    <row r="559" spans="2:16" x14ac:dyDescent="0.25">
      <c r="B559" s="23"/>
      <c r="E559" s="23"/>
      <c r="G559" s="23"/>
      <c r="H559" s="23"/>
      <c r="J559" s="23"/>
      <c r="K559" s="23"/>
      <c r="M559" s="23"/>
      <c r="N559" s="23"/>
      <c r="P559" s="23"/>
    </row>
    <row r="560" spans="2:16" x14ac:dyDescent="0.25">
      <c r="B560" s="23"/>
      <c r="E560" s="23"/>
      <c r="G560" s="23"/>
      <c r="H560" s="23"/>
      <c r="J560" s="23"/>
      <c r="K560" s="23"/>
      <c r="M560" s="23"/>
      <c r="N560" s="23"/>
      <c r="P560" s="23"/>
    </row>
    <row r="561" spans="2:16" x14ac:dyDescent="0.25">
      <c r="B561" s="23"/>
      <c r="E561" s="23"/>
      <c r="G561" s="23"/>
      <c r="H561" s="23"/>
      <c r="J561" s="23"/>
      <c r="K561" s="23"/>
      <c r="M561" s="23"/>
      <c r="N561" s="23"/>
      <c r="P561" s="23"/>
    </row>
    <row r="562" spans="2:16" x14ac:dyDescent="0.25">
      <c r="B562" s="23"/>
      <c r="E562" s="23"/>
      <c r="G562" s="23"/>
      <c r="H562" s="23"/>
      <c r="J562" s="23"/>
      <c r="K562" s="23"/>
      <c r="M562" s="23"/>
      <c r="N562" s="23"/>
      <c r="P562" s="23"/>
    </row>
    <row r="563" spans="2:16" x14ac:dyDescent="0.25">
      <c r="B563" s="23"/>
      <c r="E563" s="23"/>
      <c r="G563" s="23"/>
      <c r="H563" s="23"/>
      <c r="J563" s="23"/>
      <c r="K563" s="23"/>
      <c r="M563" s="23"/>
      <c r="N563" s="23"/>
      <c r="P563" s="23"/>
    </row>
    <row r="564" spans="2:16" x14ac:dyDescent="0.25">
      <c r="B564" s="23"/>
      <c r="E564" s="23"/>
      <c r="G564" s="23"/>
      <c r="H564" s="23"/>
      <c r="J564" s="23"/>
      <c r="K564" s="23"/>
      <c r="M564" s="23"/>
      <c r="N564" s="23"/>
      <c r="P564" s="23"/>
    </row>
    <row r="565" spans="2:16" x14ac:dyDescent="0.25">
      <c r="B565" s="23"/>
      <c r="E565" s="23"/>
      <c r="G565" s="23"/>
      <c r="H565" s="23"/>
      <c r="J565" s="23"/>
      <c r="K565" s="23"/>
      <c r="M565" s="23"/>
      <c r="N565" s="23"/>
      <c r="P565" s="23"/>
    </row>
    <row r="566" spans="2:16" x14ac:dyDescent="0.25">
      <c r="B566" s="23"/>
      <c r="E566" s="23"/>
      <c r="G566" s="23"/>
      <c r="H566" s="23"/>
      <c r="J566" s="23"/>
      <c r="K566" s="23"/>
      <c r="M566" s="23"/>
      <c r="N566" s="23"/>
      <c r="P566" s="23"/>
    </row>
    <row r="567" spans="2:16" x14ac:dyDescent="0.25">
      <c r="B567" s="23"/>
      <c r="E567" s="23"/>
      <c r="G567" s="23"/>
      <c r="H567" s="23"/>
      <c r="J567" s="23"/>
      <c r="K567" s="23"/>
      <c r="M567" s="23"/>
      <c r="N567" s="23"/>
      <c r="P567" s="23"/>
    </row>
    <row r="568" spans="2:16" x14ac:dyDescent="0.25">
      <c r="B568" s="23"/>
      <c r="E568" s="23"/>
      <c r="G568" s="23"/>
      <c r="H568" s="23"/>
      <c r="J568" s="23"/>
      <c r="K568" s="23"/>
      <c r="M568" s="23"/>
      <c r="N568" s="23"/>
      <c r="P568" s="23"/>
    </row>
    <row r="569" spans="2:16" x14ac:dyDescent="0.25">
      <c r="B569" s="23"/>
      <c r="E569" s="23"/>
      <c r="G569" s="23"/>
      <c r="H569" s="23"/>
      <c r="J569" s="23"/>
      <c r="K569" s="23"/>
      <c r="M569" s="23"/>
      <c r="N569" s="23"/>
      <c r="P569" s="23"/>
    </row>
    <row r="570" spans="2:16" x14ac:dyDescent="0.25">
      <c r="B570" s="23"/>
      <c r="E570" s="23"/>
      <c r="G570" s="23"/>
      <c r="H570" s="23"/>
      <c r="J570" s="23"/>
      <c r="K570" s="23"/>
      <c r="M570" s="23"/>
      <c r="N570" s="23"/>
      <c r="P570" s="23"/>
    </row>
    <row r="571" spans="2:16" x14ac:dyDescent="0.25">
      <c r="B571" s="23"/>
      <c r="E571" s="23"/>
      <c r="G571" s="23"/>
      <c r="H571" s="23"/>
      <c r="J571" s="23"/>
      <c r="K571" s="23"/>
      <c r="M571" s="23"/>
      <c r="N571" s="23"/>
      <c r="P571" s="23"/>
    </row>
    <row r="572" spans="2:16" x14ac:dyDescent="0.25">
      <c r="B572" s="23"/>
      <c r="E572" s="23"/>
      <c r="G572" s="23"/>
      <c r="H572" s="23"/>
      <c r="J572" s="23"/>
      <c r="K572" s="23"/>
      <c r="M572" s="23"/>
      <c r="N572" s="23"/>
      <c r="P572" s="23"/>
    </row>
    <row r="573" spans="2:16" x14ac:dyDescent="0.25">
      <c r="B573" s="23"/>
      <c r="E573" s="23"/>
      <c r="G573" s="23"/>
      <c r="H573" s="23"/>
      <c r="J573" s="23"/>
      <c r="K573" s="23"/>
      <c r="M573" s="23"/>
      <c r="N573" s="23"/>
      <c r="P573" s="23"/>
    </row>
    <row r="574" spans="2:16" x14ac:dyDescent="0.25">
      <c r="B574" s="23"/>
      <c r="E574" s="23"/>
      <c r="G574" s="23"/>
      <c r="H574" s="23"/>
      <c r="J574" s="23"/>
      <c r="K574" s="23"/>
      <c r="M574" s="23"/>
      <c r="N574" s="23"/>
      <c r="P574" s="23"/>
    </row>
    <row r="575" spans="2:16" x14ac:dyDescent="0.25">
      <c r="B575" s="23"/>
      <c r="E575" s="23"/>
      <c r="G575" s="23"/>
      <c r="H575" s="23"/>
      <c r="J575" s="23"/>
      <c r="K575" s="23"/>
      <c r="M575" s="23"/>
      <c r="N575" s="23"/>
      <c r="P575" s="23"/>
    </row>
    <row r="576" spans="2:16" x14ac:dyDescent="0.25">
      <c r="B576" s="23"/>
      <c r="E576" s="23"/>
      <c r="G576" s="23"/>
      <c r="H576" s="23"/>
      <c r="J576" s="23"/>
      <c r="K576" s="23"/>
      <c r="M576" s="23"/>
      <c r="N576" s="23"/>
      <c r="P576" s="23"/>
    </row>
    <row r="577" spans="2:16" x14ac:dyDescent="0.25">
      <c r="B577" s="23"/>
      <c r="E577" s="23"/>
      <c r="G577" s="23"/>
      <c r="H577" s="23"/>
      <c r="J577" s="23"/>
      <c r="K577" s="23"/>
      <c r="M577" s="23"/>
      <c r="N577" s="23"/>
      <c r="P577" s="23"/>
    </row>
    <row r="578" spans="2:16" x14ac:dyDescent="0.25">
      <c r="B578" s="23"/>
      <c r="E578" s="23"/>
      <c r="G578" s="23"/>
      <c r="H578" s="23"/>
      <c r="J578" s="23"/>
      <c r="K578" s="23"/>
      <c r="M578" s="23"/>
      <c r="N578" s="23"/>
      <c r="P578" s="23"/>
    </row>
    <row r="579" spans="2:16" x14ac:dyDescent="0.25">
      <c r="B579" s="23"/>
      <c r="E579" s="23"/>
      <c r="G579" s="23"/>
      <c r="H579" s="23"/>
      <c r="J579" s="23"/>
      <c r="K579" s="23"/>
      <c r="M579" s="23"/>
      <c r="N579" s="23"/>
      <c r="P579" s="23"/>
    </row>
    <row r="580" spans="2:16" x14ac:dyDescent="0.25">
      <c r="B580" s="23"/>
      <c r="E580" s="23"/>
      <c r="G580" s="23"/>
      <c r="H580" s="23"/>
      <c r="J580" s="23"/>
      <c r="K580" s="23"/>
      <c r="M580" s="23"/>
      <c r="N580" s="23"/>
      <c r="P580" s="23"/>
    </row>
    <row r="581" spans="2:16" x14ac:dyDescent="0.25">
      <c r="B581" s="23"/>
      <c r="E581" s="23"/>
      <c r="G581" s="23"/>
      <c r="H581" s="23"/>
      <c r="J581" s="23"/>
      <c r="K581" s="23"/>
      <c r="M581" s="23"/>
      <c r="N581" s="23"/>
      <c r="P581" s="23"/>
    </row>
    <row r="582" spans="2:16" x14ac:dyDescent="0.25">
      <c r="B582" s="23"/>
      <c r="E582" s="23"/>
      <c r="G582" s="23"/>
      <c r="H582" s="23"/>
      <c r="J582" s="23"/>
      <c r="K582" s="23"/>
      <c r="M582" s="23"/>
      <c r="N582" s="23"/>
      <c r="P582" s="23"/>
    </row>
    <row r="583" spans="2:16" x14ac:dyDescent="0.25">
      <c r="B583" s="23"/>
      <c r="E583" s="23"/>
      <c r="G583" s="23"/>
      <c r="H583" s="23"/>
      <c r="J583" s="23"/>
      <c r="K583" s="23"/>
      <c r="M583" s="23"/>
      <c r="N583" s="23"/>
      <c r="P583" s="23"/>
    </row>
    <row r="584" spans="2:16" x14ac:dyDescent="0.25">
      <c r="B584" s="23"/>
      <c r="E584" s="23"/>
      <c r="G584" s="23"/>
      <c r="H584" s="23"/>
      <c r="J584" s="23"/>
      <c r="K584" s="23"/>
      <c r="M584" s="23"/>
      <c r="N584" s="23"/>
      <c r="P584" s="23"/>
    </row>
    <row r="585" spans="2:16" x14ac:dyDescent="0.25">
      <c r="B585" s="23"/>
      <c r="E585" s="23"/>
      <c r="G585" s="23"/>
      <c r="H585" s="23"/>
      <c r="J585" s="23"/>
      <c r="K585" s="23"/>
      <c r="M585" s="23"/>
      <c r="N585" s="23"/>
      <c r="P585" s="23"/>
    </row>
    <row r="586" spans="2:16" x14ac:dyDescent="0.25">
      <c r="B586" s="23"/>
      <c r="E586" s="23"/>
      <c r="G586" s="23"/>
      <c r="H586" s="23"/>
      <c r="J586" s="23"/>
      <c r="K586" s="23"/>
      <c r="M586" s="23"/>
      <c r="N586" s="23"/>
      <c r="P586" s="23"/>
    </row>
    <row r="587" spans="2:16" x14ac:dyDescent="0.25">
      <c r="B587" s="23"/>
      <c r="E587" s="23"/>
      <c r="G587" s="23"/>
      <c r="H587" s="23"/>
      <c r="J587" s="23"/>
      <c r="K587" s="23"/>
      <c r="M587" s="23"/>
      <c r="N587" s="23"/>
      <c r="P587" s="23"/>
    </row>
    <row r="588" spans="2:16" x14ac:dyDescent="0.25">
      <c r="B588" s="23"/>
      <c r="E588" s="23"/>
      <c r="G588" s="23"/>
      <c r="H588" s="23"/>
      <c r="J588" s="23"/>
      <c r="K588" s="23"/>
      <c r="M588" s="23"/>
      <c r="N588" s="23"/>
      <c r="P588" s="23"/>
    </row>
    <row r="589" spans="2:16" x14ac:dyDescent="0.25">
      <c r="B589" s="23"/>
      <c r="E589" s="23"/>
      <c r="G589" s="23"/>
      <c r="H589" s="23"/>
      <c r="J589" s="23"/>
      <c r="K589" s="23"/>
      <c r="M589" s="23"/>
      <c r="N589" s="23"/>
      <c r="P589" s="23"/>
    </row>
    <row r="590" spans="2:16" x14ac:dyDescent="0.25">
      <c r="B590" s="23"/>
      <c r="E590" s="23"/>
      <c r="G590" s="23"/>
      <c r="H590" s="23"/>
      <c r="J590" s="23"/>
      <c r="K590" s="23"/>
      <c r="M590" s="23"/>
      <c r="N590" s="23"/>
      <c r="P590" s="23"/>
    </row>
    <row r="591" spans="2:16" x14ac:dyDescent="0.25">
      <c r="B591" s="23"/>
      <c r="E591" s="23"/>
      <c r="G591" s="23"/>
      <c r="H591" s="23"/>
      <c r="J591" s="23"/>
      <c r="K591" s="23"/>
      <c r="M591" s="23"/>
      <c r="N591" s="23"/>
      <c r="P591" s="23"/>
    </row>
    <row r="592" spans="2:16" x14ac:dyDescent="0.25">
      <c r="B592" s="23"/>
      <c r="E592" s="23"/>
      <c r="G592" s="23"/>
      <c r="H592" s="23"/>
      <c r="J592" s="23"/>
      <c r="K592" s="23"/>
      <c r="M592" s="23"/>
      <c r="N592" s="23"/>
      <c r="P592" s="23"/>
    </row>
    <row r="593" spans="2:16" x14ac:dyDescent="0.25">
      <c r="B593" s="23"/>
      <c r="E593" s="23"/>
      <c r="G593" s="23"/>
      <c r="H593" s="23"/>
      <c r="J593" s="23"/>
      <c r="K593" s="23"/>
      <c r="M593" s="23"/>
      <c r="N593" s="23"/>
      <c r="P593" s="23"/>
    </row>
    <row r="594" spans="2:16" x14ac:dyDescent="0.25">
      <c r="B594" s="23"/>
      <c r="E594" s="23"/>
      <c r="G594" s="23"/>
      <c r="H594" s="23"/>
      <c r="J594" s="23"/>
      <c r="K594" s="23"/>
      <c r="M594" s="23"/>
      <c r="N594" s="23"/>
      <c r="P594" s="23"/>
    </row>
    <row r="595" spans="2:16" x14ac:dyDescent="0.25">
      <c r="B595" s="23"/>
      <c r="E595" s="23"/>
      <c r="G595" s="23"/>
      <c r="H595" s="23"/>
      <c r="J595" s="23"/>
      <c r="K595" s="23"/>
      <c r="M595" s="23"/>
      <c r="N595" s="23"/>
      <c r="P595" s="23"/>
    </row>
    <row r="596" spans="2:16" x14ac:dyDescent="0.25">
      <c r="B596" s="23"/>
      <c r="E596" s="23"/>
      <c r="G596" s="23"/>
      <c r="H596" s="23"/>
      <c r="J596" s="23"/>
      <c r="K596" s="23"/>
      <c r="M596" s="23"/>
      <c r="N596" s="23"/>
      <c r="P596" s="23"/>
    </row>
    <row r="597" spans="2:16" x14ac:dyDescent="0.25">
      <c r="B597" s="23"/>
      <c r="E597" s="23"/>
      <c r="G597" s="23"/>
      <c r="H597" s="23"/>
      <c r="J597" s="23"/>
      <c r="K597" s="23"/>
      <c r="M597" s="23"/>
      <c r="N597" s="23"/>
      <c r="P597" s="23"/>
    </row>
    <row r="598" spans="2:16" x14ac:dyDescent="0.25">
      <c r="B598" s="23"/>
      <c r="E598" s="23"/>
      <c r="G598" s="23"/>
      <c r="H598" s="23"/>
      <c r="J598" s="23"/>
      <c r="K598" s="23"/>
      <c r="M598" s="23"/>
      <c r="N598" s="23"/>
      <c r="P598" s="23"/>
    </row>
    <row r="599" spans="2:16" x14ac:dyDescent="0.25">
      <c r="B599" s="23"/>
      <c r="E599" s="23"/>
      <c r="G599" s="23"/>
      <c r="H599" s="23"/>
      <c r="J599" s="23"/>
      <c r="K599" s="23"/>
      <c r="M599" s="23"/>
      <c r="N599" s="23"/>
      <c r="P599" s="23"/>
    </row>
    <row r="600" spans="2:16" x14ac:dyDescent="0.25">
      <c r="B600" s="23"/>
      <c r="E600" s="23"/>
      <c r="G600" s="23"/>
      <c r="H600" s="23"/>
      <c r="J600" s="23"/>
      <c r="K600" s="23"/>
      <c r="M600" s="23"/>
      <c r="N600" s="23"/>
      <c r="P600" s="23"/>
    </row>
    <row r="601" spans="2:16" x14ac:dyDescent="0.25">
      <c r="B601" s="23"/>
      <c r="E601" s="23"/>
      <c r="G601" s="23"/>
      <c r="H601" s="23"/>
      <c r="J601" s="23"/>
      <c r="K601" s="23"/>
      <c r="M601" s="23"/>
      <c r="N601" s="23"/>
      <c r="P601" s="23"/>
    </row>
    <row r="602" spans="2:16" x14ac:dyDescent="0.25">
      <c r="B602" s="23"/>
      <c r="E602" s="23"/>
      <c r="G602" s="23"/>
      <c r="H602" s="23"/>
      <c r="J602" s="23"/>
      <c r="K602" s="23"/>
      <c r="M602" s="23"/>
      <c r="N602" s="23"/>
      <c r="P602" s="23"/>
    </row>
    <row r="603" spans="2:16" x14ac:dyDescent="0.25">
      <c r="B603" s="23"/>
      <c r="E603" s="23"/>
      <c r="G603" s="23"/>
      <c r="H603" s="23"/>
      <c r="J603" s="23"/>
      <c r="K603" s="23"/>
      <c r="M603" s="23"/>
      <c r="N603" s="23"/>
      <c r="P603" s="23"/>
    </row>
    <row r="604" spans="2:16" x14ac:dyDescent="0.25">
      <c r="B604" s="23"/>
      <c r="E604" s="23"/>
      <c r="G604" s="23"/>
      <c r="H604" s="23"/>
      <c r="J604" s="23"/>
      <c r="K604" s="23"/>
      <c r="M604" s="23"/>
      <c r="N604" s="23"/>
      <c r="P604" s="23"/>
    </row>
    <row r="605" spans="2:16" x14ac:dyDescent="0.25">
      <c r="B605" s="23"/>
      <c r="E605" s="23"/>
      <c r="G605" s="23"/>
      <c r="H605" s="23"/>
      <c r="J605" s="23"/>
      <c r="K605" s="23"/>
      <c r="M605" s="23"/>
      <c r="N605" s="23"/>
      <c r="P605" s="23"/>
    </row>
    <row r="606" spans="2:16" x14ac:dyDescent="0.25">
      <c r="B606" s="23"/>
      <c r="E606" s="23"/>
      <c r="G606" s="23"/>
      <c r="H606" s="23"/>
      <c r="J606" s="23"/>
      <c r="K606" s="23"/>
      <c r="M606" s="23"/>
      <c r="N606" s="23"/>
      <c r="P606" s="23"/>
    </row>
    <row r="607" spans="2:16" x14ac:dyDescent="0.25">
      <c r="B607" s="23"/>
      <c r="E607" s="23"/>
      <c r="G607" s="23"/>
      <c r="H607" s="23"/>
      <c r="J607" s="23"/>
      <c r="K607" s="23"/>
      <c r="M607" s="23"/>
      <c r="N607" s="23"/>
      <c r="P607" s="23"/>
    </row>
    <row r="608" spans="2:16" x14ac:dyDescent="0.25">
      <c r="B608" s="23"/>
      <c r="E608" s="23"/>
      <c r="G608" s="23"/>
      <c r="H608" s="23"/>
      <c r="J608" s="23"/>
      <c r="K608" s="23"/>
      <c r="M608" s="23"/>
      <c r="N608" s="23"/>
      <c r="P608" s="23"/>
    </row>
    <row r="609" spans="2:16" x14ac:dyDescent="0.25">
      <c r="B609" s="23"/>
      <c r="E609" s="23"/>
      <c r="G609" s="23"/>
      <c r="H609" s="23"/>
      <c r="J609" s="23"/>
      <c r="K609" s="23"/>
      <c r="M609" s="23"/>
      <c r="N609" s="23"/>
      <c r="P609" s="23"/>
    </row>
    <row r="610" spans="2:16" x14ac:dyDescent="0.25">
      <c r="B610" s="23"/>
      <c r="E610" s="23"/>
      <c r="G610" s="23"/>
      <c r="H610" s="23"/>
      <c r="J610" s="23"/>
      <c r="K610" s="23"/>
      <c r="M610" s="23"/>
      <c r="N610" s="23"/>
      <c r="P610" s="23"/>
    </row>
    <row r="611" spans="2:16" x14ac:dyDescent="0.25">
      <c r="B611" s="23"/>
      <c r="E611" s="23"/>
      <c r="G611" s="23"/>
      <c r="H611" s="23"/>
      <c r="J611" s="23"/>
      <c r="K611" s="23"/>
      <c r="M611" s="23"/>
      <c r="N611" s="23"/>
      <c r="P611" s="23"/>
    </row>
    <row r="612" spans="2:16" x14ac:dyDescent="0.25">
      <c r="B612" s="23"/>
      <c r="E612" s="23"/>
      <c r="G612" s="23"/>
      <c r="H612" s="23"/>
      <c r="J612" s="23"/>
      <c r="K612" s="23"/>
      <c r="M612" s="23"/>
      <c r="N612" s="23"/>
      <c r="P612" s="23"/>
    </row>
    <row r="613" spans="2:16" x14ac:dyDescent="0.25">
      <c r="B613" s="23"/>
      <c r="E613" s="23"/>
      <c r="G613" s="23"/>
      <c r="H613" s="23"/>
      <c r="J613" s="23"/>
      <c r="K613" s="23"/>
      <c r="M613" s="23"/>
      <c r="N613" s="23"/>
      <c r="P613" s="23"/>
    </row>
    <row r="614" spans="2:16" x14ac:dyDescent="0.25">
      <c r="B614" s="23"/>
      <c r="E614" s="23"/>
      <c r="G614" s="23"/>
      <c r="H614" s="23"/>
      <c r="J614" s="23"/>
      <c r="K614" s="23"/>
      <c r="M614" s="23"/>
      <c r="N614" s="23"/>
      <c r="P614" s="23"/>
    </row>
    <row r="615" spans="2:16" x14ac:dyDescent="0.25">
      <c r="B615" s="23"/>
      <c r="E615" s="23"/>
      <c r="G615" s="23"/>
      <c r="H615" s="23"/>
      <c r="J615" s="23"/>
      <c r="K615" s="23"/>
      <c r="M615" s="23"/>
      <c r="N615" s="23"/>
      <c r="P615" s="23"/>
    </row>
    <row r="616" spans="2:16" x14ac:dyDescent="0.25">
      <c r="B616" s="23"/>
      <c r="E616" s="23"/>
      <c r="G616" s="23"/>
      <c r="H616" s="23"/>
      <c r="J616" s="23"/>
      <c r="K616" s="23"/>
      <c r="M616" s="23"/>
      <c r="N616" s="23"/>
      <c r="P616" s="23"/>
    </row>
    <row r="617" spans="2:16" x14ac:dyDescent="0.25">
      <c r="B617" s="23"/>
      <c r="E617" s="23"/>
      <c r="G617" s="23"/>
      <c r="H617" s="23"/>
      <c r="J617" s="23"/>
      <c r="K617" s="23"/>
      <c r="M617" s="23"/>
      <c r="N617" s="23"/>
      <c r="P617" s="23"/>
    </row>
    <row r="618" spans="2:16" x14ac:dyDescent="0.25">
      <c r="B618" s="23"/>
      <c r="E618" s="23"/>
      <c r="G618" s="23"/>
      <c r="H618" s="23"/>
      <c r="J618" s="23"/>
      <c r="K618" s="23"/>
      <c r="M618" s="23"/>
      <c r="N618" s="23"/>
      <c r="P618" s="23"/>
    </row>
    <row r="619" spans="2:16" x14ac:dyDescent="0.25">
      <c r="B619" s="23"/>
      <c r="E619" s="23"/>
      <c r="G619" s="23"/>
      <c r="H619" s="23"/>
      <c r="J619" s="23"/>
      <c r="K619" s="23"/>
      <c r="M619" s="23"/>
      <c r="N619" s="23"/>
      <c r="P619" s="23"/>
    </row>
    <row r="620" spans="2:16" x14ac:dyDescent="0.25">
      <c r="B620" s="23"/>
      <c r="E620" s="23"/>
      <c r="G620" s="23"/>
      <c r="H620" s="23"/>
      <c r="J620" s="23"/>
      <c r="K620" s="23"/>
      <c r="M620" s="23"/>
      <c r="N620" s="23"/>
      <c r="P620" s="23"/>
    </row>
    <row r="621" spans="2:16" x14ac:dyDescent="0.25">
      <c r="B621" s="23"/>
      <c r="E621" s="23"/>
      <c r="G621" s="23"/>
      <c r="H621" s="23"/>
      <c r="J621" s="23"/>
      <c r="K621" s="23"/>
      <c r="M621" s="23"/>
      <c r="N621" s="23"/>
      <c r="P621" s="23"/>
    </row>
    <row r="622" spans="2:16" x14ac:dyDescent="0.25">
      <c r="B622" s="23"/>
      <c r="E622" s="23"/>
      <c r="G622" s="23"/>
      <c r="H622" s="23"/>
      <c r="J622" s="23"/>
      <c r="K622" s="23"/>
      <c r="M622" s="23"/>
      <c r="N622" s="23"/>
      <c r="P622" s="23"/>
    </row>
    <row r="623" spans="2:16" x14ac:dyDescent="0.25">
      <c r="B623" s="23"/>
      <c r="E623" s="23"/>
      <c r="G623" s="23"/>
      <c r="H623" s="23"/>
      <c r="J623" s="23"/>
      <c r="K623" s="23"/>
      <c r="M623" s="23"/>
      <c r="N623" s="23"/>
      <c r="P623" s="23"/>
    </row>
    <row r="624" spans="2:16" x14ac:dyDescent="0.25">
      <c r="B624" s="23"/>
      <c r="E624" s="23"/>
      <c r="G624" s="23"/>
      <c r="H624" s="23"/>
      <c r="J624" s="23"/>
      <c r="K624" s="23"/>
      <c r="M624" s="23"/>
      <c r="N624" s="23"/>
      <c r="P624" s="23"/>
    </row>
    <row r="625" spans="2:16" x14ac:dyDescent="0.25">
      <c r="B625" s="23"/>
      <c r="E625" s="23"/>
      <c r="G625" s="23"/>
      <c r="H625" s="23"/>
      <c r="J625" s="23"/>
      <c r="K625" s="23"/>
      <c r="M625" s="23"/>
      <c r="N625" s="23"/>
      <c r="P625" s="23"/>
    </row>
    <row r="626" spans="2:16" x14ac:dyDescent="0.25">
      <c r="B626" s="23"/>
      <c r="E626" s="23"/>
      <c r="G626" s="23"/>
      <c r="H626" s="23"/>
      <c r="J626" s="23"/>
      <c r="K626" s="23"/>
      <c r="M626" s="23"/>
      <c r="N626" s="23"/>
      <c r="P626" s="23"/>
    </row>
    <row r="627" spans="2:16" x14ac:dyDescent="0.25">
      <c r="B627" s="23"/>
      <c r="E627" s="23"/>
      <c r="G627" s="23"/>
      <c r="H627" s="23"/>
      <c r="J627" s="23"/>
      <c r="K627" s="23"/>
      <c r="M627" s="23"/>
      <c r="N627" s="23"/>
      <c r="P627" s="23"/>
    </row>
    <row r="628" spans="2:16" x14ac:dyDescent="0.25">
      <c r="B628" s="23"/>
      <c r="E628" s="23"/>
      <c r="G628" s="23"/>
      <c r="H628" s="23"/>
      <c r="J628" s="23"/>
      <c r="K628" s="23"/>
      <c r="M628" s="23"/>
      <c r="N628" s="23"/>
      <c r="P628" s="23"/>
    </row>
    <row r="629" spans="2:16" x14ac:dyDescent="0.25">
      <c r="B629" s="23"/>
      <c r="E629" s="23"/>
      <c r="G629" s="23"/>
      <c r="H629" s="23"/>
      <c r="J629" s="23"/>
      <c r="K629" s="23"/>
      <c r="M629" s="23"/>
      <c r="N629" s="23"/>
      <c r="P629" s="23"/>
    </row>
    <row r="630" spans="2:16" x14ac:dyDescent="0.25">
      <c r="B630" s="23"/>
      <c r="E630" s="23"/>
      <c r="G630" s="23"/>
      <c r="H630" s="23"/>
      <c r="J630" s="23"/>
      <c r="K630" s="23"/>
      <c r="M630" s="23"/>
      <c r="N630" s="23"/>
      <c r="P630" s="23"/>
    </row>
    <row r="631" spans="2:16" x14ac:dyDescent="0.25">
      <c r="B631" s="23"/>
      <c r="E631" s="23"/>
      <c r="G631" s="23"/>
      <c r="H631" s="23"/>
      <c r="J631" s="23"/>
      <c r="K631" s="23"/>
      <c r="M631" s="23"/>
      <c r="N631" s="23"/>
      <c r="P631" s="23"/>
    </row>
    <row r="632" spans="2:16" x14ac:dyDescent="0.25">
      <c r="B632" s="23"/>
      <c r="E632" s="23"/>
      <c r="G632" s="23"/>
      <c r="H632" s="23"/>
      <c r="J632" s="23"/>
      <c r="K632" s="23"/>
      <c r="M632" s="23"/>
      <c r="N632" s="23"/>
      <c r="P632" s="23"/>
    </row>
    <row r="633" spans="2:16" x14ac:dyDescent="0.25">
      <c r="B633" s="23"/>
      <c r="E633" s="23"/>
      <c r="G633" s="23"/>
      <c r="H633" s="23"/>
      <c r="J633" s="23"/>
      <c r="K633" s="23"/>
      <c r="M633" s="23"/>
      <c r="N633" s="23"/>
      <c r="P633" s="23"/>
    </row>
    <row r="634" spans="2:16" x14ac:dyDescent="0.25">
      <c r="B634" s="23"/>
      <c r="E634" s="23"/>
      <c r="G634" s="23"/>
      <c r="H634" s="23"/>
      <c r="J634" s="23"/>
      <c r="K634" s="23"/>
      <c r="M634" s="23"/>
      <c r="N634" s="23"/>
      <c r="P634" s="23"/>
    </row>
    <row r="635" spans="2:16" x14ac:dyDescent="0.25">
      <c r="B635" s="23"/>
      <c r="E635" s="23"/>
      <c r="G635" s="23"/>
      <c r="H635" s="23"/>
      <c r="J635" s="23"/>
      <c r="K635" s="23"/>
      <c r="M635" s="23"/>
      <c r="N635" s="23"/>
      <c r="P635" s="23"/>
    </row>
    <row r="636" spans="2:16" x14ac:dyDescent="0.25">
      <c r="B636" s="23"/>
      <c r="E636" s="23"/>
      <c r="G636" s="23"/>
      <c r="H636" s="23"/>
      <c r="J636" s="23"/>
      <c r="K636" s="23"/>
      <c r="M636" s="23"/>
      <c r="N636" s="23"/>
      <c r="P636" s="23"/>
    </row>
    <row r="637" spans="2:16" x14ac:dyDescent="0.25">
      <c r="B637" s="23"/>
      <c r="E637" s="23"/>
      <c r="G637" s="23"/>
      <c r="H637" s="23"/>
      <c r="J637" s="23"/>
      <c r="K637" s="23"/>
      <c r="M637" s="23"/>
      <c r="N637" s="23"/>
      <c r="P637" s="23"/>
    </row>
    <row r="638" spans="2:16" x14ac:dyDescent="0.25">
      <c r="B638" s="23"/>
      <c r="E638" s="23"/>
      <c r="G638" s="23"/>
      <c r="H638" s="23"/>
      <c r="J638" s="23"/>
      <c r="K638" s="23"/>
      <c r="M638" s="23"/>
      <c r="N638" s="23"/>
      <c r="P638" s="23"/>
    </row>
    <row r="639" spans="2:16" x14ac:dyDescent="0.25">
      <c r="B639" s="23"/>
      <c r="E639" s="23"/>
      <c r="G639" s="23"/>
      <c r="H639" s="23"/>
      <c r="J639" s="23"/>
      <c r="K639" s="23"/>
      <c r="M639" s="23"/>
      <c r="N639" s="23"/>
      <c r="P639" s="23"/>
    </row>
    <row r="640" spans="2:16" x14ac:dyDescent="0.25">
      <c r="B640" s="23"/>
      <c r="E640" s="23"/>
      <c r="G640" s="23"/>
      <c r="H640" s="23"/>
      <c r="J640" s="23"/>
      <c r="K640" s="23"/>
      <c r="M640" s="23"/>
      <c r="N640" s="23"/>
      <c r="P640" s="23"/>
    </row>
    <row r="641" spans="2:16" x14ac:dyDescent="0.25">
      <c r="B641" s="23"/>
      <c r="E641" s="23"/>
      <c r="G641" s="23"/>
      <c r="H641" s="23"/>
      <c r="J641" s="23"/>
      <c r="K641" s="23"/>
      <c r="M641" s="23"/>
      <c r="N641" s="23"/>
      <c r="P641" s="23"/>
    </row>
    <row r="642" spans="2:16" x14ac:dyDescent="0.25">
      <c r="B642" s="23"/>
      <c r="E642" s="23"/>
      <c r="G642" s="23"/>
      <c r="H642" s="23"/>
      <c r="J642" s="23"/>
      <c r="K642" s="23"/>
      <c r="M642" s="23"/>
      <c r="N642" s="23"/>
      <c r="P642" s="23"/>
    </row>
    <row r="643" spans="2:16" x14ac:dyDescent="0.25">
      <c r="B643" s="23"/>
      <c r="E643" s="23"/>
      <c r="G643" s="23"/>
      <c r="H643" s="23"/>
      <c r="J643" s="23"/>
      <c r="K643" s="23"/>
      <c r="M643" s="23"/>
      <c r="N643" s="23"/>
      <c r="P643" s="23"/>
    </row>
    <row r="644" spans="2:16" x14ac:dyDescent="0.25">
      <c r="B644" s="23"/>
      <c r="E644" s="23"/>
      <c r="G644" s="23"/>
      <c r="H644" s="23"/>
      <c r="J644" s="23"/>
      <c r="K644" s="23"/>
      <c r="M644" s="23"/>
      <c r="N644" s="23"/>
      <c r="P644" s="23"/>
    </row>
    <row r="645" spans="2:16" x14ac:dyDescent="0.25">
      <c r="B645" s="23"/>
      <c r="E645" s="23"/>
      <c r="G645" s="23"/>
      <c r="H645" s="23"/>
      <c r="J645" s="23"/>
      <c r="K645" s="23"/>
      <c r="M645" s="23"/>
      <c r="N645" s="23"/>
      <c r="P645" s="23"/>
    </row>
    <row r="646" spans="2:16" x14ac:dyDescent="0.25">
      <c r="B646" s="23"/>
      <c r="E646" s="23"/>
      <c r="G646" s="23"/>
      <c r="H646" s="23"/>
      <c r="J646" s="23"/>
      <c r="K646" s="23"/>
      <c r="M646" s="23"/>
      <c r="N646" s="23"/>
      <c r="P646" s="23"/>
    </row>
    <row r="647" spans="2:16" x14ac:dyDescent="0.25">
      <c r="B647" s="23"/>
      <c r="E647" s="23"/>
      <c r="G647" s="23"/>
      <c r="H647" s="23"/>
      <c r="J647" s="23"/>
      <c r="K647" s="23"/>
      <c r="M647" s="23"/>
      <c r="N647" s="23"/>
      <c r="P647" s="23"/>
    </row>
    <row r="648" spans="2:16" x14ac:dyDescent="0.25">
      <c r="B648" s="23"/>
      <c r="E648" s="23"/>
      <c r="G648" s="23"/>
      <c r="H648" s="23"/>
      <c r="J648" s="23"/>
      <c r="K648" s="23"/>
      <c r="M648" s="23"/>
      <c r="N648" s="23"/>
      <c r="P648" s="23"/>
    </row>
    <row r="649" spans="2:16" x14ac:dyDescent="0.25">
      <c r="B649" s="23"/>
      <c r="E649" s="23"/>
      <c r="G649" s="23"/>
      <c r="H649" s="23"/>
      <c r="J649" s="23"/>
      <c r="K649" s="23"/>
      <c r="M649" s="23"/>
      <c r="N649" s="23"/>
      <c r="P649" s="23"/>
    </row>
    <row r="650" spans="2:16" x14ac:dyDescent="0.25">
      <c r="B650" s="23"/>
      <c r="E650" s="23"/>
      <c r="G650" s="23"/>
      <c r="H650" s="23"/>
      <c r="J650" s="23"/>
      <c r="K650" s="23"/>
      <c r="M650" s="23"/>
      <c r="N650" s="23"/>
      <c r="P650" s="23"/>
    </row>
    <row r="651" spans="2:16" x14ac:dyDescent="0.25">
      <c r="B651" s="23"/>
      <c r="E651" s="23"/>
      <c r="G651" s="23"/>
      <c r="H651" s="23"/>
      <c r="J651" s="23"/>
      <c r="K651" s="23"/>
      <c r="M651" s="23"/>
      <c r="N651" s="23"/>
      <c r="P651" s="23"/>
    </row>
    <row r="652" spans="2:16" x14ac:dyDescent="0.25">
      <c r="B652" s="23"/>
      <c r="E652" s="23"/>
      <c r="G652" s="23"/>
      <c r="H652" s="23"/>
      <c r="J652" s="23"/>
      <c r="K652" s="23"/>
      <c r="M652" s="23"/>
      <c r="N652" s="23"/>
      <c r="P652" s="23"/>
    </row>
    <row r="653" spans="2:16" x14ac:dyDescent="0.25">
      <c r="B653" s="23"/>
      <c r="E653" s="23"/>
      <c r="G653" s="23"/>
      <c r="H653" s="23"/>
      <c r="J653" s="23"/>
      <c r="K653" s="23"/>
      <c r="M653" s="23"/>
      <c r="N653" s="23"/>
      <c r="P653" s="23"/>
    </row>
    <row r="654" spans="2:16" x14ac:dyDescent="0.25">
      <c r="B654" s="23"/>
      <c r="E654" s="23"/>
      <c r="G654" s="23"/>
      <c r="H654" s="23"/>
      <c r="J654" s="23"/>
      <c r="K654" s="23"/>
      <c r="M654" s="23"/>
      <c r="N654" s="23"/>
      <c r="P654" s="23"/>
    </row>
    <row r="655" spans="2:16" x14ac:dyDescent="0.25">
      <c r="B655" s="23"/>
      <c r="E655" s="23"/>
      <c r="G655" s="23"/>
      <c r="H655" s="23"/>
      <c r="J655" s="23"/>
      <c r="K655" s="23"/>
      <c r="M655" s="23"/>
      <c r="N655" s="23"/>
      <c r="P655" s="23"/>
    </row>
    <row r="656" spans="2:16" x14ac:dyDescent="0.25">
      <c r="B656" s="23"/>
      <c r="E656" s="23"/>
      <c r="G656" s="23"/>
      <c r="H656" s="23"/>
      <c r="J656" s="23"/>
      <c r="K656" s="23"/>
      <c r="M656" s="23"/>
      <c r="N656" s="23"/>
      <c r="P656" s="23"/>
    </row>
    <row r="657" spans="2:16" x14ac:dyDescent="0.25">
      <c r="B657" s="23"/>
      <c r="E657" s="23"/>
      <c r="G657" s="23"/>
      <c r="H657" s="23"/>
      <c r="J657" s="23"/>
      <c r="K657" s="23"/>
      <c r="M657" s="23"/>
      <c r="N657" s="23"/>
      <c r="P657" s="23"/>
    </row>
    <row r="658" spans="2:16" x14ac:dyDescent="0.25">
      <c r="B658" s="23"/>
      <c r="E658" s="23"/>
      <c r="G658" s="23"/>
      <c r="H658" s="23"/>
      <c r="J658" s="23"/>
      <c r="K658" s="23"/>
      <c r="M658" s="23"/>
      <c r="N658" s="23"/>
      <c r="P658" s="23"/>
    </row>
    <row r="659" spans="2:16" x14ac:dyDescent="0.25">
      <c r="B659" s="23"/>
      <c r="E659" s="23"/>
      <c r="G659" s="23"/>
      <c r="H659" s="23"/>
      <c r="J659" s="23"/>
      <c r="K659" s="23"/>
      <c r="M659" s="23"/>
      <c r="N659" s="23"/>
      <c r="P659" s="23"/>
    </row>
    <row r="660" spans="2:16" x14ac:dyDescent="0.25">
      <c r="B660" s="23"/>
      <c r="E660" s="23"/>
      <c r="G660" s="23"/>
      <c r="H660" s="23"/>
      <c r="J660" s="23"/>
      <c r="K660" s="23"/>
      <c r="M660" s="23"/>
      <c r="N660" s="23"/>
      <c r="P660" s="23"/>
    </row>
    <row r="661" spans="2:16" x14ac:dyDescent="0.25">
      <c r="B661" s="23"/>
      <c r="E661" s="23"/>
      <c r="G661" s="23"/>
      <c r="H661" s="23"/>
      <c r="J661" s="23"/>
      <c r="K661" s="23"/>
      <c r="M661" s="23"/>
      <c r="N661" s="23"/>
      <c r="P661" s="23"/>
    </row>
    <row r="662" spans="2:16" x14ac:dyDescent="0.25">
      <c r="B662" s="23"/>
      <c r="E662" s="23"/>
      <c r="G662" s="23"/>
      <c r="H662" s="23"/>
      <c r="J662" s="23"/>
      <c r="K662" s="23"/>
      <c r="M662" s="23"/>
      <c r="N662" s="23"/>
      <c r="P662" s="23"/>
    </row>
    <row r="663" spans="2:16" x14ac:dyDescent="0.25">
      <c r="B663" s="23"/>
      <c r="E663" s="23"/>
      <c r="G663" s="23"/>
      <c r="H663" s="23"/>
      <c r="J663" s="23"/>
      <c r="K663" s="23"/>
      <c r="M663" s="23"/>
      <c r="N663" s="23"/>
      <c r="P663" s="23"/>
    </row>
    <row r="664" spans="2:16" x14ac:dyDescent="0.25">
      <c r="B664" s="23"/>
      <c r="E664" s="23"/>
      <c r="G664" s="23"/>
      <c r="H664" s="23"/>
      <c r="J664" s="23"/>
      <c r="K664" s="23"/>
      <c r="M664" s="23"/>
      <c r="N664" s="23"/>
      <c r="P664" s="23"/>
    </row>
    <row r="665" spans="2:16" x14ac:dyDescent="0.25">
      <c r="B665" s="23"/>
      <c r="E665" s="23"/>
      <c r="G665" s="23"/>
      <c r="H665" s="23"/>
      <c r="J665" s="23"/>
      <c r="K665" s="23"/>
      <c r="M665" s="23"/>
      <c r="N665" s="23"/>
      <c r="P665" s="23"/>
    </row>
    <row r="666" spans="2:16" x14ac:dyDescent="0.25">
      <c r="B666" s="23"/>
      <c r="E666" s="23"/>
      <c r="G666" s="23"/>
      <c r="H666" s="23"/>
      <c r="J666" s="23"/>
      <c r="K666" s="23"/>
      <c r="M666" s="23"/>
      <c r="N666" s="23"/>
      <c r="P666" s="23"/>
    </row>
    <row r="667" spans="2:16" x14ac:dyDescent="0.25">
      <c r="B667" s="23"/>
      <c r="E667" s="23"/>
      <c r="G667" s="23"/>
      <c r="H667" s="23"/>
      <c r="J667" s="23"/>
      <c r="K667" s="23"/>
      <c r="M667" s="23"/>
      <c r="N667" s="23"/>
      <c r="P667" s="23"/>
    </row>
    <row r="668" spans="2:16" x14ac:dyDescent="0.25">
      <c r="B668" s="23"/>
      <c r="E668" s="23"/>
      <c r="G668" s="23"/>
      <c r="H668" s="23"/>
      <c r="J668" s="23"/>
      <c r="K668" s="23"/>
      <c r="M668" s="23"/>
      <c r="N668" s="23"/>
      <c r="P668" s="23"/>
    </row>
    <row r="669" spans="2:16" x14ac:dyDescent="0.25">
      <c r="B669" s="23"/>
      <c r="E669" s="23"/>
      <c r="G669" s="23"/>
      <c r="H669" s="23"/>
      <c r="J669" s="23"/>
      <c r="K669" s="23"/>
      <c r="M669" s="23"/>
      <c r="N669" s="23"/>
      <c r="P669" s="23"/>
    </row>
    <row r="670" spans="2:16" x14ac:dyDescent="0.25">
      <c r="B670" s="23"/>
      <c r="E670" s="23"/>
      <c r="G670" s="23"/>
      <c r="H670" s="23"/>
      <c r="J670" s="23"/>
      <c r="K670" s="23"/>
      <c r="M670" s="23"/>
      <c r="N670" s="23"/>
      <c r="P670" s="23"/>
    </row>
    <row r="671" spans="2:16" x14ac:dyDescent="0.25">
      <c r="B671" s="23"/>
      <c r="E671" s="23"/>
      <c r="G671" s="23"/>
      <c r="H671" s="23"/>
      <c r="J671" s="23"/>
      <c r="K671" s="23"/>
      <c r="M671" s="23"/>
      <c r="N671" s="23"/>
      <c r="P671" s="23"/>
    </row>
    <row r="672" spans="2:16" x14ac:dyDescent="0.25">
      <c r="B672" s="23"/>
      <c r="E672" s="23"/>
      <c r="G672" s="23"/>
      <c r="H672" s="23"/>
      <c r="J672" s="23"/>
      <c r="K672" s="23"/>
      <c r="M672" s="23"/>
      <c r="N672" s="23"/>
      <c r="P672" s="23"/>
    </row>
    <row r="673" spans="2:16" x14ac:dyDescent="0.25">
      <c r="B673" s="23"/>
      <c r="E673" s="23"/>
      <c r="G673" s="23"/>
      <c r="H673" s="23"/>
      <c r="J673" s="23"/>
      <c r="K673" s="23"/>
      <c r="M673" s="23"/>
      <c r="N673" s="23"/>
      <c r="P673" s="23"/>
    </row>
    <row r="674" spans="2:16" x14ac:dyDescent="0.25">
      <c r="B674" s="23"/>
      <c r="E674" s="23"/>
      <c r="G674" s="23"/>
      <c r="H674" s="23"/>
      <c r="J674" s="23"/>
      <c r="K674" s="23"/>
      <c r="M674" s="23"/>
      <c r="N674" s="23"/>
      <c r="P674" s="23"/>
    </row>
    <row r="675" spans="2:16" x14ac:dyDescent="0.25">
      <c r="B675" s="23"/>
      <c r="E675" s="23"/>
      <c r="G675" s="23"/>
      <c r="H675" s="23"/>
      <c r="J675" s="23"/>
      <c r="K675" s="23"/>
      <c r="M675" s="23"/>
      <c r="N675" s="23"/>
      <c r="P675" s="23"/>
    </row>
    <row r="676" spans="2:16" x14ac:dyDescent="0.25">
      <c r="B676" s="23"/>
      <c r="E676" s="23"/>
      <c r="G676" s="23"/>
      <c r="H676" s="23"/>
      <c r="J676" s="23"/>
      <c r="K676" s="23"/>
      <c r="M676" s="23"/>
      <c r="N676" s="23"/>
      <c r="P676" s="23"/>
    </row>
    <row r="677" spans="2:16" x14ac:dyDescent="0.25">
      <c r="B677" s="23"/>
      <c r="E677" s="23"/>
      <c r="G677" s="23"/>
      <c r="H677" s="23"/>
      <c r="J677" s="23"/>
      <c r="K677" s="23"/>
      <c r="M677" s="23"/>
      <c r="N677" s="23"/>
      <c r="P677" s="23"/>
    </row>
    <row r="678" spans="2:16" x14ac:dyDescent="0.25">
      <c r="B678" s="23"/>
      <c r="E678" s="23"/>
      <c r="G678" s="23"/>
      <c r="H678" s="23"/>
      <c r="J678" s="23"/>
      <c r="K678" s="23"/>
      <c r="M678" s="23"/>
      <c r="N678" s="23"/>
      <c r="P678" s="23"/>
    </row>
    <row r="679" spans="2:16" x14ac:dyDescent="0.25">
      <c r="B679" s="23"/>
      <c r="E679" s="23"/>
      <c r="G679" s="23"/>
      <c r="H679" s="23"/>
      <c r="J679" s="23"/>
      <c r="K679" s="23"/>
      <c r="M679" s="23"/>
      <c r="N679" s="23"/>
      <c r="P679" s="23"/>
    </row>
    <row r="680" spans="2:16" x14ac:dyDescent="0.25">
      <c r="B680" s="23"/>
      <c r="E680" s="23"/>
      <c r="G680" s="23"/>
      <c r="H680" s="23"/>
      <c r="J680" s="23"/>
      <c r="K680" s="23"/>
      <c r="M680" s="23"/>
      <c r="N680" s="23"/>
      <c r="P680" s="23"/>
    </row>
    <row r="681" spans="2:16" x14ac:dyDescent="0.25">
      <c r="B681" s="23"/>
      <c r="E681" s="23"/>
      <c r="G681" s="23"/>
      <c r="H681" s="23"/>
      <c r="J681" s="23"/>
      <c r="K681" s="23"/>
      <c r="M681" s="23"/>
      <c r="N681" s="23"/>
      <c r="P681" s="23"/>
    </row>
    <row r="682" spans="2:16" x14ac:dyDescent="0.25">
      <c r="B682" s="23"/>
      <c r="E682" s="23"/>
      <c r="G682" s="23"/>
      <c r="H682" s="23"/>
      <c r="J682" s="23"/>
      <c r="K682" s="23"/>
      <c r="M682" s="23"/>
      <c r="N682" s="23"/>
      <c r="P682" s="23"/>
    </row>
    <row r="683" spans="2:16" x14ac:dyDescent="0.25">
      <c r="B683" s="23"/>
      <c r="E683" s="23"/>
      <c r="G683" s="23"/>
      <c r="H683" s="23"/>
      <c r="J683" s="23"/>
      <c r="K683" s="23"/>
      <c r="M683" s="23"/>
      <c r="N683" s="23"/>
      <c r="P683" s="23"/>
    </row>
    <row r="684" spans="2:16" x14ac:dyDescent="0.25">
      <c r="B684" s="23"/>
      <c r="E684" s="23"/>
      <c r="G684" s="23"/>
      <c r="H684" s="23"/>
      <c r="J684" s="23"/>
      <c r="K684" s="23"/>
      <c r="M684" s="23"/>
      <c r="N684" s="23"/>
      <c r="P684" s="23"/>
    </row>
    <row r="685" spans="2:16" x14ac:dyDescent="0.25">
      <c r="B685" s="23"/>
      <c r="E685" s="23"/>
      <c r="G685" s="23"/>
      <c r="H685" s="23"/>
      <c r="J685" s="23"/>
      <c r="K685" s="23"/>
      <c r="M685" s="23"/>
      <c r="N685" s="23"/>
      <c r="P685" s="23"/>
    </row>
    <row r="686" spans="2:16" x14ac:dyDescent="0.25">
      <c r="B686" s="23"/>
      <c r="E686" s="23"/>
      <c r="G686" s="23"/>
      <c r="H686" s="23"/>
      <c r="J686" s="23"/>
      <c r="K686" s="23"/>
      <c r="M686" s="23"/>
      <c r="N686" s="23"/>
      <c r="P686" s="23"/>
    </row>
    <row r="687" spans="2:16" x14ac:dyDescent="0.25">
      <c r="B687" s="23"/>
      <c r="E687" s="23"/>
      <c r="G687" s="23"/>
      <c r="H687" s="23"/>
      <c r="J687" s="23"/>
      <c r="K687" s="23"/>
      <c r="M687" s="23"/>
      <c r="N687" s="23"/>
      <c r="P687" s="23"/>
    </row>
    <row r="688" spans="2:16" x14ac:dyDescent="0.25">
      <c r="B688" s="23"/>
      <c r="E688" s="23"/>
      <c r="G688" s="23"/>
      <c r="H688" s="23"/>
      <c r="J688" s="23"/>
      <c r="K688" s="23"/>
      <c r="M688" s="23"/>
      <c r="N688" s="23"/>
      <c r="P688" s="23"/>
    </row>
    <row r="689" spans="2:16" x14ac:dyDescent="0.25">
      <c r="B689" s="23"/>
      <c r="E689" s="23"/>
      <c r="G689" s="23"/>
      <c r="H689" s="23"/>
      <c r="J689" s="23"/>
      <c r="K689" s="23"/>
      <c r="M689" s="23"/>
      <c r="N689" s="23"/>
      <c r="P689" s="23"/>
    </row>
    <row r="690" spans="2:16" x14ac:dyDescent="0.25">
      <c r="B690" s="23"/>
      <c r="E690" s="23"/>
      <c r="G690" s="23"/>
      <c r="H690" s="23"/>
      <c r="J690" s="23"/>
      <c r="K690" s="23"/>
      <c r="M690" s="23"/>
      <c r="N690" s="23"/>
      <c r="P690" s="23"/>
    </row>
    <row r="691" spans="2:16" x14ac:dyDescent="0.25">
      <c r="B691" s="23"/>
      <c r="E691" s="23"/>
      <c r="G691" s="23"/>
      <c r="H691" s="23"/>
      <c r="J691" s="23"/>
      <c r="K691" s="23"/>
      <c r="M691" s="23"/>
      <c r="N691" s="23"/>
      <c r="P691" s="23"/>
    </row>
    <row r="692" spans="2:16" x14ac:dyDescent="0.25">
      <c r="B692" s="23"/>
      <c r="E692" s="23"/>
      <c r="G692" s="23"/>
      <c r="H692" s="23"/>
      <c r="J692" s="23"/>
      <c r="K692" s="23"/>
      <c r="M692" s="23"/>
      <c r="N692" s="23"/>
      <c r="P692" s="23"/>
    </row>
    <row r="693" spans="2:16" x14ac:dyDescent="0.25">
      <c r="B693" s="23"/>
      <c r="E693" s="23"/>
      <c r="G693" s="23"/>
      <c r="H693" s="23"/>
      <c r="J693" s="23"/>
      <c r="K693" s="23"/>
      <c r="M693" s="23"/>
      <c r="N693" s="23"/>
      <c r="P693" s="23"/>
    </row>
    <row r="694" spans="2:16" x14ac:dyDescent="0.25">
      <c r="B694" s="23"/>
      <c r="E694" s="23"/>
      <c r="G694" s="23"/>
      <c r="H694" s="23"/>
      <c r="J694" s="23"/>
      <c r="K694" s="23"/>
      <c r="M694" s="23"/>
      <c r="N694" s="23"/>
      <c r="P694" s="23"/>
    </row>
    <row r="695" spans="2:16" x14ac:dyDescent="0.25">
      <c r="B695" s="23"/>
      <c r="E695" s="23"/>
      <c r="G695" s="23"/>
      <c r="H695" s="23"/>
      <c r="J695" s="23"/>
      <c r="K695" s="23"/>
      <c r="M695" s="23"/>
      <c r="N695" s="23"/>
      <c r="P695" s="23"/>
    </row>
    <row r="696" spans="2:16" x14ac:dyDescent="0.25">
      <c r="B696" s="23"/>
      <c r="E696" s="23"/>
      <c r="G696" s="23"/>
      <c r="H696" s="23"/>
      <c r="J696" s="23"/>
      <c r="K696" s="23"/>
      <c r="M696" s="23"/>
      <c r="N696" s="23"/>
      <c r="P696" s="23"/>
    </row>
    <row r="697" spans="2:16" x14ac:dyDescent="0.25">
      <c r="B697" s="23"/>
      <c r="E697" s="23"/>
      <c r="G697" s="23"/>
      <c r="H697" s="23"/>
      <c r="J697" s="23"/>
      <c r="K697" s="23"/>
      <c r="M697" s="23"/>
      <c r="N697" s="23"/>
      <c r="P697" s="23"/>
    </row>
    <row r="698" spans="2:16" x14ac:dyDescent="0.25">
      <c r="B698" s="23"/>
      <c r="E698" s="23"/>
      <c r="G698" s="23"/>
      <c r="H698" s="23"/>
      <c r="J698" s="23"/>
      <c r="K698" s="23"/>
      <c r="M698" s="23"/>
      <c r="N698" s="23"/>
      <c r="P698" s="23"/>
    </row>
    <row r="699" spans="2:16" x14ac:dyDescent="0.25">
      <c r="B699" s="23"/>
      <c r="E699" s="23"/>
      <c r="G699" s="23"/>
      <c r="H699" s="23"/>
      <c r="J699" s="23"/>
      <c r="K699" s="23"/>
      <c r="M699" s="23"/>
      <c r="N699" s="23"/>
      <c r="P699" s="23"/>
    </row>
    <row r="700" spans="2:16" x14ac:dyDescent="0.25">
      <c r="B700" s="23"/>
      <c r="E700" s="23"/>
      <c r="G700" s="23"/>
      <c r="H700" s="23"/>
      <c r="J700" s="23"/>
      <c r="K700" s="23"/>
      <c r="M700" s="23"/>
      <c r="N700" s="23"/>
      <c r="P700" s="23"/>
    </row>
    <row r="701" spans="2:16" x14ac:dyDescent="0.25">
      <c r="B701" s="23"/>
      <c r="E701" s="23"/>
      <c r="G701" s="23"/>
      <c r="H701" s="23"/>
      <c r="J701" s="23"/>
      <c r="K701" s="23"/>
      <c r="M701" s="23"/>
      <c r="N701" s="23"/>
      <c r="P701" s="23"/>
    </row>
    <row r="702" spans="2:16" x14ac:dyDescent="0.25">
      <c r="B702" s="23"/>
      <c r="E702" s="23"/>
      <c r="G702" s="23"/>
      <c r="H702" s="23"/>
      <c r="J702" s="23"/>
      <c r="K702" s="23"/>
      <c r="M702" s="23"/>
      <c r="N702" s="23"/>
      <c r="P702" s="23"/>
    </row>
    <row r="703" spans="2:16" x14ac:dyDescent="0.25">
      <c r="B703" s="23"/>
      <c r="E703" s="23"/>
      <c r="G703" s="23"/>
      <c r="H703" s="23"/>
      <c r="J703" s="23"/>
      <c r="K703" s="23"/>
      <c r="M703" s="23"/>
      <c r="N703" s="23"/>
      <c r="P703" s="23"/>
    </row>
    <row r="704" spans="2:16" x14ac:dyDescent="0.25">
      <c r="B704" s="23"/>
      <c r="E704" s="23"/>
      <c r="G704" s="23"/>
      <c r="H704" s="23"/>
      <c r="J704" s="23"/>
      <c r="K704" s="23"/>
      <c r="M704" s="23"/>
      <c r="N704" s="23"/>
      <c r="P704" s="23"/>
    </row>
    <row r="705" spans="2:16" x14ac:dyDescent="0.25">
      <c r="B705" s="23"/>
      <c r="E705" s="23"/>
      <c r="G705" s="23"/>
      <c r="H705" s="23"/>
      <c r="J705" s="23"/>
      <c r="K705" s="23"/>
      <c r="M705" s="23"/>
      <c r="N705" s="23"/>
      <c r="P705" s="23"/>
    </row>
    <row r="706" spans="2:16" x14ac:dyDescent="0.25">
      <c r="B706" s="23"/>
      <c r="E706" s="23"/>
      <c r="G706" s="23"/>
      <c r="H706" s="23"/>
      <c r="J706" s="23"/>
      <c r="K706" s="23"/>
      <c r="M706" s="23"/>
      <c r="N706" s="23"/>
      <c r="P706" s="23"/>
    </row>
    <row r="707" spans="2:16" x14ac:dyDescent="0.25">
      <c r="B707" s="23"/>
      <c r="E707" s="23"/>
      <c r="G707" s="23"/>
      <c r="H707" s="23"/>
      <c r="J707" s="23"/>
      <c r="K707" s="23"/>
      <c r="M707" s="23"/>
      <c r="N707" s="23"/>
      <c r="P707" s="23"/>
    </row>
    <row r="708" spans="2:16" x14ac:dyDescent="0.25">
      <c r="B708" s="23"/>
      <c r="E708" s="23"/>
      <c r="G708" s="23"/>
      <c r="H708" s="23"/>
      <c r="J708" s="23"/>
      <c r="K708" s="23"/>
      <c r="M708" s="23"/>
      <c r="N708" s="23"/>
      <c r="P708" s="23"/>
    </row>
    <row r="709" spans="2:16" x14ac:dyDescent="0.25">
      <c r="B709" s="23"/>
      <c r="E709" s="23"/>
      <c r="G709" s="23"/>
      <c r="H709" s="23"/>
      <c r="J709" s="23"/>
      <c r="K709" s="23"/>
      <c r="M709" s="23"/>
      <c r="N709" s="23"/>
      <c r="P709" s="23"/>
    </row>
    <row r="710" spans="2:16" x14ac:dyDescent="0.25">
      <c r="B710" s="23"/>
      <c r="E710" s="23"/>
      <c r="G710" s="23"/>
      <c r="H710" s="23"/>
      <c r="J710" s="23"/>
      <c r="K710" s="23"/>
      <c r="M710" s="23"/>
      <c r="N710" s="23"/>
      <c r="P710" s="23"/>
    </row>
    <row r="711" spans="2:16" x14ac:dyDescent="0.25">
      <c r="B711" s="23"/>
      <c r="E711" s="23"/>
      <c r="G711" s="23"/>
      <c r="H711" s="23"/>
      <c r="J711" s="23"/>
      <c r="K711" s="23"/>
      <c r="M711" s="23"/>
      <c r="N711" s="23"/>
      <c r="P711" s="23"/>
    </row>
    <row r="712" spans="2:16" x14ac:dyDescent="0.25">
      <c r="B712" s="23"/>
      <c r="E712" s="23"/>
      <c r="G712" s="23"/>
      <c r="H712" s="23"/>
      <c r="J712" s="23"/>
      <c r="K712" s="23"/>
      <c r="M712" s="23"/>
      <c r="N712" s="23"/>
      <c r="P712" s="23"/>
    </row>
    <row r="713" spans="2:16" x14ac:dyDescent="0.25">
      <c r="B713" s="23"/>
      <c r="E713" s="23"/>
      <c r="G713" s="23"/>
      <c r="H713" s="23"/>
      <c r="J713" s="23"/>
      <c r="K713" s="23"/>
      <c r="M713" s="23"/>
      <c r="N713" s="23"/>
      <c r="P713" s="23"/>
    </row>
    <row r="714" spans="2:16" x14ac:dyDescent="0.25">
      <c r="B714" s="23"/>
      <c r="E714" s="23"/>
      <c r="G714" s="23"/>
      <c r="H714" s="23"/>
      <c r="J714" s="23"/>
      <c r="K714" s="23"/>
      <c r="M714" s="23"/>
      <c r="N714" s="23"/>
      <c r="P714" s="23"/>
    </row>
    <row r="715" spans="2:16" x14ac:dyDescent="0.25">
      <c r="B715" s="23"/>
      <c r="E715" s="23"/>
      <c r="G715" s="23"/>
      <c r="H715" s="23"/>
      <c r="J715" s="23"/>
      <c r="K715" s="23"/>
      <c r="M715" s="23"/>
      <c r="N715" s="23"/>
      <c r="P715" s="23"/>
    </row>
    <row r="716" spans="2:16" x14ac:dyDescent="0.25">
      <c r="B716" s="23"/>
      <c r="E716" s="23"/>
      <c r="G716" s="23"/>
      <c r="H716" s="23"/>
      <c r="J716" s="23"/>
      <c r="K716" s="23"/>
      <c r="M716" s="23"/>
      <c r="N716" s="23"/>
      <c r="P716" s="23"/>
    </row>
    <row r="717" spans="2:16" x14ac:dyDescent="0.25">
      <c r="B717" s="23"/>
      <c r="E717" s="23"/>
      <c r="G717" s="23"/>
      <c r="H717" s="23"/>
      <c r="J717" s="23"/>
      <c r="K717" s="23"/>
      <c r="M717" s="23"/>
      <c r="N717" s="23"/>
      <c r="P717" s="23"/>
    </row>
    <row r="718" spans="2:16" x14ac:dyDescent="0.25">
      <c r="B718" s="23"/>
      <c r="E718" s="23"/>
      <c r="G718" s="23"/>
      <c r="H718" s="23"/>
      <c r="J718" s="23"/>
      <c r="K718" s="23"/>
      <c r="M718" s="23"/>
      <c r="N718" s="23"/>
      <c r="P718" s="23"/>
    </row>
    <row r="719" spans="2:16" x14ac:dyDescent="0.25">
      <c r="B719" s="23"/>
      <c r="E719" s="23"/>
      <c r="G719" s="23"/>
      <c r="H719" s="23"/>
      <c r="J719" s="23"/>
      <c r="K719" s="23"/>
      <c r="M719" s="23"/>
      <c r="N719" s="23"/>
      <c r="P719" s="23"/>
    </row>
    <row r="720" spans="2:16" x14ac:dyDescent="0.25">
      <c r="B720" s="23"/>
      <c r="E720" s="23"/>
      <c r="G720" s="23"/>
      <c r="H720" s="23"/>
      <c r="J720" s="23"/>
      <c r="K720" s="23"/>
      <c r="M720" s="23"/>
      <c r="N720" s="23"/>
      <c r="P720" s="23"/>
    </row>
    <row r="721" spans="2:16" x14ac:dyDescent="0.25">
      <c r="B721" s="23"/>
      <c r="E721" s="23"/>
      <c r="G721" s="23"/>
      <c r="H721" s="23"/>
      <c r="J721" s="23"/>
      <c r="K721" s="23"/>
      <c r="M721" s="23"/>
      <c r="N721" s="23"/>
      <c r="P721" s="23"/>
    </row>
    <row r="722" spans="2:16" x14ac:dyDescent="0.25">
      <c r="B722" s="23"/>
      <c r="E722" s="23"/>
      <c r="G722" s="23"/>
      <c r="H722" s="23"/>
      <c r="J722" s="23"/>
      <c r="K722" s="23"/>
      <c r="M722" s="23"/>
      <c r="N722" s="23"/>
      <c r="P722" s="23"/>
    </row>
    <row r="723" spans="2:16" x14ac:dyDescent="0.25">
      <c r="B723" s="23"/>
      <c r="E723" s="23"/>
      <c r="G723" s="23"/>
      <c r="H723" s="23"/>
      <c r="J723" s="23"/>
      <c r="K723" s="23"/>
      <c r="M723" s="23"/>
      <c r="N723" s="23"/>
      <c r="P723" s="23"/>
    </row>
    <row r="724" spans="2:16" x14ac:dyDescent="0.25">
      <c r="B724" s="23"/>
      <c r="E724" s="23"/>
      <c r="G724" s="23"/>
      <c r="H724" s="23"/>
      <c r="J724" s="23"/>
      <c r="K724" s="23"/>
      <c r="M724" s="23"/>
      <c r="N724" s="23"/>
      <c r="P724" s="23"/>
    </row>
    <row r="725" spans="2:16" x14ac:dyDescent="0.25">
      <c r="B725" s="23"/>
      <c r="E725" s="23"/>
      <c r="G725" s="23"/>
      <c r="H725" s="23"/>
      <c r="J725" s="23"/>
      <c r="K725" s="23"/>
      <c r="M725" s="23"/>
      <c r="N725" s="23"/>
      <c r="P725" s="23"/>
    </row>
    <row r="726" spans="2:16" x14ac:dyDescent="0.25">
      <c r="B726" s="23"/>
      <c r="E726" s="23"/>
      <c r="G726" s="23"/>
      <c r="H726" s="23"/>
      <c r="J726" s="23"/>
      <c r="K726" s="23"/>
      <c r="M726" s="23"/>
      <c r="N726" s="23"/>
      <c r="P726" s="23"/>
    </row>
    <row r="727" spans="2:16" x14ac:dyDescent="0.25">
      <c r="B727" s="23"/>
      <c r="E727" s="23"/>
      <c r="G727" s="23"/>
      <c r="H727" s="23"/>
      <c r="J727" s="23"/>
      <c r="K727" s="23"/>
      <c r="M727" s="23"/>
      <c r="N727" s="23"/>
      <c r="P727" s="23"/>
    </row>
    <row r="728" spans="2:16" x14ac:dyDescent="0.25">
      <c r="B728" s="23"/>
      <c r="E728" s="23"/>
      <c r="G728" s="23"/>
      <c r="H728" s="23"/>
      <c r="J728" s="23"/>
      <c r="K728" s="23"/>
      <c r="M728" s="23"/>
      <c r="N728" s="23"/>
      <c r="P728" s="23"/>
    </row>
    <row r="729" spans="2:16" x14ac:dyDescent="0.25">
      <c r="B729" s="23"/>
      <c r="E729" s="23"/>
      <c r="G729" s="23"/>
      <c r="H729" s="23"/>
      <c r="J729" s="23"/>
      <c r="K729" s="23"/>
      <c r="M729" s="23"/>
      <c r="N729" s="23"/>
      <c r="P729" s="23"/>
    </row>
    <row r="730" spans="2:16" x14ac:dyDescent="0.25">
      <c r="B730" s="23"/>
      <c r="E730" s="23"/>
      <c r="G730" s="23"/>
      <c r="H730" s="23"/>
      <c r="J730" s="23"/>
      <c r="K730" s="23"/>
      <c r="M730" s="23"/>
      <c r="N730" s="23"/>
      <c r="P730" s="23"/>
    </row>
    <row r="731" spans="2:16" x14ac:dyDescent="0.25">
      <c r="B731" s="23"/>
      <c r="E731" s="23"/>
      <c r="G731" s="23"/>
      <c r="H731" s="23"/>
      <c r="J731" s="23"/>
      <c r="K731" s="23"/>
      <c r="M731" s="23"/>
      <c r="N731" s="23"/>
      <c r="P731" s="23"/>
    </row>
    <row r="732" spans="2:16" x14ac:dyDescent="0.25">
      <c r="B732" s="23"/>
      <c r="E732" s="23"/>
      <c r="G732" s="23"/>
      <c r="H732" s="23"/>
      <c r="J732" s="23"/>
      <c r="K732" s="23"/>
      <c r="M732" s="23"/>
      <c r="N732" s="23"/>
      <c r="P732" s="23"/>
    </row>
    <row r="733" spans="2:16" x14ac:dyDescent="0.25">
      <c r="B733" s="23"/>
      <c r="E733" s="23"/>
      <c r="G733" s="23"/>
      <c r="H733" s="23"/>
      <c r="J733" s="23"/>
      <c r="K733" s="23"/>
      <c r="M733" s="23"/>
      <c r="N733" s="23"/>
      <c r="P733" s="23"/>
    </row>
    <row r="734" spans="2:16" x14ac:dyDescent="0.25">
      <c r="B734" s="23"/>
      <c r="E734" s="23"/>
      <c r="G734" s="23"/>
      <c r="H734" s="23"/>
      <c r="J734" s="23"/>
      <c r="K734" s="23"/>
      <c r="M734" s="23"/>
      <c r="N734" s="23"/>
      <c r="P734" s="23"/>
    </row>
    <row r="735" spans="2:16" x14ac:dyDescent="0.25">
      <c r="B735" s="23"/>
      <c r="E735" s="23"/>
      <c r="G735" s="23"/>
      <c r="H735" s="23"/>
      <c r="J735" s="23"/>
      <c r="K735" s="23"/>
      <c r="M735" s="23"/>
      <c r="N735" s="23"/>
      <c r="P735" s="23"/>
    </row>
    <row r="736" spans="2:16" x14ac:dyDescent="0.25">
      <c r="B736" s="23"/>
      <c r="E736" s="23"/>
      <c r="G736" s="23"/>
      <c r="H736" s="23"/>
      <c r="J736" s="23"/>
      <c r="K736" s="23"/>
      <c r="M736" s="23"/>
      <c r="N736" s="23"/>
      <c r="P736" s="23"/>
    </row>
    <row r="737" spans="2:16" x14ac:dyDescent="0.25">
      <c r="B737" s="23"/>
      <c r="E737" s="23"/>
      <c r="G737" s="23"/>
      <c r="H737" s="23"/>
      <c r="J737" s="23"/>
      <c r="K737" s="23"/>
      <c r="M737" s="23"/>
      <c r="N737" s="23"/>
      <c r="P737" s="23"/>
    </row>
    <row r="738" spans="2:16" x14ac:dyDescent="0.25">
      <c r="B738" s="23"/>
      <c r="E738" s="23"/>
      <c r="G738" s="23"/>
      <c r="H738" s="23"/>
      <c r="J738" s="23"/>
      <c r="K738" s="23"/>
      <c r="M738" s="23"/>
      <c r="N738" s="23"/>
      <c r="P738" s="23"/>
    </row>
    <row r="739" spans="2:16" x14ac:dyDescent="0.25">
      <c r="B739" s="23"/>
      <c r="E739" s="23"/>
      <c r="G739" s="23"/>
      <c r="H739" s="23"/>
      <c r="J739" s="23"/>
      <c r="K739" s="23"/>
      <c r="M739" s="23"/>
      <c r="N739" s="23"/>
      <c r="P739" s="23"/>
    </row>
    <row r="740" spans="2:16" x14ac:dyDescent="0.25">
      <c r="B740" s="23"/>
      <c r="E740" s="23"/>
      <c r="G740" s="23"/>
      <c r="H740" s="23"/>
      <c r="J740" s="23"/>
      <c r="K740" s="23"/>
      <c r="M740" s="23"/>
      <c r="N740" s="23"/>
      <c r="P740" s="23"/>
    </row>
    <row r="741" spans="2:16" x14ac:dyDescent="0.25">
      <c r="B741" s="23"/>
      <c r="E741" s="23"/>
      <c r="G741" s="23"/>
      <c r="H741" s="23"/>
      <c r="J741" s="23"/>
      <c r="K741" s="23"/>
      <c r="M741" s="23"/>
      <c r="N741" s="23"/>
      <c r="P741" s="23"/>
    </row>
    <row r="742" spans="2:16" x14ac:dyDescent="0.25">
      <c r="B742" s="23"/>
      <c r="E742" s="23"/>
      <c r="G742" s="23"/>
      <c r="H742" s="23"/>
      <c r="J742" s="23"/>
      <c r="K742" s="23"/>
      <c r="M742" s="23"/>
      <c r="N742" s="23"/>
      <c r="P742" s="23"/>
    </row>
    <row r="743" spans="2:16" x14ac:dyDescent="0.25">
      <c r="B743" s="23"/>
      <c r="E743" s="23"/>
      <c r="G743" s="23"/>
      <c r="H743" s="23"/>
      <c r="J743" s="23"/>
      <c r="K743" s="23"/>
      <c r="M743" s="23"/>
      <c r="N743" s="23"/>
      <c r="P743" s="23"/>
    </row>
    <row r="744" spans="2:16" x14ac:dyDescent="0.25">
      <c r="B744" s="23"/>
      <c r="E744" s="23"/>
      <c r="G744" s="23"/>
      <c r="H744" s="23"/>
      <c r="J744" s="23"/>
      <c r="K744" s="23"/>
      <c r="M744" s="23"/>
      <c r="N744" s="23"/>
      <c r="P744" s="23"/>
    </row>
    <row r="745" spans="2:16" x14ac:dyDescent="0.25">
      <c r="B745" s="23"/>
      <c r="E745" s="23"/>
      <c r="G745" s="23"/>
      <c r="H745" s="23"/>
      <c r="J745" s="23"/>
      <c r="K745" s="23"/>
      <c r="M745" s="23"/>
      <c r="N745" s="23"/>
      <c r="P745" s="23"/>
    </row>
    <row r="746" spans="2:16" x14ac:dyDescent="0.25">
      <c r="B746" s="23"/>
      <c r="E746" s="23"/>
      <c r="G746" s="23"/>
      <c r="H746" s="23"/>
      <c r="J746" s="23"/>
      <c r="K746" s="23"/>
      <c r="M746" s="23"/>
      <c r="N746" s="23"/>
      <c r="P746" s="23"/>
    </row>
    <row r="747" spans="2:16" x14ac:dyDescent="0.25">
      <c r="B747" s="23"/>
      <c r="E747" s="23"/>
      <c r="G747" s="23"/>
      <c r="H747" s="23"/>
      <c r="J747" s="23"/>
      <c r="K747" s="23"/>
      <c r="M747" s="23"/>
      <c r="N747" s="23"/>
      <c r="P747" s="23"/>
    </row>
    <row r="748" spans="2:16" x14ac:dyDescent="0.25">
      <c r="B748" s="23"/>
      <c r="E748" s="23"/>
      <c r="G748" s="23"/>
      <c r="H748" s="23"/>
      <c r="J748" s="23"/>
      <c r="K748" s="23"/>
      <c r="M748" s="23"/>
      <c r="N748" s="23"/>
      <c r="P748" s="23"/>
    </row>
    <row r="749" spans="2:16" x14ac:dyDescent="0.25">
      <c r="B749" s="23"/>
      <c r="E749" s="23"/>
      <c r="G749" s="23"/>
      <c r="H749" s="23"/>
      <c r="J749" s="23"/>
      <c r="K749" s="23"/>
      <c r="M749" s="23"/>
      <c r="N749" s="23"/>
      <c r="P749" s="23"/>
    </row>
    <row r="750" spans="2:16" x14ac:dyDescent="0.25">
      <c r="B750" s="23"/>
      <c r="E750" s="23"/>
      <c r="G750" s="23"/>
      <c r="H750" s="23"/>
      <c r="J750" s="23"/>
      <c r="K750" s="23"/>
      <c r="M750" s="23"/>
      <c r="N750" s="23"/>
      <c r="P750" s="23"/>
    </row>
    <row r="751" spans="2:16" x14ac:dyDescent="0.25">
      <c r="B751" s="23"/>
      <c r="E751" s="23"/>
      <c r="G751" s="23"/>
      <c r="H751" s="23"/>
      <c r="J751" s="23"/>
      <c r="K751" s="23"/>
      <c r="M751" s="23"/>
      <c r="N751" s="23"/>
      <c r="P751" s="23"/>
    </row>
    <row r="752" spans="2:16" x14ac:dyDescent="0.25">
      <c r="B752" s="23"/>
      <c r="E752" s="23"/>
      <c r="G752" s="23"/>
      <c r="H752" s="23"/>
      <c r="J752" s="23"/>
      <c r="K752" s="23"/>
      <c r="M752" s="23"/>
      <c r="N752" s="23"/>
      <c r="P752" s="23"/>
    </row>
    <row r="753" spans="2:16" x14ac:dyDescent="0.25">
      <c r="B753" s="23"/>
      <c r="E753" s="23"/>
      <c r="G753" s="23"/>
      <c r="H753" s="23"/>
      <c r="J753" s="23"/>
      <c r="K753" s="23"/>
      <c r="M753" s="23"/>
      <c r="N753" s="23"/>
      <c r="P753" s="23"/>
    </row>
    <row r="754" spans="2:16" x14ac:dyDescent="0.25">
      <c r="B754" s="23"/>
      <c r="E754" s="23"/>
      <c r="G754" s="23"/>
      <c r="H754" s="23"/>
      <c r="J754" s="23"/>
      <c r="K754" s="23"/>
      <c r="M754" s="23"/>
      <c r="N754" s="23"/>
      <c r="P754" s="23"/>
    </row>
    <row r="755" spans="2:16" x14ac:dyDescent="0.25">
      <c r="B755" s="23"/>
      <c r="E755" s="23"/>
      <c r="G755" s="23"/>
      <c r="H755" s="23"/>
      <c r="J755" s="23"/>
      <c r="K755" s="23"/>
      <c r="M755" s="23"/>
      <c r="N755" s="23"/>
      <c r="P755" s="23"/>
    </row>
    <row r="756" spans="2:16" x14ac:dyDescent="0.25">
      <c r="B756" s="23"/>
      <c r="E756" s="23"/>
      <c r="G756" s="23"/>
      <c r="H756" s="23"/>
      <c r="J756" s="23"/>
      <c r="K756" s="23"/>
      <c r="M756" s="23"/>
      <c r="N756" s="23"/>
      <c r="P756" s="23"/>
    </row>
    <row r="757" spans="2:16" x14ac:dyDescent="0.25">
      <c r="B757" s="23"/>
      <c r="E757" s="23"/>
      <c r="G757" s="23"/>
      <c r="H757" s="23"/>
      <c r="J757" s="23"/>
      <c r="K757" s="23"/>
      <c r="M757" s="23"/>
      <c r="N757" s="23"/>
      <c r="P757" s="23"/>
    </row>
    <row r="758" spans="2:16" x14ac:dyDescent="0.25">
      <c r="B758" s="23"/>
      <c r="E758" s="23"/>
      <c r="G758" s="23"/>
      <c r="H758" s="23"/>
      <c r="J758" s="23"/>
      <c r="K758" s="23"/>
      <c r="M758" s="23"/>
      <c r="N758" s="23"/>
      <c r="P758" s="23"/>
    </row>
    <row r="759" spans="2:16" x14ac:dyDescent="0.25">
      <c r="B759" s="23"/>
      <c r="E759" s="23"/>
      <c r="G759" s="23"/>
      <c r="H759" s="23"/>
      <c r="J759" s="23"/>
      <c r="K759" s="23"/>
      <c r="M759" s="23"/>
      <c r="N759" s="23"/>
      <c r="P759" s="23"/>
    </row>
    <row r="760" spans="2:16" x14ac:dyDescent="0.25">
      <c r="B760" s="23"/>
      <c r="E760" s="23"/>
      <c r="G760" s="23"/>
      <c r="H760" s="23"/>
      <c r="J760" s="23"/>
      <c r="K760" s="23"/>
      <c r="M760" s="23"/>
      <c r="N760" s="23"/>
      <c r="P760" s="23"/>
    </row>
    <row r="761" spans="2:16" x14ac:dyDescent="0.25">
      <c r="B761" s="23"/>
      <c r="E761" s="23"/>
      <c r="G761" s="23"/>
      <c r="H761" s="23"/>
      <c r="J761" s="23"/>
      <c r="K761" s="23"/>
      <c r="M761" s="23"/>
      <c r="N761" s="23"/>
      <c r="P761" s="23"/>
    </row>
    <row r="762" spans="2:16" x14ac:dyDescent="0.25">
      <c r="B762" s="23"/>
      <c r="E762" s="23"/>
      <c r="G762" s="23"/>
      <c r="H762" s="23"/>
      <c r="J762" s="23"/>
      <c r="K762" s="23"/>
      <c r="M762" s="23"/>
      <c r="N762" s="23"/>
      <c r="P762" s="23"/>
    </row>
    <row r="763" spans="2:16" x14ac:dyDescent="0.25">
      <c r="B763" s="23"/>
      <c r="E763" s="23"/>
      <c r="G763" s="23"/>
      <c r="H763" s="23"/>
      <c r="J763" s="23"/>
      <c r="K763" s="23"/>
      <c r="M763" s="23"/>
      <c r="N763" s="23"/>
      <c r="P763" s="23"/>
    </row>
    <row r="764" spans="2:16" x14ac:dyDescent="0.25">
      <c r="B764" s="23"/>
      <c r="E764" s="23"/>
      <c r="G764" s="23"/>
      <c r="H764" s="23"/>
      <c r="J764" s="23"/>
      <c r="K764" s="23"/>
      <c r="M764" s="23"/>
      <c r="N764" s="23"/>
      <c r="P764" s="23"/>
    </row>
    <row r="765" spans="2:16" x14ac:dyDescent="0.25">
      <c r="B765" s="23"/>
      <c r="E765" s="23"/>
      <c r="G765" s="23"/>
      <c r="H765" s="23"/>
      <c r="J765" s="23"/>
      <c r="K765" s="23"/>
      <c r="M765" s="23"/>
      <c r="N765" s="23"/>
      <c r="P765" s="23"/>
    </row>
    <row r="766" spans="2:16" x14ac:dyDescent="0.25">
      <c r="B766" s="23"/>
      <c r="E766" s="23"/>
      <c r="G766" s="23"/>
      <c r="H766" s="23"/>
      <c r="J766" s="23"/>
      <c r="K766" s="23"/>
      <c r="M766" s="23"/>
      <c r="N766" s="23"/>
      <c r="P766" s="23"/>
    </row>
    <row r="767" spans="2:16" x14ac:dyDescent="0.25">
      <c r="B767" s="23"/>
      <c r="E767" s="23"/>
      <c r="G767" s="23"/>
      <c r="H767" s="23"/>
      <c r="J767" s="23"/>
      <c r="K767" s="23"/>
      <c r="M767" s="23"/>
      <c r="N767" s="23"/>
      <c r="P767" s="23"/>
    </row>
    <row r="768" spans="2:16" x14ac:dyDescent="0.25">
      <c r="B768" s="23"/>
      <c r="E768" s="23"/>
      <c r="G768" s="23"/>
      <c r="H768" s="23"/>
      <c r="J768" s="23"/>
      <c r="K768" s="23"/>
      <c r="M768" s="23"/>
      <c r="N768" s="23"/>
      <c r="P768" s="23"/>
    </row>
    <row r="769" spans="2:16" x14ac:dyDescent="0.25">
      <c r="B769" s="23"/>
      <c r="E769" s="23"/>
      <c r="G769" s="23"/>
      <c r="H769" s="23"/>
      <c r="J769" s="23"/>
      <c r="K769" s="23"/>
      <c r="M769" s="23"/>
      <c r="N769" s="23"/>
      <c r="P769" s="23"/>
    </row>
    <row r="770" spans="2:16" x14ac:dyDescent="0.25">
      <c r="B770" s="23"/>
      <c r="E770" s="23"/>
      <c r="G770" s="23"/>
      <c r="H770" s="23"/>
      <c r="J770" s="23"/>
      <c r="K770" s="23"/>
      <c r="M770" s="23"/>
      <c r="N770" s="23"/>
      <c r="P770" s="23"/>
    </row>
    <row r="771" spans="2:16" x14ac:dyDescent="0.25">
      <c r="B771" s="23"/>
      <c r="E771" s="23"/>
      <c r="G771" s="23"/>
      <c r="H771" s="23"/>
      <c r="J771" s="23"/>
      <c r="K771" s="23"/>
      <c r="M771" s="23"/>
      <c r="N771" s="23"/>
      <c r="P771" s="23"/>
    </row>
    <row r="772" spans="2:16" x14ac:dyDescent="0.25">
      <c r="B772" s="23"/>
      <c r="E772" s="23"/>
      <c r="G772" s="23"/>
      <c r="H772" s="23"/>
      <c r="J772" s="23"/>
      <c r="K772" s="23"/>
      <c r="M772" s="23"/>
      <c r="N772" s="23"/>
      <c r="P772" s="23"/>
    </row>
    <row r="773" spans="2:16" x14ac:dyDescent="0.25">
      <c r="B773" s="23"/>
      <c r="E773" s="23"/>
      <c r="G773" s="23"/>
      <c r="H773" s="23"/>
      <c r="J773" s="23"/>
      <c r="K773" s="23"/>
      <c r="M773" s="23"/>
      <c r="N773" s="23"/>
      <c r="P773" s="23"/>
    </row>
    <row r="774" spans="2:16" x14ac:dyDescent="0.25">
      <c r="B774" s="23"/>
      <c r="E774" s="23"/>
      <c r="G774" s="23"/>
      <c r="H774" s="23"/>
      <c r="J774" s="23"/>
      <c r="K774" s="23"/>
      <c r="M774" s="23"/>
      <c r="N774" s="23"/>
      <c r="P774" s="23"/>
    </row>
    <row r="775" spans="2:16" x14ac:dyDescent="0.25">
      <c r="B775" s="23"/>
      <c r="E775" s="23"/>
      <c r="G775" s="23"/>
      <c r="H775" s="23"/>
      <c r="J775" s="23"/>
      <c r="K775" s="23"/>
      <c r="M775" s="23"/>
      <c r="N775" s="23"/>
      <c r="P775" s="23"/>
    </row>
    <row r="776" spans="2:16" x14ac:dyDescent="0.25">
      <c r="B776" s="23"/>
      <c r="E776" s="23"/>
      <c r="G776" s="23"/>
      <c r="H776" s="23"/>
      <c r="J776" s="23"/>
      <c r="K776" s="23"/>
      <c r="M776" s="23"/>
      <c r="N776" s="23"/>
      <c r="P776" s="23"/>
    </row>
    <row r="777" spans="2:16" x14ac:dyDescent="0.25">
      <c r="B777" s="23"/>
      <c r="E777" s="23"/>
      <c r="G777" s="23"/>
      <c r="H777" s="23"/>
      <c r="J777" s="23"/>
      <c r="K777" s="23"/>
      <c r="M777" s="23"/>
      <c r="N777" s="23"/>
      <c r="P777" s="23"/>
    </row>
    <row r="778" spans="2:16" x14ac:dyDescent="0.25">
      <c r="B778" s="23"/>
      <c r="E778" s="23"/>
      <c r="G778" s="23"/>
      <c r="H778" s="23"/>
      <c r="J778" s="23"/>
      <c r="K778" s="23"/>
      <c r="M778" s="23"/>
      <c r="N778" s="23"/>
      <c r="P778" s="23"/>
    </row>
    <row r="779" spans="2:16" x14ac:dyDescent="0.25">
      <c r="B779" s="23"/>
      <c r="E779" s="23"/>
      <c r="G779" s="23"/>
      <c r="H779" s="23"/>
      <c r="J779" s="23"/>
      <c r="K779" s="23"/>
      <c r="M779" s="23"/>
      <c r="N779" s="23"/>
      <c r="P779" s="23"/>
    </row>
    <row r="780" spans="2:16" x14ac:dyDescent="0.25">
      <c r="B780" s="23"/>
      <c r="E780" s="23"/>
      <c r="G780" s="23"/>
      <c r="H780" s="23"/>
      <c r="J780" s="23"/>
      <c r="K780" s="23"/>
      <c r="M780" s="23"/>
      <c r="N780" s="23"/>
      <c r="P780" s="23"/>
    </row>
    <row r="781" spans="2:16" x14ac:dyDescent="0.25">
      <c r="B781" s="23"/>
      <c r="E781" s="23"/>
      <c r="G781" s="23"/>
      <c r="H781" s="23"/>
      <c r="J781" s="23"/>
      <c r="K781" s="23"/>
      <c r="M781" s="23"/>
      <c r="N781" s="23"/>
      <c r="P781" s="23"/>
    </row>
    <row r="782" spans="2:16" x14ac:dyDescent="0.25">
      <c r="B782" s="23"/>
      <c r="E782" s="23"/>
      <c r="G782" s="23"/>
      <c r="H782" s="23"/>
      <c r="J782" s="23"/>
      <c r="K782" s="23"/>
      <c r="M782" s="23"/>
      <c r="N782" s="23"/>
      <c r="P782" s="23"/>
    </row>
    <row r="783" spans="2:16" x14ac:dyDescent="0.25">
      <c r="B783" s="23"/>
      <c r="E783" s="23"/>
      <c r="G783" s="23"/>
      <c r="H783" s="23"/>
      <c r="J783" s="23"/>
      <c r="K783" s="23"/>
      <c r="M783" s="23"/>
      <c r="N783" s="23"/>
      <c r="P783" s="23"/>
    </row>
    <row r="784" spans="2:16" x14ac:dyDescent="0.25">
      <c r="B784" s="23"/>
      <c r="E784" s="23"/>
      <c r="G784" s="23"/>
      <c r="H784" s="23"/>
      <c r="J784" s="23"/>
      <c r="K784" s="23"/>
      <c r="M784" s="23"/>
      <c r="N784" s="23"/>
      <c r="P784" s="23"/>
    </row>
    <row r="785" spans="2:16" x14ac:dyDescent="0.25">
      <c r="B785" s="23"/>
      <c r="E785" s="23"/>
      <c r="G785" s="23"/>
      <c r="H785" s="23"/>
      <c r="J785" s="23"/>
      <c r="K785" s="23"/>
      <c r="M785" s="23"/>
      <c r="N785" s="23"/>
      <c r="P785" s="23"/>
    </row>
    <row r="786" spans="2:16" x14ac:dyDescent="0.25">
      <c r="B786" s="23"/>
      <c r="E786" s="23"/>
      <c r="G786" s="23"/>
      <c r="H786" s="23"/>
      <c r="J786" s="23"/>
      <c r="K786" s="23"/>
      <c r="M786" s="23"/>
      <c r="N786" s="23"/>
      <c r="P786" s="23"/>
    </row>
    <row r="787" spans="2:16" x14ac:dyDescent="0.25">
      <c r="B787" s="23"/>
      <c r="E787" s="23"/>
      <c r="G787" s="23"/>
      <c r="H787" s="23"/>
      <c r="J787" s="23"/>
      <c r="K787" s="23"/>
      <c r="M787" s="23"/>
      <c r="N787" s="23"/>
      <c r="P787" s="23"/>
    </row>
    <row r="788" spans="2:16" x14ac:dyDescent="0.25">
      <c r="B788" s="23"/>
      <c r="E788" s="23"/>
      <c r="G788" s="23"/>
      <c r="H788" s="23"/>
      <c r="J788" s="23"/>
      <c r="K788" s="23"/>
      <c r="M788" s="23"/>
      <c r="N788" s="23"/>
      <c r="P788" s="23"/>
    </row>
    <row r="789" spans="2:16" x14ac:dyDescent="0.25">
      <c r="B789" s="23"/>
      <c r="E789" s="23"/>
      <c r="G789" s="23"/>
      <c r="H789" s="23"/>
      <c r="J789" s="23"/>
      <c r="K789" s="23"/>
      <c r="M789" s="23"/>
      <c r="N789" s="23"/>
      <c r="P789" s="23"/>
    </row>
    <row r="790" spans="2:16" x14ac:dyDescent="0.25">
      <c r="B790" s="23"/>
      <c r="E790" s="23"/>
      <c r="G790" s="23"/>
      <c r="H790" s="23"/>
      <c r="J790" s="23"/>
      <c r="K790" s="23"/>
      <c r="M790" s="23"/>
      <c r="N790" s="23"/>
      <c r="P790" s="23"/>
    </row>
    <row r="791" spans="2:16" x14ac:dyDescent="0.25">
      <c r="B791" s="23"/>
      <c r="E791" s="23"/>
      <c r="G791" s="23"/>
      <c r="H791" s="23"/>
      <c r="J791" s="23"/>
      <c r="K791" s="23"/>
      <c r="M791" s="23"/>
      <c r="N791" s="23"/>
      <c r="P791" s="23"/>
    </row>
    <row r="792" spans="2:16" x14ac:dyDescent="0.25">
      <c r="B792" s="23"/>
      <c r="E792" s="23"/>
      <c r="G792" s="23"/>
      <c r="H792" s="23"/>
      <c r="J792" s="23"/>
      <c r="K792" s="23"/>
      <c r="M792" s="23"/>
      <c r="N792" s="23"/>
      <c r="P792" s="23"/>
    </row>
    <row r="793" spans="2:16" x14ac:dyDescent="0.25">
      <c r="B793" s="23"/>
      <c r="E793" s="23"/>
      <c r="G793" s="23"/>
      <c r="H793" s="23"/>
      <c r="J793" s="23"/>
      <c r="K793" s="23"/>
      <c r="M793" s="23"/>
      <c r="N793" s="23"/>
      <c r="P793" s="23"/>
    </row>
    <row r="794" spans="2:16" x14ac:dyDescent="0.25">
      <c r="B794" s="23"/>
      <c r="E794" s="23"/>
      <c r="G794" s="23"/>
      <c r="H794" s="23"/>
      <c r="J794" s="23"/>
      <c r="K794" s="23"/>
      <c r="M794" s="23"/>
      <c r="N794" s="23"/>
      <c r="P794" s="23"/>
    </row>
    <row r="795" spans="2:16" x14ac:dyDescent="0.25">
      <c r="B795" s="23"/>
      <c r="E795" s="23"/>
      <c r="G795" s="23"/>
      <c r="H795" s="23"/>
      <c r="J795" s="23"/>
      <c r="K795" s="23"/>
      <c r="M795" s="23"/>
      <c r="N795" s="23"/>
      <c r="P795" s="23"/>
    </row>
    <row r="796" spans="2:16" x14ac:dyDescent="0.25">
      <c r="B796" s="23"/>
      <c r="E796" s="23"/>
      <c r="G796" s="23"/>
      <c r="H796" s="23"/>
      <c r="J796" s="23"/>
      <c r="K796" s="23"/>
      <c r="M796" s="23"/>
      <c r="N796" s="23"/>
      <c r="P796" s="23"/>
    </row>
    <row r="797" spans="2:16" x14ac:dyDescent="0.25">
      <c r="B797" s="23"/>
      <c r="E797" s="23"/>
      <c r="G797" s="23"/>
      <c r="H797" s="23"/>
      <c r="J797" s="23"/>
      <c r="K797" s="23"/>
      <c r="M797" s="23"/>
      <c r="N797" s="23"/>
      <c r="P797" s="23"/>
    </row>
    <row r="798" spans="2:16" x14ac:dyDescent="0.25">
      <c r="B798" s="23"/>
      <c r="E798" s="23"/>
      <c r="G798" s="23"/>
      <c r="H798" s="23"/>
      <c r="J798" s="23"/>
      <c r="K798" s="23"/>
      <c r="M798" s="23"/>
      <c r="N798" s="23"/>
      <c r="P798" s="23"/>
    </row>
    <row r="799" spans="2:16" x14ac:dyDescent="0.25">
      <c r="B799" s="23"/>
      <c r="E799" s="23"/>
      <c r="G799" s="23"/>
      <c r="H799" s="23"/>
      <c r="J799" s="23"/>
      <c r="K799" s="23"/>
      <c r="M799" s="23"/>
      <c r="N799" s="23"/>
      <c r="P799" s="23"/>
    </row>
    <row r="800" spans="2:16" x14ac:dyDescent="0.25">
      <c r="B800" s="23"/>
      <c r="E800" s="23"/>
      <c r="G800" s="23"/>
      <c r="H800" s="23"/>
      <c r="J800" s="23"/>
      <c r="K800" s="23"/>
      <c r="M800" s="23"/>
      <c r="N800" s="23"/>
      <c r="P800" s="23"/>
    </row>
    <row r="801" spans="2:16" x14ac:dyDescent="0.25">
      <c r="B801" s="23"/>
      <c r="E801" s="23"/>
      <c r="G801" s="23"/>
      <c r="H801" s="23"/>
      <c r="J801" s="23"/>
      <c r="K801" s="23"/>
      <c r="M801" s="23"/>
      <c r="N801" s="23"/>
      <c r="P801" s="23"/>
    </row>
    <row r="802" spans="2:16" x14ac:dyDescent="0.25">
      <c r="B802" s="23"/>
      <c r="E802" s="23"/>
      <c r="G802" s="23"/>
      <c r="H802" s="23"/>
      <c r="J802" s="23"/>
      <c r="K802" s="23"/>
      <c r="M802" s="23"/>
      <c r="N802" s="23"/>
      <c r="P802" s="23"/>
    </row>
    <row r="803" spans="2:16" x14ac:dyDescent="0.25">
      <c r="B803" s="23"/>
      <c r="E803" s="23"/>
      <c r="G803" s="23"/>
      <c r="H803" s="23"/>
      <c r="J803" s="23"/>
      <c r="K803" s="23"/>
      <c r="M803" s="23"/>
      <c r="N803" s="23"/>
      <c r="P803" s="23"/>
    </row>
    <row r="804" spans="2:16" x14ac:dyDescent="0.25">
      <c r="B804" s="23"/>
      <c r="E804" s="23"/>
      <c r="G804" s="23"/>
      <c r="H804" s="23"/>
      <c r="J804" s="23"/>
      <c r="K804" s="23"/>
      <c r="M804" s="23"/>
      <c r="N804" s="23"/>
      <c r="P804" s="23"/>
    </row>
    <row r="805" spans="2:16" x14ac:dyDescent="0.25">
      <c r="B805" s="23"/>
      <c r="E805" s="23"/>
      <c r="G805" s="23"/>
      <c r="H805" s="23"/>
      <c r="J805" s="23"/>
      <c r="K805" s="23"/>
      <c r="M805" s="23"/>
      <c r="N805" s="23"/>
      <c r="P805" s="23"/>
    </row>
    <row r="806" spans="2:16" x14ac:dyDescent="0.25">
      <c r="B806" s="23"/>
      <c r="E806" s="23"/>
      <c r="G806" s="23"/>
      <c r="H806" s="23"/>
      <c r="J806" s="23"/>
      <c r="K806" s="23"/>
      <c r="M806" s="23"/>
      <c r="N806" s="23"/>
      <c r="P806" s="23"/>
    </row>
    <row r="807" spans="2:16" x14ac:dyDescent="0.25">
      <c r="B807" s="23"/>
      <c r="E807" s="23"/>
      <c r="G807" s="23"/>
      <c r="H807" s="23"/>
      <c r="J807" s="23"/>
      <c r="K807" s="23"/>
      <c r="M807" s="23"/>
      <c r="N807" s="23"/>
      <c r="P807" s="23"/>
    </row>
    <row r="808" spans="2:16" x14ac:dyDescent="0.25">
      <c r="B808" s="23"/>
      <c r="E808" s="23"/>
      <c r="G808" s="23"/>
      <c r="H808" s="23"/>
      <c r="J808" s="23"/>
      <c r="K808" s="23"/>
      <c r="M808" s="23"/>
      <c r="N808" s="23"/>
      <c r="P808" s="23"/>
    </row>
    <row r="809" spans="2:16" x14ac:dyDescent="0.25">
      <c r="B809" s="23"/>
      <c r="E809" s="23"/>
      <c r="G809" s="23"/>
      <c r="H809" s="23"/>
      <c r="J809" s="23"/>
      <c r="K809" s="23"/>
      <c r="M809" s="23"/>
      <c r="N809" s="23"/>
      <c r="P809" s="23"/>
    </row>
    <row r="810" spans="2:16" x14ac:dyDescent="0.25">
      <c r="B810" s="23"/>
      <c r="E810" s="23"/>
      <c r="G810" s="23"/>
      <c r="H810" s="23"/>
      <c r="J810" s="23"/>
      <c r="K810" s="23"/>
      <c r="M810" s="23"/>
      <c r="N810" s="23"/>
      <c r="P810" s="23"/>
    </row>
    <row r="811" spans="2:16" x14ac:dyDescent="0.25">
      <c r="B811" s="23"/>
      <c r="E811" s="23"/>
      <c r="G811" s="23"/>
      <c r="H811" s="23"/>
      <c r="J811" s="23"/>
      <c r="K811" s="23"/>
      <c r="M811" s="23"/>
      <c r="N811" s="23"/>
      <c r="P811" s="23"/>
    </row>
    <row r="812" spans="2:16" x14ac:dyDescent="0.25">
      <c r="B812" s="23"/>
      <c r="E812" s="23"/>
      <c r="G812" s="23"/>
      <c r="H812" s="23"/>
      <c r="J812" s="23"/>
      <c r="K812" s="23"/>
      <c r="M812" s="23"/>
      <c r="N812" s="23"/>
      <c r="P812" s="23"/>
    </row>
    <row r="813" spans="2:16" x14ac:dyDescent="0.25">
      <c r="B813" s="23"/>
      <c r="E813" s="23"/>
      <c r="G813" s="23"/>
      <c r="H813" s="23"/>
      <c r="J813" s="23"/>
      <c r="K813" s="23"/>
      <c r="M813" s="23"/>
      <c r="N813" s="23"/>
      <c r="P813" s="23"/>
    </row>
    <row r="814" spans="2:16" x14ac:dyDescent="0.25">
      <c r="B814" s="23"/>
      <c r="E814" s="23"/>
      <c r="G814" s="23"/>
      <c r="H814" s="23"/>
      <c r="J814" s="23"/>
      <c r="K814" s="23"/>
      <c r="M814" s="23"/>
      <c r="N814" s="23"/>
      <c r="P814" s="23"/>
    </row>
    <row r="815" spans="2:16" x14ac:dyDescent="0.25">
      <c r="B815" s="23"/>
      <c r="E815" s="23"/>
      <c r="G815" s="23"/>
      <c r="H815" s="23"/>
      <c r="J815" s="23"/>
      <c r="K815" s="23"/>
      <c r="M815" s="23"/>
      <c r="N815" s="23"/>
      <c r="P815" s="23"/>
    </row>
    <row r="816" spans="2:16" x14ac:dyDescent="0.25">
      <c r="B816" s="23"/>
      <c r="E816" s="23"/>
      <c r="G816" s="23"/>
      <c r="H816" s="23"/>
      <c r="J816" s="23"/>
      <c r="K816" s="23"/>
      <c r="M816" s="23"/>
      <c r="N816" s="23"/>
      <c r="P816" s="23"/>
    </row>
    <row r="817" spans="2:16" x14ac:dyDescent="0.25">
      <c r="B817" s="23"/>
      <c r="E817" s="23"/>
      <c r="G817" s="23"/>
      <c r="H817" s="23"/>
      <c r="J817" s="23"/>
      <c r="K817" s="23"/>
      <c r="M817" s="23"/>
      <c r="N817" s="23"/>
      <c r="P817" s="23"/>
    </row>
    <row r="818" spans="2:16" x14ac:dyDescent="0.25">
      <c r="B818" s="23"/>
      <c r="E818" s="23"/>
      <c r="G818" s="23"/>
      <c r="H818" s="23"/>
      <c r="J818" s="23"/>
      <c r="K818" s="23"/>
      <c r="M818" s="23"/>
      <c r="N818" s="23"/>
      <c r="P818" s="23"/>
    </row>
    <row r="819" spans="2:16" x14ac:dyDescent="0.25">
      <c r="B819" s="23"/>
      <c r="E819" s="23"/>
      <c r="G819" s="23"/>
      <c r="H819" s="23"/>
      <c r="J819" s="23"/>
      <c r="K819" s="23"/>
      <c r="M819" s="23"/>
      <c r="N819" s="23"/>
      <c r="P819" s="23"/>
    </row>
    <row r="820" spans="2:16" x14ac:dyDescent="0.25">
      <c r="B820" s="23"/>
      <c r="E820" s="23"/>
      <c r="G820" s="23"/>
      <c r="H820" s="23"/>
      <c r="J820" s="23"/>
      <c r="K820" s="23"/>
      <c r="M820" s="23"/>
      <c r="N820" s="23"/>
      <c r="P820" s="23"/>
    </row>
    <row r="821" spans="2:16" x14ac:dyDescent="0.25">
      <c r="B821" s="23"/>
      <c r="E821" s="23"/>
      <c r="G821" s="23"/>
      <c r="H821" s="23"/>
      <c r="J821" s="23"/>
      <c r="K821" s="23"/>
      <c r="M821" s="23"/>
      <c r="N821" s="23"/>
      <c r="P821" s="23"/>
    </row>
    <row r="822" spans="2:16" x14ac:dyDescent="0.25">
      <c r="B822" s="23"/>
      <c r="E822" s="23"/>
      <c r="G822" s="23"/>
      <c r="H822" s="23"/>
      <c r="J822" s="23"/>
      <c r="K822" s="23"/>
      <c r="M822" s="23"/>
      <c r="N822" s="23"/>
      <c r="P822" s="23"/>
    </row>
    <row r="823" spans="2:16" x14ac:dyDescent="0.25">
      <c r="B823" s="23"/>
      <c r="E823" s="23"/>
      <c r="G823" s="23"/>
      <c r="H823" s="23"/>
      <c r="J823" s="23"/>
      <c r="K823" s="23"/>
      <c r="M823" s="23"/>
      <c r="N823" s="23"/>
      <c r="P823" s="23"/>
    </row>
    <row r="824" spans="2:16" x14ac:dyDescent="0.25">
      <c r="B824" s="23"/>
      <c r="E824" s="23"/>
      <c r="G824" s="23"/>
      <c r="H824" s="23"/>
      <c r="J824" s="23"/>
      <c r="K824" s="23"/>
      <c r="M824" s="23"/>
      <c r="N824" s="23"/>
      <c r="P824" s="23"/>
    </row>
    <row r="825" spans="2:16" x14ac:dyDescent="0.25">
      <c r="B825" s="23"/>
      <c r="E825" s="23"/>
      <c r="G825" s="23"/>
      <c r="H825" s="23"/>
      <c r="J825" s="23"/>
      <c r="K825" s="23"/>
      <c r="M825" s="23"/>
      <c r="N825" s="23"/>
      <c r="P825" s="23"/>
    </row>
    <row r="826" spans="2:16" x14ac:dyDescent="0.25">
      <c r="B826" s="23"/>
      <c r="E826" s="23"/>
      <c r="G826" s="23"/>
      <c r="H826" s="23"/>
      <c r="J826" s="23"/>
      <c r="K826" s="23"/>
      <c r="M826" s="23"/>
      <c r="N826" s="23"/>
      <c r="P826" s="23"/>
    </row>
    <row r="827" spans="2:16" x14ac:dyDescent="0.25">
      <c r="B827" s="23"/>
      <c r="E827" s="23"/>
      <c r="G827" s="23"/>
      <c r="H827" s="23"/>
      <c r="J827" s="23"/>
      <c r="K827" s="23"/>
      <c r="M827" s="23"/>
      <c r="N827" s="23"/>
      <c r="P827" s="23"/>
    </row>
    <row r="828" spans="2:16" x14ac:dyDescent="0.25">
      <c r="B828" s="23"/>
      <c r="E828" s="23"/>
      <c r="G828" s="23"/>
      <c r="H828" s="23"/>
      <c r="J828" s="23"/>
      <c r="K828" s="23"/>
      <c r="M828" s="23"/>
      <c r="N828" s="23"/>
      <c r="P828" s="23"/>
    </row>
    <row r="829" spans="2:16" x14ac:dyDescent="0.25">
      <c r="B829" s="23"/>
      <c r="E829" s="23"/>
      <c r="G829" s="23"/>
      <c r="H829" s="23"/>
      <c r="J829" s="23"/>
      <c r="K829" s="23"/>
      <c r="M829" s="23"/>
      <c r="N829" s="23"/>
      <c r="P829" s="23"/>
    </row>
    <row r="830" spans="2:16" x14ac:dyDescent="0.25">
      <c r="B830" s="23"/>
      <c r="E830" s="23"/>
      <c r="G830" s="23"/>
      <c r="H830" s="23"/>
      <c r="J830" s="23"/>
      <c r="K830" s="23"/>
      <c r="M830" s="23"/>
      <c r="N830" s="23"/>
      <c r="P830" s="23"/>
    </row>
    <row r="831" spans="2:16" x14ac:dyDescent="0.25">
      <c r="B831" s="23"/>
      <c r="E831" s="23"/>
      <c r="G831" s="23"/>
      <c r="H831" s="23"/>
      <c r="J831" s="23"/>
      <c r="K831" s="23"/>
      <c r="M831" s="23"/>
      <c r="N831" s="23"/>
      <c r="P831" s="23"/>
    </row>
    <row r="832" spans="2:16" x14ac:dyDescent="0.25">
      <c r="B832" s="23"/>
      <c r="E832" s="23"/>
      <c r="G832" s="23"/>
      <c r="H832" s="23"/>
      <c r="J832" s="23"/>
      <c r="K832" s="23"/>
      <c r="M832" s="23"/>
      <c r="N832" s="23"/>
      <c r="P832" s="23"/>
    </row>
    <row r="833" spans="2:16" x14ac:dyDescent="0.25">
      <c r="B833" s="23"/>
      <c r="E833" s="23"/>
      <c r="G833" s="23"/>
      <c r="H833" s="23"/>
      <c r="J833" s="23"/>
      <c r="K833" s="23"/>
      <c r="M833" s="23"/>
      <c r="N833" s="23"/>
      <c r="P833" s="23"/>
    </row>
    <row r="834" spans="2:16" x14ac:dyDescent="0.25">
      <c r="B834" s="23"/>
      <c r="E834" s="23"/>
      <c r="G834" s="23"/>
      <c r="H834" s="23"/>
      <c r="J834" s="23"/>
      <c r="K834" s="23"/>
      <c r="M834" s="23"/>
      <c r="N834" s="23"/>
      <c r="P834" s="23"/>
    </row>
    <row r="835" spans="2:16" x14ac:dyDescent="0.25">
      <c r="B835" s="23"/>
      <c r="E835" s="23"/>
      <c r="G835" s="23"/>
      <c r="H835" s="23"/>
      <c r="J835" s="23"/>
      <c r="K835" s="23"/>
      <c r="M835" s="23"/>
      <c r="N835" s="23"/>
      <c r="P835" s="23"/>
    </row>
    <row r="836" spans="2:16" x14ac:dyDescent="0.25">
      <c r="B836" s="23"/>
      <c r="E836" s="23"/>
      <c r="G836" s="23"/>
      <c r="H836" s="23"/>
      <c r="J836" s="23"/>
      <c r="K836" s="23"/>
      <c r="M836" s="23"/>
      <c r="N836" s="23"/>
      <c r="P836" s="23"/>
    </row>
    <row r="837" spans="2:16" x14ac:dyDescent="0.25">
      <c r="B837" s="23"/>
      <c r="E837" s="23"/>
      <c r="G837" s="23"/>
      <c r="H837" s="23"/>
      <c r="J837" s="23"/>
      <c r="K837" s="23"/>
      <c r="M837" s="23"/>
      <c r="N837" s="23"/>
      <c r="P837" s="23"/>
    </row>
    <row r="838" spans="2:16" x14ac:dyDescent="0.25">
      <c r="B838" s="23"/>
      <c r="E838" s="23"/>
      <c r="G838" s="23"/>
      <c r="H838" s="23"/>
      <c r="J838" s="23"/>
      <c r="K838" s="23"/>
      <c r="M838" s="23"/>
      <c r="N838" s="23"/>
      <c r="P838" s="23"/>
    </row>
    <row r="839" spans="2:16" x14ac:dyDescent="0.25">
      <c r="B839" s="23"/>
      <c r="E839" s="23"/>
      <c r="G839" s="23"/>
      <c r="H839" s="23"/>
      <c r="J839" s="23"/>
      <c r="K839" s="23"/>
      <c r="M839" s="23"/>
      <c r="N839" s="23"/>
      <c r="P839" s="23"/>
    </row>
    <row r="840" spans="2:16" x14ac:dyDescent="0.25">
      <c r="B840" s="23"/>
      <c r="E840" s="23"/>
      <c r="G840" s="23"/>
      <c r="H840" s="23"/>
      <c r="J840" s="23"/>
      <c r="K840" s="23"/>
      <c r="M840" s="23"/>
      <c r="N840" s="23"/>
      <c r="P840" s="23"/>
    </row>
    <row r="841" spans="2:16" x14ac:dyDescent="0.25">
      <c r="B841" s="23"/>
      <c r="E841" s="23"/>
      <c r="G841" s="23"/>
      <c r="H841" s="23"/>
      <c r="J841" s="23"/>
      <c r="K841" s="23"/>
      <c r="M841" s="23"/>
      <c r="N841" s="23"/>
      <c r="P841" s="23"/>
    </row>
    <row r="842" spans="2:16" x14ac:dyDescent="0.25">
      <c r="B842" s="23"/>
      <c r="E842" s="23"/>
      <c r="G842" s="23"/>
      <c r="H842" s="23"/>
      <c r="J842" s="23"/>
      <c r="K842" s="23"/>
      <c r="M842" s="23"/>
      <c r="N842" s="23"/>
      <c r="P842" s="23"/>
    </row>
    <row r="843" spans="2:16" x14ac:dyDescent="0.25">
      <c r="B843" s="23"/>
      <c r="E843" s="23"/>
      <c r="G843" s="23"/>
      <c r="H843" s="23"/>
      <c r="J843" s="23"/>
      <c r="K843" s="23"/>
      <c r="M843" s="23"/>
      <c r="N843" s="23"/>
      <c r="P843" s="23"/>
    </row>
    <row r="844" spans="2:16" x14ac:dyDescent="0.25">
      <c r="B844" s="23"/>
      <c r="E844" s="23"/>
      <c r="G844" s="23"/>
      <c r="H844" s="23"/>
      <c r="J844" s="23"/>
      <c r="K844" s="23"/>
      <c r="M844" s="23"/>
      <c r="N844" s="23"/>
      <c r="P844" s="23"/>
    </row>
    <row r="845" spans="2:16" x14ac:dyDescent="0.25">
      <c r="B845" s="23"/>
      <c r="E845" s="23"/>
      <c r="G845" s="23"/>
      <c r="H845" s="23"/>
      <c r="J845" s="23"/>
      <c r="K845" s="23"/>
      <c r="M845" s="23"/>
      <c r="N845" s="23"/>
      <c r="P845" s="23"/>
    </row>
    <row r="846" spans="2:16" x14ac:dyDescent="0.25">
      <c r="B846" s="23"/>
      <c r="E846" s="23"/>
      <c r="G846" s="23"/>
      <c r="H846" s="23"/>
      <c r="J846" s="23"/>
      <c r="K846" s="23"/>
      <c r="M846" s="23"/>
      <c r="N846" s="23"/>
      <c r="P846" s="23"/>
    </row>
    <row r="847" spans="2:16" x14ac:dyDescent="0.25">
      <c r="B847" s="23"/>
      <c r="E847" s="23"/>
      <c r="G847" s="23"/>
      <c r="H847" s="23"/>
      <c r="J847" s="23"/>
      <c r="K847" s="23"/>
      <c r="M847" s="23"/>
      <c r="N847" s="23"/>
      <c r="P847" s="23"/>
    </row>
    <row r="848" spans="2:16" x14ac:dyDescent="0.25">
      <c r="B848" s="23"/>
      <c r="E848" s="23"/>
      <c r="G848" s="23"/>
      <c r="H848" s="23"/>
      <c r="J848" s="23"/>
      <c r="K848" s="23"/>
      <c r="M848" s="23"/>
      <c r="N848" s="23"/>
      <c r="P848" s="23"/>
    </row>
    <row r="849" spans="2:16" x14ac:dyDescent="0.25">
      <c r="B849" s="23"/>
      <c r="E849" s="23"/>
      <c r="G849" s="23"/>
      <c r="H849" s="23"/>
      <c r="J849" s="23"/>
      <c r="K849" s="23"/>
      <c r="M849" s="23"/>
      <c r="N849" s="23"/>
      <c r="P849" s="23"/>
    </row>
    <row r="850" spans="2:16" x14ac:dyDescent="0.25">
      <c r="B850" s="23"/>
      <c r="E850" s="23"/>
      <c r="G850" s="23"/>
      <c r="H850" s="23"/>
      <c r="J850" s="23"/>
      <c r="K850" s="23"/>
      <c r="M850" s="23"/>
      <c r="N850" s="23"/>
      <c r="P850" s="23"/>
    </row>
    <row r="851" spans="2:16" x14ac:dyDescent="0.25">
      <c r="B851" s="23"/>
      <c r="E851" s="23"/>
      <c r="G851" s="23"/>
      <c r="H851" s="23"/>
      <c r="J851" s="23"/>
      <c r="K851" s="23"/>
      <c r="M851" s="23"/>
      <c r="N851" s="23"/>
      <c r="P851" s="23"/>
    </row>
    <row r="852" spans="2:16" x14ac:dyDescent="0.25">
      <c r="B852" s="23"/>
      <c r="E852" s="23"/>
      <c r="G852" s="23"/>
      <c r="H852" s="23"/>
      <c r="J852" s="23"/>
      <c r="K852" s="23"/>
      <c r="M852" s="23"/>
      <c r="N852" s="23"/>
      <c r="P852" s="23"/>
    </row>
    <row r="853" spans="2:16" x14ac:dyDescent="0.25">
      <c r="B853" s="23"/>
      <c r="E853" s="23"/>
      <c r="G853" s="23"/>
      <c r="H853" s="23"/>
      <c r="J853" s="23"/>
      <c r="K853" s="23"/>
      <c r="M853" s="23"/>
      <c r="N853" s="23"/>
      <c r="P853" s="23"/>
    </row>
    <row r="854" spans="2:16" x14ac:dyDescent="0.25">
      <c r="B854" s="23"/>
      <c r="E854" s="23"/>
      <c r="G854" s="23"/>
      <c r="H854" s="23"/>
      <c r="J854" s="23"/>
      <c r="K854" s="23"/>
      <c r="M854" s="23"/>
      <c r="N854" s="23"/>
      <c r="P854" s="23"/>
    </row>
    <row r="855" spans="2:16" x14ac:dyDescent="0.25">
      <c r="B855" s="23"/>
      <c r="E855" s="23"/>
      <c r="G855" s="23"/>
      <c r="H855" s="23"/>
      <c r="J855" s="23"/>
      <c r="K855" s="23"/>
      <c r="M855" s="23"/>
      <c r="N855" s="23"/>
      <c r="P855" s="23"/>
    </row>
    <row r="856" spans="2:16" x14ac:dyDescent="0.25">
      <c r="B856" s="23"/>
      <c r="E856" s="23"/>
      <c r="G856" s="23"/>
      <c r="H856" s="23"/>
      <c r="J856" s="23"/>
      <c r="K856" s="23"/>
      <c r="M856" s="23"/>
      <c r="N856" s="23"/>
      <c r="P856" s="23"/>
    </row>
    <row r="857" spans="2:16" x14ac:dyDescent="0.25">
      <c r="B857" s="23"/>
      <c r="E857" s="23"/>
      <c r="G857" s="23"/>
      <c r="H857" s="23"/>
      <c r="J857" s="23"/>
      <c r="K857" s="23"/>
      <c r="M857" s="23"/>
      <c r="N857" s="23"/>
      <c r="P857" s="23"/>
    </row>
    <row r="858" spans="2:16" x14ac:dyDescent="0.25">
      <c r="B858" s="23"/>
      <c r="E858" s="23"/>
      <c r="G858" s="23"/>
      <c r="H858" s="23"/>
      <c r="J858" s="23"/>
      <c r="K858" s="23"/>
      <c r="M858" s="23"/>
      <c r="N858" s="23"/>
      <c r="P858" s="23"/>
    </row>
    <row r="859" spans="2:16" x14ac:dyDescent="0.25">
      <c r="B859" s="23"/>
      <c r="E859" s="23"/>
      <c r="G859" s="23"/>
      <c r="H859" s="23"/>
      <c r="J859" s="23"/>
      <c r="K859" s="23"/>
      <c r="M859" s="23"/>
      <c r="N859" s="23"/>
      <c r="P859" s="23"/>
    </row>
    <row r="860" spans="2:16" x14ac:dyDescent="0.25">
      <c r="B860" s="23"/>
      <c r="E860" s="23"/>
      <c r="G860" s="23"/>
      <c r="H860" s="23"/>
      <c r="J860" s="23"/>
      <c r="K860" s="23"/>
      <c r="M860" s="23"/>
      <c r="N860" s="23"/>
      <c r="P860" s="23"/>
    </row>
    <row r="861" spans="2:16" x14ac:dyDescent="0.25">
      <c r="B861" s="23"/>
      <c r="E861" s="23"/>
      <c r="G861" s="23"/>
      <c r="H861" s="23"/>
      <c r="J861" s="23"/>
      <c r="K861" s="23"/>
      <c r="M861" s="23"/>
      <c r="N861" s="23"/>
      <c r="P861" s="23"/>
    </row>
    <row r="862" spans="2:16" x14ac:dyDescent="0.25">
      <c r="B862" s="23"/>
      <c r="E862" s="23"/>
      <c r="G862" s="23"/>
      <c r="H862" s="23"/>
      <c r="J862" s="23"/>
      <c r="K862" s="23"/>
      <c r="M862" s="23"/>
      <c r="N862" s="23"/>
      <c r="P862" s="23"/>
    </row>
    <row r="863" spans="2:16" x14ac:dyDescent="0.25">
      <c r="B863" s="23"/>
      <c r="E863" s="23"/>
      <c r="G863" s="23"/>
      <c r="H863" s="23"/>
      <c r="J863" s="23"/>
      <c r="K863" s="23"/>
      <c r="M863" s="23"/>
      <c r="N863" s="23"/>
      <c r="P863" s="23"/>
    </row>
    <row r="864" spans="2:16" x14ac:dyDescent="0.25">
      <c r="B864" s="23"/>
      <c r="E864" s="23"/>
      <c r="G864" s="23"/>
      <c r="H864" s="23"/>
      <c r="J864" s="23"/>
      <c r="K864" s="23"/>
      <c r="M864" s="23"/>
      <c r="N864" s="23"/>
      <c r="P864" s="23"/>
    </row>
    <row r="865" spans="2:16" x14ac:dyDescent="0.25">
      <c r="B865" s="23"/>
      <c r="E865" s="23"/>
      <c r="G865" s="23"/>
      <c r="H865" s="23"/>
      <c r="J865" s="23"/>
      <c r="K865" s="23"/>
      <c r="M865" s="23"/>
      <c r="N865" s="23"/>
      <c r="P865" s="23"/>
    </row>
    <row r="866" spans="2:16" x14ac:dyDescent="0.25">
      <c r="B866" s="23"/>
      <c r="E866" s="23"/>
      <c r="G866" s="23"/>
      <c r="H866" s="23"/>
      <c r="J866" s="23"/>
      <c r="K866" s="23"/>
      <c r="M866" s="23"/>
      <c r="N866" s="23"/>
      <c r="P866" s="23"/>
    </row>
    <row r="867" spans="2:16" x14ac:dyDescent="0.25">
      <c r="B867" s="23"/>
      <c r="E867" s="23"/>
      <c r="G867" s="23"/>
      <c r="H867" s="23"/>
      <c r="J867" s="23"/>
      <c r="K867" s="23"/>
      <c r="M867" s="23"/>
      <c r="N867" s="23"/>
      <c r="P867" s="23"/>
    </row>
    <row r="868" spans="2:16" x14ac:dyDescent="0.25">
      <c r="B868" s="23"/>
      <c r="E868" s="23"/>
      <c r="G868" s="23"/>
      <c r="H868" s="23"/>
      <c r="J868" s="23"/>
      <c r="K868" s="23"/>
      <c r="M868" s="23"/>
      <c r="N868" s="23"/>
      <c r="P868" s="23"/>
    </row>
    <row r="869" spans="2:16" x14ac:dyDescent="0.25">
      <c r="B869" s="23"/>
      <c r="E869" s="23"/>
      <c r="G869" s="23"/>
      <c r="H869" s="23"/>
      <c r="J869" s="23"/>
      <c r="K869" s="23"/>
      <c r="M869" s="23"/>
      <c r="N869" s="23"/>
      <c r="P869" s="23"/>
    </row>
    <row r="870" spans="2:16" x14ac:dyDescent="0.25">
      <c r="B870" s="23"/>
      <c r="E870" s="23"/>
      <c r="G870" s="23"/>
      <c r="H870" s="23"/>
      <c r="J870" s="23"/>
      <c r="K870" s="23"/>
      <c r="M870" s="23"/>
      <c r="N870" s="23"/>
      <c r="P870" s="23"/>
    </row>
    <row r="871" spans="2:16" x14ac:dyDescent="0.25">
      <c r="B871" s="23"/>
      <c r="E871" s="23"/>
      <c r="G871" s="23"/>
      <c r="H871" s="23"/>
      <c r="J871" s="23"/>
      <c r="K871" s="23"/>
      <c r="M871" s="23"/>
      <c r="N871" s="23"/>
      <c r="P871" s="23"/>
    </row>
    <row r="872" spans="2:16" x14ac:dyDescent="0.25">
      <c r="B872" s="23"/>
      <c r="E872" s="23"/>
      <c r="G872" s="23"/>
      <c r="H872" s="23"/>
      <c r="J872" s="23"/>
      <c r="K872" s="23"/>
      <c r="M872" s="23"/>
      <c r="N872" s="23"/>
      <c r="P872" s="23"/>
    </row>
    <row r="873" spans="2:16" x14ac:dyDescent="0.25">
      <c r="B873" s="23"/>
      <c r="E873" s="23"/>
      <c r="G873" s="23"/>
      <c r="H873" s="23"/>
      <c r="J873" s="23"/>
      <c r="K873" s="23"/>
      <c r="M873" s="23"/>
      <c r="N873" s="23"/>
      <c r="P873" s="23"/>
    </row>
    <row r="874" spans="2:16" x14ac:dyDescent="0.25">
      <c r="B874" s="23"/>
      <c r="E874" s="23"/>
      <c r="G874" s="23"/>
      <c r="H874" s="23"/>
      <c r="J874" s="23"/>
      <c r="K874" s="23"/>
      <c r="M874" s="23"/>
      <c r="N874" s="23"/>
      <c r="P874" s="23"/>
    </row>
    <row r="875" spans="2:16" x14ac:dyDescent="0.25">
      <c r="B875" s="23"/>
      <c r="E875" s="23"/>
      <c r="G875" s="23"/>
      <c r="H875" s="23"/>
      <c r="J875" s="23"/>
      <c r="K875" s="23"/>
      <c r="M875" s="23"/>
      <c r="N875" s="23"/>
      <c r="P875" s="23"/>
    </row>
    <row r="876" spans="2:16" x14ac:dyDescent="0.25">
      <c r="B876" s="23"/>
      <c r="E876" s="23"/>
      <c r="G876" s="23"/>
      <c r="H876" s="23"/>
      <c r="J876" s="23"/>
      <c r="K876" s="23"/>
      <c r="M876" s="23"/>
      <c r="N876" s="23"/>
      <c r="P876" s="23"/>
    </row>
    <row r="877" spans="2:16" x14ac:dyDescent="0.25">
      <c r="B877" s="23"/>
      <c r="E877" s="23"/>
      <c r="G877" s="23"/>
      <c r="H877" s="23"/>
      <c r="J877" s="23"/>
      <c r="K877" s="23"/>
      <c r="M877" s="23"/>
      <c r="N877" s="23"/>
      <c r="P877" s="23"/>
    </row>
    <row r="878" spans="2:16" x14ac:dyDescent="0.25">
      <c r="B878" s="23"/>
      <c r="E878" s="23"/>
      <c r="G878" s="23"/>
      <c r="H878" s="23"/>
      <c r="J878" s="23"/>
      <c r="K878" s="23"/>
      <c r="M878" s="23"/>
      <c r="N878" s="23"/>
      <c r="P878" s="23"/>
    </row>
    <row r="879" spans="2:16" x14ac:dyDescent="0.25">
      <c r="B879" s="23"/>
      <c r="E879" s="23"/>
      <c r="G879" s="23"/>
      <c r="H879" s="23"/>
      <c r="J879" s="23"/>
      <c r="K879" s="23"/>
      <c r="M879" s="23"/>
      <c r="N879" s="23"/>
      <c r="P879" s="23"/>
    </row>
    <row r="880" spans="2:16" x14ac:dyDescent="0.25">
      <c r="B880" s="23"/>
      <c r="E880" s="23"/>
      <c r="G880" s="23"/>
      <c r="H880" s="23"/>
      <c r="J880" s="23"/>
      <c r="K880" s="23"/>
      <c r="M880" s="23"/>
      <c r="N880" s="23"/>
      <c r="P880" s="23"/>
    </row>
    <row r="881" spans="2:16" x14ac:dyDescent="0.25">
      <c r="B881" s="23"/>
      <c r="E881" s="23"/>
      <c r="G881" s="23"/>
      <c r="H881" s="23"/>
      <c r="J881" s="23"/>
      <c r="K881" s="23"/>
      <c r="M881" s="23"/>
      <c r="N881" s="23"/>
      <c r="P881" s="23"/>
    </row>
    <row r="882" spans="2:16" x14ac:dyDescent="0.25">
      <c r="B882" s="23"/>
      <c r="E882" s="23"/>
      <c r="G882" s="23"/>
      <c r="H882" s="23"/>
      <c r="J882" s="23"/>
      <c r="K882" s="23"/>
      <c r="M882" s="23"/>
      <c r="N882" s="23"/>
      <c r="P882" s="23"/>
    </row>
    <row r="883" spans="2:16" x14ac:dyDescent="0.25">
      <c r="B883" s="23"/>
      <c r="E883" s="23"/>
      <c r="G883" s="23"/>
      <c r="H883" s="23"/>
      <c r="J883" s="23"/>
      <c r="K883" s="23"/>
      <c r="M883" s="23"/>
      <c r="N883" s="23"/>
      <c r="P883" s="23"/>
    </row>
    <row r="884" spans="2:16" x14ac:dyDescent="0.25">
      <c r="B884" s="23"/>
      <c r="E884" s="23"/>
      <c r="G884" s="23"/>
      <c r="H884" s="23"/>
      <c r="J884" s="23"/>
      <c r="K884" s="23"/>
      <c r="M884" s="23"/>
      <c r="N884" s="23"/>
      <c r="P884" s="23"/>
    </row>
    <row r="885" spans="2:16" x14ac:dyDescent="0.25">
      <c r="B885" s="23"/>
      <c r="E885" s="23"/>
      <c r="G885" s="23"/>
      <c r="H885" s="23"/>
      <c r="J885" s="23"/>
      <c r="K885" s="23"/>
      <c r="M885" s="23"/>
      <c r="N885" s="23"/>
      <c r="P885" s="23"/>
    </row>
    <row r="886" spans="2:16" x14ac:dyDescent="0.25">
      <c r="B886" s="23"/>
      <c r="E886" s="23"/>
      <c r="G886" s="23"/>
      <c r="H886" s="23"/>
      <c r="J886" s="23"/>
      <c r="K886" s="23"/>
      <c r="M886" s="23"/>
      <c r="N886" s="23"/>
      <c r="P886" s="23"/>
    </row>
    <row r="887" spans="2:16" x14ac:dyDescent="0.25">
      <c r="B887" s="23"/>
      <c r="E887" s="23"/>
      <c r="G887" s="23"/>
      <c r="H887" s="23"/>
      <c r="J887" s="23"/>
      <c r="K887" s="23"/>
      <c r="M887" s="23"/>
      <c r="N887" s="23"/>
      <c r="P887" s="23"/>
    </row>
    <row r="888" spans="2:16" x14ac:dyDescent="0.25">
      <c r="B888" s="23"/>
      <c r="E888" s="23"/>
      <c r="G888" s="23"/>
      <c r="H888" s="23"/>
      <c r="J888" s="23"/>
      <c r="K888" s="23"/>
      <c r="M888" s="23"/>
      <c r="N888" s="23"/>
      <c r="P888" s="23"/>
    </row>
    <row r="889" spans="2:16" x14ac:dyDescent="0.25">
      <c r="B889" s="23"/>
      <c r="E889" s="23"/>
      <c r="G889" s="23"/>
      <c r="H889" s="23"/>
      <c r="J889" s="23"/>
      <c r="K889" s="23"/>
      <c r="M889" s="23"/>
      <c r="N889" s="23"/>
      <c r="P889" s="23"/>
    </row>
    <row r="890" spans="2:16" x14ac:dyDescent="0.25">
      <c r="B890" s="23"/>
      <c r="E890" s="23"/>
      <c r="G890" s="23"/>
      <c r="H890" s="23"/>
      <c r="J890" s="23"/>
      <c r="K890" s="23"/>
      <c r="M890" s="23"/>
      <c r="N890" s="23"/>
      <c r="P890" s="23"/>
    </row>
    <row r="891" spans="2:16" x14ac:dyDescent="0.25">
      <c r="B891" s="23"/>
      <c r="E891" s="23"/>
      <c r="G891" s="23"/>
      <c r="H891" s="23"/>
      <c r="J891" s="23"/>
      <c r="K891" s="23"/>
      <c r="M891" s="23"/>
      <c r="N891" s="23"/>
      <c r="P891" s="23"/>
    </row>
    <row r="892" spans="2:16" x14ac:dyDescent="0.25">
      <c r="B892" s="23"/>
      <c r="E892" s="23"/>
      <c r="G892" s="23"/>
      <c r="H892" s="23"/>
      <c r="J892" s="23"/>
      <c r="K892" s="23"/>
      <c r="M892" s="23"/>
      <c r="N892" s="23"/>
      <c r="P892" s="23"/>
    </row>
    <row r="893" spans="2:16" x14ac:dyDescent="0.25">
      <c r="B893" s="23"/>
      <c r="E893" s="23"/>
      <c r="G893" s="23"/>
      <c r="H893" s="23"/>
      <c r="J893" s="23"/>
      <c r="K893" s="23"/>
      <c r="M893" s="23"/>
      <c r="N893" s="23"/>
      <c r="P893" s="23"/>
    </row>
    <row r="894" spans="2:16" x14ac:dyDescent="0.25">
      <c r="B894" s="23"/>
      <c r="E894" s="23"/>
      <c r="G894" s="23"/>
      <c r="H894" s="23"/>
      <c r="J894" s="23"/>
      <c r="K894" s="23"/>
      <c r="M894" s="23"/>
      <c r="N894" s="23"/>
      <c r="P894" s="23"/>
    </row>
    <row r="895" spans="2:16" x14ac:dyDescent="0.25">
      <c r="B895" s="23"/>
      <c r="E895" s="23"/>
      <c r="G895" s="23"/>
      <c r="H895" s="23"/>
      <c r="J895" s="23"/>
      <c r="K895" s="23"/>
      <c r="M895" s="23"/>
      <c r="N895" s="23"/>
      <c r="P895" s="23"/>
    </row>
    <row r="896" spans="2:16" x14ac:dyDescent="0.25">
      <c r="B896" s="23"/>
      <c r="E896" s="23"/>
      <c r="G896" s="23"/>
      <c r="H896" s="23"/>
      <c r="J896" s="23"/>
      <c r="K896" s="23"/>
      <c r="M896" s="23"/>
      <c r="N896" s="23"/>
      <c r="P896" s="23"/>
    </row>
    <row r="897" spans="2:16" x14ac:dyDescent="0.25">
      <c r="B897" s="23"/>
      <c r="E897" s="23"/>
      <c r="G897" s="23"/>
      <c r="H897" s="23"/>
      <c r="J897" s="23"/>
      <c r="K897" s="23"/>
      <c r="M897" s="23"/>
      <c r="N897" s="23"/>
      <c r="P897" s="23"/>
    </row>
    <row r="898" spans="2:16" x14ac:dyDescent="0.25">
      <c r="B898" s="23"/>
      <c r="E898" s="23"/>
      <c r="G898" s="23"/>
      <c r="H898" s="23"/>
      <c r="J898" s="23"/>
      <c r="K898" s="23"/>
      <c r="M898" s="23"/>
      <c r="N898" s="23"/>
      <c r="P898" s="23"/>
    </row>
    <row r="899" spans="2:16" x14ac:dyDescent="0.25">
      <c r="B899" s="23"/>
      <c r="E899" s="23"/>
      <c r="G899" s="23"/>
      <c r="H899" s="23"/>
      <c r="J899" s="23"/>
      <c r="K899" s="23"/>
      <c r="M899" s="23"/>
      <c r="N899" s="23"/>
      <c r="P899" s="23"/>
    </row>
    <row r="900" spans="2:16" x14ac:dyDescent="0.25">
      <c r="B900" s="23"/>
      <c r="E900" s="23"/>
      <c r="G900" s="23"/>
      <c r="H900" s="23"/>
      <c r="J900" s="23"/>
      <c r="K900" s="23"/>
      <c r="M900" s="23"/>
      <c r="N900" s="23"/>
      <c r="P900" s="23"/>
    </row>
    <row r="901" spans="2:16" x14ac:dyDescent="0.25">
      <c r="B901" s="23"/>
      <c r="E901" s="23"/>
      <c r="G901" s="23"/>
      <c r="H901" s="23"/>
      <c r="J901" s="23"/>
      <c r="K901" s="23"/>
      <c r="M901" s="23"/>
      <c r="N901" s="23"/>
      <c r="P901" s="23"/>
    </row>
    <row r="902" spans="2:16" x14ac:dyDescent="0.25">
      <c r="B902" s="23"/>
      <c r="E902" s="23"/>
      <c r="G902" s="23"/>
      <c r="H902" s="23"/>
      <c r="J902" s="23"/>
      <c r="K902" s="23"/>
      <c r="M902" s="23"/>
      <c r="N902" s="23"/>
      <c r="P902" s="23"/>
    </row>
    <row r="903" spans="2:16" x14ac:dyDescent="0.25">
      <c r="B903" s="23"/>
      <c r="E903" s="23"/>
      <c r="G903" s="23"/>
      <c r="H903" s="23"/>
      <c r="J903" s="23"/>
      <c r="K903" s="23"/>
      <c r="M903" s="23"/>
      <c r="N903" s="23"/>
      <c r="P903" s="23"/>
    </row>
    <row r="904" spans="2:16" x14ac:dyDescent="0.25">
      <c r="B904" s="23"/>
      <c r="E904" s="23"/>
      <c r="G904" s="23"/>
      <c r="H904" s="23"/>
      <c r="J904" s="23"/>
      <c r="K904" s="23"/>
      <c r="M904" s="23"/>
      <c r="N904" s="23"/>
      <c r="P904" s="23"/>
    </row>
    <row r="905" spans="2:16" x14ac:dyDescent="0.25">
      <c r="B905" s="23"/>
      <c r="E905" s="23"/>
      <c r="G905" s="23"/>
      <c r="H905" s="23"/>
      <c r="J905" s="23"/>
      <c r="K905" s="23"/>
      <c r="M905" s="23"/>
      <c r="N905" s="23"/>
      <c r="P905" s="23"/>
    </row>
    <row r="906" spans="2:16" x14ac:dyDescent="0.25">
      <c r="B906" s="23"/>
      <c r="E906" s="23"/>
      <c r="G906" s="23"/>
      <c r="H906" s="23"/>
      <c r="J906" s="23"/>
      <c r="K906" s="23"/>
      <c r="M906" s="23"/>
      <c r="N906" s="23"/>
      <c r="P906" s="23"/>
    </row>
    <row r="907" spans="2:16" x14ac:dyDescent="0.25">
      <c r="B907" s="23"/>
      <c r="E907" s="23"/>
      <c r="G907" s="23"/>
      <c r="H907" s="23"/>
      <c r="J907" s="23"/>
      <c r="K907" s="23"/>
      <c r="M907" s="23"/>
      <c r="N907" s="23"/>
      <c r="P907" s="23"/>
    </row>
    <row r="908" spans="2:16" x14ac:dyDescent="0.25">
      <c r="B908" s="23"/>
      <c r="E908" s="23"/>
      <c r="G908" s="23"/>
      <c r="H908" s="23"/>
      <c r="J908" s="23"/>
      <c r="K908" s="23"/>
      <c r="M908" s="23"/>
      <c r="N908" s="23"/>
      <c r="P908" s="23"/>
    </row>
    <row r="909" spans="2:16" x14ac:dyDescent="0.25">
      <c r="B909" s="23"/>
      <c r="E909" s="23"/>
      <c r="G909" s="23"/>
      <c r="H909" s="23"/>
      <c r="J909" s="23"/>
      <c r="K909" s="23"/>
      <c r="M909" s="23"/>
      <c r="N909" s="23"/>
      <c r="P909" s="23"/>
    </row>
    <row r="910" spans="2:16" x14ac:dyDescent="0.25">
      <c r="B910" s="23"/>
      <c r="E910" s="23"/>
      <c r="G910" s="23"/>
      <c r="H910" s="23"/>
      <c r="J910" s="23"/>
      <c r="K910" s="23"/>
      <c r="M910" s="23"/>
      <c r="N910" s="23"/>
      <c r="P910" s="23"/>
    </row>
    <row r="911" spans="2:16" x14ac:dyDescent="0.25">
      <c r="B911" s="23"/>
      <c r="E911" s="23"/>
      <c r="G911" s="23"/>
      <c r="H911" s="23"/>
      <c r="J911" s="23"/>
      <c r="K911" s="23"/>
      <c r="M911" s="23"/>
      <c r="N911" s="23"/>
      <c r="P911" s="23"/>
    </row>
    <row r="912" spans="2:16" x14ac:dyDescent="0.25">
      <c r="B912" s="23"/>
      <c r="E912" s="23"/>
      <c r="G912" s="23"/>
      <c r="H912" s="23"/>
      <c r="J912" s="23"/>
      <c r="K912" s="23"/>
      <c r="M912" s="23"/>
      <c r="N912" s="23"/>
      <c r="P912" s="23"/>
    </row>
    <row r="913" spans="2:16" x14ac:dyDescent="0.25">
      <c r="B913" s="23"/>
      <c r="E913" s="23"/>
      <c r="G913" s="23"/>
      <c r="H913" s="23"/>
      <c r="J913" s="23"/>
      <c r="K913" s="23"/>
      <c r="M913" s="23"/>
      <c r="N913" s="23"/>
      <c r="P913" s="23"/>
    </row>
    <row r="914" spans="2:16" x14ac:dyDescent="0.25">
      <c r="B914" s="23"/>
      <c r="E914" s="23"/>
      <c r="G914" s="23"/>
      <c r="H914" s="23"/>
      <c r="J914" s="23"/>
      <c r="K914" s="23"/>
      <c r="M914" s="23"/>
      <c r="N914" s="23"/>
      <c r="P914" s="23"/>
    </row>
    <row r="915" spans="2:16" x14ac:dyDescent="0.25">
      <c r="B915" s="23"/>
      <c r="E915" s="23"/>
      <c r="G915" s="23"/>
      <c r="H915" s="23"/>
      <c r="J915" s="23"/>
      <c r="K915" s="23"/>
      <c r="M915" s="23"/>
      <c r="N915" s="23"/>
      <c r="P915" s="23"/>
    </row>
    <row r="916" spans="2:16" x14ac:dyDescent="0.25">
      <c r="B916" s="23"/>
      <c r="E916" s="23"/>
      <c r="G916" s="23"/>
      <c r="H916" s="23"/>
      <c r="J916" s="23"/>
      <c r="K916" s="23"/>
      <c r="M916" s="23"/>
      <c r="N916" s="23"/>
      <c r="P916" s="23"/>
    </row>
    <row r="917" spans="2:16" x14ac:dyDescent="0.25">
      <c r="B917" s="23"/>
      <c r="E917" s="23"/>
      <c r="G917" s="23"/>
      <c r="H917" s="23"/>
      <c r="J917" s="23"/>
      <c r="K917" s="23"/>
      <c r="M917" s="23"/>
      <c r="N917" s="23"/>
      <c r="P917" s="23"/>
    </row>
    <row r="918" spans="2:16" x14ac:dyDescent="0.25">
      <c r="B918" s="23"/>
      <c r="E918" s="23"/>
      <c r="G918" s="23"/>
      <c r="H918" s="23"/>
      <c r="J918" s="23"/>
      <c r="K918" s="23"/>
      <c r="M918" s="23"/>
      <c r="N918" s="23"/>
      <c r="P918" s="23"/>
    </row>
    <row r="919" spans="2:16" x14ac:dyDescent="0.25">
      <c r="B919" s="23"/>
      <c r="E919" s="23"/>
      <c r="G919" s="23"/>
      <c r="H919" s="23"/>
      <c r="J919" s="23"/>
      <c r="K919" s="23"/>
      <c r="M919" s="23"/>
      <c r="N919" s="23"/>
      <c r="P919" s="23"/>
    </row>
    <row r="920" spans="2:16" x14ac:dyDescent="0.25">
      <c r="B920" s="23"/>
      <c r="E920" s="23"/>
      <c r="G920" s="23"/>
      <c r="H920" s="23"/>
      <c r="J920" s="23"/>
      <c r="K920" s="23"/>
      <c r="M920" s="23"/>
      <c r="N920" s="23"/>
      <c r="P920" s="23"/>
    </row>
    <row r="921" spans="2:16" x14ac:dyDescent="0.25">
      <c r="B921" s="23"/>
      <c r="E921" s="23"/>
      <c r="G921" s="23"/>
      <c r="H921" s="23"/>
      <c r="J921" s="23"/>
      <c r="K921" s="23"/>
      <c r="M921" s="23"/>
      <c r="N921" s="23"/>
      <c r="P921" s="23"/>
    </row>
    <row r="922" spans="2:16" x14ac:dyDescent="0.25">
      <c r="B922" s="23"/>
      <c r="E922" s="23"/>
      <c r="G922" s="23"/>
      <c r="H922" s="23"/>
      <c r="J922" s="23"/>
      <c r="K922" s="23"/>
      <c r="M922" s="23"/>
      <c r="N922" s="23"/>
      <c r="P922" s="23"/>
    </row>
    <row r="923" spans="2:16" x14ac:dyDescent="0.25">
      <c r="B923" s="23"/>
      <c r="E923" s="23"/>
      <c r="G923" s="23"/>
      <c r="H923" s="23"/>
      <c r="J923" s="23"/>
      <c r="K923" s="23"/>
      <c r="M923" s="23"/>
      <c r="N923" s="23"/>
      <c r="P923" s="23"/>
    </row>
    <row r="924" spans="2:16" x14ac:dyDescent="0.25">
      <c r="B924" s="23"/>
      <c r="E924" s="23"/>
      <c r="G924" s="23"/>
      <c r="H924" s="23"/>
      <c r="J924" s="23"/>
      <c r="K924" s="23"/>
      <c r="M924" s="23"/>
      <c r="N924" s="23"/>
      <c r="P924" s="23"/>
    </row>
    <row r="925" spans="2:16" x14ac:dyDescent="0.25">
      <c r="B925" s="23"/>
      <c r="E925" s="23"/>
      <c r="G925" s="23"/>
      <c r="H925" s="23"/>
      <c r="J925" s="23"/>
      <c r="K925" s="23"/>
      <c r="M925" s="23"/>
      <c r="N925" s="23"/>
      <c r="P925" s="23"/>
    </row>
    <row r="926" spans="2:16" x14ac:dyDescent="0.25">
      <c r="B926" s="23"/>
      <c r="E926" s="23"/>
      <c r="G926" s="23"/>
      <c r="H926" s="23"/>
      <c r="J926" s="23"/>
      <c r="K926" s="23"/>
      <c r="M926" s="23"/>
      <c r="N926" s="23"/>
      <c r="P926" s="23"/>
    </row>
    <row r="927" spans="2:16" x14ac:dyDescent="0.25">
      <c r="B927" s="23"/>
      <c r="E927" s="23"/>
      <c r="G927" s="23"/>
      <c r="H927" s="23"/>
      <c r="J927" s="23"/>
      <c r="K927" s="23"/>
      <c r="M927" s="23"/>
      <c r="N927" s="23"/>
      <c r="P927" s="23"/>
    </row>
    <row r="928" spans="2:16" x14ac:dyDescent="0.25">
      <c r="B928" s="23"/>
      <c r="E928" s="23"/>
      <c r="G928" s="23"/>
      <c r="H928" s="23"/>
      <c r="J928" s="23"/>
      <c r="K928" s="23"/>
      <c r="M928" s="23"/>
      <c r="N928" s="23"/>
      <c r="P928" s="23"/>
    </row>
    <row r="929" spans="2:16" x14ac:dyDescent="0.25">
      <c r="B929" s="23"/>
      <c r="E929" s="23"/>
      <c r="G929" s="23"/>
      <c r="H929" s="23"/>
      <c r="J929" s="23"/>
      <c r="K929" s="23"/>
      <c r="M929" s="23"/>
      <c r="N929" s="23"/>
      <c r="P929" s="23"/>
    </row>
    <row r="930" spans="2:16" x14ac:dyDescent="0.25">
      <c r="B930" s="23"/>
      <c r="E930" s="23"/>
      <c r="G930" s="23"/>
      <c r="H930" s="23"/>
      <c r="J930" s="23"/>
      <c r="K930" s="23"/>
      <c r="M930" s="23"/>
      <c r="N930" s="23"/>
      <c r="P930" s="23"/>
    </row>
    <row r="931" spans="2:16" x14ac:dyDescent="0.25">
      <c r="B931" s="23"/>
      <c r="E931" s="23"/>
      <c r="G931" s="23"/>
      <c r="H931" s="23"/>
      <c r="J931" s="23"/>
      <c r="K931" s="23"/>
      <c r="M931" s="23"/>
      <c r="N931" s="23"/>
      <c r="P931" s="23"/>
    </row>
    <row r="932" spans="2:16" x14ac:dyDescent="0.25">
      <c r="B932" s="23"/>
      <c r="E932" s="23"/>
      <c r="G932" s="23"/>
      <c r="H932" s="23"/>
      <c r="J932" s="23"/>
      <c r="K932" s="23"/>
      <c r="M932" s="23"/>
      <c r="N932" s="23"/>
      <c r="P932" s="23"/>
    </row>
    <row r="933" spans="2:16" x14ac:dyDescent="0.25">
      <c r="B933" s="23"/>
      <c r="E933" s="23"/>
      <c r="G933" s="23"/>
      <c r="H933" s="23"/>
      <c r="J933" s="23"/>
      <c r="K933" s="23"/>
      <c r="M933" s="23"/>
      <c r="N933" s="23"/>
      <c r="P933" s="23"/>
    </row>
    <row r="934" spans="2:16" x14ac:dyDescent="0.25">
      <c r="B934" s="23"/>
      <c r="E934" s="23"/>
      <c r="G934" s="23"/>
      <c r="H934" s="23"/>
      <c r="J934" s="23"/>
      <c r="K934" s="23"/>
      <c r="M934" s="23"/>
      <c r="N934" s="23"/>
      <c r="P934" s="23"/>
    </row>
    <row r="935" spans="2:16" x14ac:dyDescent="0.25">
      <c r="B935" s="23"/>
      <c r="E935" s="23"/>
      <c r="G935" s="23"/>
      <c r="H935" s="23"/>
      <c r="J935" s="23"/>
      <c r="K935" s="23"/>
      <c r="M935" s="23"/>
      <c r="N935" s="23"/>
      <c r="P935" s="23"/>
    </row>
    <row r="936" spans="2:16" x14ac:dyDescent="0.25">
      <c r="B936" s="23"/>
      <c r="E936" s="23"/>
      <c r="G936" s="23"/>
      <c r="H936" s="23"/>
      <c r="J936" s="23"/>
      <c r="K936" s="23"/>
      <c r="M936" s="23"/>
      <c r="N936" s="23"/>
      <c r="P936" s="23"/>
    </row>
    <row r="937" spans="2:16" x14ac:dyDescent="0.25">
      <c r="B937" s="23"/>
      <c r="E937" s="23"/>
      <c r="G937" s="23"/>
      <c r="H937" s="23"/>
      <c r="J937" s="23"/>
      <c r="K937" s="23"/>
      <c r="M937" s="23"/>
      <c r="N937" s="23"/>
      <c r="P937" s="23"/>
    </row>
    <row r="938" spans="2:16" x14ac:dyDescent="0.25">
      <c r="B938" s="23"/>
      <c r="E938" s="23"/>
      <c r="G938" s="23"/>
      <c r="H938" s="23"/>
      <c r="J938" s="23"/>
      <c r="K938" s="23"/>
      <c r="M938" s="23"/>
      <c r="N938" s="23"/>
      <c r="P938" s="23"/>
    </row>
    <row r="939" spans="2:16" x14ac:dyDescent="0.25">
      <c r="B939" s="23"/>
      <c r="E939" s="23"/>
      <c r="G939" s="23"/>
      <c r="H939" s="23"/>
      <c r="J939" s="23"/>
      <c r="K939" s="23"/>
      <c r="M939" s="23"/>
      <c r="N939" s="23"/>
      <c r="P939" s="23"/>
    </row>
    <row r="940" spans="2:16" x14ac:dyDescent="0.25">
      <c r="B940" s="23"/>
      <c r="E940" s="23"/>
      <c r="G940" s="23"/>
      <c r="H940" s="23"/>
      <c r="J940" s="23"/>
      <c r="K940" s="23"/>
      <c r="M940" s="23"/>
      <c r="N940" s="23"/>
      <c r="P940" s="23"/>
    </row>
    <row r="941" spans="2:16" x14ac:dyDescent="0.25">
      <c r="B941" s="23"/>
      <c r="E941" s="23"/>
      <c r="G941" s="23"/>
      <c r="H941" s="23"/>
      <c r="J941" s="23"/>
      <c r="K941" s="23"/>
      <c r="M941" s="23"/>
      <c r="N941" s="23"/>
      <c r="P941" s="23"/>
    </row>
    <row r="942" spans="2:16" x14ac:dyDescent="0.25">
      <c r="B942" s="23"/>
      <c r="E942" s="23"/>
      <c r="G942" s="23"/>
      <c r="H942" s="23"/>
      <c r="J942" s="23"/>
      <c r="K942" s="23"/>
      <c r="M942" s="23"/>
      <c r="N942" s="23"/>
      <c r="P942" s="23"/>
    </row>
    <row r="943" spans="2:16" x14ac:dyDescent="0.25">
      <c r="B943" s="23"/>
      <c r="E943" s="23"/>
      <c r="G943" s="23"/>
      <c r="H943" s="23"/>
      <c r="J943" s="23"/>
      <c r="K943" s="23"/>
      <c r="M943" s="23"/>
      <c r="N943" s="23"/>
      <c r="P943" s="23"/>
    </row>
    <row r="944" spans="2:16" x14ac:dyDescent="0.25">
      <c r="B944" s="23"/>
      <c r="E944" s="23"/>
      <c r="G944" s="23"/>
      <c r="H944" s="23"/>
      <c r="J944" s="23"/>
      <c r="K944" s="23"/>
      <c r="M944" s="23"/>
      <c r="N944" s="23"/>
      <c r="P944" s="23"/>
    </row>
    <row r="945" spans="2:16" x14ac:dyDescent="0.25">
      <c r="B945" s="23"/>
      <c r="E945" s="23"/>
      <c r="G945" s="23"/>
      <c r="H945" s="23"/>
      <c r="J945" s="23"/>
      <c r="K945" s="23"/>
      <c r="M945" s="23"/>
      <c r="N945" s="23"/>
      <c r="P945" s="23"/>
    </row>
    <row r="946" spans="2:16" x14ac:dyDescent="0.25">
      <c r="B946" s="23"/>
      <c r="E946" s="23"/>
      <c r="G946" s="23"/>
      <c r="H946" s="23"/>
      <c r="J946" s="23"/>
      <c r="K946" s="23"/>
      <c r="M946" s="23"/>
      <c r="N946" s="23"/>
      <c r="P946" s="23"/>
    </row>
    <row r="947" spans="2:16" x14ac:dyDescent="0.25">
      <c r="B947" s="23"/>
      <c r="E947" s="23"/>
      <c r="G947" s="23"/>
      <c r="H947" s="23"/>
      <c r="J947" s="23"/>
      <c r="K947" s="23"/>
      <c r="M947" s="23"/>
      <c r="N947" s="23"/>
      <c r="P947" s="23"/>
    </row>
    <row r="948" spans="2:16" x14ac:dyDescent="0.25">
      <c r="B948" s="23"/>
      <c r="E948" s="23"/>
      <c r="G948" s="23"/>
      <c r="H948" s="23"/>
      <c r="J948" s="23"/>
      <c r="K948" s="23"/>
      <c r="M948" s="23"/>
      <c r="N948" s="23"/>
      <c r="P948" s="23"/>
    </row>
    <row r="949" spans="2:16" x14ac:dyDescent="0.25">
      <c r="B949" s="23"/>
      <c r="E949" s="23"/>
      <c r="G949" s="23"/>
      <c r="H949" s="23"/>
      <c r="J949" s="23"/>
      <c r="K949" s="23"/>
      <c r="M949" s="23"/>
      <c r="N949" s="23"/>
      <c r="P949" s="23"/>
    </row>
    <row r="950" spans="2:16" x14ac:dyDescent="0.25">
      <c r="B950" s="23"/>
      <c r="E950" s="23"/>
      <c r="G950" s="23"/>
      <c r="H950" s="23"/>
      <c r="J950" s="23"/>
      <c r="K950" s="23"/>
      <c r="M950" s="23"/>
      <c r="N950" s="23"/>
      <c r="P950" s="23"/>
    </row>
    <row r="951" spans="2:16" x14ac:dyDescent="0.25">
      <c r="B951" s="23"/>
      <c r="E951" s="23"/>
      <c r="G951" s="23"/>
      <c r="H951" s="23"/>
      <c r="J951" s="23"/>
      <c r="K951" s="23"/>
      <c r="M951" s="23"/>
      <c r="N951" s="23"/>
      <c r="P951" s="23"/>
    </row>
    <row r="952" spans="2:16" x14ac:dyDescent="0.25">
      <c r="B952" s="23"/>
      <c r="E952" s="23"/>
      <c r="G952" s="23"/>
      <c r="H952" s="23"/>
      <c r="J952" s="23"/>
      <c r="K952" s="23"/>
      <c r="M952" s="23"/>
      <c r="N952" s="23"/>
      <c r="P952" s="23"/>
    </row>
    <row r="953" spans="2:16" x14ac:dyDescent="0.25">
      <c r="B953" s="23"/>
      <c r="E953" s="23"/>
      <c r="G953" s="23"/>
      <c r="H953" s="23"/>
      <c r="J953" s="23"/>
      <c r="K953" s="23"/>
      <c r="M953" s="23"/>
      <c r="N953" s="23"/>
      <c r="P953" s="23"/>
    </row>
    <row r="954" spans="2:16" x14ac:dyDescent="0.25">
      <c r="B954" s="23"/>
      <c r="E954" s="23"/>
      <c r="G954" s="23"/>
      <c r="H954" s="23"/>
      <c r="J954" s="23"/>
      <c r="K954" s="23"/>
      <c r="M954" s="23"/>
      <c r="N954" s="23"/>
      <c r="P954" s="23"/>
    </row>
    <row r="955" spans="2:16" x14ac:dyDescent="0.25">
      <c r="B955" s="23"/>
      <c r="E955" s="23"/>
      <c r="G955" s="23"/>
      <c r="H955" s="23"/>
      <c r="J955" s="23"/>
      <c r="K955" s="23"/>
      <c r="M955" s="23"/>
      <c r="N955" s="23"/>
      <c r="P955" s="23"/>
    </row>
    <row r="956" spans="2:16" x14ac:dyDescent="0.25">
      <c r="B956" s="23"/>
      <c r="E956" s="23"/>
      <c r="G956" s="23"/>
      <c r="H956" s="23"/>
      <c r="J956" s="23"/>
      <c r="K956" s="23"/>
      <c r="M956" s="23"/>
      <c r="N956" s="23"/>
      <c r="P956" s="23"/>
    </row>
    <row r="957" spans="2:16" x14ac:dyDescent="0.25">
      <c r="B957" s="23"/>
      <c r="E957" s="23"/>
      <c r="G957" s="23"/>
      <c r="H957" s="23"/>
      <c r="J957" s="23"/>
      <c r="K957" s="23"/>
      <c r="M957" s="23"/>
      <c r="N957" s="23"/>
      <c r="P957" s="23"/>
    </row>
    <row r="958" spans="2:16" x14ac:dyDescent="0.25">
      <c r="B958" s="23"/>
      <c r="E958" s="23"/>
      <c r="G958" s="23"/>
      <c r="H958" s="23"/>
      <c r="J958" s="23"/>
      <c r="K958" s="23"/>
      <c r="M958" s="23"/>
      <c r="N958" s="23"/>
      <c r="P958" s="23"/>
    </row>
    <row r="959" spans="2:16" x14ac:dyDescent="0.25">
      <c r="B959" s="23"/>
      <c r="E959" s="23"/>
      <c r="G959" s="23"/>
      <c r="H959" s="23"/>
      <c r="J959" s="23"/>
      <c r="K959" s="23"/>
      <c r="M959" s="23"/>
      <c r="N959" s="23"/>
      <c r="P959" s="23"/>
    </row>
    <row r="960" spans="2:16" x14ac:dyDescent="0.25">
      <c r="B960" s="23"/>
      <c r="E960" s="23"/>
      <c r="G960" s="23"/>
      <c r="H960" s="23"/>
      <c r="J960" s="23"/>
      <c r="K960" s="23"/>
      <c r="M960" s="23"/>
      <c r="N960" s="23"/>
      <c r="P960" s="23"/>
    </row>
    <row r="961" spans="2:16" x14ac:dyDescent="0.25">
      <c r="B961" s="23"/>
      <c r="E961" s="23"/>
      <c r="G961" s="23"/>
      <c r="H961" s="23"/>
      <c r="J961" s="23"/>
      <c r="K961" s="23"/>
      <c r="M961" s="23"/>
      <c r="N961" s="23"/>
      <c r="P961" s="23"/>
    </row>
    <row r="962" spans="2:16" x14ac:dyDescent="0.25">
      <c r="B962" s="23"/>
      <c r="E962" s="23"/>
      <c r="G962" s="23"/>
      <c r="H962" s="23"/>
      <c r="J962" s="23"/>
      <c r="K962" s="23"/>
      <c r="M962" s="23"/>
      <c r="N962" s="23"/>
      <c r="P962" s="23"/>
    </row>
    <row r="963" spans="2:16" x14ac:dyDescent="0.25">
      <c r="B963" s="23"/>
      <c r="E963" s="23"/>
      <c r="G963" s="23"/>
      <c r="H963" s="23"/>
      <c r="J963" s="23"/>
      <c r="K963" s="23"/>
      <c r="M963" s="23"/>
      <c r="N963" s="23"/>
      <c r="P963" s="23"/>
    </row>
    <row r="964" spans="2:16" x14ac:dyDescent="0.25">
      <c r="B964" s="23"/>
      <c r="E964" s="23"/>
      <c r="G964" s="23"/>
      <c r="H964" s="23"/>
      <c r="J964" s="23"/>
      <c r="K964" s="23"/>
      <c r="M964" s="23"/>
      <c r="N964" s="23"/>
      <c r="P964" s="23"/>
    </row>
    <row r="965" spans="2:16" x14ac:dyDescent="0.25">
      <c r="B965" s="23"/>
      <c r="E965" s="23"/>
      <c r="G965" s="23"/>
      <c r="H965" s="23"/>
      <c r="J965" s="23"/>
      <c r="K965" s="23"/>
      <c r="M965" s="23"/>
      <c r="N965" s="23"/>
      <c r="P965" s="23"/>
    </row>
    <row r="966" spans="2:16" x14ac:dyDescent="0.25">
      <c r="B966" s="23"/>
      <c r="E966" s="23"/>
      <c r="G966" s="23"/>
      <c r="H966" s="23"/>
      <c r="J966" s="23"/>
      <c r="K966" s="23"/>
      <c r="M966" s="23"/>
      <c r="N966" s="23"/>
      <c r="P966" s="23"/>
    </row>
    <row r="967" spans="2:16" x14ac:dyDescent="0.25">
      <c r="B967" s="23"/>
      <c r="E967" s="23"/>
      <c r="G967" s="23"/>
      <c r="H967" s="23"/>
      <c r="J967" s="23"/>
      <c r="K967" s="23"/>
      <c r="M967" s="23"/>
      <c r="N967" s="23"/>
      <c r="P967" s="23"/>
    </row>
    <row r="968" spans="2:16" x14ac:dyDescent="0.25">
      <c r="B968" s="23"/>
      <c r="E968" s="23"/>
      <c r="G968" s="23"/>
      <c r="H968" s="23"/>
      <c r="J968" s="23"/>
      <c r="K968" s="23"/>
      <c r="M968" s="23"/>
      <c r="N968" s="23"/>
      <c r="P968" s="23"/>
    </row>
    <row r="969" spans="2:16" x14ac:dyDescent="0.25">
      <c r="B969" s="23"/>
      <c r="E969" s="23"/>
      <c r="G969" s="23"/>
      <c r="H969" s="23"/>
      <c r="J969" s="23"/>
      <c r="K969" s="23"/>
      <c r="M969" s="23"/>
      <c r="N969" s="23"/>
      <c r="P969" s="23"/>
    </row>
    <row r="970" spans="2:16" x14ac:dyDescent="0.25">
      <c r="B970" s="23"/>
      <c r="E970" s="23"/>
      <c r="G970" s="23"/>
      <c r="H970" s="23"/>
      <c r="J970" s="23"/>
      <c r="K970" s="23"/>
      <c r="M970" s="23"/>
      <c r="N970" s="23"/>
      <c r="P970" s="23"/>
    </row>
    <row r="971" spans="2:16" x14ac:dyDescent="0.25">
      <c r="B971" s="23"/>
      <c r="E971" s="23"/>
      <c r="G971" s="23"/>
      <c r="H971" s="23"/>
      <c r="J971" s="23"/>
      <c r="K971" s="23"/>
      <c r="M971" s="23"/>
      <c r="N971" s="23"/>
      <c r="P971" s="23"/>
    </row>
    <row r="972" spans="2:16" x14ac:dyDescent="0.25">
      <c r="B972" s="23"/>
      <c r="E972" s="23"/>
      <c r="G972" s="23"/>
      <c r="H972" s="23"/>
      <c r="J972" s="23"/>
      <c r="K972" s="23"/>
      <c r="M972" s="23"/>
      <c r="N972" s="23"/>
      <c r="P972" s="23"/>
    </row>
    <row r="973" spans="2:16" x14ac:dyDescent="0.25">
      <c r="B973" s="23"/>
      <c r="E973" s="23"/>
      <c r="G973" s="23"/>
      <c r="H973" s="23"/>
      <c r="J973" s="23"/>
      <c r="K973" s="23"/>
      <c r="M973" s="23"/>
      <c r="N973" s="23"/>
      <c r="P973" s="23"/>
    </row>
    <row r="974" spans="2:16" x14ac:dyDescent="0.25">
      <c r="B974" s="23"/>
      <c r="E974" s="23"/>
      <c r="G974" s="23"/>
      <c r="H974" s="23"/>
      <c r="J974" s="23"/>
      <c r="K974" s="23"/>
      <c r="M974" s="23"/>
      <c r="N974" s="23"/>
      <c r="P974" s="23"/>
    </row>
    <row r="975" spans="2:16" x14ac:dyDescent="0.25">
      <c r="B975" s="23"/>
      <c r="E975" s="23"/>
      <c r="G975" s="23"/>
      <c r="H975" s="23"/>
      <c r="J975" s="23"/>
      <c r="K975" s="23"/>
      <c r="M975" s="23"/>
      <c r="N975" s="23"/>
      <c r="P975" s="23"/>
    </row>
    <row r="976" spans="2:16" x14ac:dyDescent="0.25">
      <c r="B976" s="23"/>
      <c r="E976" s="23"/>
      <c r="G976" s="23"/>
      <c r="H976" s="23"/>
      <c r="J976" s="23"/>
      <c r="K976" s="23"/>
      <c r="M976" s="23"/>
      <c r="N976" s="23"/>
      <c r="P976" s="23"/>
    </row>
    <row r="977" spans="2:16" x14ac:dyDescent="0.25">
      <c r="B977" s="23"/>
      <c r="E977" s="23"/>
      <c r="G977" s="23"/>
      <c r="H977" s="23"/>
      <c r="J977" s="23"/>
      <c r="K977" s="23"/>
      <c r="M977" s="23"/>
      <c r="N977" s="23"/>
      <c r="P977" s="23"/>
    </row>
    <row r="978" spans="2:16" x14ac:dyDescent="0.25">
      <c r="B978" s="23"/>
      <c r="E978" s="23"/>
      <c r="G978" s="23"/>
      <c r="H978" s="23"/>
      <c r="J978" s="23"/>
      <c r="K978" s="23"/>
      <c r="M978" s="23"/>
      <c r="N978" s="23"/>
      <c r="P978" s="23"/>
    </row>
    <row r="979" spans="2:16" x14ac:dyDescent="0.25">
      <c r="B979" s="23"/>
      <c r="E979" s="23"/>
      <c r="G979" s="23"/>
      <c r="H979" s="23"/>
      <c r="J979" s="23"/>
      <c r="K979" s="23"/>
      <c r="M979" s="23"/>
      <c r="N979" s="23"/>
      <c r="P979" s="23"/>
    </row>
    <row r="980" spans="2:16" x14ac:dyDescent="0.25">
      <c r="B980" s="23"/>
      <c r="E980" s="23"/>
      <c r="G980" s="23"/>
      <c r="H980" s="23"/>
      <c r="J980" s="23"/>
      <c r="K980" s="23"/>
      <c r="M980" s="23"/>
      <c r="N980" s="23"/>
      <c r="P980" s="23"/>
    </row>
    <row r="981" spans="2:16" x14ac:dyDescent="0.25">
      <c r="B981" s="23"/>
      <c r="E981" s="23"/>
      <c r="G981" s="23"/>
      <c r="H981" s="23"/>
      <c r="J981" s="23"/>
      <c r="K981" s="23"/>
      <c r="M981" s="23"/>
      <c r="N981" s="23"/>
      <c r="P981" s="23"/>
    </row>
    <row r="982" spans="2:16" x14ac:dyDescent="0.25">
      <c r="B982" s="23"/>
      <c r="E982" s="23"/>
      <c r="G982" s="23"/>
      <c r="H982" s="23"/>
      <c r="J982" s="23"/>
      <c r="K982" s="23"/>
      <c r="M982" s="23"/>
      <c r="N982" s="23"/>
      <c r="P982" s="23"/>
    </row>
    <row r="983" spans="2:16" x14ac:dyDescent="0.25">
      <c r="B983" s="23"/>
      <c r="E983" s="23"/>
      <c r="G983" s="23"/>
      <c r="H983" s="23"/>
      <c r="J983" s="23"/>
      <c r="K983" s="23"/>
      <c r="M983" s="23"/>
      <c r="N983" s="23"/>
      <c r="P983" s="23"/>
    </row>
    <row r="984" spans="2:16" x14ac:dyDescent="0.25">
      <c r="B984" s="23"/>
      <c r="E984" s="23"/>
      <c r="G984" s="23"/>
      <c r="H984" s="23"/>
      <c r="J984" s="23"/>
      <c r="K984" s="23"/>
      <c r="M984" s="23"/>
      <c r="N984" s="23"/>
      <c r="P984" s="23"/>
    </row>
    <row r="985" spans="2:16" x14ac:dyDescent="0.25">
      <c r="B985" s="23"/>
      <c r="E985" s="23"/>
      <c r="G985" s="23"/>
      <c r="H985" s="23"/>
      <c r="J985" s="23"/>
      <c r="K985" s="23"/>
      <c r="M985" s="23"/>
      <c r="N985" s="23"/>
      <c r="P985" s="23"/>
    </row>
    <row r="986" spans="2:16" x14ac:dyDescent="0.25">
      <c r="B986" s="23"/>
      <c r="E986" s="23"/>
      <c r="G986" s="23"/>
      <c r="H986" s="23"/>
      <c r="J986" s="23"/>
      <c r="K986" s="23"/>
      <c r="M986" s="23"/>
      <c r="N986" s="23"/>
      <c r="P986" s="23"/>
    </row>
    <row r="987" spans="2:16" x14ac:dyDescent="0.25">
      <c r="B987" s="23"/>
      <c r="E987" s="23"/>
      <c r="G987" s="23"/>
      <c r="H987" s="23"/>
      <c r="J987" s="23"/>
      <c r="K987" s="23"/>
      <c r="M987" s="23"/>
      <c r="N987" s="23"/>
      <c r="P987" s="23"/>
    </row>
    <row r="988" spans="2:16" x14ac:dyDescent="0.25">
      <c r="B988" s="23"/>
      <c r="E988" s="23"/>
      <c r="G988" s="23"/>
      <c r="H988" s="23"/>
      <c r="J988" s="23"/>
      <c r="K988" s="23"/>
      <c r="M988" s="23"/>
      <c r="N988" s="23"/>
      <c r="P988" s="23"/>
    </row>
    <row r="989" spans="2:16" x14ac:dyDescent="0.25">
      <c r="B989" s="23"/>
      <c r="E989" s="23"/>
      <c r="G989" s="23"/>
      <c r="H989" s="23"/>
      <c r="J989" s="23"/>
      <c r="K989" s="23"/>
      <c r="M989" s="23"/>
      <c r="N989" s="23"/>
      <c r="P989" s="23"/>
    </row>
    <row r="990" spans="2:16" x14ac:dyDescent="0.25">
      <c r="B990" s="23"/>
      <c r="E990" s="23"/>
      <c r="G990" s="23"/>
      <c r="H990" s="23"/>
      <c r="J990" s="23"/>
      <c r="K990" s="23"/>
      <c r="M990" s="23"/>
      <c r="N990" s="23"/>
      <c r="P990" s="23"/>
    </row>
    <row r="991" spans="2:16" x14ac:dyDescent="0.25">
      <c r="B991" s="23"/>
      <c r="E991" s="23"/>
      <c r="G991" s="23"/>
      <c r="H991" s="23"/>
      <c r="J991" s="23"/>
      <c r="K991" s="23"/>
      <c r="M991" s="23"/>
      <c r="N991" s="23"/>
      <c r="P991" s="23"/>
    </row>
    <row r="992" spans="2:16" x14ac:dyDescent="0.25">
      <c r="B992" s="23"/>
      <c r="E992" s="23"/>
      <c r="G992" s="23"/>
      <c r="H992" s="23"/>
      <c r="J992" s="23"/>
      <c r="K992" s="23"/>
      <c r="M992" s="23"/>
      <c r="N992" s="23"/>
      <c r="P992" s="23"/>
    </row>
    <row r="993" spans="2:16" x14ac:dyDescent="0.25">
      <c r="B993" s="23"/>
      <c r="E993" s="23"/>
      <c r="G993" s="23"/>
      <c r="H993" s="23"/>
      <c r="J993" s="23"/>
      <c r="K993" s="23"/>
      <c r="M993" s="23"/>
      <c r="N993" s="23"/>
      <c r="P993" s="23"/>
    </row>
    <row r="994" spans="2:16" x14ac:dyDescent="0.25">
      <c r="B994" s="23"/>
      <c r="E994" s="23"/>
      <c r="G994" s="23"/>
      <c r="H994" s="23"/>
      <c r="J994" s="23"/>
      <c r="K994" s="23"/>
      <c r="M994" s="23"/>
      <c r="N994" s="23"/>
      <c r="P994" s="23"/>
    </row>
    <row r="995" spans="2:16" x14ac:dyDescent="0.25">
      <c r="B995" s="23"/>
      <c r="E995" s="23"/>
      <c r="G995" s="23"/>
      <c r="H995" s="23"/>
      <c r="J995" s="23"/>
      <c r="K995" s="23"/>
      <c r="M995" s="23"/>
      <c r="N995" s="23"/>
      <c r="P995" s="23"/>
    </row>
    <row r="996" spans="2:16" x14ac:dyDescent="0.25">
      <c r="B996" s="23"/>
      <c r="E996" s="23"/>
      <c r="G996" s="23"/>
      <c r="H996" s="23"/>
      <c r="J996" s="23"/>
      <c r="K996" s="23"/>
      <c r="M996" s="23"/>
      <c r="N996" s="23"/>
      <c r="P996" s="23"/>
    </row>
    <row r="997" spans="2:16" x14ac:dyDescent="0.25">
      <c r="B997" s="23"/>
      <c r="E997" s="23"/>
      <c r="G997" s="23"/>
      <c r="H997" s="23"/>
      <c r="J997" s="23"/>
      <c r="K997" s="23"/>
      <c r="M997" s="23"/>
      <c r="N997" s="23"/>
      <c r="P997" s="23"/>
    </row>
    <row r="998" spans="2:16" x14ac:dyDescent="0.25">
      <c r="B998" s="23"/>
      <c r="E998" s="23"/>
      <c r="G998" s="23"/>
      <c r="H998" s="23"/>
      <c r="J998" s="23"/>
      <c r="K998" s="23"/>
      <c r="M998" s="23"/>
      <c r="N998" s="23"/>
      <c r="P998" s="23"/>
    </row>
    <row r="999" spans="2:16" x14ac:dyDescent="0.25">
      <c r="B999" s="23"/>
      <c r="E999" s="23"/>
      <c r="G999" s="23"/>
      <c r="H999" s="23"/>
      <c r="J999" s="23"/>
      <c r="K999" s="23"/>
      <c r="M999" s="23"/>
      <c r="N999" s="23"/>
      <c r="P999" s="23"/>
    </row>
    <row r="1000" spans="2:16" x14ac:dyDescent="0.25">
      <c r="B1000" s="23"/>
      <c r="E1000" s="23"/>
      <c r="G1000" s="23"/>
      <c r="H1000" s="23"/>
      <c r="J1000" s="23"/>
      <c r="K1000" s="23"/>
      <c r="M1000" s="23"/>
      <c r="N1000" s="23"/>
      <c r="P1000" s="23"/>
    </row>
    <row r="1001" spans="2:16" x14ac:dyDescent="0.25">
      <c r="B1001" s="23"/>
      <c r="E1001" s="23"/>
      <c r="G1001" s="23"/>
      <c r="H1001" s="23"/>
      <c r="J1001" s="23"/>
      <c r="K1001" s="23"/>
      <c r="M1001" s="23"/>
      <c r="N1001" s="23"/>
      <c r="P1001" s="23"/>
    </row>
    <row r="1002" spans="2:16" x14ac:dyDescent="0.25">
      <c r="B1002" s="23"/>
      <c r="E1002" s="23"/>
      <c r="G1002" s="23"/>
      <c r="H1002" s="23"/>
      <c r="J1002" s="23"/>
      <c r="K1002" s="23"/>
      <c r="M1002" s="23"/>
      <c r="N1002" s="23"/>
      <c r="P1002" s="23"/>
    </row>
    <row r="1003" spans="2:16" x14ac:dyDescent="0.25">
      <c r="B1003" s="23"/>
      <c r="E1003" s="23"/>
      <c r="G1003" s="23"/>
      <c r="H1003" s="23"/>
      <c r="J1003" s="23"/>
      <c r="K1003" s="23"/>
      <c r="M1003" s="23"/>
      <c r="N1003" s="23"/>
      <c r="P1003" s="23"/>
    </row>
    <row r="1004" spans="2:16" x14ac:dyDescent="0.25">
      <c r="B1004" s="23"/>
      <c r="E1004" s="23"/>
      <c r="G1004" s="23"/>
      <c r="H1004" s="23"/>
      <c r="J1004" s="23"/>
      <c r="K1004" s="23"/>
      <c r="M1004" s="23"/>
      <c r="N1004" s="23"/>
      <c r="P1004" s="23"/>
    </row>
    <row r="1005" spans="2:16" x14ac:dyDescent="0.25">
      <c r="B1005" s="23"/>
      <c r="E1005" s="23"/>
      <c r="G1005" s="23"/>
      <c r="H1005" s="23"/>
      <c r="J1005" s="23"/>
      <c r="K1005" s="23"/>
      <c r="M1005" s="23"/>
      <c r="N1005" s="23"/>
      <c r="P1005" s="23"/>
    </row>
    <row r="1006" spans="2:16" x14ac:dyDescent="0.25">
      <c r="B1006" s="23"/>
      <c r="E1006" s="23"/>
      <c r="G1006" s="23"/>
      <c r="H1006" s="23"/>
      <c r="J1006" s="23"/>
      <c r="K1006" s="23"/>
      <c r="M1006" s="23"/>
      <c r="N1006" s="23"/>
      <c r="P1006" s="23"/>
    </row>
    <row r="1007" spans="2:16" x14ac:dyDescent="0.25">
      <c r="B1007" s="23"/>
      <c r="E1007" s="23"/>
      <c r="G1007" s="23"/>
      <c r="H1007" s="23"/>
      <c r="J1007" s="23"/>
      <c r="K1007" s="23"/>
      <c r="M1007" s="23"/>
      <c r="N1007" s="23"/>
      <c r="P1007" s="23"/>
    </row>
    <row r="1008" spans="2:16" x14ac:dyDescent="0.25">
      <c r="B1008" s="23"/>
      <c r="E1008" s="23"/>
      <c r="G1008" s="23"/>
      <c r="H1008" s="23"/>
      <c r="J1008" s="23"/>
      <c r="K1008" s="23"/>
      <c r="M1008" s="23"/>
      <c r="N1008" s="23"/>
      <c r="P1008" s="23"/>
    </row>
    <row r="1009" spans="2:16" x14ac:dyDescent="0.25">
      <c r="B1009" s="23"/>
      <c r="E1009" s="23"/>
      <c r="G1009" s="23"/>
      <c r="H1009" s="23"/>
      <c r="J1009" s="23"/>
      <c r="K1009" s="23"/>
      <c r="M1009" s="23"/>
      <c r="N1009" s="23"/>
      <c r="P1009" s="23"/>
    </row>
    <row r="1010" spans="2:16" x14ac:dyDescent="0.25">
      <c r="B1010" s="23"/>
      <c r="E1010" s="23"/>
      <c r="G1010" s="23"/>
      <c r="H1010" s="23"/>
      <c r="J1010" s="23"/>
      <c r="K1010" s="23"/>
      <c r="M1010" s="23"/>
      <c r="N1010" s="23"/>
      <c r="P1010" s="23"/>
    </row>
    <row r="1011" spans="2:16" x14ac:dyDescent="0.25">
      <c r="B1011" s="23"/>
      <c r="E1011" s="23"/>
      <c r="G1011" s="23"/>
      <c r="H1011" s="23"/>
      <c r="J1011" s="23"/>
      <c r="K1011" s="23"/>
      <c r="M1011" s="23"/>
      <c r="N1011" s="23"/>
      <c r="P1011" s="23"/>
    </row>
    <row r="1012" spans="2:16" x14ac:dyDescent="0.25">
      <c r="B1012" s="23"/>
      <c r="E1012" s="23"/>
      <c r="G1012" s="23"/>
      <c r="H1012" s="23"/>
      <c r="J1012" s="23"/>
      <c r="K1012" s="23"/>
      <c r="M1012" s="23"/>
      <c r="N1012" s="23"/>
      <c r="P1012" s="23"/>
    </row>
    <row r="1013" spans="2:16" x14ac:dyDescent="0.25">
      <c r="B1013" s="23"/>
      <c r="E1013" s="23"/>
      <c r="G1013" s="23"/>
      <c r="H1013" s="23"/>
      <c r="J1013" s="23"/>
      <c r="K1013" s="23"/>
      <c r="M1013" s="23"/>
      <c r="N1013" s="23"/>
      <c r="P1013" s="23"/>
    </row>
    <row r="1014" spans="2:16" x14ac:dyDescent="0.25">
      <c r="B1014" s="23"/>
      <c r="E1014" s="23"/>
      <c r="G1014" s="23"/>
      <c r="H1014" s="23"/>
      <c r="J1014" s="23"/>
      <c r="K1014" s="23"/>
      <c r="M1014" s="23"/>
      <c r="N1014" s="23"/>
      <c r="P1014" s="23"/>
    </row>
    <row r="1015" spans="2:16" x14ac:dyDescent="0.25">
      <c r="B1015" s="23"/>
      <c r="E1015" s="23"/>
      <c r="G1015" s="23"/>
      <c r="H1015" s="23"/>
      <c r="J1015" s="23"/>
      <c r="K1015" s="23"/>
      <c r="M1015" s="23"/>
      <c r="N1015" s="23"/>
      <c r="P1015" s="23"/>
    </row>
    <row r="1016" spans="2:16" x14ac:dyDescent="0.25">
      <c r="B1016" s="23"/>
      <c r="E1016" s="23"/>
      <c r="G1016" s="23"/>
      <c r="H1016" s="23"/>
      <c r="J1016" s="23"/>
      <c r="K1016" s="23"/>
      <c r="M1016" s="23"/>
      <c r="N1016" s="23"/>
      <c r="P1016" s="23"/>
    </row>
    <row r="1017" spans="2:16" x14ac:dyDescent="0.25">
      <c r="B1017" s="23"/>
      <c r="E1017" s="23"/>
      <c r="G1017" s="23"/>
      <c r="H1017" s="23"/>
      <c r="J1017" s="23"/>
      <c r="K1017" s="23"/>
      <c r="M1017" s="23"/>
      <c r="N1017" s="23"/>
      <c r="P1017" s="23"/>
    </row>
    <row r="1018" spans="2:16" x14ac:dyDescent="0.25">
      <c r="B1018" s="23"/>
      <c r="E1018" s="23"/>
      <c r="G1018" s="23"/>
      <c r="H1018" s="23"/>
      <c r="J1018" s="23"/>
      <c r="K1018" s="23"/>
      <c r="M1018" s="23"/>
      <c r="N1018" s="23"/>
      <c r="P1018" s="23"/>
    </row>
    <row r="1019" spans="2:16" x14ac:dyDescent="0.25">
      <c r="B1019" s="23"/>
      <c r="E1019" s="23"/>
      <c r="G1019" s="23"/>
      <c r="H1019" s="23"/>
      <c r="J1019" s="23"/>
      <c r="K1019" s="23"/>
      <c r="M1019" s="23"/>
      <c r="N1019" s="23"/>
      <c r="P1019" s="23"/>
    </row>
    <row r="1020" spans="2:16" x14ac:dyDescent="0.25">
      <c r="B1020" s="23"/>
      <c r="E1020" s="23"/>
      <c r="G1020" s="23"/>
      <c r="H1020" s="23"/>
      <c r="J1020" s="23"/>
      <c r="K1020" s="23"/>
      <c r="M1020" s="23"/>
      <c r="N1020" s="23"/>
      <c r="P1020" s="23"/>
    </row>
    <row r="1021" spans="2:16" x14ac:dyDescent="0.25">
      <c r="B1021" s="23"/>
      <c r="E1021" s="23"/>
      <c r="G1021" s="23"/>
      <c r="H1021" s="23"/>
      <c r="J1021" s="23"/>
      <c r="K1021" s="23"/>
      <c r="M1021" s="23"/>
      <c r="N1021" s="23"/>
      <c r="P1021" s="23"/>
    </row>
    <row r="1022" spans="2:16" x14ac:dyDescent="0.25">
      <c r="B1022" s="23"/>
      <c r="E1022" s="23"/>
      <c r="G1022" s="23"/>
      <c r="H1022" s="23"/>
      <c r="J1022" s="23"/>
      <c r="K1022" s="23"/>
      <c r="M1022" s="23"/>
      <c r="N1022" s="23"/>
      <c r="P1022" s="23"/>
    </row>
    <row r="1023" spans="2:16" x14ac:dyDescent="0.25">
      <c r="B1023" s="23"/>
      <c r="E1023" s="23"/>
      <c r="G1023" s="23"/>
      <c r="H1023" s="23"/>
      <c r="J1023" s="23"/>
      <c r="K1023" s="23"/>
      <c r="M1023" s="23"/>
      <c r="N1023" s="23"/>
      <c r="P1023" s="23"/>
    </row>
    <row r="1024" spans="2:16" x14ac:dyDescent="0.25">
      <c r="B1024" s="23"/>
      <c r="E1024" s="23"/>
      <c r="G1024" s="23"/>
      <c r="H1024" s="23"/>
      <c r="J1024" s="23"/>
      <c r="K1024" s="23"/>
      <c r="M1024" s="23"/>
      <c r="N1024" s="23"/>
      <c r="P1024" s="23"/>
    </row>
    <row r="1025" spans="2:16" x14ac:dyDescent="0.25">
      <c r="B1025" s="23"/>
      <c r="E1025" s="23"/>
      <c r="G1025" s="23"/>
      <c r="H1025" s="23"/>
      <c r="J1025" s="23"/>
      <c r="K1025" s="23"/>
      <c r="M1025" s="23"/>
      <c r="N1025" s="23"/>
      <c r="P1025" s="23"/>
    </row>
    <row r="1026" spans="2:16" x14ac:dyDescent="0.25">
      <c r="B1026" s="23"/>
      <c r="E1026" s="23"/>
      <c r="G1026" s="23"/>
      <c r="H1026" s="23"/>
      <c r="J1026" s="23"/>
      <c r="K1026" s="23"/>
      <c r="M1026" s="23"/>
      <c r="N1026" s="23"/>
      <c r="P1026" s="23"/>
    </row>
    <row r="1027" spans="2:16" x14ac:dyDescent="0.25">
      <c r="B1027" s="23"/>
      <c r="E1027" s="23"/>
      <c r="G1027" s="23"/>
      <c r="H1027" s="23"/>
      <c r="J1027" s="23"/>
      <c r="K1027" s="23"/>
      <c r="M1027" s="23"/>
      <c r="N1027" s="23"/>
      <c r="P1027" s="23"/>
    </row>
    <row r="1028" spans="2:16" x14ac:dyDescent="0.25">
      <c r="B1028" s="23"/>
      <c r="E1028" s="23"/>
      <c r="G1028" s="23"/>
      <c r="H1028" s="23"/>
      <c r="J1028" s="23"/>
      <c r="K1028" s="23"/>
      <c r="M1028" s="23"/>
      <c r="N1028" s="23"/>
      <c r="P1028" s="23"/>
    </row>
    <row r="1029" spans="2:16" x14ac:dyDescent="0.25">
      <c r="B1029" s="23"/>
      <c r="E1029" s="23"/>
      <c r="G1029" s="23"/>
      <c r="H1029" s="23"/>
      <c r="J1029" s="23"/>
      <c r="K1029" s="23"/>
      <c r="M1029" s="23"/>
      <c r="N1029" s="23"/>
      <c r="P1029" s="23"/>
    </row>
    <row r="1030" spans="2:16" x14ac:dyDescent="0.25">
      <c r="B1030" s="23"/>
      <c r="E1030" s="23"/>
      <c r="G1030" s="23"/>
      <c r="H1030" s="23"/>
      <c r="J1030" s="23"/>
      <c r="K1030" s="23"/>
      <c r="M1030" s="23"/>
      <c r="N1030" s="23"/>
      <c r="P1030" s="23"/>
    </row>
    <row r="1031" spans="2:16" x14ac:dyDescent="0.25">
      <c r="B1031" s="23"/>
      <c r="E1031" s="23"/>
      <c r="G1031" s="23"/>
      <c r="H1031" s="23"/>
      <c r="J1031" s="23"/>
      <c r="K1031" s="23"/>
      <c r="M1031" s="23"/>
      <c r="N1031" s="23"/>
      <c r="P1031" s="23"/>
    </row>
    <row r="1032" spans="2:16" x14ac:dyDescent="0.25">
      <c r="B1032" s="23"/>
      <c r="E1032" s="23"/>
      <c r="G1032" s="23"/>
      <c r="H1032" s="23"/>
      <c r="J1032" s="23"/>
      <c r="K1032" s="23"/>
      <c r="M1032" s="23"/>
      <c r="N1032" s="23"/>
      <c r="P1032" s="23"/>
    </row>
    <row r="1033" spans="2:16" x14ac:dyDescent="0.25">
      <c r="B1033" s="23"/>
      <c r="E1033" s="23"/>
      <c r="G1033" s="23"/>
      <c r="H1033" s="23"/>
      <c r="J1033" s="23"/>
      <c r="K1033" s="23"/>
      <c r="M1033" s="23"/>
      <c r="N1033" s="23"/>
      <c r="P1033" s="23"/>
    </row>
    <row r="1034" spans="2:16" x14ac:dyDescent="0.25">
      <c r="B1034" s="23"/>
      <c r="E1034" s="23"/>
      <c r="G1034" s="23"/>
      <c r="H1034" s="23"/>
      <c r="J1034" s="23"/>
      <c r="K1034" s="23"/>
      <c r="M1034" s="23"/>
      <c r="N1034" s="23"/>
      <c r="P1034" s="23"/>
    </row>
    <row r="1035" spans="2:16" x14ac:dyDescent="0.25">
      <c r="B1035" s="23"/>
      <c r="E1035" s="23"/>
      <c r="G1035" s="23"/>
      <c r="H1035" s="23"/>
      <c r="J1035" s="23"/>
      <c r="K1035" s="23"/>
      <c r="M1035" s="23"/>
      <c r="N1035" s="23"/>
      <c r="P1035" s="23"/>
    </row>
    <row r="1036" spans="2:16" x14ac:dyDescent="0.25">
      <c r="B1036" s="23"/>
      <c r="E1036" s="23"/>
      <c r="G1036" s="23"/>
      <c r="H1036" s="23"/>
      <c r="J1036" s="23"/>
      <c r="K1036" s="23"/>
      <c r="M1036" s="23"/>
      <c r="N1036" s="23"/>
      <c r="P1036" s="23"/>
    </row>
    <row r="1037" spans="2:16" x14ac:dyDescent="0.25">
      <c r="B1037" s="23"/>
      <c r="E1037" s="23"/>
      <c r="G1037" s="23"/>
      <c r="H1037" s="23"/>
      <c r="J1037" s="23"/>
      <c r="K1037" s="23"/>
      <c r="M1037" s="23"/>
      <c r="N1037" s="23"/>
      <c r="P1037" s="23"/>
    </row>
    <row r="1038" spans="2:16" x14ac:dyDescent="0.25">
      <c r="B1038" s="23"/>
      <c r="E1038" s="23"/>
      <c r="G1038" s="23"/>
      <c r="H1038" s="23"/>
      <c r="J1038" s="23"/>
      <c r="K1038" s="23"/>
      <c r="M1038" s="23"/>
      <c r="N1038" s="23"/>
      <c r="P1038" s="23"/>
    </row>
    <row r="1039" spans="2:16" x14ac:dyDescent="0.25">
      <c r="B1039" s="23"/>
      <c r="E1039" s="23"/>
      <c r="G1039" s="23"/>
      <c r="H1039" s="23"/>
      <c r="J1039" s="23"/>
      <c r="K1039" s="23"/>
      <c r="M1039" s="23"/>
      <c r="N1039" s="23"/>
      <c r="P1039" s="23"/>
    </row>
    <row r="1040" spans="2:16" x14ac:dyDescent="0.25">
      <c r="B1040" s="23"/>
      <c r="E1040" s="23"/>
      <c r="G1040" s="23"/>
      <c r="H1040" s="23"/>
      <c r="J1040" s="23"/>
      <c r="K1040" s="23"/>
      <c r="M1040" s="23"/>
      <c r="N1040" s="23"/>
      <c r="P1040" s="23"/>
    </row>
    <row r="1041" spans="2:16" x14ac:dyDescent="0.25">
      <c r="B1041" s="23"/>
      <c r="E1041" s="23"/>
      <c r="G1041" s="23"/>
      <c r="H1041" s="23"/>
      <c r="J1041" s="23"/>
      <c r="K1041" s="23"/>
      <c r="M1041" s="23"/>
      <c r="N1041" s="23"/>
      <c r="P1041" s="23"/>
    </row>
    <row r="1042" spans="2:16" x14ac:dyDescent="0.25">
      <c r="B1042" s="23"/>
      <c r="E1042" s="23"/>
      <c r="G1042" s="23"/>
      <c r="H1042" s="23"/>
      <c r="J1042" s="23"/>
      <c r="K1042" s="23"/>
      <c r="M1042" s="23"/>
      <c r="N1042" s="23"/>
      <c r="P1042" s="23"/>
    </row>
    <row r="1043" spans="2:16" x14ac:dyDescent="0.25">
      <c r="B1043" s="23"/>
      <c r="E1043" s="23"/>
      <c r="G1043" s="23"/>
      <c r="H1043" s="23"/>
      <c r="J1043" s="23"/>
      <c r="K1043" s="23"/>
      <c r="M1043" s="23"/>
      <c r="N1043" s="23"/>
      <c r="P1043" s="23"/>
    </row>
    <row r="1044" spans="2:16" x14ac:dyDescent="0.25">
      <c r="B1044" s="23"/>
      <c r="E1044" s="23"/>
      <c r="G1044" s="23"/>
      <c r="H1044" s="23"/>
      <c r="J1044" s="23"/>
      <c r="K1044" s="23"/>
      <c r="M1044" s="23"/>
      <c r="N1044" s="23"/>
      <c r="P1044" s="23"/>
    </row>
    <row r="1045" spans="2:16" x14ac:dyDescent="0.25">
      <c r="B1045" s="23"/>
      <c r="E1045" s="23"/>
      <c r="G1045" s="23"/>
      <c r="H1045" s="23"/>
      <c r="J1045" s="23"/>
      <c r="K1045" s="23"/>
      <c r="M1045" s="23"/>
      <c r="N1045" s="23"/>
      <c r="P1045" s="23"/>
    </row>
    <row r="1046" spans="2:16" x14ac:dyDescent="0.25">
      <c r="B1046" s="23"/>
      <c r="E1046" s="23"/>
      <c r="G1046" s="23"/>
      <c r="H1046" s="23"/>
      <c r="J1046" s="23"/>
      <c r="K1046" s="23"/>
      <c r="M1046" s="23"/>
      <c r="N1046" s="23"/>
      <c r="P1046" s="23"/>
    </row>
    <row r="1047" spans="2:16" x14ac:dyDescent="0.25">
      <c r="B1047" s="23"/>
      <c r="E1047" s="23"/>
      <c r="G1047" s="23"/>
      <c r="H1047" s="23"/>
      <c r="J1047" s="23"/>
      <c r="K1047" s="23"/>
      <c r="M1047" s="23"/>
      <c r="N1047" s="23"/>
      <c r="P1047" s="23"/>
    </row>
    <row r="1048" spans="2:16" x14ac:dyDescent="0.25">
      <c r="B1048" s="23"/>
      <c r="E1048" s="23"/>
      <c r="G1048" s="23"/>
      <c r="H1048" s="23"/>
      <c r="J1048" s="23"/>
      <c r="K1048" s="23"/>
      <c r="M1048" s="23"/>
      <c r="N1048" s="23"/>
      <c r="P1048" s="23"/>
    </row>
    <row r="1049" spans="2:16" x14ac:dyDescent="0.25">
      <c r="B1049" s="23"/>
      <c r="E1049" s="23"/>
      <c r="G1049" s="23"/>
      <c r="H1049" s="23"/>
      <c r="J1049" s="23"/>
      <c r="K1049" s="23"/>
      <c r="M1049" s="23"/>
      <c r="N1049" s="23"/>
      <c r="P1049" s="23"/>
    </row>
    <row r="1050" spans="2:16" x14ac:dyDescent="0.25">
      <c r="B1050" s="23"/>
      <c r="E1050" s="23"/>
      <c r="G1050" s="23"/>
      <c r="H1050" s="23"/>
      <c r="J1050" s="23"/>
      <c r="K1050" s="23"/>
      <c r="M1050" s="23"/>
      <c r="N1050" s="23"/>
      <c r="P1050" s="23"/>
    </row>
    <row r="1051" spans="2:16" x14ac:dyDescent="0.25">
      <c r="B1051" s="23"/>
      <c r="E1051" s="23"/>
      <c r="G1051" s="23"/>
      <c r="H1051" s="23"/>
      <c r="J1051" s="23"/>
      <c r="K1051" s="23"/>
      <c r="M1051" s="23"/>
      <c r="N1051" s="23"/>
      <c r="P1051" s="23"/>
    </row>
    <row r="1052" spans="2:16" x14ac:dyDescent="0.25">
      <c r="B1052" s="23"/>
      <c r="E1052" s="23"/>
      <c r="G1052" s="23"/>
      <c r="H1052" s="23"/>
      <c r="J1052" s="23"/>
      <c r="K1052" s="23"/>
      <c r="M1052" s="23"/>
      <c r="N1052" s="23"/>
      <c r="P1052" s="23"/>
    </row>
    <row r="1053" spans="2:16" x14ac:dyDescent="0.25">
      <c r="B1053" s="23"/>
      <c r="E1053" s="23"/>
      <c r="G1053" s="23"/>
      <c r="H1053" s="23"/>
      <c r="J1053" s="23"/>
      <c r="K1053" s="23"/>
      <c r="M1053" s="23"/>
      <c r="N1053" s="23"/>
      <c r="P1053" s="23"/>
    </row>
    <row r="1054" spans="2:16" x14ac:dyDescent="0.25">
      <c r="B1054" s="23"/>
      <c r="E1054" s="23"/>
      <c r="G1054" s="23"/>
      <c r="H1054" s="23"/>
      <c r="J1054" s="23"/>
      <c r="K1054" s="23"/>
      <c r="M1054" s="23"/>
      <c r="N1054" s="23"/>
      <c r="P1054" s="23"/>
    </row>
    <row r="1055" spans="2:16" x14ac:dyDescent="0.25">
      <c r="B1055" s="23"/>
      <c r="E1055" s="23"/>
      <c r="G1055" s="23"/>
      <c r="H1055" s="23"/>
      <c r="J1055" s="23"/>
      <c r="K1055" s="23"/>
      <c r="M1055" s="23"/>
      <c r="N1055" s="23"/>
      <c r="P1055" s="23"/>
    </row>
    <row r="1056" spans="2:16" x14ac:dyDescent="0.25">
      <c r="B1056" s="23"/>
      <c r="E1056" s="23"/>
      <c r="G1056" s="23"/>
      <c r="H1056" s="23"/>
      <c r="J1056" s="23"/>
      <c r="K1056" s="23"/>
      <c r="M1056" s="23"/>
      <c r="N1056" s="23"/>
      <c r="P1056" s="23"/>
    </row>
    <row r="1057" spans="2:16" x14ac:dyDescent="0.25">
      <c r="B1057" s="23"/>
      <c r="E1057" s="23"/>
      <c r="G1057" s="23"/>
      <c r="H1057" s="23"/>
      <c r="J1057" s="23"/>
      <c r="K1057" s="23"/>
      <c r="M1057" s="23"/>
      <c r="N1057" s="23"/>
      <c r="P1057" s="23"/>
    </row>
    <row r="1058" spans="2:16" x14ac:dyDescent="0.25">
      <c r="B1058" s="23"/>
      <c r="E1058" s="23"/>
      <c r="G1058" s="23"/>
      <c r="H1058" s="23"/>
      <c r="J1058" s="23"/>
      <c r="K1058" s="23"/>
      <c r="M1058" s="23"/>
      <c r="N1058" s="23"/>
      <c r="P1058" s="23"/>
    </row>
    <row r="1059" spans="2:16" x14ac:dyDescent="0.25">
      <c r="B1059" s="23"/>
      <c r="E1059" s="23"/>
      <c r="G1059" s="23"/>
      <c r="H1059" s="23"/>
      <c r="J1059" s="23"/>
      <c r="K1059" s="23"/>
      <c r="M1059" s="23"/>
      <c r="N1059" s="23"/>
      <c r="P1059" s="23"/>
    </row>
    <row r="1060" spans="2:16" x14ac:dyDescent="0.25">
      <c r="B1060" s="23"/>
      <c r="E1060" s="23"/>
      <c r="G1060" s="23"/>
      <c r="H1060" s="23"/>
      <c r="J1060" s="23"/>
      <c r="K1060" s="23"/>
      <c r="M1060" s="23"/>
      <c r="N1060" s="23"/>
      <c r="P1060" s="23"/>
    </row>
    <row r="1061" spans="2:16" x14ac:dyDescent="0.25">
      <c r="B1061" s="23"/>
      <c r="E1061" s="23"/>
      <c r="G1061" s="23"/>
      <c r="H1061" s="23"/>
      <c r="J1061" s="23"/>
      <c r="K1061" s="23"/>
      <c r="M1061" s="23"/>
      <c r="N1061" s="23"/>
      <c r="P1061" s="23"/>
    </row>
    <row r="1062" spans="2:16" x14ac:dyDescent="0.25">
      <c r="B1062" s="23"/>
      <c r="E1062" s="23"/>
      <c r="G1062" s="23"/>
      <c r="H1062" s="23"/>
      <c r="J1062" s="23"/>
      <c r="K1062" s="23"/>
      <c r="M1062" s="23"/>
      <c r="N1062" s="23"/>
      <c r="P1062" s="23"/>
    </row>
    <row r="1063" spans="2:16" x14ac:dyDescent="0.25">
      <c r="B1063" s="23"/>
      <c r="E1063" s="23"/>
      <c r="G1063" s="23"/>
      <c r="H1063" s="23"/>
      <c r="J1063" s="23"/>
      <c r="K1063" s="23"/>
      <c r="M1063" s="23"/>
      <c r="N1063" s="23"/>
      <c r="P1063" s="23"/>
    </row>
    <row r="1064" spans="2:16" x14ac:dyDescent="0.25">
      <c r="B1064" s="23"/>
      <c r="E1064" s="23"/>
      <c r="G1064" s="23"/>
      <c r="H1064" s="23"/>
      <c r="J1064" s="23"/>
      <c r="K1064" s="23"/>
      <c r="M1064" s="23"/>
      <c r="N1064" s="23"/>
      <c r="P1064" s="23"/>
    </row>
    <row r="1065" spans="2:16" x14ac:dyDescent="0.25">
      <c r="B1065" s="23"/>
      <c r="E1065" s="23"/>
      <c r="G1065" s="23"/>
      <c r="H1065" s="23"/>
      <c r="J1065" s="23"/>
      <c r="K1065" s="23"/>
      <c r="M1065" s="23"/>
      <c r="N1065" s="23"/>
      <c r="P1065" s="23"/>
    </row>
    <row r="1066" spans="2:16" x14ac:dyDescent="0.25">
      <c r="B1066" s="23"/>
      <c r="E1066" s="23"/>
      <c r="G1066" s="23"/>
      <c r="H1066" s="23"/>
      <c r="J1066" s="23"/>
      <c r="K1066" s="23"/>
      <c r="M1066" s="23"/>
      <c r="N1066" s="23"/>
      <c r="P1066" s="23"/>
    </row>
    <row r="1067" spans="2:16" x14ac:dyDescent="0.25">
      <c r="B1067" s="23"/>
      <c r="E1067" s="23"/>
      <c r="G1067" s="23"/>
      <c r="H1067" s="23"/>
      <c r="J1067" s="23"/>
      <c r="K1067" s="23"/>
      <c r="M1067" s="23"/>
      <c r="N1067" s="23"/>
      <c r="P1067" s="23"/>
    </row>
    <row r="1068" spans="2:16" x14ac:dyDescent="0.25">
      <c r="B1068" s="23"/>
      <c r="E1068" s="23"/>
      <c r="G1068" s="23"/>
      <c r="H1068" s="23"/>
      <c r="J1068" s="23"/>
      <c r="K1068" s="23"/>
      <c r="M1068" s="23"/>
      <c r="N1068" s="23"/>
      <c r="P1068" s="23"/>
    </row>
    <row r="1069" spans="2:16" x14ac:dyDescent="0.25">
      <c r="B1069" s="23"/>
      <c r="E1069" s="23"/>
      <c r="G1069" s="23"/>
      <c r="H1069" s="23"/>
      <c r="J1069" s="23"/>
      <c r="K1069" s="23"/>
      <c r="M1069" s="23"/>
      <c r="N1069" s="23"/>
      <c r="P1069" s="23"/>
    </row>
    <row r="1070" spans="2:16" x14ac:dyDescent="0.25">
      <c r="B1070" s="23"/>
      <c r="E1070" s="23"/>
      <c r="G1070" s="23"/>
      <c r="H1070" s="23"/>
      <c r="J1070" s="23"/>
      <c r="K1070" s="23"/>
      <c r="M1070" s="23"/>
      <c r="N1070" s="23"/>
      <c r="P1070" s="23"/>
    </row>
    <row r="1071" spans="2:16" x14ac:dyDescent="0.25">
      <c r="B1071" s="23"/>
      <c r="E1071" s="23"/>
      <c r="G1071" s="23"/>
      <c r="H1071" s="23"/>
      <c r="J1071" s="23"/>
      <c r="K1071" s="23"/>
      <c r="M1071" s="23"/>
      <c r="N1071" s="23"/>
      <c r="P1071" s="23"/>
    </row>
    <row r="1072" spans="2:16" x14ac:dyDescent="0.25">
      <c r="B1072" s="23"/>
      <c r="E1072" s="23"/>
      <c r="G1072" s="23"/>
      <c r="H1072" s="23"/>
      <c r="J1072" s="23"/>
      <c r="K1072" s="23"/>
      <c r="M1072" s="23"/>
      <c r="N1072" s="23"/>
      <c r="P1072" s="23"/>
    </row>
    <row r="1073" spans="2:16" x14ac:dyDescent="0.25">
      <c r="B1073" s="23"/>
      <c r="E1073" s="23"/>
      <c r="G1073" s="23"/>
      <c r="H1073" s="23"/>
      <c r="J1073" s="23"/>
      <c r="K1073" s="23"/>
      <c r="M1073" s="23"/>
      <c r="N1073" s="23"/>
      <c r="P1073" s="23"/>
    </row>
    <row r="1074" spans="2:16" x14ac:dyDescent="0.25">
      <c r="B1074" s="23"/>
      <c r="E1074" s="23"/>
      <c r="G1074" s="23"/>
      <c r="H1074" s="23"/>
      <c r="J1074" s="23"/>
      <c r="K1074" s="23"/>
      <c r="M1074" s="23"/>
      <c r="N1074" s="23"/>
      <c r="P1074" s="23"/>
    </row>
    <row r="1075" spans="2:16" x14ac:dyDescent="0.25">
      <c r="B1075" s="23"/>
      <c r="E1075" s="23"/>
      <c r="G1075" s="23"/>
      <c r="H1075" s="23"/>
      <c r="J1075" s="23"/>
      <c r="K1075" s="23"/>
      <c r="M1075" s="23"/>
      <c r="N1075" s="23"/>
      <c r="P1075" s="23"/>
    </row>
    <row r="1076" spans="2:16" x14ac:dyDescent="0.25">
      <c r="B1076" s="23"/>
      <c r="E1076" s="23"/>
      <c r="G1076" s="23"/>
      <c r="H1076" s="23"/>
      <c r="J1076" s="23"/>
      <c r="K1076" s="23"/>
      <c r="M1076" s="23"/>
      <c r="N1076" s="23"/>
      <c r="P1076" s="23"/>
    </row>
    <row r="1077" spans="2:16" x14ac:dyDescent="0.25">
      <c r="B1077" s="23"/>
      <c r="E1077" s="23"/>
      <c r="G1077" s="23"/>
      <c r="H1077" s="23"/>
      <c r="J1077" s="23"/>
      <c r="K1077" s="23"/>
      <c r="M1077" s="23"/>
      <c r="N1077" s="23"/>
      <c r="P1077" s="23"/>
    </row>
    <row r="1078" spans="2:16" x14ac:dyDescent="0.25">
      <c r="B1078" s="23"/>
      <c r="E1078" s="23"/>
      <c r="G1078" s="23"/>
      <c r="H1078" s="23"/>
      <c r="J1078" s="23"/>
      <c r="K1078" s="23"/>
      <c r="M1078" s="23"/>
      <c r="N1078" s="23"/>
      <c r="P1078" s="23"/>
    </row>
    <row r="1079" spans="2:16" x14ac:dyDescent="0.25">
      <c r="B1079" s="23"/>
      <c r="E1079" s="23"/>
      <c r="G1079" s="23"/>
      <c r="H1079" s="23"/>
      <c r="J1079" s="23"/>
      <c r="K1079" s="23"/>
      <c r="M1079" s="23"/>
      <c r="N1079" s="23"/>
      <c r="P1079" s="23"/>
    </row>
    <row r="1080" spans="2:16" x14ac:dyDescent="0.25">
      <c r="B1080" s="23"/>
      <c r="E1080" s="23"/>
      <c r="G1080" s="23"/>
      <c r="H1080" s="23"/>
      <c r="J1080" s="23"/>
      <c r="K1080" s="23"/>
      <c r="M1080" s="23"/>
      <c r="N1080" s="23"/>
      <c r="P1080" s="23"/>
    </row>
    <row r="1081" spans="2:16" x14ac:dyDescent="0.25">
      <c r="B1081" s="23"/>
      <c r="E1081" s="23"/>
      <c r="G1081" s="23"/>
      <c r="H1081" s="23"/>
      <c r="J1081" s="23"/>
      <c r="K1081" s="23"/>
      <c r="M1081" s="23"/>
      <c r="N1081" s="23"/>
      <c r="P1081" s="23"/>
    </row>
    <row r="1082" spans="2:16" x14ac:dyDescent="0.25">
      <c r="B1082" s="23"/>
      <c r="E1082" s="23"/>
      <c r="G1082" s="23"/>
      <c r="H1082" s="23"/>
      <c r="J1082" s="23"/>
      <c r="K1082" s="23"/>
      <c r="M1082" s="23"/>
      <c r="N1082" s="23"/>
      <c r="P1082" s="23"/>
    </row>
    <row r="1083" spans="2:16" x14ac:dyDescent="0.25">
      <c r="B1083" s="23"/>
      <c r="E1083" s="23"/>
      <c r="G1083" s="23"/>
      <c r="H1083" s="23"/>
      <c r="J1083" s="23"/>
      <c r="K1083" s="23"/>
      <c r="M1083" s="23"/>
      <c r="N1083" s="23"/>
      <c r="P1083" s="23"/>
    </row>
    <row r="1084" spans="2:16" x14ac:dyDescent="0.25">
      <c r="B1084" s="23"/>
      <c r="E1084" s="23"/>
      <c r="G1084" s="23"/>
      <c r="H1084" s="23"/>
      <c r="J1084" s="23"/>
      <c r="K1084" s="23"/>
      <c r="M1084" s="23"/>
      <c r="N1084" s="23"/>
      <c r="P1084" s="23"/>
    </row>
    <row r="1085" spans="2:16" x14ac:dyDescent="0.25">
      <c r="B1085" s="23"/>
      <c r="E1085" s="23"/>
      <c r="G1085" s="23"/>
      <c r="H1085" s="23"/>
      <c r="J1085" s="23"/>
      <c r="K1085" s="23"/>
      <c r="M1085" s="23"/>
      <c r="N1085" s="23"/>
      <c r="P1085" s="23"/>
    </row>
    <row r="1086" spans="2:16" x14ac:dyDescent="0.25">
      <c r="B1086" s="23"/>
      <c r="E1086" s="23"/>
      <c r="G1086" s="23"/>
      <c r="H1086" s="23"/>
      <c r="J1086" s="23"/>
      <c r="K1086" s="23"/>
      <c r="M1086" s="23"/>
      <c r="N1086" s="23"/>
      <c r="P1086" s="23"/>
    </row>
    <row r="1087" spans="2:16" x14ac:dyDescent="0.25">
      <c r="B1087" s="23"/>
      <c r="E1087" s="23"/>
      <c r="G1087" s="23"/>
      <c r="H1087" s="23"/>
      <c r="J1087" s="23"/>
      <c r="K1087" s="23"/>
      <c r="M1087" s="23"/>
      <c r="N1087" s="23"/>
      <c r="P1087" s="23"/>
    </row>
    <row r="1088" spans="2:16" x14ac:dyDescent="0.25">
      <c r="B1088" s="23"/>
      <c r="E1088" s="23"/>
      <c r="G1088" s="23"/>
      <c r="H1088" s="23"/>
      <c r="J1088" s="23"/>
      <c r="K1088" s="23"/>
      <c r="M1088" s="23"/>
      <c r="N1088" s="23"/>
      <c r="P1088" s="23"/>
    </row>
    <row r="1089" spans="2:16" x14ac:dyDescent="0.25">
      <c r="B1089" s="23"/>
      <c r="E1089" s="23"/>
      <c r="G1089" s="23"/>
      <c r="H1089" s="23"/>
      <c r="J1089" s="23"/>
      <c r="K1089" s="23"/>
      <c r="M1089" s="23"/>
      <c r="N1089" s="23"/>
      <c r="P1089" s="23"/>
    </row>
    <row r="1090" spans="2:16" x14ac:dyDescent="0.25">
      <c r="B1090" s="23"/>
      <c r="E1090" s="23"/>
      <c r="G1090" s="23"/>
      <c r="H1090" s="23"/>
      <c r="J1090" s="23"/>
      <c r="K1090" s="23"/>
      <c r="M1090" s="23"/>
      <c r="N1090" s="23"/>
      <c r="P1090" s="23"/>
    </row>
    <row r="1091" spans="2:16" x14ac:dyDescent="0.25">
      <c r="B1091" s="23"/>
      <c r="E1091" s="23"/>
      <c r="G1091" s="23"/>
      <c r="H1091" s="23"/>
      <c r="J1091" s="23"/>
      <c r="K1091" s="23"/>
      <c r="M1091" s="23"/>
      <c r="N1091" s="23"/>
      <c r="P1091" s="23"/>
    </row>
    <row r="1092" spans="2:16" x14ac:dyDescent="0.25">
      <c r="B1092" s="23"/>
      <c r="E1092" s="23"/>
      <c r="G1092" s="23"/>
      <c r="H1092" s="23"/>
      <c r="J1092" s="23"/>
      <c r="K1092" s="23"/>
      <c r="M1092" s="23"/>
      <c r="N1092" s="23"/>
      <c r="P1092" s="23"/>
    </row>
    <row r="1093" spans="2:16" x14ac:dyDescent="0.25">
      <c r="B1093" s="23"/>
      <c r="E1093" s="23"/>
      <c r="G1093" s="23"/>
      <c r="H1093" s="23"/>
      <c r="J1093" s="23"/>
      <c r="K1093" s="23"/>
      <c r="M1093" s="23"/>
      <c r="N1093" s="23"/>
      <c r="P1093" s="23"/>
    </row>
    <row r="1094" spans="2:16" x14ac:dyDescent="0.25">
      <c r="B1094" s="23"/>
      <c r="E1094" s="23"/>
      <c r="G1094" s="23"/>
      <c r="H1094" s="23"/>
      <c r="J1094" s="23"/>
      <c r="K1094" s="23"/>
      <c r="M1094" s="23"/>
      <c r="N1094" s="23"/>
      <c r="P1094" s="23"/>
    </row>
    <row r="1095" spans="2:16" x14ac:dyDescent="0.25">
      <c r="B1095" s="23"/>
      <c r="E1095" s="23"/>
      <c r="G1095" s="23"/>
      <c r="H1095" s="23"/>
      <c r="J1095" s="23"/>
      <c r="K1095" s="23"/>
      <c r="M1095" s="23"/>
      <c r="N1095" s="23"/>
      <c r="P1095" s="23"/>
    </row>
    <row r="1096" spans="2:16" x14ac:dyDescent="0.25">
      <c r="B1096" s="23"/>
      <c r="E1096" s="23"/>
      <c r="G1096" s="23"/>
      <c r="H1096" s="23"/>
      <c r="J1096" s="23"/>
      <c r="K1096" s="23"/>
      <c r="M1096" s="23"/>
      <c r="N1096" s="23"/>
      <c r="P1096" s="23"/>
    </row>
    <row r="1097" spans="2:16" x14ac:dyDescent="0.25">
      <c r="B1097" s="23"/>
      <c r="E1097" s="23"/>
      <c r="G1097" s="23"/>
      <c r="H1097" s="23"/>
      <c r="J1097" s="23"/>
      <c r="K1097" s="23"/>
      <c r="M1097" s="23"/>
      <c r="N1097" s="23"/>
      <c r="P1097" s="23"/>
    </row>
    <row r="1098" spans="2:16" x14ac:dyDescent="0.25">
      <c r="B1098" s="23"/>
      <c r="E1098" s="23"/>
      <c r="G1098" s="23"/>
      <c r="H1098" s="23"/>
      <c r="J1098" s="23"/>
      <c r="K1098" s="23"/>
      <c r="M1098" s="23"/>
      <c r="N1098" s="23"/>
      <c r="P1098" s="23"/>
    </row>
    <row r="1099" spans="2:16" x14ac:dyDescent="0.25">
      <c r="B1099" s="23"/>
      <c r="E1099" s="23"/>
      <c r="G1099" s="23"/>
      <c r="H1099" s="23"/>
      <c r="J1099" s="23"/>
      <c r="K1099" s="23"/>
      <c r="M1099" s="23"/>
      <c r="N1099" s="23"/>
      <c r="P1099" s="23"/>
    </row>
    <row r="1100" spans="2:16" x14ac:dyDescent="0.25">
      <c r="B1100" s="23"/>
      <c r="E1100" s="23"/>
      <c r="G1100" s="23"/>
      <c r="H1100" s="23"/>
      <c r="J1100" s="23"/>
      <c r="K1100" s="23"/>
      <c r="M1100" s="23"/>
      <c r="N1100" s="23"/>
      <c r="P1100" s="23"/>
    </row>
    <row r="1101" spans="2:16" x14ac:dyDescent="0.25">
      <c r="B1101" s="23"/>
      <c r="E1101" s="23"/>
      <c r="G1101" s="23"/>
      <c r="H1101" s="23"/>
      <c r="J1101" s="23"/>
      <c r="K1101" s="23"/>
      <c r="M1101" s="23"/>
      <c r="N1101" s="23"/>
      <c r="P1101" s="23"/>
    </row>
    <row r="1102" spans="2:16" x14ac:dyDescent="0.25">
      <c r="B1102" s="23"/>
      <c r="E1102" s="23"/>
      <c r="G1102" s="23"/>
      <c r="H1102" s="23"/>
      <c r="J1102" s="23"/>
      <c r="K1102" s="23"/>
      <c r="M1102" s="23"/>
      <c r="N1102" s="23"/>
      <c r="P1102" s="23"/>
    </row>
    <row r="1103" spans="2:16" x14ac:dyDescent="0.25">
      <c r="B1103" s="23"/>
      <c r="E1103" s="23"/>
      <c r="G1103" s="23"/>
      <c r="H1103" s="23"/>
      <c r="J1103" s="23"/>
      <c r="K1103" s="23"/>
      <c r="M1103" s="23"/>
      <c r="N1103" s="23"/>
      <c r="P1103" s="23"/>
    </row>
    <row r="1104" spans="2:16" x14ac:dyDescent="0.25">
      <c r="B1104" s="23"/>
      <c r="E1104" s="23"/>
      <c r="G1104" s="23"/>
      <c r="H1104" s="23"/>
      <c r="J1104" s="23"/>
      <c r="K1104" s="23"/>
      <c r="M1104" s="23"/>
      <c r="N1104" s="23"/>
      <c r="P1104" s="23"/>
    </row>
    <row r="1105" spans="2:16" x14ac:dyDescent="0.25">
      <c r="B1105" s="23"/>
      <c r="E1105" s="23"/>
      <c r="G1105" s="23"/>
      <c r="H1105" s="23"/>
      <c r="J1105" s="23"/>
      <c r="K1105" s="23"/>
      <c r="M1105" s="23"/>
      <c r="N1105" s="23"/>
      <c r="P1105" s="23"/>
    </row>
    <row r="1106" spans="2:16" x14ac:dyDescent="0.25">
      <c r="B1106" s="23"/>
      <c r="E1106" s="23"/>
      <c r="G1106" s="23"/>
      <c r="H1106" s="23"/>
      <c r="J1106" s="23"/>
      <c r="K1106" s="23"/>
      <c r="M1106" s="23"/>
      <c r="N1106" s="23"/>
      <c r="P1106" s="23"/>
    </row>
    <row r="1107" spans="2:16" x14ac:dyDescent="0.25">
      <c r="B1107" s="23"/>
      <c r="E1107" s="23"/>
      <c r="G1107" s="23"/>
      <c r="H1107" s="23"/>
      <c r="J1107" s="23"/>
      <c r="K1107" s="23"/>
      <c r="M1107" s="23"/>
      <c r="N1107" s="23"/>
      <c r="P1107" s="23"/>
    </row>
    <row r="1108" spans="2:16" x14ac:dyDescent="0.25">
      <c r="B1108" s="23"/>
      <c r="E1108" s="23"/>
      <c r="G1108" s="23"/>
      <c r="H1108" s="23"/>
      <c r="J1108" s="23"/>
      <c r="K1108" s="23"/>
      <c r="M1108" s="23"/>
      <c r="N1108" s="23"/>
      <c r="P1108" s="23"/>
    </row>
    <row r="1109" spans="2:16" x14ac:dyDescent="0.25">
      <c r="B1109" s="23"/>
      <c r="E1109" s="23"/>
      <c r="G1109" s="23"/>
      <c r="H1109" s="23"/>
      <c r="J1109" s="23"/>
      <c r="K1109" s="23"/>
      <c r="M1109" s="23"/>
      <c r="N1109" s="23"/>
      <c r="P1109" s="23"/>
    </row>
    <row r="1110" spans="2:16" x14ac:dyDescent="0.25">
      <c r="B1110" s="23"/>
      <c r="E1110" s="23"/>
      <c r="G1110" s="23"/>
      <c r="H1110" s="23"/>
      <c r="J1110" s="23"/>
      <c r="K1110" s="23"/>
      <c r="M1110" s="23"/>
      <c r="N1110" s="23"/>
      <c r="P1110" s="23"/>
    </row>
    <row r="1111" spans="2:16" x14ac:dyDescent="0.25">
      <c r="B1111" s="23"/>
      <c r="E1111" s="23"/>
      <c r="G1111" s="23"/>
      <c r="H1111" s="23"/>
      <c r="J1111" s="23"/>
      <c r="K1111" s="23"/>
      <c r="M1111" s="23"/>
      <c r="N1111" s="23"/>
      <c r="P1111" s="23"/>
    </row>
    <row r="1112" spans="2:16" x14ac:dyDescent="0.25">
      <c r="B1112" s="23"/>
      <c r="E1112" s="23"/>
      <c r="G1112" s="23"/>
      <c r="H1112" s="23"/>
      <c r="J1112" s="23"/>
      <c r="K1112" s="23"/>
      <c r="M1112" s="23"/>
      <c r="N1112" s="23"/>
      <c r="P1112" s="23"/>
    </row>
    <row r="1113" spans="2:16" x14ac:dyDescent="0.25">
      <c r="B1113" s="23"/>
      <c r="E1113" s="23"/>
      <c r="G1113" s="23"/>
      <c r="H1113" s="23"/>
      <c r="J1113" s="23"/>
      <c r="K1113" s="23"/>
      <c r="M1113" s="23"/>
      <c r="N1113" s="23"/>
      <c r="P1113" s="23"/>
    </row>
    <row r="1114" spans="2:16" x14ac:dyDescent="0.25">
      <c r="B1114" s="23"/>
      <c r="E1114" s="23"/>
      <c r="G1114" s="23"/>
      <c r="H1114" s="23"/>
      <c r="J1114" s="23"/>
      <c r="K1114" s="23"/>
      <c r="M1114" s="23"/>
      <c r="N1114" s="23"/>
      <c r="P1114" s="23"/>
    </row>
    <row r="1115" spans="2:16" x14ac:dyDescent="0.25">
      <c r="B1115" s="23"/>
      <c r="E1115" s="23"/>
      <c r="G1115" s="23"/>
      <c r="H1115" s="23"/>
      <c r="J1115" s="23"/>
      <c r="K1115" s="23"/>
      <c r="M1115" s="23"/>
      <c r="N1115" s="23"/>
      <c r="P1115" s="23"/>
    </row>
    <row r="1116" spans="2:16" x14ac:dyDescent="0.25">
      <c r="B1116" s="23"/>
      <c r="E1116" s="23"/>
      <c r="G1116" s="23"/>
      <c r="H1116" s="23"/>
      <c r="J1116" s="23"/>
      <c r="K1116" s="23"/>
      <c r="M1116" s="23"/>
      <c r="N1116" s="23"/>
      <c r="P1116" s="23"/>
    </row>
    <row r="1117" spans="2:16" x14ac:dyDescent="0.25">
      <c r="B1117" s="23"/>
      <c r="E1117" s="23"/>
      <c r="G1117" s="23"/>
      <c r="H1117" s="23"/>
      <c r="J1117" s="23"/>
      <c r="K1117" s="23"/>
      <c r="M1117" s="23"/>
      <c r="N1117" s="23"/>
      <c r="P1117" s="23"/>
    </row>
    <row r="1118" spans="2:16" x14ac:dyDescent="0.25">
      <c r="B1118" s="23"/>
      <c r="E1118" s="23"/>
      <c r="G1118" s="23"/>
      <c r="H1118" s="23"/>
      <c r="J1118" s="23"/>
      <c r="K1118" s="23"/>
      <c r="M1118" s="23"/>
      <c r="N1118" s="23"/>
      <c r="P1118" s="23"/>
    </row>
    <row r="1119" spans="2:16" x14ac:dyDescent="0.25">
      <c r="B1119" s="23"/>
      <c r="E1119" s="23"/>
      <c r="G1119" s="23"/>
      <c r="H1119" s="23"/>
      <c r="J1119" s="23"/>
      <c r="K1119" s="23"/>
      <c r="M1119" s="23"/>
      <c r="N1119" s="23"/>
      <c r="P1119" s="23"/>
    </row>
    <row r="1120" spans="2:16" x14ac:dyDescent="0.25">
      <c r="B1120" s="23"/>
      <c r="E1120" s="23"/>
      <c r="G1120" s="23"/>
      <c r="H1120" s="23"/>
      <c r="J1120" s="23"/>
      <c r="K1120" s="23"/>
      <c r="M1120" s="23"/>
      <c r="N1120" s="23"/>
      <c r="P1120" s="23"/>
    </row>
    <row r="1121" spans="2:16" x14ac:dyDescent="0.25">
      <c r="B1121" s="23"/>
      <c r="E1121" s="23"/>
      <c r="G1121" s="23"/>
      <c r="H1121" s="23"/>
      <c r="J1121" s="23"/>
      <c r="K1121" s="23"/>
      <c r="M1121" s="23"/>
      <c r="N1121" s="23"/>
      <c r="P1121" s="23"/>
    </row>
    <row r="1122" spans="2:16" x14ac:dyDescent="0.25">
      <c r="B1122" s="23"/>
      <c r="E1122" s="23"/>
      <c r="G1122" s="23"/>
      <c r="H1122" s="23"/>
      <c r="J1122" s="23"/>
      <c r="K1122" s="23"/>
      <c r="M1122" s="23"/>
      <c r="N1122" s="23"/>
      <c r="P1122" s="23"/>
    </row>
    <row r="1123" spans="2:16" x14ac:dyDescent="0.25">
      <c r="B1123" s="23"/>
      <c r="E1123" s="23"/>
      <c r="G1123" s="23"/>
      <c r="H1123" s="23"/>
      <c r="J1123" s="23"/>
      <c r="K1123" s="23"/>
      <c r="M1123" s="23"/>
      <c r="N1123" s="23"/>
      <c r="P1123" s="23"/>
    </row>
    <row r="1124" spans="2:16" x14ac:dyDescent="0.25">
      <c r="B1124" s="23"/>
      <c r="E1124" s="23"/>
      <c r="G1124" s="23"/>
      <c r="H1124" s="23"/>
      <c r="J1124" s="23"/>
      <c r="K1124" s="23"/>
      <c r="M1124" s="23"/>
      <c r="N1124" s="23"/>
      <c r="P1124" s="23"/>
    </row>
    <row r="1125" spans="2:16" x14ac:dyDescent="0.25">
      <c r="B1125" s="23"/>
      <c r="E1125" s="23"/>
      <c r="G1125" s="23"/>
      <c r="H1125" s="23"/>
      <c r="J1125" s="23"/>
      <c r="K1125" s="23"/>
      <c r="M1125" s="23"/>
      <c r="N1125" s="23"/>
      <c r="P1125" s="23"/>
    </row>
    <row r="1126" spans="2:16" x14ac:dyDescent="0.25">
      <c r="B1126" s="23"/>
      <c r="E1126" s="23"/>
      <c r="G1126" s="23"/>
      <c r="H1126" s="23"/>
      <c r="J1126" s="23"/>
      <c r="K1126" s="23"/>
      <c r="M1126" s="23"/>
      <c r="N1126" s="23"/>
      <c r="P1126" s="23"/>
    </row>
    <row r="1127" spans="2:16" x14ac:dyDescent="0.25">
      <c r="B1127" s="23"/>
      <c r="E1127" s="23"/>
      <c r="G1127" s="23"/>
      <c r="H1127" s="23"/>
      <c r="J1127" s="23"/>
      <c r="K1127" s="23"/>
      <c r="M1127" s="23"/>
      <c r="N1127" s="23"/>
      <c r="P1127" s="23"/>
    </row>
    <row r="1128" spans="2:16" x14ac:dyDescent="0.25">
      <c r="B1128" s="23"/>
      <c r="E1128" s="23"/>
      <c r="G1128" s="23"/>
      <c r="H1128" s="23"/>
      <c r="J1128" s="23"/>
      <c r="K1128" s="23"/>
      <c r="M1128" s="23"/>
      <c r="N1128" s="23"/>
      <c r="P1128" s="23"/>
    </row>
    <row r="1129" spans="2:16" x14ac:dyDescent="0.25">
      <c r="B1129" s="23"/>
      <c r="E1129" s="23"/>
      <c r="G1129" s="23"/>
      <c r="H1129" s="23"/>
      <c r="J1129" s="23"/>
      <c r="K1129" s="23"/>
      <c r="M1129" s="23"/>
      <c r="N1129" s="23"/>
      <c r="P1129" s="23"/>
    </row>
    <row r="1130" spans="2:16" x14ac:dyDescent="0.25">
      <c r="B1130" s="23"/>
      <c r="E1130" s="23"/>
      <c r="G1130" s="23"/>
      <c r="H1130" s="23"/>
      <c r="J1130" s="23"/>
      <c r="K1130" s="23"/>
      <c r="M1130" s="23"/>
      <c r="N1130" s="23"/>
      <c r="P1130" s="23"/>
    </row>
    <row r="1131" spans="2:16" x14ac:dyDescent="0.25">
      <c r="B1131" s="23"/>
      <c r="E1131" s="23"/>
      <c r="G1131" s="23"/>
      <c r="H1131" s="23"/>
      <c r="J1131" s="23"/>
      <c r="K1131" s="23"/>
      <c r="M1131" s="23"/>
      <c r="N1131" s="23"/>
      <c r="P1131" s="23"/>
    </row>
    <row r="1132" spans="2:16" x14ac:dyDescent="0.25">
      <c r="B1132" s="23"/>
      <c r="E1132" s="23"/>
      <c r="G1132" s="23"/>
      <c r="H1132" s="23"/>
      <c r="J1132" s="23"/>
      <c r="K1132" s="23"/>
      <c r="M1132" s="23"/>
      <c r="N1132" s="23"/>
      <c r="P1132" s="23"/>
    </row>
    <row r="1133" spans="2:16" x14ac:dyDescent="0.25">
      <c r="B1133" s="23"/>
      <c r="E1133" s="23"/>
      <c r="G1133" s="23"/>
      <c r="H1133" s="23"/>
      <c r="J1133" s="23"/>
      <c r="K1133" s="23"/>
      <c r="M1133" s="23"/>
      <c r="N1133" s="23"/>
      <c r="P1133" s="23"/>
    </row>
    <row r="1134" spans="2:16" x14ac:dyDescent="0.25">
      <c r="B1134" s="23"/>
      <c r="E1134" s="23"/>
      <c r="G1134" s="23"/>
      <c r="H1134" s="23"/>
      <c r="J1134" s="23"/>
      <c r="K1134" s="23"/>
      <c r="M1134" s="23"/>
      <c r="N1134" s="23"/>
      <c r="P1134" s="23"/>
    </row>
    <row r="1135" spans="2:16" x14ac:dyDescent="0.25">
      <c r="B1135" s="23"/>
      <c r="E1135" s="23"/>
      <c r="G1135" s="23"/>
      <c r="H1135" s="23"/>
      <c r="J1135" s="23"/>
      <c r="K1135" s="23"/>
      <c r="M1135" s="23"/>
      <c r="N1135" s="23"/>
      <c r="P1135" s="23"/>
    </row>
    <row r="1136" spans="2:16" x14ac:dyDescent="0.25">
      <c r="B1136" s="23"/>
      <c r="E1136" s="23"/>
      <c r="G1136" s="23"/>
      <c r="H1136" s="23"/>
      <c r="J1136" s="23"/>
      <c r="K1136" s="23"/>
      <c r="M1136" s="23"/>
      <c r="N1136" s="23"/>
      <c r="P1136" s="23"/>
    </row>
    <row r="1137" spans="2:16" x14ac:dyDescent="0.25">
      <c r="B1137" s="23"/>
      <c r="E1137" s="23"/>
      <c r="G1137" s="23"/>
      <c r="H1137" s="23"/>
      <c r="J1137" s="23"/>
      <c r="K1137" s="23"/>
      <c r="M1137" s="23"/>
      <c r="N1137" s="23"/>
      <c r="P1137" s="23"/>
    </row>
    <row r="1138" spans="2:16" x14ac:dyDescent="0.25">
      <c r="B1138" s="23"/>
      <c r="E1138" s="23"/>
      <c r="G1138" s="23"/>
      <c r="H1138" s="23"/>
      <c r="J1138" s="23"/>
      <c r="K1138" s="23"/>
      <c r="M1138" s="23"/>
      <c r="N1138" s="23"/>
      <c r="P1138" s="23"/>
    </row>
    <row r="1139" spans="2:16" x14ac:dyDescent="0.25">
      <c r="B1139" s="23"/>
      <c r="E1139" s="23"/>
      <c r="G1139" s="23"/>
      <c r="H1139" s="23"/>
      <c r="J1139" s="23"/>
      <c r="K1139" s="23"/>
      <c r="M1139" s="23"/>
      <c r="N1139" s="23"/>
      <c r="P1139" s="23"/>
    </row>
    <row r="1140" spans="2:16" x14ac:dyDescent="0.25">
      <c r="B1140" s="23"/>
      <c r="E1140" s="23"/>
      <c r="G1140" s="23"/>
      <c r="H1140" s="23"/>
      <c r="J1140" s="23"/>
      <c r="K1140" s="23"/>
      <c r="M1140" s="23"/>
      <c r="N1140" s="23"/>
      <c r="P1140" s="23"/>
    </row>
    <row r="1141" spans="2:16" x14ac:dyDescent="0.25">
      <c r="B1141" s="23"/>
      <c r="E1141" s="23"/>
      <c r="G1141" s="23"/>
      <c r="H1141" s="23"/>
      <c r="J1141" s="23"/>
      <c r="K1141" s="23"/>
      <c r="M1141" s="23"/>
      <c r="N1141" s="23"/>
      <c r="P1141" s="23"/>
    </row>
    <row r="1142" spans="2:16" x14ac:dyDescent="0.25">
      <c r="B1142" s="23"/>
      <c r="E1142" s="23"/>
      <c r="G1142" s="23"/>
      <c r="H1142" s="23"/>
      <c r="J1142" s="23"/>
      <c r="K1142" s="23"/>
      <c r="M1142" s="23"/>
      <c r="N1142" s="23"/>
      <c r="P1142" s="23"/>
    </row>
    <row r="1143" spans="2:16" x14ac:dyDescent="0.25">
      <c r="B1143" s="23"/>
      <c r="E1143" s="23"/>
      <c r="G1143" s="23"/>
      <c r="H1143" s="23"/>
      <c r="J1143" s="23"/>
      <c r="K1143" s="23"/>
      <c r="M1143" s="23"/>
      <c r="N1143" s="23"/>
      <c r="P1143" s="23"/>
    </row>
    <row r="1144" spans="2:16" x14ac:dyDescent="0.25">
      <c r="B1144" s="23"/>
      <c r="E1144" s="23"/>
      <c r="G1144" s="23"/>
      <c r="H1144" s="23"/>
      <c r="J1144" s="23"/>
      <c r="K1144" s="23"/>
      <c r="M1144" s="23"/>
      <c r="N1144" s="23"/>
      <c r="P1144" s="23"/>
    </row>
    <row r="1145" spans="2:16" x14ac:dyDescent="0.25">
      <c r="B1145" s="23"/>
      <c r="E1145" s="23"/>
      <c r="G1145" s="23"/>
      <c r="H1145" s="23"/>
      <c r="J1145" s="23"/>
      <c r="K1145" s="23"/>
      <c r="M1145" s="23"/>
      <c r="N1145" s="23"/>
      <c r="P1145" s="23"/>
    </row>
    <row r="1146" spans="2:16" x14ac:dyDescent="0.25">
      <c r="B1146" s="23"/>
      <c r="E1146" s="23"/>
      <c r="G1146" s="23"/>
      <c r="H1146" s="23"/>
      <c r="J1146" s="23"/>
      <c r="K1146" s="23"/>
      <c r="M1146" s="23"/>
      <c r="N1146" s="23"/>
      <c r="P1146" s="23"/>
    </row>
    <row r="1147" spans="2:16" x14ac:dyDescent="0.25">
      <c r="B1147" s="23"/>
      <c r="E1147" s="23"/>
      <c r="G1147" s="23"/>
      <c r="H1147" s="23"/>
      <c r="J1147" s="23"/>
      <c r="K1147" s="23"/>
      <c r="M1147" s="23"/>
      <c r="N1147" s="23"/>
      <c r="P1147" s="23"/>
    </row>
    <row r="1148" spans="2:16" x14ac:dyDescent="0.25">
      <c r="B1148" s="23"/>
      <c r="E1148" s="23"/>
      <c r="G1148" s="23"/>
      <c r="H1148" s="23"/>
      <c r="J1148" s="23"/>
      <c r="K1148" s="23"/>
      <c r="M1148" s="23"/>
      <c r="N1148" s="23"/>
      <c r="P1148" s="23"/>
    </row>
    <row r="1149" spans="2:16" x14ac:dyDescent="0.25">
      <c r="B1149" s="23"/>
      <c r="E1149" s="23"/>
      <c r="G1149" s="23"/>
      <c r="H1149" s="23"/>
      <c r="J1149" s="23"/>
      <c r="K1149" s="23"/>
      <c r="M1149" s="23"/>
      <c r="N1149" s="23"/>
      <c r="P1149" s="23"/>
    </row>
    <row r="1150" spans="2:16" x14ac:dyDescent="0.25">
      <c r="B1150" s="23"/>
      <c r="E1150" s="23"/>
      <c r="G1150" s="23"/>
      <c r="H1150" s="23"/>
      <c r="J1150" s="23"/>
      <c r="K1150" s="23"/>
      <c r="M1150" s="23"/>
      <c r="N1150" s="23"/>
      <c r="P1150" s="23"/>
    </row>
    <row r="1151" spans="2:16" x14ac:dyDescent="0.25">
      <c r="B1151" s="23"/>
      <c r="E1151" s="23"/>
      <c r="G1151" s="23"/>
      <c r="H1151" s="23"/>
      <c r="J1151" s="23"/>
      <c r="K1151" s="23"/>
      <c r="M1151" s="23"/>
      <c r="N1151" s="23"/>
      <c r="P1151" s="23"/>
    </row>
    <row r="1152" spans="2:16" x14ac:dyDescent="0.25">
      <c r="B1152" s="23"/>
      <c r="E1152" s="23"/>
      <c r="G1152" s="23"/>
      <c r="H1152" s="23"/>
      <c r="J1152" s="23"/>
      <c r="K1152" s="23"/>
      <c r="M1152" s="23"/>
      <c r="N1152" s="23"/>
      <c r="P1152" s="23"/>
    </row>
    <row r="1153" spans="2:16" x14ac:dyDescent="0.25">
      <c r="B1153" s="23"/>
      <c r="E1153" s="23"/>
      <c r="G1153" s="23"/>
      <c r="H1153" s="23"/>
      <c r="J1153" s="23"/>
      <c r="K1153" s="23"/>
      <c r="M1153" s="23"/>
      <c r="N1153" s="23"/>
      <c r="P1153" s="23"/>
    </row>
    <row r="1154" spans="2:16" x14ac:dyDescent="0.25">
      <c r="B1154" s="23"/>
      <c r="E1154" s="23"/>
      <c r="G1154" s="23"/>
      <c r="H1154" s="23"/>
      <c r="J1154" s="23"/>
      <c r="K1154" s="23"/>
      <c r="M1154" s="23"/>
      <c r="N1154" s="23"/>
      <c r="P1154" s="23"/>
    </row>
    <row r="1155" spans="2:16" x14ac:dyDescent="0.25">
      <c r="B1155" s="23"/>
      <c r="E1155" s="23"/>
      <c r="G1155" s="23"/>
      <c r="H1155" s="23"/>
      <c r="J1155" s="23"/>
      <c r="K1155" s="23"/>
      <c r="M1155" s="23"/>
      <c r="N1155" s="23"/>
      <c r="P1155" s="23"/>
    </row>
    <row r="1156" spans="2:16" x14ac:dyDescent="0.25">
      <c r="B1156" s="23"/>
      <c r="E1156" s="23"/>
      <c r="G1156" s="23"/>
      <c r="H1156" s="23"/>
      <c r="J1156" s="23"/>
      <c r="K1156" s="23"/>
      <c r="M1156" s="23"/>
      <c r="N1156" s="23"/>
      <c r="P1156" s="23"/>
    </row>
    <row r="1157" spans="2:16" x14ac:dyDescent="0.25">
      <c r="B1157" s="23"/>
      <c r="E1157" s="23"/>
      <c r="G1157" s="23"/>
      <c r="H1157" s="23"/>
      <c r="J1157" s="23"/>
      <c r="K1157" s="23"/>
      <c r="M1157" s="23"/>
      <c r="N1157" s="23"/>
      <c r="P1157" s="23"/>
    </row>
    <row r="1158" spans="2:16" x14ac:dyDescent="0.25">
      <c r="B1158" s="23"/>
      <c r="E1158" s="23"/>
      <c r="G1158" s="23"/>
      <c r="H1158" s="23"/>
      <c r="J1158" s="23"/>
      <c r="K1158" s="23"/>
      <c r="M1158" s="23"/>
      <c r="N1158" s="23"/>
      <c r="P1158" s="23"/>
    </row>
    <row r="1159" spans="2:16" x14ac:dyDescent="0.25">
      <c r="B1159" s="23"/>
      <c r="E1159" s="23"/>
      <c r="G1159" s="23"/>
      <c r="H1159" s="23"/>
      <c r="J1159" s="23"/>
      <c r="K1159" s="23"/>
      <c r="M1159" s="23"/>
      <c r="N1159" s="23"/>
      <c r="P1159" s="23"/>
    </row>
    <row r="1160" spans="2:16" x14ac:dyDescent="0.25">
      <c r="B1160" s="23"/>
      <c r="E1160" s="23"/>
      <c r="G1160" s="23"/>
      <c r="H1160" s="23"/>
      <c r="J1160" s="23"/>
      <c r="K1160" s="23"/>
      <c r="M1160" s="23"/>
      <c r="N1160" s="23"/>
      <c r="P1160" s="23"/>
    </row>
    <row r="1161" spans="2:16" x14ac:dyDescent="0.25">
      <c r="B1161" s="23"/>
      <c r="E1161" s="23"/>
      <c r="G1161" s="23"/>
      <c r="H1161" s="23"/>
      <c r="J1161" s="23"/>
      <c r="K1161" s="23"/>
      <c r="M1161" s="23"/>
      <c r="N1161" s="23"/>
      <c r="P1161" s="23"/>
    </row>
    <row r="1162" spans="2:16" x14ac:dyDescent="0.25">
      <c r="B1162" s="23"/>
      <c r="E1162" s="23"/>
      <c r="G1162" s="23"/>
      <c r="H1162" s="23"/>
      <c r="J1162" s="23"/>
      <c r="K1162" s="23"/>
      <c r="M1162" s="23"/>
      <c r="N1162" s="23"/>
      <c r="P1162" s="23"/>
    </row>
    <row r="1163" spans="2:16" x14ac:dyDescent="0.25">
      <c r="B1163" s="23"/>
      <c r="E1163" s="23"/>
      <c r="G1163" s="23"/>
      <c r="H1163" s="23"/>
      <c r="J1163" s="23"/>
      <c r="K1163" s="23"/>
      <c r="M1163" s="23"/>
      <c r="N1163" s="23"/>
      <c r="P1163" s="23"/>
    </row>
    <row r="1164" spans="2:16" x14ac:dyDescent="0.25">
      <c r="B1164" s="23"/>
      <c r="E1164" s="23"/>
      <c r="G1164" s="23"/>
      <c r="H1164" s="23"/>
      <c r="J1164" s="23"/>
      <c r="K1164" s="23"/>
      <c r="M1164" s="23"/>
      <c r="N1164" s="23"/>
      <c r="P1164" s="23"/>
    </row>
    <row r="1165" spans="2:16" x14ac:dyDescent="0.25">
      <c r="B1165" s="23"/>
      <c r="E1165" s="23"/>
      <c r="G1165" s="23"/>
      <c r="H1165" s="23"/>
      <c r="J1165" s="23"/>
      <c r="K1165" s="23"/>
      <c r="M1165" s="23"/>
      <c r="N1165" s="23"/>
      <c r="P1165" s="23"/>
    </row>
    <row r="1166" spans="2:16" x14ac:dyDescent="0.25">
      <c r="B1166" s="23"/>
      <c r="E1166" s="23"/>
      <c r="G1166" s="23"/>
      <c r="H1166" s="23"/>
      <c r="J1166" s="23"/>
      <c r="K1166" s="23"/>
      <c r="M1166" s="23"/>
      <c r="N1166" s="23"/>
      <c r="P1166" s="23"/>
    </row>
    <row r="1167" spans="2:16" x14ac:dyDescent="0.25">
      <c r="B1167" s="23"/>
      <c r="E1167" s="23"/>
      <c r="G1167" s="23"/>
      <c r="H1167" s="23"/>
      <c r="J1167" s="23"/>
      <c r="K1167" s="23"/>
      <c r="M1167" s="23"/>
      <c r="N1167" s="23"/>
      <c r="P1167" s="23"/>
    </row>
    <row r="1168" spans="2:16" x14ac:dyDescent="0.25">
      <c r="B1168" s="23"/>
      <c r="E1168" s="23"/>
      <c r="G1168" s="23"/>
      <c r="H1168" s="23"/>
      <c r="J1168" s="23"/>
      <c r="K1168" s="23"/>
      <c r="M1168" s="23"/>
      <c r="N1168" s="23"/>
      <c r="P1168" s="23"/>
    </row>
    <row r="1169" spans="2:16" x14ac:dyDescent="0.25">
      <c r="B1169" s="23"/>
      <c r="E1169" s="23"/>
      <c r="G1169" s="23"/>
      <c r="H1169" s="23"/>
      <c r="J1169" s="23"/>
      <c r="K1169" s="23"/>
      <c r="M1169" s="23"/>
      <c r="N1169" s="23"/>
      <c r="P1169" s="23"/>
    </row>
    <row r="1170" spans="2:16" x14ac:dyDescent="0.25">
      <c r="B1170" s="23"/>
      <c r="E1170" s="23"/>
      <c r="G1170" s="23"/>
      <c r="H1170" s="23"/>
      <c r="J1170" s="23"/>
      <c r="K1170" s="23"/>
      <c r="M1170" s="23"/>
      <c r="N1170" s="23"/>
      <c r="P1170" s="23"/>
    </row>
    <row r="1171" spans="2:16" x14ac:dyDescent="0.25">
      <c r="B1171" s="23"/>
      <c r="E1171" s="23"/>
      <c r="G1171" s="23"/>
      <c r="H1171" s="23"/>
      <c r="J1171" s="23"/>
      <c r="K1171" s="23"/>
      <c r="M1171" s="23"/>
      <c r="N1171" s="23"/>
      <c r="P1171" s="23"/>
    </row>
    <row r="1172" spans="2:16" x14ac:dyDescent="0.25">
      <c r="B1172" s="23"/>
      <c r="E1172" s="23"/>
      <c r="G1172" s="23"/>
      <c r="H1172" s="23"/>
      <c r="J1172" s="23"/>
      <c r="K1172" s="23"/>
      <c r="M1172" s="23"/>
      <c r="N1172" s="23"/>
      <c r="P1172" s="23"/>
    </row>
    <row r="1173" spans="2:16" x14ac:dyDescent="0.25">
      <c r="B1173" s="23"/>
      <c r="E1173" s="23"/>
      <c r="G1173" s="23"/>
      <c r="H1173" s="23"/>
      <c r="J1173" s="23"/>
      <c r="K1173" s="23"/>
      <c r="M1173" s="23"/>
      <c r="N1173" s="23"/>
      <c r="P1173" s="23"/>
    </row>
    <row r="1174" spans="2:16" x14ac:dyDescent="0.25">
      <c r="B1174" s="23"/>
      <c r="E1174" s="23"/>
      <c r="G1174" s="23"/>
      <c r="H1174" s="23"/>
      <c r="J1174" s="23"/>
      <c r="K1174" s="23"/>
      <c r="M1174" s="23"/>
      <c r="N1174" s="23"/>
      <c r="P1174" s="23"/>
    </row>
    <row r="1175" spans="2:16" x14ac:dyDescent="0.25">
      <c r="B1175" s="23"/>
      <c r="E1175" s="23"/>
      <c r="G1175" s="23"/>
      <c r="H1175" s="23"/>
      <c r="J1175" s="23"/>
      <c r="K1175" s="23"/>
      <c r="M1175" s="23"/>
      <c r="N1175" s="23"/>
      <c r="P1175" s="23"/>
    </row>
    <row r="1176" spans="2:16" x14ac:dyDescent="0.25">
      <c r="B1176" s="23"/>
      <c r="E1176" s="23"/>
      <c r="G1176" s="23"/>
      <c r="H1176" s="23"/>
      <c r="J1176" s="23"/>
      <c r="K1176" s="23"/>
      <c r="M1176" s="23"/>
      <c r="N1176" s="23"/>
      <c r="P1176" s="23"/>
    </row>
    <row r="1177" spans="2:16" x14ac:dyDescent="0.25">
      <c r="B1177" s="23"/>
      <c r="E1177" s="23"/>
      <c r="G1177" s="23"/>
      <c r="H1177" s="23"/>
      <c r="J1177" s="23"/>
      <c r="K1177" s="23"/>
      <c r="M1177" s="23"/>
      <c r="N1177" s="23"/>
      <c r="P1177" s="23"/>
    </row>
    <row r="1178" spans="2:16" x14ac:dyDescent="0.25">
      <c r="B1178" s="23"/>
      <c r="E1178" s="23"/>
      <c r="G1178" s="23"/>
      <c r="H1178" s="23"/>
      <c r="J1178" s="23"/>
      <c r="K1178" s="23"/>
      <c r="M1178" s="23"/>
      <c r="N1178" s="23"/>
      <c r="P1178" s="23"/>
    </row>
    <row r="1179" spans="2:16" x14ac:dyDescent="0.25">
      <c r="B1179" s="23"/>
      <c r="E1179" s="23"/>
      <c r="G1179" s="23"/>
      <c r="H1179" s="23"/>
      <c r="J1179" s="23"/>
      <c r="K1179" s="23"/>
      <c r="M1179" s="23"/>
      <c r="N1179" s="23"/>
      <c r="P1179" s="23"/>
    </row>
    <row r="1180" spans="2:16" x14ac:dyDescent="0.25">
      <c r="B1180" s="23"/>
      <c r="E1180" s="23"/>
      <c r="G1180" s="23"/>
      <c r="H1180" s="23"/>
      <c r="J1180" s="23"/>
      <c r="K1180" s="23"/>
      <c r="M1180" s="23"/>
      <c r="N1180" s="23"/>
      <c r="P1180" s="23"/>
    </row>
    <row r="1181" spans="2:16" x14ac:dyDescent="0.25">
      <c r="B1181" s="23"/>
      <c r="E1181" s="23"/>
      <c r="G1181" s="23"/>
      <c r="H1181" s="23"/>
      <c r="J1181" s="23"/>
      <c r="K1181" s="23"/>
      <c r="M1181" s="23"/>
      <c r="N1181" s="23"/>
      <c r="P1181" s="23"/>
    </row>
    <row r="1182" spans="2:16" x14ac:dyDescent="0.25">
      <c r="B1182" s="23"/>
      <c r="E1182" s="23"/>
      <c r="G1182" s="23"/>
      <c r="H1182" s="23"/>
      <c r="J1182" s="23"/>
      <c r="K1182" s="23"/>
      <c r="M1182" s="23"/>
      <c r="N1182" s="23"/>
      <c r="P1182" s="23"/>
    </row>
    <row r="1183" spans="2:16" x14ac:dyDescent="0.25">
      <c r="B1183" s="23"/>
      <c r="E1183" s="23"/>
      <c r="G1183" s="23"/>
      <c r="H1183" s="23"/>
      <c r="J1183" s="23"/>
      <c r="K1183" s="23"/>
      <c r="M1183" s="23"/>
      <c r="N1183" s="23"/>
      <c r="P1183" s="23"/>
    </row>
    <row r="1184" spans="2:16" x14ac:dyDescent="0.25">
      <c r="B1184" s="23"/>
      <c r="E1184" s="23"/>
      <c r="G1184" s="23"/>
      <c r="H1184" s="23"/>
      <c r="J1184" s="23"/>
      <c r="K1184" s="23"/>
      <c r="M1184" s="23"/>
      <c r="N1184" s="23"/>
      <c r="P1184" s="23"/>
    </row>
    <row r="1185" spans="2:16" x14ac:dyDescent="0.25">
      <c r="B1185" s="23"/>
      <c r="E1185" s="23"/>
      <c r="G1185" s="23"/>
      <c r="H1185" s="23"/>
      <c r="J1185" s="23"/>
      <c r="K1185" s="23"/>
      <c r="M1185" s="23"/>
      <c r="N1185" s="23"/>
      <c r="P1185" s="23"/>
    </row>
    <row r="1186" spans="2:16" x14ac:dyDescent="0.25">
      <c r="B1186" s="23"/>
      <c r="E1186" s="23"/>
      <c r="G1186" s="23"/>
      <c r="H1186" s="23"/>
      <c r="J1186" s="23"/>
      <c r="K1186" s="23"/>
      <c r="M1186" s="23"/>
      <c r="N1186" s="23"/>
      <c r="P1186" s="23"/>
    </row>
    <row r="1187" spans="2:16" x14ac:dyDescent="0.25">
      <c r="B1187" s="23"/>
      <c r="E1187" s="23"/>
      <c r="G1187" s="23"/>
      <c r="H1187" s="23"/>
      <c r="J1187" s="23"/>
      <c r="K1187" s="23"/>
      <c r="M1187" s="23"/>
      <c r="N1187" s="23"/>
      <c r="P1187" s="23"/>
    </row>
    <row r="1188" spans="2:16" x14ac:dyDescent="0.25">
      <c r="B1188" s="23"/>
      <c r="E1188" s="23"/>
      <c r="G1188" s="23"/>
      <c r="H1188" s="23"/>
      <c r="J1188" s="23"/>
      <c r="K1188" s="23"/>
      <c r="M1188" s="23"/>
      <c r="N1188" s="23"/>
      <c r="P1188" s="23"/>
    </row>
    <row r="1189" spans="2:16" x14ac:dyDescent="0.25">
      <c r="B1189" s="23"/>
      <c r="E1189" s="23"/>
      <c r="G1189" s="23"/>
      <c r="H1189" s="23"/>
      <c r="J1189" s="23"/>
      <c r="K1189" s="23"/>
      <c r="M1189" s="23"/>
      <c r="N1189" s="23"/>
      <c r="P1189" s="23"/>
    </row>
    <row r="1190" spans="2:16" x14ac:dyDescent="0.25">
      <c r="B1190" s="23"/>
      <c r="E1190" s="23"/>
      <c r="G1190" s="23"/>
      <c r="H1190" s="23"/>
      <c r="J1190" s="23"/>
      <c r="K1190" s="23"/>
      <c r="M1190" s="23"/>
      <c r="N1190" s="23"/>
      <c r="P1190" s="23"/>
    </row>
    <row r="1191" spans="2:16" x14ac:dyDescent="0.25">
      <c r="B1191" s="23"/>
      <c r="E1191" s="23"/>
      <c r="G1191" s="23"/>
      <c r="H1191" s="23"/>
      <c r="J1191" s="23"/>
      <c r="K1191" s="23"/>
      <c r="M1191" s="23"/>
      <c r="N1191" s="23"/>
      <c r="P1191" s="23"/>
    </row>
    <row r="1192" spans="2:16" x14ac:dyDescent="0.25">
      <c r="B1192" s="23"/>
      <c r="E1192" s="23"/>
      <c r="G1192" s="23"/>
      <c r="H1192" s="23"/>
      <c r="J1192" s="23"/>
      <c r="K1192" s="23"/>
      <c r="M1192" s="23"/>
      <c r="N1192" s="23"/>
      <c r="P1192" s="23"/>
    </row>
    <row r="1193" spans="2:16" x14ac:dyDescent="0.25">
      <c r="B1193" s="23"/>
      <c r="E1193" s="23"/>
      <c r="G1193" s="23"/>
      <c r="H1193" s="23"/>
      <c r="J1193" s="23"/>
      <c r="K1193" s="23"/>
      <c r="M1193" s="23"/>
      <c r="N1193" s="23"/>
      <c r="P1193" s="23"/>
    </row>
    <row r="1194" spans="2:16" x14ac:dyDescent="0.25">
      <c r="B1194" s="23"/>
      <c r="E1194" s="23"/>
      <c r="G1194" s="23"/>
      <c r="H1194" s="23"/>
      <c r="J1194" s="23"/>
      <c r="K1194" s="23"/>
      <c r="M1194" s="23"/>
      <c r="N1194" s="23"/>
      <c r="P1194" s="23"/>
    </row>
    <row r="1195" spans="2:16" x14ac:dyDescent="0.25">
      <c r="B1195" s="23"/>
      <c r="E1195" s="23"/>
      <c r="G1195" s="23"/>
      <c r="H1195" s="23"/>
      <c r="J1195" s="23"/>
      <c r="K1195" s="23"/>
      <c r="M1195" s="23"/>
      <c r="N1195" s="23"/>
      <c r="P1195" s="23"/>
    </row>
    <row r="1196" spans="2:16" x14ac:dyDescent="0.25">
      <c r="B1196" s="23"/>
      <c r="E1196" s="23"/>
      <c r="G1196" s="23"/>
      <c r="H1196" s="23"/>
      <c r="J1196" s="23"/>
      <c r="K1196" s="23"/>
      <c r="M1196" s="23"/>
      <c r="N1196" s="23"/>
      <c r="P1196" s="23"/>
    </row>
    <row r="1197" spans="2:16" x14ac:dyDescent="0.25">
      <c r="B1197" s="23"/>
      <c r="E1197" s="23"/>
      <c r="G1197" s="23"/>
      <c r="H1197" s="23"/>
      <c r="J1197" s="23"/>
      <c r="K1197" s="23"/>
      <c r="M1197" s="23"/>
      <c r="N1197" s="23"/>
      <c r="P1197" s="23"/>
    </row>
    <row r="1198" spans="2:16" x14ac:dyDescent="0.25">
      <c r="B1198" s="23"/>
      <c r="E1198" s="23"/>
      <c r="G1198" s="23"/>
      <c r="H1198" s="23"/>
      <c r="J1198" s="23"/>
      <c r="K1198" s="23"/>
      <c r="M1198" s="23"/>
      <c r="N1198" s="23"/>
      <c r="P1198" s="23"/>
    </row>
    <row r="1199" spans="2:16" x14ac:dyDescent="0.25">
      <c r="B1199" s="23"/>
      <c r="E1199" s="23"/>
      <c r="G1199" s="23"/>
      <c r="H1199" s="23"/>
      <c r="J1199" s="23"/>
      <c r="K1199" s="23"/>
      <c r="M1199" s="23"/>
      <c r="N1199" s="23"/>
      <c r="P1199" s="23"/>
    </row>
    <row r="1200" spans="2:16" x14ac:dyDescent="0.25">
      <c r="B1200" s="23"/>
      <c r="E1200" s="23"/>
      <c r="G1200" s="23"/>
      <c r="H1200" s="23"/>
      <c r="J1200" s="23"/>
      <c r="K1200" s="23"/>
      <c r="M1200" s="23"/>
      <c r="N1200" s="23"/>
      <c r="P1200" s="23"/>
    </row>
    <row r="1201" spans="2:16" x14ac:dyDescent="0.25">
      <c r="B1201" s="23"/>
      <c r="E1201" s="23"/>
      <c r="G1201" s="23"/>
      <c r="H1201" s="23"/>
      <c r="J1201" s="23"/>
      <c r="K1201" s="23"/>
      <c r="M1201" s="23"/>
      <c r="N1201" s="23"/>
      <c r="P1201" s="23"/>
    </row>
    <row r="1202" spans="2:16" x14ac:dyDescent="0.25">
      <c r="B1202" s="23"/>
      <c r="E1202" s="23"/>
      <c r="G1202" s="23"/>
      <c r="H1202" s="23"/>
      <c r="J1202" s="23"/>
      <c r="K1202" s="23"/>
      <c r="M1202" s="23"/>
      <c r="N1202" s="23"/>
      <c r="P1202" s="23"/>
    </row>
    <row r="1203" spans="2:16" x14ac:dyDescent="0.25">
      <c r="B1203" s="23"/>
      <c r="E1203" s="23"/>
      <c r="G1203" s="23"/>
      <c r="H1203" s="23"/>
      <c r="J1203" s="23"/>
      <c r="K1203" s="23"/>
      <c r="M1203" s="23"/>
      <c r="N1203" s="23"/>
      <c r="P1203" s="23"/>
    </row>
    <row r="1204" spans="2:16" x14ac:dyDescent="0.25">
      <c r="B1204" s="23"/>
      <c r="E1204" s="23"/>
      <c r="G1204" s="23"/>
      <c r="H1204" s="23"/>
      <c r="J1204" s="23"/>
      <c r="K1204" s="23"/>
      <c r="M1204" s="23"/>
      <c r="N1204" s="23"/>
      <c r="P1204" s="23"/>
    </row>
    <row r="1205" spans="2:16" x14ac:dyDescent="0.25">
      <c r="B1205" s="23"/>
      <c r="E1205" s="23"/>
      <c r="G1205" s="23"/>
      <c r="H1205" s="23"/>
      <c r="J1205" s="23"/>
      <c r="K1205" s="23"/>
      <c r="M1205" s="23"/>
      <c r="N1205" s="23"/>
      <c r="P1205" s="23"/>
    </row>
    <row r="1206" spans="2:16" x14ac:dyDescent="0.25">
      <c r="B1206" s="23"/>
      <c r="E1206" s="23"/>
      <c r="G1206" s="23"/>
      <c r="H1206" s="23"/>
      <c r="J1206" s="23"/>
      <c r="K1206" s="23"/>
      <c r="M1206" s="23"/>
      <c r="N1206" s="23"/>
      <c r="P1206" s="23"/>
    </row>
    <row r="1207" spans="2:16" x14ac:dyDescent="0.25">
      <c r="B1207" s="23"/>
      <c r="E1207" s="23"/>
      <c r="G1207" s="23"/>
      <c r="H1207" s="23"/>
      <c r="J1207" s="23"/>
      <c r="K1207" s="23"/>
      <c r="M1207" s="23"/>
      <c r="N1207" s="23"/>
      <c r="P1207" s="23"/>
    </row>
    <row r="1208" spans="2:16" x14ac:dyDescent="0.25">
      <c r="B1208" s="23"/>
      <c r="E1208" s="23"/>
      <c r="G1208" s="23"/>
      <c r="H1208" s="23"/>
      <c r="J1208" s="23"/>
      <c r="K1208" s="23"/>
      <c r="M1208" s="23"/>
      <c r="N1208" s="23"/>
      <c r="P1208" s="23"/>
    </row>
    <row r="1209" spans="2:16" x14ac:dyDescent="0.25">
      <c r="B1209" s="23"/>
      <c r="E1209" s="23"/>
      <c r="G1209" s="23"/>
      <c r="H1209" s="23"/>
      <c r="J1209" s="23"/>
      <c r="K1209" s="23"/>
      <c r="M1209" s="23"/>
      <c r="N1209" s="23"/>
      <c r="P1209" s="23"/>
    </row>
    <row r="1210" spans="2:16" x14ac:dyDescent="0.25">
      <c r="B1210" s="23"/>
      <c r="E1210" s="23"/>
      <c r="G1210" s="23"/>
      <c r="H1210" s="23"/>
      <c r="J1210" s="23"/>
      <c r="K1210" s="23"/>
      <c r="M1210" s="23"/>
      <c r="N1210" s="23"/>
      <c r="P1210" s="23"/>
    </row>
    <row r="1211" spans="2:16" x14ac:dyDescent="0.25">
      <c r="B1211" s="23"/>
      <c r="E1211" s="23"/>
      <c r="G1211" s="23"/>
      <c r="H1211" s="23"/>
      <c r="J1211" s="23"/>
      <c r="K1211" s="23"/>
      <c r="M1211" s="23"/>
      <c r="N1211" s="23"/>
      <c r="P1211" s="23"/>
    </row>
    <row r="1212" spans="2:16" x14ac:dyDescent="0.25">
      <c r="B1212" s="23"/>
      <c r="E1212" s="23"/>
      <c r="G1212" s="23"/>
      <c r="H1212" s="23"/>
      <c r="J1212" s="23"/>
      <c r="K1212" s="23"/>
      <c r="M1212" s="23"/>
      <c r="N1212" s="23"/>
      <c r="P1212" s="23"/>
    </row>
    <row r="1213" spans="2:16" x14ac:dyDescent="0.25">
      <c r="B1213" s="23"/>
      <c r="E1213" s="23"/>
      <c r="G1213" s="23"/>
      <c r="H1213" s="23"/>
      <c r="J1213" s="23"/>
      <c r="K1213" s="23"/>
      <c r="M1213" s="23"/>
      <c r="N1213" s="23"/>
      <c r="P1213" s="23"/>
    </row>
    <row r="1214" spans="2:16" x14ac:dyDescent="0.25">
      <c r="B1214" s="23"/>
      <c r="E1214" s="23"/>
      <c r="G1214" s="23"/>
      <c r="H1214" s="23"/>
      <c r="J1214" s="23"/>
      <c r="K1214" s="23"/>
      <c r="M1214" s="23"/>
      <c r="N1214" s="23"/>
      <c r="P1214" s="23"/>
    </row>
    <row r="1215" spans="2:16" x14ac:dyDescent="0.25">
      <c r="B1215" s="23"/>
      <c r="E1215" s="23"/>
      <c r="G1215" s="23"/>
      <c r="H1215" s="23"/>
      <c r="J1215" s="23"/>
      <c r="K1215" s="23"/>
      <c r="M1215" s="23"/>
      <c r="N1215" s="23"/>
      <c r="P1215" s="23"/>
    </row>
    <row r="1216" spans="2:16" x14ac:dyDescent="0.25">
      <c r="B1216" s="23"/>
      <c r="E1216" s="23"/>
      <c r="G1216" s="23"/>
      <c r="H1216" s="23"/>
      <c r="J1216" s="23"/>
      <c r="K1216" s="23"/>
      <c r="M1216" s="23"/>
      <c r="N1216" s="23"/>
      <c r="P1216" s="23"/>
    </row>
    <row r="1217" spans="2:16" x14ac:dyDescent="0.25">
      <c r="B1217" s="23"/>
      <c r="E1217" s="23"/>
      <c r="G1217" s="23"/>
      <c r="H1217" s="23"/>
      <c r="J1217" s="23"/>
      <c r="K1217" s="23"/>
      <c r="M1217" s="23"/>
      <c r="N1217" s="23"/>
      <c r="P1217" s="23"/>
    </row>
    <row r="1218" spans="2:16" x14ac:dyDescent="0.25">
      <c r="B1218" s="23"/>
      <c r="E1218" s="23"/>
      <c r="G1218" s="23"/>
      <c r="H1218" s="23"/>
      <c r="J1218" s="23"/>
      <c r="K1218" s="23"/>
      <c r="M1218" s="23"/>
      <c r="N1218" s="23"/>
      <c r="P1218" s="23"/>
    </row>
    <row r="1219" spans="2:16" x14ac:dyDescent="0.25">
      <c r="B1219" s="23"/>
      <c r="E1219" s="23"/>
      <c r="G1219" s="23"/>
      <c r="H1219" s="23"/>
      <c r="J1219" s="23"/>
      <c r="K1219" s="23"/>
      <c r="M1219" s="23"/>
      <c r="N1219" s="23"/>
      <c r="P1219" s="23"/>
    </row>
    <row r="1220" spans="2:16" x14ac:dyDescent="0.25">
      <c r="B1220" s="23"/>
      <c r="E1220" s="23"/>
      <c r="G1220" s="23"/>
      <c r="H1220" s="23"/>
      <c r="J1220" s="23"/>
      <c r="K1220" s="23"/>
      <c r="M1220" s="23"/>
      <c r="N1220" s="23"/>
      <c r="P1220" s="23"/>
    </row>
    <row r="1221" spans="2:16" x14ac:dyDescent="0.25">
      <c r="B1221" s="23"/>
      <c r="E1221" s="23"/>
      <c r="G1221" s="23"/>
      <c r="H1221" s="23"/>
      <c r="J1221" s="23"/>
      <c r="K1221" s="23"/>
      <c r="M1221" s="23"/>
      <c r="N1221" s="23"/>
      <c r="P1221" s="23"/>
    </row>
    <row r="1222" spans="2:16" x14ac:dyDescent="0.25">
      <c r="B1222" s="23"/>
      <c r="E1222" s="23"/>
      <c r="G1222" s="23"/>
      <c r="H1222" s="23"/>
      <c r="J1222" s="23"/>
      <c r="K1222" s="23"/>
      <c r="M1222" s="23"/>
      <c r="N1222" s="23"/>
      <c r="P1222" s="23"/>
    </row>
    <row r="1223" spans="2:16" x14ac:dyDescent="0.25">
      <c r="B1223" s="23"/>
      <c r="E1223" s="23"/>
      <c r="G1223" s="23"/>
      <c r="H1223" s="23"/>
      <c r="J1223" s="23"/>
      <c r="K1223" s="23"/>
      <c r="M1223" s="23"/>
      <c r="N1223" s="23"/>
      <c r="P1223" s="23"/>
    </row>
    <row r="1224" spans="2:16" x14ac:dyDescent="0.25">
      <c r="B1224" s="23"/>
      <c r="E1224" s="23"/>
      <c r="G1224" s="23"/>
      <c r="H1224" s="23"/>
      <c r="J1224" s="23"/>
      <c r="K1224" s="23"/>
      <c r="M1224" s="23"/>
      <c r="N1224" s="23"/>
      <c r="P1224" s="23"/>
    </row>
    <row r="1225" spans="2:16" x14ac:dyDescent="0.25">
      <c r="B1225" s="23"/>
      <c r="E1225" s="23"/>
      <c r="G1225" s="23"/>
      <c r="H1225" s="23"/>
      <c r="J1225" s="23"/>
      <c r="K1225" s="23"/>
      <c r="M1225" s="23"/>
      <c r="N1225" s="23"/>
      <c r="P1225" s="23"/>
    </row>
    <row r="1226" spans="2:16" x14ac:dyDescent="0.25">
      <c r="B1226" s="23"/>
      <c r="E1226" s="23"/>
      <c r="G1226" s="23"/>
      <c r="H1226" s="23"/>
      <c r="J1226" s="23"/>
      <c r="K1226" s="23"/>
      <c r="M1226" s="23"/>
      <c r="N1226" s="23"/>
      <c r="P1226" s="23"/>
    </row>
    <row r="1227" spans="2:16" x14ac:dyDescent="0.25">
      <c r="B1227" s="23"/>
      <c r="E1227" s="23"/>
      <c r="G1227" s="23"/>
      <c r="H1227" s="23"/>
      <c r="J1227" s="23"/>
      <c r="K1227" s="23"/>
      <c r="M1227" s="23"/>
      <c r="N1227" s="23"/>
      <c r="P1227" s="23"/>
    </row>
    <row r="1228" spans="2:16" x14ac:dyDescent="0.25">
      <c r="B1228" s="23"/>
      <c r="E1228" s="23"/>
      <c r="G1228" s="23"/>
      <c r="H1228" s="23"/>
      <c r="J1228" s="23"/>
      <c r="K1228" s="23"/>
      <c r="M1228" s="23"/>
      <c r="N1228" s="23"/>
      <c r="P1228" s="23"/>
    </row>
    <row r="1229" spans="2:16" x14ac:dyDescent="0.25">
      <c r="B1229" s="23"/>
      <c r="E1229" s="23"/>
      <c r="G1229" s="23"/>
      <c r="H1229" s="23"/>
      <c r="J1229" s="23"/>
      <c r="K1229" s="23"/>
      <c r="M1229" s="23"/>
      <c r="N1229" s="23"/>
      <c r="P1229" s="23"/>
    </row>
    <row r="1230" spans="2:16" x14ac:dyDescent="0.25">
      <c r="B1230" s="23"/>
      <c r="E1230" s="23"/>
      <c r="G1230" s="23"/>
      <c r="H1230" s="23"/>
      <c r="J1230" s="23"/>
      <c r="K1230" s="23"/>
      <c r="M1230" s="23"/>
      <c r="N1230" s="23"/>
      <c r="P1230" s="23"/>
    </row>
    <row r="1231" spans="2:16" x14ac:dyDescent="0.25">
      <c r="B1231" s="23"/>
      <c r="E1231" s="23"/>
      <c r="G1231" s="23"/>
      <c r="H1231" s="23"/>
      <c r="J1231" s="23"/>
      <c r="K1231" s="23"/>
      <c r="M1231" s="23"/>
      <c r="N1231" s="23"/>
      <c r="P1231" s="23"/>
    </row>
    <row r="1232" spans="2:16" x14ac:dyDescent="0.25">
      <c r="B1232" s="23"/>
      <c r="E1232" s="23"/>
      <c r="G1232" s="23"/>
      <c r="H1232" s="23"/>
      <c r="J1232" s="23"/>
      <c r="K1232" s="23"/>
      <c r="M1232" s="23"/>
      <c r="N1232" s="23"/>
      <c r="P1232" s="23"/>
    </row>
    <row r="1233" spans="2:16" x14ac:dyDescent="0.25">
      <c r="B1233" s="23"/>
      <c r="E1233" s="23"/>
      <c r="G1233" s="23"/>
      <c r="H1233" s="23"/>
      <c r="J1233" s="23"/>
      <c r="K1233" s="23"/>
      <c r="M1233" s="23"/>
      <c r="N1233" s="23"/>
      <c r="P1233" s="23"/>
    </row>
    <row r="1234" spans="2:16" x14ac:dyDescent="0.25">
      <c r="B1234" s="23"/>
      <c r="E1234" s="23"/>
      <c r="G1234" s="23"/>
      <c r="H1234" s="23"/>
      <c r="J1234" s="23"/>
      <c r="K1234" s="23"/>
      <c r="M1234" s="23"/>
      <c r="N1234" s="23"/>
      <c r="P1234" s="23"/>
    </row>
    <row r="1235" spans="2:16" x14ac:dyDescent="0.25">
      <c r="B1235" s="23"/>
      <c r="E1235" s="23"/>
      <c r="G1235" s="23"/>
      <c r="H1235" s="23"/>
      <c r="J1235" s="23"/>
      <c r="K1235" s="23"/>
      <c r="M1235" s="23"/>
      <c r="N1235" s="23"/>
      <c r="P1235" s="23"/>
    </row>
    <row r="1236" spans="2:16" x14ac:dyDescent="0.25">
      <c r="B1236" s="23"/>
      <c r="E1236" s="23"/>
      <c r="G1236" s="23"/>
      <c r="H1236" s="23"/>
      <c r="J1236" s="23"/>
      <c r="K1236" s="23"/>
      <c r="M1236" s="23"/>
      <c r="N1236" s="23"/>
      <c r="P1236" s="23"/>
    </row>
    <row r="1237" spans="2:16" x14ac:dyDescent="0.25">
      <c r="B1237" s="23"/>
      <c r="E1237" s="23"/>
      <c r="G1237" s="23"/>
      <c r="H1237" s="23"/>
      <c r="J1237" s="23"/>
      <c r="K1237" s="23"/>
      <c r="M1237" s="23"/>
      <c r="N1237" s="23"/>
      <c r="P1237" s="23"/>
    </row>
    <row r="1238" spans="2:16" x14ac:dyDescent="0.25">
      <c r="B1238" s="23"/>
      <c r="E1238" s="23"/>
      <c r="G1238" s="23"/>
      <c r="H1238" s="23"/>
      <c r="J1238" s="23"/>
      <c r="K1238" s="23"/>
      <c r="M1238" s="23"/>
      <c r="N1238" s="23"/>
      <c r="P1238" s="23"/>
    </row>
    <row r="1239" spans="2:16" x14ac:dyDescent="0.25">
      <c r="B1239" s="23"/>
      <c r="E1239" s="23"/>
      <c r="G1239" s="23"/>
      <c r="H1239" s="23"/>
      <c r="J1239" s="23"/>
      <c r="K1239" s="23"/>
      <c r="M1239" s="23"/>
      <c r="N1239" s="23"/>
      <c r="P1239" s="23"/>
    </row>
    <row r="1240" spans="2:16" x14ac:dyDescent="0.25">
      <c r="B1240" s="23"/>
      <c r="E1240" s="23"/>
      <c r="G1240" s="23"/>
      <c r="H1240" s="23"/>
      <c r="J1240" s="23"/>
      <c r="K1240" s="23"/>
      <c r="M1240" s="23"/>
      <c r="N1240" s="23"/>
      <c r="P1240" s="23"/>
    </row>
    <row r="1241" spans="2:16" x14ac:dyDescent="0.25">
      <c r="B1241" s="23"/>
      <c r="E1241" s="23"/>
      <c r="G1241" s="23"/>
      <c r="H1241" s="23"/>
      <c r="J1241" s="23"/>
      <c r="K1241" s="23"/>
      <c r="M1241" s="23"/>
      <c r="N1241" s="23"/>
      <c r="P1241" s="23"/>
    </row>
    <row r="1242" spans="2:16" x14ac:dyDescent="0.25">
      <c r="B1242" s="23"/>
      <c r="E1242" s="23"/>
      <c r="G1242" s="23"/>
      <c r="H1242" s="23"/>
      <c r="J1242" s="23"/>
      <c r="K1242" s="23"/>
      <c r="M1242" s="23"/>
      <c r="N1242" s="23"/>
      <c r="P1242" s="23"/>
    </row>
    <row r="1243" spans="2:16" x14ac:dyDescent="0.25">
      <c r="B1243" s="23"/>
      <c r="E1243" s="23"/>
      <c r="G1243" s="23"/>
      <c r="H1243" s="23"/>
      <c r="J1243" s="23"/>
      <c r="K1243" s="23"/>
      <c r="M1243" s="23"/>
      <c r="N1243" s="23"/>
      <c r="P1243" s="23"/>
    </row>
    <row r="1244" spans="2:16" x14ac:dyDescent="0.25">
      <c r="B1244" s="23"/>
      <c r="E1244" s="23"/>
      <c r="G1244" s="23"/>
      <c r="H1244" s="23"/>
      <c r="J1244" s="23"/>
      <c r="K1244" s="23"/>
      <c r="M1244" s="23"/>
      <c r="N1244" s="23"/>
      <c r="P1244" s="23"/>
    </row>
    <row r="1245" spans="2:16" x14ac:dyDescent="0.25">
      <c r="B1245" s="23"/>
      <c r="E1245" s="23"/>
      <c r="G1245" s="23"/>
      <c r="H1245" s="23"/>
      <c r="J1245" s="23"/>
      <c r="K1245" s="23"/>
      <c r="M1245" s="23"/>
      <c r="N1245" s="23"/>
      <c r="P1245" s="23"/>
    </row>
    <row r="1246" spans="2:16" x14ac:dyDescent="0.25">
      <c r="B1246" s="23"/>
      <c r="E1246" s="23"/>
      <c r="G1246" s="23"/>
      <c r="H1246" s="23"/>
      <c r="J1246" s="23"/>
      <c r="K1246" s="23"/>
      <c r="M1246" s="23"/>
      <c r="N1246" s="23"/>
      <c r="P1246" s="23"/>
    </row>
    <row r="1247" spans="2:16" x14ac:dyDescent="0.25">
      <c r="B1247" s="23"/>
      <c r="E1247" s="23"/>
      <c r="G1247" s="23"/>
      <c r="H1247" s="23"/>
      <c r="J1247" s="23"/>
      <c r="K1247" s="23"/>
      <c r="M1247" s="23"/>
      <c r="N1247" s="23"/>
      <c r="P1247" s="23"/>
    </row>
    <row r="1248" spans="2:16" x14ac:dyDescent="0.25">
      <c r="B1248" s="23"/>
      <c r="E1248" s="23"/>
      <c r="G1248" s="23"/>
      <c r="H1248" s="23"/>
      <c r="J1248" s="23"/>
      <c r="K1248" s="23"/>
      <c r="M1248" s="23"/>
      <c r="N1248" s="23"/>
      <c r="P1248" s="23"/>
    </row>
    <row r="1249" spans="2:16" x14ac:dyDescent="0.25">
      <c r="B1249" s="23"/>
      <c r="E1249" s="23"/>
      <c r="G1249" s="23"/>
      <c r="H1249" s="23"/>
      <c r="J1249" s="23"/>
      <c r="K1249" s="23"/>
      <c r="M1249" s="23"/>
      <c r="N1249" s="23"/>
      <c r="P1249" s="23"/>
    </row>
    <row r="1250" spans="2:16" x14ac:dyDescent="0.25">
      <c r="B1250" s="23"/>
      <c r="E1250" s="23"/>
      <c r="G1250" s="23"/>
      <c r="H1250" s="23"/>
      <c r="J1250" s="23"/>
      <c r="K1250" s="23"/>
      <c r="M1250" s="23"/>
      <c r="N1250" s="23"/>
      <c r="P1250" s="23"/>
    </row>
    <row r="1251" spans="2:16" x14ac:dyDescent="0.25">
      <c r="B1251" s="23"/>
      <c r="E1251" s="23"/>
      <c r="G1251" s="23"/>
      <c r="H1251" s="23"/>
      <c r="J1251" s="23"/>
      <c r="K1251" s="23"/>
      <c r="M1251" s="23"/>
      <c r="N1251" s="23"/>
      <c r="P1251" s="23"/>
    </row>
    <row r="1252" spans="2:16" x14ac:dyDescent="0.25">
      <c r="B1252" s="23"/>
      <c r="E1252" s="23"/>
      <c r="G1252" s="23"/>
      <c r="H1252" s="23"/>
      <c r="J1252" s="23"/>
      <c r="K1252" s="23"/>
      <c r="M1252" s="23"/>
      <c r="N1252" s="23"/>
      <c r="P1252" s="23"/>
    </row>
    <row r="1253" spans="2:16" x14ac:dyDescent="0.25">
      <c r="B1253" s="23"/>
      <c r="E1253" s="23"/>
      <c r="G1253" s="23"/>
      <c r="H1253" s="23"/>
      <c r="J1253" s="23"/>
      <c r="K1253" s="23"/>
      <c r="M1253" s="23"/>
      <c r="N1253" s="23"/>
      <c r="P1253" s="23"/>
    </row>
    <row r="1254" spans="2:16" x14ac:dyDescent="0.25">
      <c r="B1254" s="23"/>
      <c r="E1254" s="23"/>
      <c r="G1254" s="23"/>
      <c r="H1254" s="23"/>
      <c r="J1254" s="23"/>
      <c r="K1254" s="23"/>
      <c r="M1254" s="23"/>
      <c r="N1254" s="23"/>
      <c r="P1254" s="23"/>
    </row>
    <row r="1255" spans="2:16" x14ac:dyDescent="0.25">
      <c r="B1255" s="23"/>
      <c r="E1255" s="23"/>
      <c r="G1255" s="23"/>
      <c r="H1255" s="23"/>
      <c r="J1255" s="23"/>
      <c r="K1255" s="23"/>
      <c r="M1255" s="23"/>
      <c r="N1255" s="23"/>
      <c r="P1255" s="23"/>
    </row>
    <row r="1256" spans="2:16" x14ac:dyDescent="0.25">
      <c r="B1256" s="23"/>
      <c r="E1256" s="23"/>
      <c r="G1256" s="23"/>
      <c r="H1256" s="23"/>
      <c r="J1256" s="23"/>
      <c r="K1256" s="23"/>
      <c r="M1256" s="23"/>
      <c r="N1256" s="23"/>
      <c r="P1256" s="23"/>
    </row>
    <row r="1257" spans="2:16" x14ac:dyDescent="0.25">
      <c r="B1257" s="23"/>
      <c r="E1257" s="23"/>
      <c r="G1257" s="23"/>
      <c r="H1257" s="23"/>
      <c r="J1257" s="23"/>
      <c r="K1257" s="23"/>
      <c r="M1257" s="23"/>
      <c r="N1257" s="23"/>
      <c r="P1257" s="23"/>
    </row>
    <row r="1258" spans="2:16" x14ac:dyDescent="0.25">
      <c r="B1258" s="23"/>
      <c r="E1258" s="23"/>
      <c r="G1258" s="23"/>
      <c r="H1258" s="23"/>
      <c r="J1258" s="23"/>
      <c r="K1258" s="23"/>
      <c r="M1258" s="23"/>
      <c r="N1258" s="23"/>
      <c r="P1258" s="23"/>
    </row>
    <row r="1259" spans="2:16" x14ac:dyDescent="0.25">
      <c r="B1259" s="23"/>
      <c r="E1259" s="23"/>
      <c r="G1259" s="23"/>
      <c r="H1259" s="23"/>
      <c r="J1259" s="23"/>
      <c r="K1259" s="23"/>
      <c r="M1259" s="23"/>
      <c r="N1259" s="23"/>
      <c r="P1259" s="23"/>
    </row>
    <row r="1260" spans="2:16" x14ac:dyDescent="0.25">
      <c r="B1260" s="23"/>
      <c r="E1260" s="23"/>
      <c r="G1260" s="23"/>
      <c r="H1260" s="23"/>
      <c r="J1260" s="23"/>
      <c r="K1260" s="23"/>
      <c r="M1260" s="23"/>
      <c r="N1260" s="23"/>
      <c r="P1260" s="23"/>
    </row>
    <row r="1261" spans="2:16" x14ac:dyDescent="0.25">
      <c r="B1261" s="23"/>
      <c r="E1261" s="23"/>
      <c r="G1261" s="23"/>
      <c r="H1261" s="23"/>
      <c r="J1261" s="23"/>
      <c r="K1261" s="23"/>
      <c r="M1261" s="23"/>
      <c r="N1261" s="23"/>
      <c r="P1261" s="23"/>
    </row>
    <row r="1262" spans="2:16" x14ac:dyDescent="0.25">
      <c r="B1262" s="23"/>
      <c r="E1262" s="23"/>
      <c r="G1262" s="23"/>
      <c r="H1262" s="23"/>
      <c r="J1262" s="23"/>
      <c r="K1262" s="23"/>
      <c r="M1262" s="23"/>
      <c r="N1262" s="23"/>
      <c r="P1262" s="23"/>
    </row>
    <row r="1263" spans="2:16" x14ac:dyDescent="0.25">
      <c r="B1263" s="23"/>
      <c r="E1263" s="23"/>
      <c r="G1263" s="23"/>
      <c r="H1263" s="23"/>
      <c r="J1263" s="23"/>
      <c r="K1263" s="23"/>
      <c r="M1263" s="23"/>
      <c r="N1263" s="23"/>
      <c r="P1263" s="23"/>
    </row>
    <row r="1264" spans="2:16" x14ac:dyDescent="0.25">
      <c r="B1264" s="23"/>
      <c r="E1264" s="23"/>
      <c r="G1264" s="23"/>
      <c r="H1264" s="23"/>
      <c r="J1264" s="23"/>
      <c r="K1264" s="23"/>
      <c r="M1264" s="23"/>
      <c r="N1264" s="23"/>
      <c r="P1264" s="23"/>
    </row>
    <row r="1265" spans="2:16" x14ac:dyDescent="0.25">
      <c r="B1265" s="23"/>
      <c r="E1265" s="23"/>
      <c r="G1265" s="23"/>
      <c r="H1265" s="23"/>
      <c r="J1265" s="23"/>
      <c r="K1265" s="23"/>
      <c r="M1265" s="23"/>
      <c r="N1265" s="23"/>
      <c r="P1265" s="23"/>
    </row>
    <row r="1266" spans="2:16" x14ac:dyDescent="0.25">
      <c r="B1266" s="23"/>
      <c r="E1266" s="23"/>
      <c r="G1266" s="23"/>
      <c r="H1266" s="23"/>
      <c r="J1266" s="23"/>
      <c r="K1266" s="23"/>
      <c r="M1266" s="23"/>
      <c r="N1266" s="23"/>
      <c r="P1266" s="23"/>
    </row>
    <row r="1267" spans="2:16" x14ac:dyDescent="0.25">
      <c r="B1267" s="23"/>
      <c r="E1267" s="23"/>
      <c r="G1267" s="23"/>
      <c r="H1267" s="23"/>
      <c r="J1267" s="23"/>
      <c r="K1267" s="23"/>
      <c r="M1267" s="23"/>
      <c r="N1267" s="23"/>
      <c r="P1267" s="23"/>
    </row>
    <row r="1268" spans="2:16" x14ac:dyDescent="0.25">
      <c r="B1268" s="23"/>
      <c r="E1268" s="23"/>
      <c r="G1268" s="23"/>
      <c r="H1268" s="23"/>
      <c r="J1268" s="23"/>
      <c r="K1268" s="23"/>
      <c r="M1268" s="23"/>
      <c r="N1268" s="23"/>
      <c r="P1268" s="23"/>
    </row>
    <row r="1269" spans="2:16" x14ac:dyDescent="0.25">
      <c r="B1269" s="23"/>
      <c r="E1269" s="23"/>
      <c r="G1269" s="23"/>
      <c r="H1269" s="23"/>
      <c r="J1269" s="23"/>
      <c r="K1269" s="23"/>
      <c r="M1269" s="23"/>
      <c r="N1269" s="23"/>
      <c r="P1269" s="23"/>
    </row>
    <row r="1270" spans="2:16" x14ac:dyDescent="0.25">
      <c r="B1270" s="23"/>
      <c r="E1270" s="23"/>
      <c r="G1270" s="23"/>
      <c r="H1270" s="23"/>
      <c r="J1270" s="23"/>
      <c r="K1270" s="23"/>
      <c r="M1270" s="23"/>
      <c r="N1270" s="23"/>
      <c r="P1270" s="23"/>
    </row>
    <row r="1271" spans="2:16" x14ac:dyDescent="0.25">
      <c r="B1271" s="23"/>
      <c r="E1271" s="23"/>
      <c r="G1271" s="23"/>
      <c r="H1271" s="23"/>
      <c r="J1271" s="23"/>
      <c r="K1271" s="23"/>
      <c r="M1271" s="23"/>
      <c r="N1271" s="23"/>
      <c r="P1271" s="23"/>
    </row>
    <row r="1272" spans="2:16" x14ac:dyDescent="0.25">
      <c r="B1272" s="23"/>
      <c r="E1272" s="23"/>
      <c r="G1272" s="23"/>
      <c r="H1272" s="23"/>
      <c r="J1272" s="23"/>
      <c r="K1272" s="23"/>
      <c r="M1272" s="23"/>
      <c r="N1272" s="23"/>
      <c r="P1272" s="23"/>
    </row>
    <row r="1273" spans="2:16" x14ac:dyDescent="0.25">
      <c r="B1273" s="23"/>
      <c r="E1273" s="23"/>
      <c r="G1273" s="23"/>
      <c r="H1273" s="23"/>
      <c r="J1273" s="23"/>
      <c r="K1273" s="23"/>
      <c r="M1273" s="23"/>
      <c r="N1273" s="23"/>
      <c r="P1273" s="23"/>
    </row>
    <row r="1274" spans="2:16" x14ac:dyDescent="0.25">
      <c r="B1274" s="23"/>
      <c r="E1274" s="23"/>
      <c r="G1274" s="23"/>
      <c r="H1274" s="23"/>
      <c r="J1274" s="23"/>
      <c r="K1274" s="23"/>
      <c r="M1274" s="23"/>
      <c r="N1274" s="23"/>
      <c r="P1274" s="23"/>
    </row>
    <row r="1275" spans="2:16" x14ac:dyDescent="0.25">
      <c r="B1275" s="23"/>
      <c r="E1275" s="23"/>
      <c r="G1275" s="23"/>
      <c r="H1275" s="23"/>
      <c r="J1275" s="23"/>
      <c r="K1275" s="23"/>
      <c r="M1275" s="23"/>
      <c r="N1275" s="23"/>
      <c r="P1275" s="23"/>
    </row>
    <row r="1276" spans="2:16" x14ac:dyDescent="0.25">
      <c r="B1276" s="23"/>
      <c r="E1276" s="23"/>
      <c r="G1276" s="23"/>
      <c r="H1276" s="23"/>
      <c r="J1276" s="23"/>
      <c r="K1276" s="23"/>
      <c r="M1276" s="23"/>
      <c r="N1276" s="23"/>
      <c r="P1276" s="23"/>
    </row>
    <row r="1277" spans="2:16" x14ac:dyDescent="0.25">
      <c r="B1277" s="23"/>
      <c r="E1277" s="23"/>
      <c r="G1277" s="23"/>
      <c r="H1277" s="23"/>
      <c r="J1277" s="23"/>
      <c r="K1277" s="23"/>
      <c r="M1277" s="23"/>
      <c r="N1277" s="23"/>
      <c r="P1277" s="23"/>
    </row>
    <row r="1278" spans="2:16" x14ac:dyDescent="0.25">
      <c r="B1278" s="23"/>
      <c r="E1278" s="23"/>
      <c r="G1278" s="23"/>
      <c r="H1278" s="23"/>
      <c r="J1278" s="23"/>
      <c r="K1278" s="23"/>
      <c r="M1278" s="23"/>
      <c r="N1278" s="23"/>
      <c r="P1278" s="23"/>
    </row>
    <row r="1279" spans="2:16" x14ac:dyDescent="0.25">
      <c r="B1279" s="23"/>
      <c r="E1279" s="23"/>
      <c r="G1279" s="23"/>
      <c r="H1279" s="23"/>
      <c r="J1279" s="23"/>
      <c r="K1279" s="23"/>
      <c r="M1279" s="23"/>
      <c r="N1279" s="23"/>
      <c r="P1279" s="23"/>
    </row>
    <row r="1280" spans="2:16" x14ac:dyDescent="0.25">
      <c r="B1280" s="23"/>
      <c r="E1280" s="23"/>
      <c r="G1280" s="23"/>
      <c r="H1280" s="23"/>
      <c r="J1280" s="23"/>
      <c r="K1280" s="23"/>
      <c r="M1280" s="23"/>
      <c r="N1280" s="23"/>
      <c r="P1280" s="23"/>
    </row>
    <row r="1281" spans="2:16" x14ac:dyDescent="0.25">
      <c r="B1281" s="23"/>
      <c r="E1281" s="23"/>
      <c r="G1281" s="23"/>
      <c r="H1281" s="23"/>
      <c r="J1281" s="23"/>
      <c r="K1281" s="23"/>
      <c r="M1281" s="23"/>
      <c r="N1281" s="23"/>
      <c r="P1281" s="23"/>
    </row>
    <row r="1282" spans="2:16" x14ac:dyDescent="0.25">
      <c r="B1282" s="23"/>
      <c r="E1282" s="23"/>
      <c r="G1282" s="23"/>
      <c r="H1282" s="23"/>
      <c r="J1282" s="23"/>
      <c r="K1282" s="23"/>
      <c r="M1282" s="23"/>
      <c r="N1282" s="23"/>
      <c r="P1282" s="23"/>
    </row>
    <row r="1283" spans="2:16" x14ac:dyDescent="0.25">
      <c r="B1283" s="23"/>
      <c r="E1283" s="23"/>
      <c r="G1283" s="23"/>
      <c r="H1283" s="23"/>
      <c r="J1283" s="23"/>
      <c r="K1283" s="23"/>
      <c r="M1283" s="23"/>
      <c r="N1283" s="23"/>
      <c r="P1283" s="23"/>
    </row>
    <row r="1284" spans="2:16" x14ac:dyDescent="0.25">
      <c r="B1284" s="23"/>
      <c r="E1284" s="23"/>
      <c r="G1284" s="23"/>
      <c r="H1284" s="23"/>
      <c r="J1284" s="23"/>
      <c r="K1284" s="23"/>
      <c r="M1284" s="23"/>
      <c r="N1284" s="23"/>
      <c r="P1284" s="23"/>
    </row>
    <row r="1285" spans="2:16" x14ac:dyDescent="0.25">
      <c r="B1285" s="23"/>
      <c r="E1285" s="23"/>
      <c r="G1285" s="23"/>
      <c r="H1285" s="23"/>
      <c r="J1285" s="23"/>
      <c r="K1285" s="23"/>
      <c r="M1285" s="23"/>
      <c r="N1285" s="23"/>
      <c r="P1285" s="23"/>
    </row>
    <row r="1286" spans="2:16" x14ac:dyDescent="0.25">
      <c r="B1286" s="23"/>
      <c r="E1286" s="23"/>
      <c r="G1286" s="23"/>
      <c r="H1286" s="23"/>
      <c r="J1286" s="23"/>
      <c r="K1286" s="23"/>
      <c r="M1286" s="23"/>
      <c r="N1286" s="23"/>
      <c r="P1286" s="23"/>
    </row>
    <row r="1287" spans="2:16" x14ac:dyDescent="0.25">
      <c r="B1287" s="23"/>
      <c r="E1287" s="23"/>
      <c r="G1287" s="23"/>
      <c r="H1287" s="23"/>
      <c r="J1287" s="23"/>
      <c r="K1287" s="23"/>
      <c r="M1287" s="23"/>
      <c r="N1287" s="23"/>
      <c r="P1287" s="23"/>
    </row>
    <row r="1288" spans="2:16" x14ac:dyDescent="0.25">
      <c r="B1288" s="23"/>
      <c r="E1288" s="23"/>
      <c r="G1288" s="23"/>
      <c r="H1288" s="23"/>
      <c r="J1288" s="23"/>
      <c r="K1288" s="23"/>
      <c r="M1288" s="23"/>
      <c r="N1288" s="23"/>
      <c r="P1288" s="23"/>
    </row>
    <row r="1289" spans="2:16" x14ac:dyDescent="0.25">
      <c r="B1289" s="23"/>
      <c r="E1289" s="23"/>
      <c r="G1289" s="23"/>
      <c r="H1289" s="23"/>
      <c r="J1289" s="23"/>
      <c r="K1289" s="23"/>
      <c r="M1289" s="23"/>
      <c r="N1289" s="23"/>
      <c r="P1289" s="23"/>
    </row>
    <row r="1290" spans="2:16" x14ac:dyDescent="0.25">
      <c r="B1290" s="23"/>
      <c r="E1290" s="23"/>
      <c r="G1290" s="23"/>
      <c r="H1290" s="23"/>
      <c r="J1290" s="23"/>
      <c r="K1290" s="23"/>
      <c r="M1290" s="23"/>
      <c r="N1290" s="23"/>
      <c r="P1290" s="23"/>
    </row>
    <row r="1291" spans="2:16" x14ac:dyDescent="0.25">
      <c r="B1291" s="23"/>
      <c r="E1291" s="23"/>
      <c r="G1291" s="23"/>
      <c r="H1291" s="23"/>
      <c r="J1291" s="23"/>
      <c r="K1291" s="23"/>
      <c r="M1291" s="23"/>
      <c r="N1291" s="23"/>
      <c r="P1291" s="23"/>
    </row>
    <row r="1292" spans="2:16" x14ac:dyDescent="0.25">
      <c r="B1292" s="23"/>
      <c r="E1292" s="23"/>
      <c r="G1292" s="23"/>
      <c r="H1292" s="23"/>
      <c r="J1292" s="23"/>
      <c r="K1292" s="23"/>
      <c r="M1292" s="23"/>
      <c r="N1292" s="23"/>
      <c r="P1292" s="23"/>
    </row>
    <row r="1293" spans="2:16" x14ac:dyDescent="0.25">
      <c r="B1293" s="23"/>
      <c r="E1293" s="23"/>
      <c r="G1293" s="23"/>
      <c r="H1293" s="23"/>
      <c r="J1293" s="23"/>
      <c r="K1293" s="23"/>
      <c r="M1293" s="23"/>
      <c r="N1293" s="23"/>
      <c r="P1293" s="23"/>
    </row>
    <row r="1294" spans="2:16" x14ac:dyDescent="0.25">
      <c r="B1294" s="23"/>
      <c r="E1294" s="23"/>
      <c r="G1294" s="23"/>
      <c r="H1294" s="23"/>
      <c r="J1294" s="23"/>
      <c r="K1294" s="23"/>
      <c r="M1294" s="23"/>
      <c r="N1294" s="23"/>
      <c r="P1294" s="23"/>
    </row>
    <row r="1295" spans="2:16" x14ac:dyDescent="0.25">
      <c r="B1295" s="23"/>
      <c r="E1295" s="23"/>
      <c r="G1295" s="23"/>
      <c r="H1295" s="23"/>
      <c r="J1295" s="23"/>
      <c r="K1295" s="23"/>
      <c r="M1295" s="23"/>
      <c r="N1295" s="23"/>
      <c r="P1295" s="23"/>
    </row>
    <row r="1296" spans="2:16" x14ac:dyDescent="0.25">
      <c r="B1296" s="23"/>
      <c r="E1296" s="23"/>
      <c r="G1296" s="23"/>
      <c r="H1296" s="23"/>
      <c r="J1296" s="23"/>
      <c r="K1296" s="23"/>
      <c r="M1296" s="23"/>
      <c r="N1296" s="23"/>
      <c r="P1296" s="23"/>
    </row>
    <row r="1297" spans="2:16" x14ac:dyDescent="0.25">
      <c r="B1297" s="23"/>
      <c r="E1297" s="23"/>
      <c r="G1297" s="23"/>
      <c r="H1297" s="23"/>
      <c r="J1297" s="23"/>
      <c r="K1297" s="23"/>
      <c r="M1297" s="23"/>
      <c r="N1297" s="23"/>
      <c r="P1297" s="23"/>
    </row>
    <row r="1298" spans="2:16" x14ac:dyDescent="0.25">
      <c r="B1298" s="23"/>
      <c r="E1298" s="23"/>
      <c r="G1298" s="23"/>
      <c r="H1298" s="23"/>
      <c r="J1298" s="23"/>
      <c r="K1298" s="23"/>
      <c r="M1298" s="23"/>
      <c r="N1298" s="23"/>
      <c r="P1298" s="23"/>
    </row>
    <row r="1299" spans="2:16" x14ac:dyDescent="0.25">
      <c r="B1299" s="23"/>
      <c r="E1299" s="23"/>
      <c r="G1299" s="23"/>
      <c r="H1299" s="23"/>
      <c r="J1299" s="23"/>
      <c r="K1299" s="23"/>
      <c r="M1299" s="23"/>
      <c r="N1299" s="23"/>
      <c r="P1299" s="23"/>
    </row>
    <row r="1300" spans="2:16" x14ac:dyDescent="0.25">
      <c r="B1300" s="23"/>
      <c r="E1300" s="23"/>
      <c r="G1300" s="23"/>
      <c r="H1300" s="23"/>
      <c r="J1300" s="23"/>
      <c r="K1300" s="23"/>
      <c r="M1300" s="23"/>
      <c r="N1300" s="23"/>
      <c r="P1300" s="23"/>
    </row>
    <row r="1301" spans="2:16" x14ac:dyDescent="0.25">
      <c r="B1301" s="23"/>
      <c r="E1301" s="23"/>
      <c r="G1301" s="23"/>
      <c r="H1301" s="23"/>
      <c r="J1301" s="23"/>
      <c r="K1301" s="23"/>
      <c r="M1301" s="23"/>
      <c r="N1301" s="23"/>
      <c r="P1301" s="23"/>
    </row>
    <row r="1302" spans="2:16" x14ac:dyDescent="0.25">
      <c r="B1302" s="23"/>
      <c r="E1302" s="23"/>
      <c r="G1302" s="23"/>
      <c r="H1302" s="23"/>
      <c r="J1302" s="23"/>
      <c r="K1302" s="23"/>
      <c r="M1302" s="23"/>
      <c r="N1302" s="23"/>
      <c r="P1302" s="23"/>
    </row>
    <row r="1303" spans="2:16" x14ac:dyDescent="0.25">
      <c r="B1303" s="23"/>
      <c r="E1303" s="23"/>
      <c r="G1303" s="23"/>
      <c r="H1303" s="23"/>
      <c r="J1303" s="23"/>
      <c r="K1303" s="23"/>
      <c r="M1303" s="23"/>
      <c r="N1303" s="23"/>
      <c r="P1303" s="23"/>
    </row>
    <row r="1304" spans="2:16" x14ac:dyDescent="0.25">
      <c r="B1304" s="23"/>
      <c r="E1304" s="23"/>
      <c r="G1304" s="23"/>
      <c r="H1304" s="23"/>
      <c r="J1304" s="23"/>
      <c r="K1304" s="23"/>
      <c r="M1304" s="23"/>
      <c r="N1304" s="23"/>
      <c r="P1304" s="23"/>
    </row>
    <row r="1305" spans="2:16" x14ac:dyDescent="0.25">
      <c r="B1305" s="23"/>
      <c r="E1305" s="23"/>
      <c r="G1305" s="23"/>
      <c r="H1305" s="23"/>
      <c r="J1305" s="23"/>
      <c r="K1305" s="23"/>
      <c r="M1305" s="23"/>
      <c r="N1305" s="23"/>
      <c r="P1305" s="23"/>
    </row>
    <row r="1306" spans="2:16" x14ac:dyDescent="0.25">
      <c r="B1306" s="23"/>
      <c r="E1306" s="23"/>
      <c r="G1306" s="23"/>
      <c r="H1306" s="23"/>
      <c r="J1306" s="23"/>
      <c r="K1306" s="23"/>
      <c r="M1306" s="23"/>
      <c r="N1306" s="23"/>
      <c r="P1306" s="23"/>
    </row>
    <row r="1307" spans="2:16" x14ac:dyDescent="0.25">
      <c r="B1307" s="23"/>
      <c r="E1307" s="23"/>
      <c r="G1307" s="23"/>
      <c r="H1307" s="23"/>
      <c r="J1307" s="23"/>
      <c r="K1307" s="23"/>
      <c r="M1307" s="23"/>
      <c r="N1307" s="23"/>
      <c r="P1307" s="23"/>
    </row>
    <row r="1308" spans="2:16" x14ac:dyDescent="0.25">
      <c r="B1308" s="23"/>
      <c r="E1308" s="23"/>
      <c r="G1308" s="23"/>
      <c r="H1308" s="23"/>
      <c r="J1308" s="23"/>
      <c r="K1308" s="23"/>
      <c r="M1308" s="23"/>
      <c r="N1308" s="23"/>
      <c r="P1308" s="23"/>
    </row>
    <row r="1309" spans="2:16" x14ac:dyDescent="0.25">
      <c r="B1309" s="23"/>
      <c r="E1309" s="23"/>
      <c r="G1309" s="23"/>
      <c r="H1309" s="23"/>
      <c r="J1309" s="23"/>
      <c r="K1309" s="23"/>
      <c r="M1309" s="23"/>
      <c r="N1309" s="23"/>
      <c r="P1309" s="23"/>
    </row>
    <row r="1310" spans="2:16" x14ac:dyDescent="0.25">
      <c r="B1310" s="23"/>
      <c r="E1310" s="23"/>
      <c r="G1310" s="23"/>
      <c r="H1310" s="23"/>
      <c r="J1310" s="23"/>
      <c r="K1310" s="23"/>
      <c r="M1310" s="23"/>
      <c r="N1310" s="23"/>
      <c r="P1310" s="23"/>
    </row>
    <row r="1311" spans="2:16" x14ac:dyDescent="0.25">
      <c r="B1311" s="23"/>
      <c r="E1311" s="23"/>
      <c r="G1311" s="23"/>
      <c r="H1311" s="23"/>
      <c r="J1311" s="23"/>
      <c r="K1311" s="23"/>
      <c r="M1311" s="23"/>
      <c r="N1311" s="23"/>
      <c r="P1311" s="23"/>
    </row>
    <row r="1312" spans="2:16" x14ac:dyDescent="0.25">
      <c r="B1312" s="23"/>
      <c r="E1312" s="23"/>
      <c r="G1312" s="23"/>
      <c r="H1312" s="23"/>
      <c r="J1312" s="23"/>
      <c r="K1312" s="23"/>
      <c r="M1312" s="23"/>
      <c r="N1312" s="23"/>
      <c r="P1312" s="23"/>
    </row>
    <row r="1313" spans="2:16" x14ac:dyDescent="0.25">
      <c r="B1313" s="23"/>
      <c r="E1313" s="23"/>
      <c r="G1313" s="23"/>
      <c r="H1313" s="23"/>
      <c r="J1313" s="23"/>
      <c r="K1313" s="23"/>
      <c r="M1313" s="23"/>
      <c r="N1313" s="23"/>
      <c r="P1313" s="23"/>
    </row>
    <row r="1314" spans="2:16" x14ac:dyDescent="0.25">
      <c r="B1314" s="23"/>
      <c r="E1314" s="23"/>
      <c r="G1314" s="23"/>
      <c r="H1314" s="23"/>
      <c r="J1314" s="23"/>
      <c r="K1314" s="23"/>
      <c r="M1314" s="23"/>
      <c r="N1314" s="23"/>
      <c r="P1314" s="23"/>
    </row>
    <row r="1315" spans="2:16" x14ac:dyDescent="0.25">
      <c r="B1315" s="23"/>
      <c r="E1315" s="23"/>
      <c r="G1315" s="23"/>
      <c r="H1315" s="23"/>
      <c r="J1315" s="23"/>
      <c r="K1315" s="23"/>
      <c r="M1315" s="23"/>
      <c r="N1315" s="23"/>
      <c r="P1315" s="23"/>
    </row>
    <row r="1316" spans="2:16" x14ac:dyDescent="0.25">
      <c r="B1316" s="23"/>
      <c r="E1316" s="23"/>
      <c r="G1316" s="23"/>
      <c r="H1316" s="23"/>
      <c r="J1316" s="23"/>
      <c r="K1316" s="23"/>
      <c r="M1316" s="23"/>
      <c r="N1316" s="23"/>
      <c r="P1316" s="23"/>
    </row>
    <row r="1317" spans="2:16" x14ac:dyDescent="0.25">
      <c r="B1317" s="23"/>
      <c r="E1317" s="23"/>
      <c r="G1317" s="23"/>
      <c r="H1317" s="23"/>
      <c r="J1317" s="23"/>
      <c r="K1317" s="23"/>
      <c r="M1317" s="23"/>
      <c r="N1317" s="23"/>
      <c r="P1317" s="23"/>
    </row>
    <row r="1318" spans="2:16" x14ac:dyDescent="0.25">
      <c r="B1318" s="23"/>
      <c r="E1318" s="23"/>
      <c r="G1318" s="23"/>
      <c r="H1318" s="23"/>
      <c r="J1318" s="23"/>
      <c r="K1318" s="23"/>
      <c r="M1318" s="23"/>
      <c r="N1318" s="23"/>
      <c r="P1318" s="23"/>
    </row>
    <row r="1319" spans="2:16" x14ac:dyDescent="0.25">
      <c r="B1319" s="23"/>
      <c r="E1319" s="23"/>
      <c r="G1319" s="23"/>
      <c r="H1319" s="23"/>
      <c r="J1319" s="23"/>
      <c r="K1319" s="23"/>
      <c r="M1319" s="23"/>
      <c r="N1319" s="23"/>
      <c r="P1319" s="23"/>
    </row>
    <row r="1320" spans="2:16" x14ac:dyDescent="0.25">
      <c r="B1320" s="23"/>
      <c r="E1320" s="23"/>
      <c r="G1320" s="23"/>
      <c r="H1320" s="23"/>
      <c r="J1320" s="23"/>
      <c r="K1320" s="23"/>
      <c r="M1320" s="23"/>
      <c r="N1320" s="23"/>
      <c r="P1320" s="23"/>
    </row>
    <row r="1321" spans="2:16" x14ac:dyDescent="0.25">
      <c r="B1321" s="23"/>
      <c r="E1321" s="23"/>
      <c r="G1321" s="23"/>
      <c r="H1321" s="23"/>
      <c r="J1321" s="23"/>
      <c r="K1321" s="23"/>
      <c r="M1321" s="23"/>
      <c r="N1321" s="23"/>
      <c r="P1321" s="23"/>
    </row>
    <row r="1322" spans="2:16" x14ac:dyDescent="0.25">
      <c r="B1322" s="23"/>
      <c r="E1322" s="23"/>
      <c r="G1322" s="23"/>
      <c r="H1322" s="23"/>
      <c r="J1322" s="23"/>
      <c r="K1322" s="23"/>
      <c r="M1322" s="23"/>
      <c r="N1322" s="23"/>
      <c r="P1322" s="23"/>
    </row>
    <row r="1323" spans="2:16" x14ac:dyDescent="0.25">
      <c r="B1323" s="23"/>
      <c r="E1323" s="23"/>
      <c r="G1323" s="23"/>
      <c r="H1323" s="23"/>
      <c r="J1323" s="23"/>
      <c r="K1323" s="23"/>
      <c r="M1323" s="23"/>
      <c r="N1323" s="23"/>
      <c r="P1323" s="23"/>
    </row>
    <row r="1324" spans="2:16" x14ac:dyDescent="0.25">
      <c r="B1324" s="23"/>
      <c r="E1324" s="23"/>
      <c r="G1324" s="23"/>
      <c r="H1324" s="23"/>
      <c r="J1324" s="23"/>
      <c r="K1324" s="23"/>
      <c r="M1324" s="23"/>
      <c r="N1324" s="23"/>
      <c r="P1324" s="23"/>
    </row>
    <row r="1325" spans="2:16" x14ac:dyDescent="0.25">
      <c r="B1325" s="23"/>
      <c r="E1325" s="23"/>
      <c r="G1325" s="23"/>
      <c r="H1325" s="23"/>
      <c r="J1325" s="23"/>
      <c r="K1325" s="23"/>
      <c r="M1325" s="23"/>
      <c r="N1325" s="23"/>
      <c r="P1325" s="23"/>
    </row>
    <row r="1326" spans="2:16" x14ac:dyDescent="0.25">
      <c r="B1326" s="23"/>
      <c r="E1326" s="23"/>
      <c r="G1326" s="23"/>
      <c r="H1326" s="23"/>
      <c r="J1326" s="23"/>
      <c r="K1326" s="23"/>
      <c r="M1326" s="23"/>
      <c r="N1326" s="23"/>
      <c r="P1326" s="23"/>
    </row>
    <row r="1327" spans="2:16" x14ac:dyDescent="0.25">
      <c r="B1327" s="23"/>
      <c r="E1327" s="23"/>
      <c r="G1327" s="23"/>
      <c r="H1327" s="23"/>
      <c r="J1327" s="23"/>
      <c r="K1327" s="23"/>
      <c r="M1327" s="23"/>
      <c r="N1327" s="23"/>
      <c r="P1327" s="23"/>
    </row>
    <row r="1328" spans="2:16" x14ac:dyDescent="0.25">
      <c r="B1328" s="23"/>
      <c r="E1328" s="23"/>
      <c r="G1328" s="23"/>
      <c r="H1328" s="23"/>
      <c r="J1328" s="23"/>
      <c r="K1328" s="23"/>
      <c r="M1328" s="23"/>
      <c r="N1328" s="23"/>
      <c r="P1328" s="23"/>
    </row>
    <row r="1329" spans="2:16" x14ac:dyDescent="0.25">
      <c r="B1329" s="23"/>
      <c r="E1329" s="23"/>
      <c r="G1329" s="23"/>
      <c r="H1329" s="23"/>
      <c r="J1329" s="23"/>
      <c r="K1329" s="23"/>
      <c r="M1329" s="23"/>
      <c r="N1329" s="23"/>
      <c r="P1329" s="23"/>
    </row>
    <row r="1330" spans="2:16" x14ac:dyDescent="0.25">
      <c r="B1330" s="23"/>
      <c r="E1330" s="23"/>
      <c r="G1330" s="23"/>
      <c r="H1330" s="23"/>
      <c r="J1330" s="23"/>
      <c r="K1330" s="23"/>
      <c r="M1330" s="23"/>
      <c r="N1330" s="23"/>
      <c r="P1330" s="23"/>
    </row>
    <row r="1331" spans="2:16" x14ac:dyDescent="0.25">
      <c r="B1331" s="23"/>
      <c r="E1331" s="23"/>
      <c r="G1331" s="23"/>
      <c r="H1331" s="23"/>
      <c r="J1331" s="23"/>
      <c r="K1331" s="23"/>
      <c r="M1331" s="23"/>
      <c r="N1331" s="23"/>
      <c r="P1331" s="23"/>
    </row>
    <row r="1332" spans="2:16" x14ac:dyDescent="0.25">
      <c r="B1332" s="23"/>
      <c r="E1332" s="23"/>
      <c r="G1332" s="23"/>
      <c r="H1332" s="23"/>
      <c r="J1332" s="23"/>
      <c r="K1332" s="23"/>
      <c r="M1332" s="23"/>
      <c r="N1332" s="23"/>
      <c r="P1332" s="23"/>
    </row>
    <row r="1333" spans="2:16" x14ac:dyDescent="0.25">
      <c r="B1333" s="23"/>
      <c r="E1333" s="23"/>
      <c r="G1333" s="23"/>
      <c r="H1333" s="23"/>
      <c r="J1333" s="23"/>
      <c r="K1333" s="23"/>
      <c r="M1333" s="23"/>
      <c r="N1333" s="23"/>
      <c r="P1333" s="23"/>
    </row>
    <row r="1334" spans="2:16" x14ac:dyDescent="0.25">
      <c r="B1334" s="23"/>
      <c r="E1334" s="23"/>
      <c r="G1334" s="23"/>
      <c r="H1334" s="23"/>
      <c r="J1334" s="23"/>
      <c r="K1334" s="23"/>
      <c r="M1334" s="23"/>
      <c r="N1334" s="23"/>
      <c r="P1334" s="23"/>
    </row>
    <row r="1335" spans="2:16" x14ac:dyDescent="0.25">
      <c r="B1335" s="23"/>
      <c r="E1335" s="23"/>
      <c r="G1335" s="23"/>
      <c r="H1335" s="23"/>
      <c r="J1335" s="23"/>
      <c r="K1335" s="23"/>
      <c r="M1335" s="23"/>
      <c r="N1335" s="23"/>
      <c r="P1335" s="23"/>
    </row>
    <row r="1336" spans="2:16" x14ac:dyDescent="0.25">
      <c r="B1336" s="23"/>
      <c r="E1336" s="23"/>
      <c r="G1336" s="23"/>
      <c r="H1336" s="23"/>
      <c r="J1336" s="23"/>
      <c r="K1336" s="23"/>
      <c r="M1336" s="23"/>
      <c r="N1336" s="23"/>
      <c r="P1336" s="23"/>
    </row>
    <row r="1337" spans="2:16" x14ac:dyDescent="0.25">
      <c r="B1337" s="23"/>
      <c r="E1337" s="23"/>
      <c r="G1337" s="23"/>
      <c r="H1337" s="23"/>
      <c r="J1337" s="23"/>
      <c r="K1337" s="23"/>
      <c r="M1337" s="23"/>
      <c r="N1337" s="23"/>
      <c r="P1337" s="23"/>
    </row>
    <row r="1338" spans="2:16" x14ac:dyDescent="0.25">
      <c r="B1338" s="23"/>
      <c r="E1338" s="23"/>
      <c r="G1338" s="23"/>
      <c r="H1338" s="23"/>
      <c r="J1338" s="23"/>
      <c r="K1338" s="23"/>
      <c r="M1338" s="23"/>
      <c r="N1338" s="23"/>
      <c r="P1338" s="23"/>
    </row>
    <row r="1339" spans="2:16" x14ac:dyDescent="0.25">
      <c r="B1339" s="23"/>
      <c r="E1339" s="23"/>
      <c r="G1339" s="23"/>
      <c r="H1339" s="23"/>
      <c r="J1339" s="23"/>
      <c r="K1339" s="23"/>
      <c r="M1339" s="23"/>
      <c r="N1339" s="23"/>
      <c r="P1339" s="23"/>
    </row>
    <row r="1340" spans="2:16" x14ac:dyDescent="0.25">
      <c r="B1340" s="23"/>
      <c r="E1340" s="23"/>
      <c r="G1340" s="23"/>
      <c r="H1340" s="23"/>
      <c r="J1340" s="23"/>
      <c r="K1340" s="23"/>
      <c r="M1340" s="23"/>
      <c r="N1340" s="23"/>
      <c r="P1340" s="23"/>
    </row>
    <row r="1341" spans="2:16" x14ac:dyDescent="0.25">
      <c r="B1341" s="23"/>
      <c r="E1341" s="23"/>
      <c r="G1341" s="23"/>
      <c r="H1341" s="23"/>
      <c r="J1341" s="23"/>
      <c r="K1341" s="23"/>
      <c r="M1341" s="23"/>
      <c r="N1341" s="23"/>
      <c r="P1341" s="23"/>
    </row>
    <row r="1342" spans="2:16" x14ac:dyDescent="0.25">
      <c r="B1342" s="23"/>
      <c r="E1342" s="23"/>
      <c r="G1342" s="23"/>
      <c r="H1342" s="23"/>
      <c r="J1342" s="23"/>
      <c r="K1342" s="23"/>
      <c r="M1342" s="23"/>
      <c r="N1342" s="23"/>
      <c r="P1342" s="23"/>
    </row>
    <row r="1343" spans="2:16" x14ac:dyDescent="0.25">
      <c r="B1343" s="23"/>
      <c r="E1343" s="23"/>
      <c r="G1343" s="23"/>
      <c r="H1343" s="23"/>
      <c r="J1343" s="23"/>
      <c r="K1343" s="23"/>
      <c r="M1343" s="23"/>
      <c r="N1343" s="23"/>
      <c r="P1343" s="23"/>
    </row>
    <row r="1344" spans="2:16" x14ac:dyDescent="0.25">
      <c r="B1344" s="23"/>
      <c r="E1344" s="23"/>
      <c r="G1344" s="23"/>
      <c r="H1344" s="23"/>
      <c r="J1344" s="23"/>
      <c r="K1344" s="23"/>
      <c r="M1344" s="23"/>
      <c r="N1344" s="23"/>
      <c r="P1344" s="23"/>
    </row>
    <row r="1345" spans="2:16" x14ac:dyDescent="0.25">
      <c r="B1345" s="23"/>
      <c r="E1345" s="23"/>
      <c r="G1345" s="23"/>
      <c r="H1345" s="23"/>
      <c r="J1345" s="23"/>
      <c r="K1345" s="23"/>
      <c r="M1345" s="23"/>
      <c r="N1345" s="23"/>
      <c r="P1345" s="23"/>
    </row>
    <row r="1346" spans="2:16" x14ac:dyDescent="0.25">
      <c r="B1346" s="23"/>
      <c r="E1346" s="23"/>
      <c r="G1346" s="23"/>
      <c r="H1346" s="23"/>
      <c r="J1346" s="23"/>
      <c r="K1346" s="23"/>
      <c r="M1346" s="23"/>
      <c r="N1346" s="23"/>
      <c r="P1346" s="23"/>
    </row>
    <row r="1347" spans="2:16" x14ac:dyDescent="0.25">
      <c r="B1347" s="23"/>
      <c r="E1347" s="23"/>
      <c r="G1347" s="23"/>
      <c r="H1347" s="23"/>
      <c r="J1347" s="23"/>
      <c r="K1347" s="23"/>
      <c r="M1347" s="23"/>
      <c r="N1347" s="23"/>
      <c r="P1347" s="23"/>
    </row>
    <row r="1348" spans="2:16" x14ac:dyDescent="0.25">
      <c r="B1348" s="23"/>
      <c r="E1348" s="23"/>
      <c r="G1348" s="23"/>
      <c r="H1348" s="23"/>
      <c r="J1348" s="23"/>
      <c r="K1348" s="23"/>
      <c r="M1348" s="23"/>
      <c r="N1348" s="23"/>
      <c r="P1348" s="23"/>
    </row>
    <row r="1349" spans="2:16" x14ac:dyDescent="0.25">
      <c r="B1349" s="23"/>
      <c r="E1349" s="23"/>
      <c r="G1349" s="23"/>
      <c r="H1349" s="23"/>
      <c r="J1349" s="23"/>
      <c r="K1349" s="23"/>
      <c r="M1349" s="23"/>
      <c r="N1349" s="23"/>
      <c r="P1349" s="23"/>
    </row>
    <row r="1350" spans="2:16" x14ac:dyDescent="0.25">
      <c r="B1350" s="23"/>
      <c r="E1350" s="23"/>
      <c r="G1350" s="23"/>
      <c r="H1350" s="23"/>
      <c r="J1350" s="23"/>
      <c r="K1350" s="23"/>
      <c r="M1350" s="23"/>
      <c r="N1350" s="23"/>
      <c r="P1350" s="23"/>
    </row>
    <row r="1351" spans="2:16" x14ac:dyDescent="0.25">
      <c r="B1351" s="23"/>
      <c r="E1351" s="23"/>
      <c r="G1351" s="23"/>
      <c r="H1351" s="23"/>
      <c r="J1351" s="23"/>
      <c r="K1351" s="23"/>
      <c r="M1351" s="23"/>
      <c r="N1351" s="23"/>
      <c r="P1351" s="23"/>
    </row>
    <row r="1352" spans="2:16" x14ac:dyDescent="0.25">
      <c r="B1352" s="23"/>
      <c r="E1352" s="23"/>
      <c r="G1352" s="23"/>
      <c r="H1352" s="23"/>
      <c r="J1352" s="23"/>
      <c r="K1352" s="23"/>
      <c r="M1352" s="23"/>
      <c r="N1352" s="23"/>
      <c r="P1352" s="23"/>
    </row>
    <row r="1353" spans="2:16" x14ac:dyDescent="0.25">
      <c r="B1353" s="23"/>
      <c r="E1353" s="23"/>
      <c r="G1353" s="23"/>
      <c r="H1353" s="23"/>
      <c r="J1353" s="23"/>
      <c r="K1353" s="23"/>
      <c r="M1353" s="23"/>
      <c r="N1353" s="23"/>
      <c r="P1353" s="23"/>
    </row>
    <row r="1354" spans="2:16" x14ac:dyDescent="0.25">
      <c r="B1354" s="23"/>
      <c r="E1354" s="23"/>
      <c r="G1354" s="23"/>
      <c r="H1354" s="23"/>
      <c r="J1354" s="23"/>
      <c r="K1354" s="23"/>
      <c r="M1354" s="23"/>
      <c r="N1354" s="23"/>
      <c r="P1354" s="23"/>
    </row>
    <row r="1355" spans="2:16" x14ac:dyDescent="0.25">
      <c r="B1355" s="23"/>
      <c r="E1355" s="23"/>
      <c r="G1355" s="23"/>
      <c r="H1355" s="23"/>
      <c r="J1355" s="23"/>
      <c r="K1355" s="23"/>
      <c r="M1355" s="23"/>
      <c r="N1355" s="23"/>
      <c r="P1355" s="23"/>
    </row>
    <row r="1356" spans="2:16" x14ac:dyDescent="0.25">
      <c r="B1356" s="23"/>
      <c r="E1356" s="23"/>
      <c r="G1356" s="23"/>
      <c r="H1356" s="23"/>
      <c r="J1356" s="23"/>
      <c r="K1356" s="23"/>
      <c r="M1356" s="23"/>
      <c r="N1356" s="23"/>
      <c r="P1356" s="23"/>
    </row>
    <row r="1357" spans="2:16" x14ac:dyDescent="0.25">
      <c r="B1357" s="23"/>
      <c r="E1357" s="23"/>
      <c r="G1357" s="23"/>
      <c r="H1357" s="23"/>
      <c r="J1357" s="23"/>
      <c r="K1357" s="23"/>
      <c r="M1357" s="23"/>
      <c r="N1357" s="23"/>
      <c r="P1357" s="23"/>
    </row>
    <row r="1358" spans="2:16" x14ac:dyDescent="0.25">
      <c r="B1358" s="23"/>
      <c r="E1358" s="23"/>
      <c r="G1358" s="23"/>
      <c r="H1358" s="23"/>
      <c r="J1358" s="23"/>
      <c r="K1358" s="23"/>
      <c r="M1358" s="23"/>
      <c r="N1358" s="23"/>
      <c r="P1358" s="23"/>
    </row>
    <row r="1359" spans="2:16" x14ac:dyDescent="0.25">
      <c r="B1359" s="23"/>
      <c r="E1359" s="23"/>
      <c r="G1359" s="23"/>
      <c r="H1359" s="23"/>
      <c r="J1359" s="23"/>
      <c r="K1359" s="23"/>
      <c r="M1359" s="23"/>
      <c r="N1359" s="23"/>
      <c r="P1359" s="23"/>
    </row>
    <row r="1360" spans="2:16" x14ac:dyDescent="0.25">
      <c r="B1360" s="23"/>
      <c r="E1360" s="23"/>
      <c r="G1360" s="23"/>
      <c r="H1360" s="23"/>
      <c r="J1360" s="23"/>
      <c r="K1360" s="23"/>
      <c r="M1360" s="23"/>
      <c r="N1360" s="23"/>
      <c r="P1360" s="23"/>
    </row>
    <row r="1361" spans="2:16" x14ac:dyDescent="0.25">
      <c r="B1361" s="23"/>
      <c r="E1361" s="23"/>
      <c r="G1361" s="23"/>
      <c r="H1361" s="23"/>
      <c r="J1361" s="23"/>
      <c r="K1361" s="23"/>
      <c r="M1361" s="23"/>
      <c r="N1361" s="23"/>
      <c r="P1361" s="23"/>
    </row>
    <row r="1362" spans="2:16" x14ac:dyDescent="0.25">
      <c r="B1362" s="23"/>
      <c r="E1362" s="23"/>
      <c r="G1362" s="23"/>
      <c r="H1362" s="23"/>
      <c r="J1362" s="23"/>
      <c r="K1362" s="23"/>
      <c r="M1362" s="23"/>
      <c r="N1362" s="23"/>
      <c r="P1362" s="23"/>
    </row>
    <row r="1363" spans="2:16" x14ac:dyDescent="0.25">
      <c r="B1363" s="23"/>
      <c r="E1363" s="23"/>
      <c r="G1363" s="23"/>
      <c r="H1363" s="23"/>
      <c r="J1363" s="23"/>
      <c r="K1363" s="23"/>
      <c r="M1363" s="23"/>
      <c r="N1363" s="23"/>
      <c r="P1363" s="23"/>
    </row>
    <row r="1364" spans="2:16" x14ac:dyDescent="0.25">
      <c r="B1364" s="23"/>
      <c r="E1364" s="23"/>
      <c r="G1364" s="23"/>
      <c r="H1364" s="23"/>
      <c r="J1364" s="23"/>
      <c r="K1364" s="23"/>
      <c r="M1364" s="23"/>
      <c r="N1364" s="23"/>
      <c r="P1364" s="23"/>
    </row>
    <row r="1365" spans="2:16" x14ac:dyDescent="0.25">
      <c r="B1365" s="23"/>
      <c r="E1365" s="23"/>
      <c r="G1365" s="23"/>
      <c r="H1365" s="23"/>
      <c r="J1365" s="23"/>
      <c r="K1365" s="23"/>
      <c r="M1365" s="23"/>
      <c r="N1365" s="23"/>
      <c r="P1365" s="23"/>
    </row>
    <row r="1366" spans="2:16" x14ac:dyDescent="0.25">
      <c r="B1366" s="23"/>
      <c r="E1366" s="23"/>
      <c r="G1366" s="23"/>
      <c r="H1366" s="23"/>
      <c r="J1366" s="23"/>
      <c r="K1366" s="23"/>
      <c r="M1366" s="23"/>
      <c r="N1366" s="23"/>
      <c r="P1366" s="23"/>
    </row>
    <row r="1367" spans="2:16" x14ac:dyDescent="0.25">
      <c r="B1367" s="23"/>
      <c r="E1367" s="23"/>
      <c r="G1367" s="23"/>
      <c r="H1367" s="23"/>
      <c r="J1367" s="23"/>
      <c r="K1367" s="23"/>
      <c r="M1367" s="23"/>
      <c r="N1367" s="23"/>
      <c r="P1367" s="23"/>
    </row>
    <row r="1368" spans="2:16" x14ac:dyDescent="0.25">
      <c r="B1368" s="23"/>
      <c r="E1368" s="23"/>
      <c r="G1368" s="23"/>
      <c r="H1368" s="23"/>
      <c r="J1368" s="23"/>
      <c r="K1368" s="23"/>
      <c r="M1368" s="23"/>
      <c r="N1368" s="23"/>
      <c r="P1368" s="23"/>
    </row>
    <row r="1369" spans="2:16" x14ac:dyDescent="0.25">
      <c r="B1369" s="23"/>
      <c r="E1369" s="23"/>
      <c r="G1369" s="23"/>
      <c r="H1369" s="23"/>
      <c r="J1369" s="23"/>
      <c r="K1369" s="23"/>
      <c r="M1369" s="23"/>
      <c r="N1369" s="23"/>
      <c r="P1369" s="23"/>
    </row>
    <row r="1370" spans="2:16" x14ac:dyDescent="0.25">
      <c r="B1370" s="23"/>
      <c r="E1370" s="23"/>
      <c r="G1370" s="23"/>
      <c r="H1370" s="23"/>
      <c r="J1370" s="23"/>
      <c r="K1370" s="23"/>
      <c r="M1370" s="23"/>
      <c r="N1370" s="23"/>
      <c r="P1370" s="23"/>
    </row>
    <row r="1371" spans="2:16" x14ac:dyDescent="0.25">
      <c r="B1371" s="23"/>
      <c r="E1371" s="23"/>
      <c r="G1371" s="23"/>
      <c r="H1371" s="23"/>
      <c r="J1371" s="23"/>
      <c r="K1371" s="23"/>
      <c r="M1371" s="23"/>
      <c r="N1371" s="23"/>
      <c r="P1371" s="23"/>
    </row>
    <row r="1372" spans="2:16" x14ac:dyDescent="0.25">
      <c r="B1372" s="23"/>
      <c r="E1372" s="23"/>
      <c r="G1372" s="23"/>
      <c r="H1372" s="23"/>
      <c r="J1372" s="23"/>
      <c r="K1372" s="23"/>
      <c r="M1372" s="23"/>
      <c r="N1372" s="23"/>
      <c r="P1372" s="23"/>
    </row>
    <row r="1373" spans="2:16" x14ac:dyDescent="0.25">
      <c r="B1373" s="23"/>
      <c r="E1373" s="23"/>
      <c r="G1373" s="23"/>
      <c r="H1373" s="23"/>
      <c r="J1373" s="23"/>
      <c r="K1373" s="23"/>
      <c r="M1373" s="23"/>
      <c r="N1373" s="23"/>
      <c r="P1373" s="23"/>
    </row>
    <row r="1374" spans="2:16" x14ac:dyDescent="0.25">
      <c r="B1374" s="23"/>
      <c r="E1374" s="23"/>
      <c r="G1374" s="23"/>
      <c r="H1374" s="23"/>
      <c r="J1374" s="23"/>
      <c r="K1374" s="23"/>
      <c r="M1374" s="23"/>
      <c r="N1374" s="23"/>
      <c r="P1374" s="23"/>
    </row>
    <row r="1375" spans="2:16" x14ac:dyDescent="0.25">
      <c r="B1375" s="23"/>
      <c r="E1375" s="23"/>
      <c r="G1375" s="23"/>
      <c r="H1375" s="23"/>
      <c r="J1375" s="23"/>
      <c r="K1375" s="23"/>
      <c r="M1375" s="23"/>
      <c r="N1375" s="23"/>
      <c r="P1375" s="23"/>
    </row>
    <row r="1376" spans="2:16" x14ac:dyDescent="0.25">
      <c r="B1376" s="23"/>
      <c r="E1376" s="23"/>
      <c r="G1376" s="23"/>
      <c r="H1376" s="23"/>
      <c r="J1376" s="23"/>
      <c r="K1376" s="23"/>
      <c r="M1376" s="23"/>
      <c r="N1376" s="23"/>
      <c r="P1376" s="23"/>
    </row>
    <row r="1377" spans="2:16" x14ac:dyDescent="0.25">
      <c r="B1377" s="23"/>
      <c r="E1377" s="23"/>
      <c r="G1377" s="23"/>
      <c r="H1377" s="23"/>
      <c r="J1377" s="23"/>
      <c r="K1377" s="23"/>
      <c r="M1377" s="23"/>
      <c r="N1377" s="23"/>
      <c r="P1377" s="23"/>
    </row>
    <row r="1378" spans="2:16" x14ac:dyDescent="0.25">
      <c r="B1378" s="23"/>
      <c r="E1378" s="23"/>
      <c r="G1378" s="23"/>
      <c r="H1378" s="23"/>
      <c r="J1378" s="23"/>
      <c r="K1378" s="23"/>
      <c r="M1378" s="23"/>
      <c r="N1378" s="23"/>
      <c r="P1378" s="23"/>
    </row>
    <row r="1379" spans="2:16" x14ac:dyDescent="0.25">
      <c r="B1379" s="23"/>
      <c r="E1379" s="23"/>
      <c r="G1379" s="23"/>
      <c r="H1379" s="23"/>
      <c r="J1379" s="23"/>
      <c r="K1379" s="23"/>
      <c r="M1379" s="23"/>
      <c r="N1379" s="23"/>
      <c r="P1379" s="23"/>
    </row>
    <row r="1380" spans="2:16" x14ac:dyDescent="0.25">
      <c r="B1380" s="23"/>
      <c r="E1380" s="23"/>
      <c r="G1380" s="23"/>
      <c r="H1380" s="23"/>
      <c r="J1380" s="23"/>
      <c r="K1380" s="23"/>
      <c r="M1380" s="23"/>
      <c r="N1380" s="23"/>
      <c r="P1380" s="23"/>
    </row>
    <row r="1381" spans="2:16" x14ac:dyDescent="0.25">
      <c r="B1381" s="23"/>
      <c r="E1381" s="23"/>
      <c r="G1381" s="23"/>
      <c r="H1381" s="23"/>
      <c r="J1381" s="23"/>
      <c r="K1381" s="23"/>
      <c r="M1381" s="23"/>
      <c r="N1381" s="23"/>
      <c r="P1381" s="23"/>
    </row>
    <row r="1382" spans="2:16" x14ac:dyDescent="0.25">
      <c r="B1382" s="23"/>
      <c r="E1382" s="23"/>
      <c r="G1382" s="23"/>
      <c r="H1382" s="23"/>
      <c r="J1382" s="23"/>
      <c r="K1382" s="23"/>
      <c r="M1382" s="23"/>
      <c r="N1382" s="23"/>
      <c r="P1382" s="23"/>
    </row>
    <row r="1383" spans="2:16" x14ac:dyDescent="0.25">
      <c r="B1383" s="23"/>
      <c r="E1383" s="23"/>
      <c r="G1383" s="23"/>
      <c r="H1383" s="23"/>
      <c r="J1383" s="23"/>
      <c r="K1383" s="23"/>
      <c r="M1383" s="23"/>
      <c r="N1383" s="23"/>
      <c r="P1383" s="23"/>
    </row>
    <row r="1384" spans="2:16" x14ac:dyDescent="0.25">
      <c r="B1384" s="23"/>
      <c r="E1384" s="23"/>
      <c r="G1384" s="23"/>
      <c r="H1384" s="23"/>
      <c r="J1384" s="23"/>
      <c r="K1384" s="23"/>
      <c r="M1384" s="23"/>
      <c r="N1384" s="23"/>
      <c r="P1384" s="23"/>
    </row>
    <row r="1385" spans="2:16" x14ac:dyDescent="0.25">
      <c r="B1385" s="23"/>
      <c r="E1385" s="23"/>
      <c r="G1385" s="23"/>
      <c r="H1385" s="23"/>
      <c r="J1385" s="23"/>
      <c r="K1385" s="23"/>
      <c r="M1385" s="23"/>
      <c r="N1385" s="23"/>
      <c r="P1385" s="23"/>
    </row>
    <row r="1386" spans="2:16" x14ac:dyDescent="0.25">
      <c r="B1386" s="23"/>
      <c r="E1386" s="23"/>
      <c r="G1386" s="23"/>
      <c r="H1386" s="23"/>
      <c r="J1386" s="23"/>
      <c r="K1386" s="23"/>
      <c r="M1386" s="23"/>
      <c r="N1386" s="23"/>
      <c r="P1386" s="23"/>
    </row>
    <row r="1387" spans="2:16" x14ac:dyDescent="0.25">
      <c r="B1387" s="23"/>
      <c r="E1387" s="23"/>
      <c r="G1387" s="23"/>
      <c r="H1387" s="23"/>
      <c r="J1387" s="23"/>
      <c r="K1387" s="23"/>
      <c r="M1387" s="23"/>
      <c r="N1387" s="23"/>
      <c r="P1387" s="23"/>
    </row>
    <row r="1388" spans="2:16" x14ac:dyDescent="0.25">
      <c r="B1388" s="23"/>
      <c r="E1388" s="23"/>
      <c r="G1388" s="23"/>
      <c r="H1388" s="23"/>
      <c r="J1388" s="23"/>
      <c r="K1388" s="23"/>
      <c r="M1388" s="23"/>
      <c r="N1388" s="23"/>
      <c r="P1388" s="23"/>
    </row>
    <row r="1389" spans="2:16" x14ac:dyDescent="0.25">
      <c r="B1389" s="23"/>
      <c r="E1389" s="23"/>
      <c r="G1389" s="23"/>
      <c r="H1389" s="23"/>
      <c r="J1389" s="23"/>
      <c r="K1389" s="23"/>
      <c r="M1389" s="23"/>
      <c r="N1389" s="23"/>
      <c r="P1389" s="23"/>
    </row>
    <row r="1390" spans="2:16" x14ac:dyDescent="0.25">
      <c r="B1390" s="23"/>
      <c r="E1390" s="23"/>
      <c r="G1390" s="23"/>
      <c r="H1390" s="23"/>
      <c r="J1390" s="23"/>
      <c r="K1390" s="23"/>
      <c r="M1390" s="23"/>
      <c r="N1390" s="23"/>
      <c r="P1390" s="23"/>
    </row>
    <row r="1391" spans="2:16" x14ac:dyDescent="0.25">
      <c r="B1391" s="23"/>
      <c r="E1391" s="23"/>
      <c r="G1391" s="23"/>
      <c r="H1391" s="23"/>
      <c r="J1391" s="23"/>
      <c r="K1391" s="23"/>
      <c r="M1391" s="23"/>
      <c r="N1391" s="23"/>
      <c r="P1391" s="23"/>
    </row>
    <row r="1392" spans="2:16" x14ac:dyDescent="0.25">
      <c r="B1392" s="23"/>
      <c r="E1392" s="23"/>
      <c r="G1392" s="23"/>
      <c r="H1392" s="23"/>
      <c r="J1392" s="23"/>
      <c r="K1392" s="23"/>
      <c r="M1392" s="23"/>
      <c r="N1392" s="23"/>
      <c r="P1392" s="23"/>
    </row>
    <row r="1393" spans="2:16" x14ac:dyDescent="0.25">
      <c r="B1393" s="23"/>
      <c r="E1393" s="23"/>
      <c r="G1393" s="23"/>
      <c r="H1393" s="23"/>
      <c r="J1393" s="23"/>
      <c r="K1393" s="23"/>
      <c r="M1393" s="23"/>
      <c r="N1393" s="23"/>
      <c r="P1393" s="23"/>
    </row>
    <row r="1394" spans="2:16" x14ac:dyDescent="0.25">
      <c r="B1394" s="23"/>
      <c r="E1394" s="23"/>
      <c r="G1394" s="23"/>
      <c r="H1394" s="23"/>
      <c r="J1394" s="23"/>
      <c r="K1394" s="23"/>
      <c r="M1394" s="23"/>
      <c r="N1394" s="23"/>
      <c r="P1394" s="23"/>
    </row>
    <row r="1395" spans="2:16" x14ac:dyDescent="0.25">
      <c r="B1395" s="23"/>
      <c r="E1395" s="23"/>
      <c r="G1395" s="23"/>
      <c r="H1395" s="23"/>
      <c r="J1395" s="23"/>
      <c r="K1395" s="23"/>
      <c r="M1395" s="23"/>
      <c r="N1395" s="23"/>
      <c r="P1395" s="23"/>
    </row>
    <row r="1396" spans="2:16" x14ac:dyDescent="0.25">
      <c r="B1396" s="23"/>
      <c r="E1396" s="23"/>
      <c r="G1396" s="23"/>
      <c r="H1396" s="23"/>
      <c r="J1396" s="23"/>
      <c r="K1396" s="23"/>
      <c r="M1396" s="23"/>
      <c r="N1396" s="23"/>
      <c r="P1396" s="23"/>
    </row>
    <row r="1397" spans="2:16" x14ac:dyDescent="0.25">
      <c r="B1397" s="23"/>
      <c r="E1397" s="23"/>
      <c r="G1397" s="23"/>
      <c r="H1397" s="23"/>
      <c r="J1397" s="23"/>
      <c r="K1397" s="23"/>
      <c r="M1397" s="23"/>
      <c r="N1397" s="23"/>
      <c r="P1397" s="23"/>
    </row>
    <row r="1398" spans="2:16" x14ac:dyDescent="0.25">
      <c r="B1398" s="23"/>
      <c r="E1398" s="23"/>
      <c r="G1398" s="23"/>
      <c r="H1398" s="23"/>
      <c r="J1398" s="23"/>
      <c r="K1398" s="23"/>
      <c r="M1398" s="23"/>
      <c r="N1398" s="23"/>
      <c r="P1398" s="23"/>
    </row>
    <row r="1399" spans="2:16" x14ac:dyDescent="0.25">
      <c r="B1399" s="23"/>
      <c r="E1399" s="23"/>
      <c r="G1399" s="23"/>
      <c r="H1399" s="23"/>
      <c r="J1399" s="23"/>
      <c r="K1399" s="23"/>
      <c r="M1399" s="23"/>
      <c r="N1399" s="23"/>
      <c r="P1399" s="23"/>
    </row>
    <row r="1400" spans="2:16" x14ac:dyDescent="0.25">
      <c r="B1400" s="23"/>
      <c r="E1400" s="23"/>
      <c r="G1400" s="23"/>
      <c r="H1400" s="23"/>
      <c r="J1400" s="23"/>
      <c r="K1400" s="23"/>
      <c r="M1400" s="23"/>
      <c r="N1400" s="23"/>
      <c r="P1400" s="23"/>
    </row>
    <row r="1401" spans="2:16" x14ac:dyDescent="0.25">
      <c r="B1401" s="23"/>
      <c r="E1401" s="23"/>
      <c r="G1401" s="23"/>
      <c r="H1401" s="23"/>
      <c r="J1401" s="23"/>
      <c r="K1401" s="23"/>
      <c r="M1401" s="23"/>
      <c r="N1401" s="23"/>
      <c r="P1401" s="23"/>
    </row>
    <row r="1402" spans="2:16" x14ac:dyDescent="0.25">
      <c r="B1402" s="23"/>
      <c r="E1402" s="23"/>
      <c r="G1402" s="23"/>
      <c r="H1402" s="23"/>
      <c r="J1402" s="23"/>
      <c r="K1402" s="23"/>
      <c r="M1402" s="23"/>
      <c r="N1402" s="23"/>
      <c r="P1402" s="23"/>
    </row>
    <row r="1403" spans="2:16" x14ac:dyDescent="0.25">
      <c r="B1403" s="23"/>
      <c r="E1403" s="23"/>
      <c r="G1403" s="23"/>
      <c r="H1403" s="23"/>
      <c r="J1403" s="23"/>
      <c r="K1403" s="23"/>
      <c r="M1403" s="23"/>
      <c r="N1403" s="23"/>
      <c r="P1403" s="23"/>
    </row>
    <row r="1404" spans="2:16" x14ac:dyDescent="0.25">
      <c r="B1404" s="23"/>
      <c r="E1404" s="23"/>
      <c r="G1404" s="23"/>
      <c r="H1404" s="23"/>
      <c r="J1404" s="23"/>
      <c r="K1404" s="23"/>
      <c r="M1404" s="23"/>
      <c r="N1404" s="23"/>
      <c r="P1404" s="23"/>
    </row>
    <row r="1405" spans="2:16" x14ac:dyDescent="0.25">
      <c r="B1405" s="23"/>
      <c r="E1405" s="23"/>
      <c r="G1405" s="23"/>
      <c r="H1405" s="23"/>
      <c r="J1405" s="23"/>
      <c r="K1405" s="23"/>
      <c r="M1405" s="23"/>
      <c r="N1405" s="23"/>
      <c r="P1405" s="23"/>
    </row>
    <row r="1406" spans="2:16" x14ac:dyDescent="0.25">
      <c r="B1406" s="23"/>
      <c r="E1406" s="23"/>
      <c r="G1406" s="23"/>
      <c r="H1406" s="23"/>
      <c r="J1406" s="23"/>
      <c r="K1406" s="23"/>
      <c r="M1406" s="23"/>
      <c r="N1406" s="23"/>
      <c r="P1406" s="23"/>
    </row>
    <row r="1407" spans="2:16" x14ac:dyDescent="0.25">
      <c r="B1407" s="23"/>
      <c r="E1407" s="23"/>
      <c r="G1407" s="23"/>
      <c r="H1407" s="23"/>
      <c r="J1407" s="23"/>
      <c r="K1407" s="23"/>
      <c r="M1407" s="23"/>
      <c r="N1407" s="23"/>
      <c r="P1407" s="23"/>
    </row>
    <row r="1408" spans="2:16" x14ac:dyDescent="0.25">
      <c r="B1408" s="23"/>
      <c r="E1408" s="23"/>
      <c r="G1408" s="23"/>
      <c r="H1408" s="23"/>
      <c r="J1408" s="23"/>
      <c r="K1408" s="23"/>
      <c r="M1408" s="23"/>
      <c r="N1408" s="23"/>
      <c r="P1408" s="23"/>
    </row>
    <row r="1409" spans="2:16" x14ac:dyDescent="0.25">
      <c r="B1409" s="23"/>
      <c r="E1409" s="23"/>
      <c r="G1409" s="23"/>
      <c r="H1409" s="23"/>
      <c r="J1409" s="23"/>
      <c r="K1409" s="23"/>
      <c r="M1409" s="23"/>
      <c r="N1409" s="23"/>
      <c r="P1409" s="23"/>
    </row>
    <row r="1410" spans="2:16" x14ac:dyDescent="0.25">
      <c r="B1410" s="23"/>
      <c r="E1410" s="23"/>
      <c r="G1410" s="23"/>
      <c r="H1410" s="23"/>
      <c r="J1410" s="23"/>
      <c r="K1410" s="23"/>
      <c r="M1410" s="23"/>
      <c r="N1410" s="23"/>
      <c r="P1410" s="23"/>
    </row>
    <row r="1411" spans="2:16" x14ac:dyDescent="0.25">
      <c r="B1411" s="23"/>
      <c r="E1411" s="23"/>
      <c r="G1411" s="23"/>
      <c r="H1411" s="23"/>
      <c r="J1411" s="23"/>
      <c r="K1411" s="23"/>
      <c r="M1411" s="23"/>
      <c r="N1411" s="23"/>
      <c r="P1411" s="23"/>
    </row>
    <row r="1412" spans="2:16" x14ac:dyDescent="0.25">
      <c r="B1412" s="23"/>
      <c r="E1412" s="23"/>
      <c r="G1412" s="23"/>
      <c r="H1412" s="23"/>
      <c r="J1412" s="23"/>
      <c r="K1412" s="23"/>
      <c r="M1412" s="23"/>
      <c r="N1412" s="23"/>
      <c r="P1412" s="23"/>
    </row>
    <row r="1413" spans="2:16" x14ac:dyDescent="0.25">
      <c r="B1413" s="23"/>
      <c r="E1413" s="23"/>
      <c r="G1413" s="23"/>
      <c r="H1413" s="23"/>
      <c r="J1413" s="23"/>
      <c r="K1413" s="23"/>
      <c r="M1413" s="23"/>
      <c r="N1413" s="23"/>
      <c r="P1413" s="23"/>
    </row>
    <row r="1414" spans="2:16" x14ac:dyDescent="0.25">
      <c r="B1414" s="23"/>
      <c r="E1414" s="23"/>
      <c r="G1414" s="23"/>
      <c r="H1414" s="23"/>
      <c r="J1414" s="23"/>
      <c r="K1414" s="23"/>
      <c r="M1414" s="23"/>
      <c r="N1414" s="23"/>
      <c r="P1414" s="23"/>
    </row>
    <row r="1415" spans="2:16" x14ac:dyDescent="0.25">
      <c r="B1415" s="23"/>
      <c r="E1415" s="23"/>
      <c r="G1415" s="23"/>
      <c r="H1415" s="23"/>
      <c r="J1415" s="23"/>
      <c r="K1415" s="23"/>
      <c r="M1415" s="23"/>
      <c r="N1415" s="23"/>
      <c r="P1415" s="23"/>
    </row>
    <row r="1416" spans="2:16" x14ac:dyDescent="0.25">
      <c r="B1416" s="23"/>
      <c r="E1416" s="23"/>
      <c r="G1416" s="23"/>
      <c r="H1416" s="23"/>
      <c r="J1416" s="23"/>
      <c r="K1416" s="23"/>
      <c r="M1416" s="23"/>
      <c r="N1416" s="23"/>
      <c r="P1416" s="23"/>
    </row>
    <row r="1417" spans="2:16" x14ac:dyDescent="0.25">
      <c r="B1417" s="23"/>
      <c r="E1417" s="23"/>
      <c r="G1417" s="23"/>
      <c r="H1417" s="23"/>
      <c r="J1417" s="23"/>
      <c r="K1417" s="23"/>
      <c r="M1417" s="23"/>
      <c r="N1417" s="23"/>
      <c r="P1417" s="23"/>
    </row>
    <row r="1418" spans="2:16" x14ac:dyDescent="0.25">
      <c r="B1418" s="23"/>
      <c r="E1418" s="23"/>
      <c r="G1418" s="23"/>
      <c r="H1418" s="23"/>
      <c r="J1418" s="23"/>
      <c r="K1418" s="23"/>
      <c r="M1418" s="23"/>
      <c r="N1418" s="23"/>
      <c r="P1418" s="23"/>
    </row>
    <row r="1419" spans="2:16" x14ac:dyDescent="0.25">
      <c r="B1419" s="23"/>
      <c r="E1419" s="23"/>
      <c r="G1419" s="23"/>
      <c r="H1419" s="23"/>
      <c r="J1419" s="23"/>
      <c r="K1419" s="23"/>
      <c r="M1419" s="23"/>
      <c r="N1419" s="23"/>
      <c r="P1419" s="23"/>
    </row>
    <row r="1420" spans="2:16" x14ac:dyDescent="0.25">
      <c r="B1420" s="23"/>
      <c r="E1420" s="23"/>
      <c r="G1420" s="23"/>
      <c r="H1420" s="23"/>
      <c r="J1420" s="23"/>
      <c r="K1420" s="23"/>
      <c r="M1420" s="23"/>
      <c r="N1420" s="23"/>
      <c r="P1420" s="23"/>
    </row>
    <row r="1421" spans="2:16" x14ac:dyDescent="0.25">
      <c r="B1421" s="23"/>
      <c r="E1421" s="23"/>
      <c r="G1421" s="23"/>
      <c r="H1421" s="23"/>
      <c r="J1421" s="23"/>
      <c r="K1421" s="23"/>
      <c r="M1421" s="23"/>
      <c r="N1421" s="23"/>
      <c r="P1421" s="23"/>
    </row>
    <row r="1422" spans="2:16" x14ac:dyDescent="0.25">
      <c r="B1422" s="23"/>
      <c r="E1422" s="23"/>
      <c r="G1422" s="23"/>
      <c r="H1422" s="23"/>
      <c r="J1422" s="23"/>
      <c r="K1422" s="23"/>
      <c r="M1422" s="23"/>
      <c r="N1422" s="23"/>
      <c r="P1422" s="23"/>
    </row>
    <row r="1423" spans="2:16" x14ac:dyDescent="0.25">
      <c r="B1423" s="23"/>
      <c r="E1423" s="23"/>
      <c r="G1423" s="23"/>
      <c r="H1423" s="23"/>
      <c r="J1423" s="23"/>
      <c r="K1423" s="23"/>
      <c r="M1423" s="23"/>
      <c r="N1423" s="23"/>
      <c r="P1423" s="23"/>
    </row>
    <row r="1424" spans="2:16" x14ac:dyDescent="0.25">
      <c r="B1424" s="23"/>
      <c r="E1424" s="23"/>
      <c r="G1424" s="23"/>
      <c r="H1424" s="23"/>
      <c r="J1424" s="23"/>
      <c r="K1424" s="23"/>
      <c r="M1424" s="23"/>
      <c r="N1424" s="23"/>
      <c r="P1424" s="23"/>
    </row>
    <row r="1425" spans="2:16" x14ac:dyDescent="0.25">
      <c r="B1425" s="23"/>
      <c r="E1425" s="23"/>
      <c r="G1425" s="23"/>
      <c r="H1425" s="23"/>
      <c r="J1425" s="23"/>
      <c r="K1425" s="23"/>
      <c r="M1425" s="23"/>
      <c r="N1425" s="23"/>
      <c r="P1425" s="23"/>
    </row>
    <row r="1426" spans="2:16" x14ac:dyDescent="0.25">
      <c r="B1426" s="23"/>
      <c r="E1426" s="23"/>
      <c r="G1426" s="23"/>
      <c r="H1426" s="23"/>
      <c r="J1426" s="23"/>
      <c r="K1426" s="23"/>
      <c r="M1426" s="23"/>
      <c r="N1426" s="23"/>
      <c r="P1426" s="23"/>
    </row>
    <row r="1427" spans="2:16" x14ac:dyDescent="0.25">
      <c r="B1427" s="23"/>
      <c r="E1427" s="23"/>
      <c r="G1427" s="23"/>
      <c r="H1427" s="23"/>
      <c r="J1427" s="23"/>
      <c r="K1427" s="23"/>
      <c r="M1427" s="23"/>
      <c r="N1427" s="23"/>
      <c r="P1427" s="23"/>
    </row>
    <row r="1428" spans="2:16" x14ac:dyDescent="0.25">
      <c r="B1428" s="23"/>
      <c r="E1428" s="23"/>
      <c r="G1428" s="23"/>
      <c r="H1428" s="23"/>
      <c r="J1428" s="23"/>
      <c r="K1428" s="23"/>
      <c r="M1428" s="23"/>
      <c r="N1428" s="23"/>
      <c r="P1428" s="23"/>
    </row>
    <row r="1429" spans="2:16" x14ac:dyDescent="0.25">
      <c r="B1429" s="23"/>
      <c r="E1429" s="23"/>
      <c r="G1429" s="23"/>
      <c r="H1429" s="23"/>
      <c r="J1429" s="23"/>
      <c r="K1429" s="23"/>
      <c r="M1429" s="23"/>
      <c r="N1429" s="23"/>
      <c r="P1429" s="23"/>
    </row>
    <row r="1430" spans="2:16" x14ac:dyDescent="0.25">
      <c r="B1430" s="23"/>
      <c r="E1430" s="23"/>
      <c r="G1430" s="23"/>
      <c r="H1430" s="23"/>
      <c r="J1430" s="23"/>
      <c r="K1430" s="23"/>
      <c r="M1430" s="23"/>
      <c r="N1430" s="23"/>
      <c r="P1430" s="23"/>
    </row>
    <row r="1431" spans="2:16" x14ac:dyDescent="0.25">
      <c r="B1431" s="23"/>
      <c r="E1431" s="23"/>
      <c r="G1431" s="23"/>
      <c r="H1431" s="23"/>
      <c r="J1431" s="23"/>
      <c r="K1431" s="23"/>
      <c r="M1431" s="23"/>
      <c r="N1431" s="23"/>
      <c r="P1431" s="23"/>
    </row>
    <row r="1432" spans="2:16" x14ac:dyDescent="0.25">
      <c r="B1432" s="23"/>
      <c r="E1432" s="23"/>
      <c r="G1432" s="23"/>
      <c r="H1432" s="23"/>
      <c r="J1432" s="23"/>
      <c r="K1432" s="23"/>
      <c r="M1432" s="23"/>
      <c r="N1432" s="23"/>
      <c r="P1432" s="23"/>
    </row>
    <row r="1433" spans="2:16" x14ac:dyDescent="0.25">
      <c r="B1433" s="23"/>
      <c r="E1433" s="23"/>
      <c r="G1433" s="23"/>
      <c r="H1433" s="23"/>
      <c r="J1433" s="23"/>
      <c r="K1433" s="23"/>
      <c r="M1433" s="23"/>
      <c r="N1433" s="23"/>
      <c r="P1433" s="23"/>
    </row>
    <row r="1434" spans="2:16" x14ac:dyDescent="0.25">
      <c r="B1434" s="23"/>
      <c r="E1434" s="23"/>
      <c r="G1434" s="23"/>
      <c r="H1434" s="23"/>
      <c r="J1434" s="23"/>
      <c r="K1434" s="23"/>
      <c r="M1434" s="23"/>
      <c r="N1434" s="23"/>
      <c r="P1434" s="23"/>
    </row>
    <row r="1435" spans="2:16" x14ac:dyDescent="0.25">
      <c r="B1435" s="23"/>
      <c r="E1435" s="23"/>
      <c r="G1435" s="23"/>
      <c r="H1435" s="23"/>
      <c r="J1435" s="23"/>
      <c r="K1435" s="23"/>
      <c r="M1435" s="23"/>
      <c r="N1435" s="23"/>
      <c r="P1435" s="23"/>
    </row>
    <row r="1436" spans="2:16" x14ac:dyDescent="0.25">
      <c r="B1436" s="23"/>
      <c r="E1436" s="23"/>
      <c r="G1436" s="23"/>
      <c r="H1436" s="23"/>
      <c r="J1436" s="23"/>
      <c r="K1436" s="23"/>
      <c r="M1436" s="23"/>
      <c r="N1436" s="23"/>
      <c r="P1436" s="23"/>
    </row>
    <row r="1437" spans="2:16" x14ac:dyDescent="0.25">
      <c r="B1437" s="23"/>
      <c r="E1437" s="23"/>
      <c r="G1437" s="23"/>
      <c r="H1437" s="23"/>
      <c r="J1437" s="23"/>
      <c r="K1437" s="23"/>
      <c r="M1437" s="23"/>
      <c r="N1437" s="23"/>
      <c r="P1437" s="23"/>
    </row>
    <row r="1438" spans="2:16" x14ac:dyDescent="0.25">
      <c r="B1438" s="23"/>
      <c r="E1438" s="23"/>
      <c r="G1438" s="23"/>
      <c r="H1438" s="23"/>
      <c r="J1438" s="23"/>
      <c r="K1438" s="23"/>
      <c r="M1438" s="23"/>
      <c r="N1438" s="23"/>
      <c r="P1438" s="23"/>
    </row>
    <row r="1439" spans="2:16" x14ac:dyDescent="0.25">
      <c r="B1439" s="23"/>
      <c r="E1439" s="23"/>
      <c r="G1439" s="23"/>
      <c r="H1439" s="23"/>
      <c r="J1439" s="23"/>
      <c r="K1439" s="23"/>
      <c r="M1439" s="23"/>
      <c r="N1439" s="23"/>
      <c r="P1439" s="23"/>
    </row>
    <row r="1440" spans="2:16" x14ac:dyDescent="0.25">
      <c r="B1440" s="23"/>
      <c r="E1440" s="23"/>
      <c r="G1440" s="23"/>
      <c r="H1440" s="23"/>
      <c r="J1440" s="23"/>
      <c r="K1440" s="23"/>
      <c r="M1440" s="23"/>
      <c r="N1440" s="23"/>
      <c r="P1440" s="23"/>
    </row>
    <row r="1441" spans="2:16" x14ac:dyDescent="0.25">
      <c r="B1441" s="23"/>
      <c r="E1441" s="23"/>
      <c r="G1441" s="23"/>
      <c r="H1441" s="23"/>
      <c r="J1441" s="23"/>
      <c r="K1441" s="23"/>
      <c r="M1441" s="23"/>
      <c r="N1441" s="23"/>
      <c r="P1441" s="23"/>
    </row>
    <row r="1442" spans="2:16" x14ac:dyDescent="0.25">
      <c r="B1442" s="23"/>
      <c r="E1442" s="23"/>
      <c r="G1442" s="23"/>
      <c r="H1442" s="23"/>
      <c r="J1442" s="23"/>
      <c r="K1442" s="23"/>
      <c r="M1442" s="23"/>
      <c r="N1442" s="23"/>
      <c r="P1442" s="23"/>
    </row>
    <row r="1443" spans="2:16" x14ac:dyDescent="0.25">
      <c r="B1443" s="23"/>
      <c r="E1443" s="23"/>
      <c r="G1443" s="23"/>
      <c r="H1443" s="23"/>
      <c r="J1443" s="23"/>
      <c r="K1443" s="23"/>
      <c r="M1443" s="23"/>
      <c r="N1443" s="23"/>
      <c r="P1443" s="23"/>
    </row>
    <row r="1444" spans="2:16" x14ac:dyDescent="0.25">
      <c r="B1444" s="23"/>
      <c r="E1444" s="23"/>
      <c r="G1444" s="23"/>
      <c r="H1444" s="23"/>
      <c r="J1444" s="23"/>
      <c r="K1444" s="23"/>
      <c r="M1444" s="23"/>
      <c r="N1444" s="23"/>
      <c r="P1444" s="23"/>
    </row>
    <row r="1445" spans="2:16" x14ac:dyDescent="0.25">
      <c r="B1445" s="23"/>
      <c r="E1445" s="23"/>
      <c r="G1445" s="23"/>
      <c r="H1445" s="23"/>
      <c r="J1445" s="23"/>
      <c r="K1445" s="23"/>
      <c r="M1445" s="23"/>
      <c r="N1445" s="23"/>
      <c r="P1445" s="23"/>
    </row>
    <row r="1446" spans="2:16" x14ac:dyDescent="0.25">
      <c r="B1446" s="23"/>
      <c r="E1446" s="23"/>
      <c r="G1446" s="23"/>
      <c r="H1446" s="23"/>
      <c r="J1446" s="23"/>
      <c r="K1446" s="23"/>
      <c r="M1446" s="23"/>
      <c r="N1446" s="23"/>
      <c r="P1446" s="23"/>
    </row>
    <row r="1447" spans="2:16" x14ac:dyDescent="0.25">
      <c r="B1447" s="23"/>
      <c r="E1447" s="23"/>
      <c r="G1447" s="23"/>
      <c r="H1447" s="23"/>
      <c r="J1447" s="23"/>
      <c r="K1447" s="23"/>
      <c r="M1447" s="23"/>
      <c r="N1447" s="23"/>
      <c r="P1447" s="23"/>
    </row>
    <row r="1448" spans="2:16" x14ac:dyDescent="0.25">
      <c r="B1448" s="23"/>
      <c r="E1448" s="23"/>
      <c r="G1448" s="23"/>
      <c r="H1448" s="23"/>
      <c r="J1448" s="23"/>
      <c r="K1448" s="23"/>
      <c r="M1448" s="23"/>
      <c r="N1448" s="23"/>
      <c r="P1448" s="23"/>
    </row>
    <row r="1449" spans="2:16" x14ac:dyDescent="0.25">
      <c r="B1449" s="23"/>
      <c r="E1449" s="23"/>
      <c r="G1449" s="23"/>
      <c r="H1449" s="23"/>
      <c r="J1449" s="23"/>
      <c r="K1449" s="23"/>
      <c r="M1449" s="23"/>
      <c r="N1449" s="23"/>
      <c r="P1449" s="23"/>
    </row>
    <row r="1450" spans="2:16" x14ac:dyDescent="0.25">
      <c r="B1450" s="23"/>
      <c r="E1450" s="23"/>
      <c r="G1450" s="23"/>
      <c r="H1450" s="23"/>
      <c r="J1450" s="23"/>
      <c r="K1450" s="23"/>
      <c r="M1450" s="23"/>
      <c r="N1450" s="23"/>
      <c r="P1450" s="23"/>
    </row>
    <row r="1451" spans="2:16" x14ac:dyDescent="0.25">
      <c r="B1451" s="23"/>
      <c r="E1451" s="23"/>
      <c r="G1451" s="23"/>
      <c r="H1451" s="23"/>
      <c r="J1451" s="23"/>
      <c r="K1451" s="23"/>
      <c r="M1451" s="23"/>
      <c r="N1451" s="23"/>
      <c r="P1451" s="23"/>
    </row>
    <row r="1452" spans="2:16" x14ac:dyDescent="0.25">
      <c r="B1452" s="23"/>
      <c r="E1452" s="23"/>
      <c r="G1452" s="23"/>
      <c r="H1452" s="23"/>
      <c r="J1452" s="23"/>
      <c r="K1452" s="23"/>
      <c r="M1452" s="23"/>
      <c r="N1452" s="23"/>
      <c r="P1452" s="23"/>
    </row>
    <row r="1453" spans="2:16" x14ac:dyDescent="0.25">
      <c r="B1453" s="23"/>
      <c r="E1453" s="23"/>
      <c r="G1453" s="23"/>
      <c r="H1453" s="23"/>
      <c r="J1453" s="23"/>
      <c r="K1453" s="23"/>
      <c r="M1453" s="23"/>
      <c r="N1453" s="23"/>
      <c r="P1453" s="23"/>
    </row>
    <row r="1454" spans="2:16" x14ac:dyDescent="0.25">
      <c r="B1454" s="23"/>
      <c r="E1454" s="23"/>
      <c r="G1454" s="23"/>
      <c r="H1454" s="23"/>
      <c r="J1454" s="23"/>
      <c r="K1454" s="23"/>
      <c r="M1454" s="23"/>
      <c r="N1454" s="23"/>
      <c r="P1454" s="23"/>
    </row>
    <row r="1455" spans="2:16" x14ac:dyDescent="0.25">
      <c r="B1455" s="23"/>
      <c r="E1455" s="23"/>
      <c r="G1455" s="23"/>
      <c r="H1455" s="23"/>
      <c r="J1455" s="23"/>
      <c r="K1455" s="23"/>
      <c r="M1455" s="23"/>
      <c r="N1455" s="23"/>
      <c r="P1455" s="23"/>
    </row>
    <row r="1456" spans="2:16" x14ac:dyDescent="0.25">
      <c r="B1456" s="23"/>
      <c r="E1456" s="23"/>
      <c r="G1456" s="23"/>
      <c r="H1456" s="23"/>
      <c r="J1456" s="23"/>
      <c r="K1456" s="23"/>
      <c r="M1456" s="23"/>
      <c r="N1456" s="23"/>
      <c r="P1456" s="23"/>
    </row>
    <row r="1457" spans="2:16" x14ac:dyDescent="0.25">
      <c r="B1457" s="23"/>
      <c r="E1457" s="23"/>
      <c r="G1457" s="23"/>
      <c r="H1457" s="23"/>
      <c r="J1457" s="23"/>
      <c r="K1457" s="23"/>
      <c r="M1457" s="23"/>
      <c r="N1457" s="23"/>
      <c r="P1457" s="23"/>
    </row>
    <row r="1458" spans="2:16" x14ac:dyDescent="0.25">
      <c r="B1458" s="23"/>
      <c r="E1458" s="23"/>
      <c r="G1458" s="23"/>
      <c r="H1458" s="23"/>
      <c r="J1458" s="23"/>
      <c r="K1458" s="23"/>
      <c r="M1458" s="23"/>
      <c r="N1458" s="23"/>
      <c r="P1458" s="23"/>
    </row>
    <row r="1459" spans="2:16" x14ac:dyDescent="0.25">
      <c r="B1459" s="23"/>
      <c r="E1459" s="23"/>
      <c r="G1459" s="23"/>
      <c r="H1459" s="23"/>
      <c r="J1459" s="23"/>
      <c r="K1459" s="23"/>
      <c r="M1459" s="23"/>
      <c r="N1459" s="23"/>
      <c r="P1459" s="23"/>
    </row>
    <row r="1460" spans="2:16" x14ac:dyDescent="0.25">
      <c r="B1460" s="23"/>
      <c r="E1460" s="23"/>
      <c r="G1460" s="23"/>
      <c r="H1460" s="23"/>
      <c r="J1460" s="23"/>
      <c r="K1460" s="23"/>
      <c r="M1460" s="23"/>
      <c r="N1460" s="23"/>
      <c r="P1460" s="23"/>
    </row>
    <row r="1461" spans="2:16" x14ac:dyDescent="0.25">
      <c r="B1461" s="23"/>
      <c r="E1461" s="23"/>
      <c r="G1461" s="23"/>
      <c r="H1461" s="23"/>
      <c r="J1461" s="23"/>
      <c r="K1461" s="23"/>
      <c r="M1461" s="23"/>
      <c r="N1461" s="23"/>
      <c r="P1461" s="23"/>
    </row>
    <row r="1462" spans="2:16" x14ac:dyDescent="0.25">
      <c r="B1462" s="23"/>
      <c r="E1462" s="23"/>
      <c r="G1462" s="23"/>
      <c r="H1462" s="23"/>
      <c r="J1462" s="23"/>
      <c r="K1462" s="23"/>
      <c r="M1462" s="23"/>
      <c r="N1462" s="23"/>
      <c r="P1462" s="23"/>
    </row>
    <row r="1463" spans="2:16" x14ac:dyDescent="0.25">
      <c r="B1463" s="23"/>
      <c r="E1463" s="23"/>
      <c r="G1463" s="23"/>
      <c r="H1463" s="23"/>
      <c r="J1463" s="23"/>
      <c r="K1463" s="23"/>
      <c r="M1463" s="23"/>
      <c r="N1463" s="23"/>
      <c r="P1463" s="23"/>
    </row>
    <row r="1464" spans="2:16" x14ac:dyDescent="0.25">
      <c r="B1464" s="23"/>
      <c r="E1464" s="23"/>
      <c r="G1464" s="23"/>
      <c r="H1464" s="23"/>
      <c r="J1464" s="23"/>
      <c r="K1464" s="23"/>
      <c r="M1464" s="23"/>
      <c r="N1464" s="23"/>
      <c r="P1464" s="23"/>
    </row>
    <row r="1465" spans="2:16" x14ac:dyDescent="0.25">
      <c r="B1465" s="23"/>
      <c r="E1465" s="23"/>
      <c r="G1465" s="23"/>
      <c r="H1465" s="23"/>
      <c r="J1465" s="23"/>
      <c r="K1465" s="23"/>
      <c r="M1465" s="23"/>
      <c r="N1465" s="23"/>
      <c r="P1465" s="23"/>
    </row>
    <row r="1466" spans="2:16" x14ac:dyDescent="0.25">
      <c r="B1466" s="23"/>
      <c r="E1466" s="23"/>
      <c r="G1466" s="23"/>
      <c r="H1466" s="23"/>
      <c r="J1466" s="23"/>
      <c r="K1466" s="23"/>
      <c r="M1466" s="23"/>
      <c r="N1466" s="23"/>
      <c r="P1466" s="23"/>
    </row>
    <row r="1467" spans="2:16" x14ac:dyDescent="0.25">
      <c r="B1467" s="23"/>
      <c r="E1467" s="23"/>
      <c r="G1467" s="23"/>
      <c r="H1467" s="23"/>
      <c r="J1467" s="23"/>
      <c r="K1467" s="23"/>
      <c r="M1467" s="23"/>
      <c r="N1467" s="23"/>
      <c r="P1467" s="23"/>
    </row>
    <row r="1468" spans="2:16" x14ac:dyDescent="0.25">
      <c r="B1468" s="23"/>
      <c r="E1468" s="23"/>
      <c r="G1468" s="23"/>
      <c r="H1468" s="23"/>
      <c r="J1468" s="23"/>
      <c r="K1468" s="23"/>
      <c r="M1468" s="23"/>
      <c r="N1468" s="23"/>
      <c r="P1468" s="23"/>
    </row>
    <row r="1469" spans="2:16" x14ac:dyDescent="0.25">
      <c r="B1469" s="23"/>
      <c r="E1469" s="23"/>
      <c r="G1469" s="23"/>
      <c r="H1469" s="23"/>
      <c r="J1469" s="23"/>
      <c r="K1469" s="23"/>
      <c r="M1469" s="23"/>
      <c r="N1469" s="23"/>
      <c r="P1469" s="23"/>
    </row>
    <row r="1470" spans="2:16" x14ac:dyDescent="0.25">
      <c r="B1470" s="23"/>
      <c r="E1470" s="23"/>
      <c r="G1470" s="23"/>
      <c r="H1470" s="23"/>
      <c r="J1470" s="23"/>
      <c r="K1470" s="23"/>
      <c r="M1470" s="23"/>
      <c r="N1470" s="23"/>
      <c r="P1470" s="23"/>
    </row>
    <row r="1471" spans="2:16" x14ac:dyDescent="0.25">
      <c r="B1471" s="23"/>
      <c r="E1471" s="23"/>
      <c r="G1471" s="23"/>
      <c r="H1471" s="23"/>
      <c r="J1471" s="23"/>
      <c r="K1471" s="23"/>
      <c r="M1471" s="23"/>
      <c r="N1471" s="23"/>
      <c r="P1471" s="23"/>
    </row>
    <row r="1472" spans="2:16" x14ac:dyDescent="0.25">
      <c r="B1472" s="23"/>
      <c r="E1472" s="23"/>
      <c r="G1472" s="23"/>
      <c r="H1472" s="23"/>
      <c r="J1472" s="23"/>
      <c r="K1472" s="23"/>
      <c r="M1472" s="23"/>
      <c r="N1472" s="23"/>
      <c r="P1472" s="23"/>
    </row>
    <row r="1473" spans="2:16" x14ac:dyDescent="0.25">
      <c r="B1473" s="23"/>
      <c r="E1473" s="23"/>
      <c r="G1473" s="23"/>
      <c r="H1473" s="23"/>
      <c r="J1473" s="23"/>
      <c r="K1473" s="23"/>
      <c r="M1473" s="23"/>
      <c r="N1473" s="23"/>
      <c r="P1473" s="23"/>
    </row>
    <row r="1474" spans="2:16" x14ac:dyDescent="0.25">
      <c r="B1474" s="23"/>
      <c r="E1474" s="23"/>
      <c r="G1474" s="23"/>
      <c r="H1474" s="23"/>
      <c r="J1474" s="23"/>
      <c r="K1474" s="23"/>
      <c r="M1474" s="23"/>
      <c r="N1474" s="23"/>
      <c r="P1474" s="23"/>
    </row>
    <row r="1475" spans="2:16" x14ac:dyDescent="0.25">
      <c r="B1475" s="23"/>
      <c r="E1475" s="23"/>
      <c r="G1475" s="23"/>
      <c r="H1475" s="23"/>
      <c r="J1475" s="23"/>
      <c r="K1475" s="23"/>
      <c r="M1475" s="23"/>
      <c r="N1475" s="23"/>
      <c r="P1475" s="23"/>
    </row>
    <row r="1476" spans="2:16" x14ac:dyDescent="0.25">
      <c r="B1476" s="23"/>
      <c r="E1476" s="23"/>
      <c r="G1476" s="23"/>
      <c r="H1476" s="23"/>
      <c r="J1476" s="23"/>
      <c r="K1476" s="23"/>
      <c r="M1476" s="23"/>
      <c r="N1476" s="23"/>
      <c r="P1476" s="23"/>
    </row>
    <row r="1477" spans="2:16" x14ac:dyDescent="0.25">
      <c r="B1477" s="23"/>
      <c r="E1477" s="23"/>
      <c r="G1477" s="23"/>
      <c r="H1477" s="23"/>
      <c r="J1477" s="23"/>
      <c r="K1477" s="23"/>
      <c r="M1477" s="23"/>
      <c r="N1477" s="23"/>
      <c r="P1477" s="23"/>
    </row>
    <row r="1478" spans="2:16" x14ac:dyDescent="0.25">
      <c r="B1478" s="23"/>
      <c r="E1478" s="23"/>
      <c r="G1478" s="23"/>
      <c r="H1478" s="23"/>
      <c r="J1478" s="23"/>
      <c r="K1478" s="23"/>
      <c r="M1478" s="23"/>
      <c r="N1478" s="23"/>
      <c r="P1478" s="23"/>
    </row>
    <row r="1479" spans="2:16" x14ac:dyDescent="0.25">
      <c r="B1479" s="23"/>
      <c r="E1479" s="23"/>
      <c r="G1479" s="23"/>
      <c r="H1479" s="23"/>
      <c r="J1479" s="23"/>
      <c r="K1479" s="23"/>
      <c r="M1479" s="23"/>
      <c r="N1479" s="23"/>
      <c r="P1479" s="23"/>
    </row>
    <row r="1480" spans="2:16" x14ac:dyDescent="0.25">
      <c r="B1480" s="23"/>
      <c r="E1480" s="23"/>
      <c r="G1480" s="23"/>
      <c r="H1480" s="23"/>
      <c r="J1480" s="23"/>
      <c r="K1480" s="23"/>
      <c r="M1480" s="23"/>
      <c r="N1480" s="23"/>
      <c r="P1480" s="23"/>
    </row>
    <row r="1481" spans="2:16" x14ac:dyDescent="0.25">
      <c r="B1481" s="23"/>
      <c r="E1481" s="23"/>
      <c r="G1481" s="23"/>
      <c r="H1481" s="23"/>
      <c r="J1481" s="23"/>
      <c r="K1481" s="23"/>
      <c r="M1481" s="23"/>
      <c r="N1481" s="23"/>
      <c r="P1481" s="23"/>
    </row>
    <row r="1482" spans="2:16" x14ac:dyDescent="0.25">
      <c r="B1482" s="23"/>
      <c r="E1482" s="23"/>
      <c r="G1482" s="23"/>
      <c r="H1482" s="23"/>
      <c r="J1482" s="23"/>
      <c r="K1482" s="23"/>
      <c r="M1482" s="23"/>
      <c r="N1482" s="23"/>
      <c r="P1482" s="23"/>
    </row>
    <row r="1483" spans="2:16" x14ac:dyDescent="0.25">
      <c r="B1483" s="23"/>
      <c r="E1483" s="23"/>
      <c r="G1483" s="23"/>
      <c r="H1483" s="23"/>
      <c r="J1483" s="23"/>
      <c r="K1483" s="23"/>
      <c r="M1483" s="23"/>
      <c r="N1483" s="23"/>
      <c r="P1483" s="23"/>
    </row>
    <row r="1484" spans="2:16" x14ac:dyDescent="0.25">
      <c r="B1484" s="23"/>
      <c r="E1484" s="23"/>
      <c r="G1484" s="23"/>
      <c r="H1484" s="23"/>
      <c r="J1484" s="23"/>
      <c r="K1484" s="23"/>
      <c r="M1484" s="23"/>
      <c r="N1484" s="23"/>
      <c r="P1484" s="23"/>
    </row>
    <row r="1485" spans="2:16" x14ac:dyDescent="0.25">
      <c r="B1485" s="23"/>
      <c r="E1485" s="23"/>
      <c r="G1485" s="23"/>
      <c r="H1485" s="23"/>
      <c r="J1485" s="23"/>
      <c r="K1485" s="23"/>
      <c r="M1485" s="23"/>
      <c r="N1485" s="23"/>
      <c r="P1485" s="23"/>
    </row>
    <row r="1486" spans="2:16" x14ac:dyDescent="0.25">
      <c r="B1486" s="23"/>
      <c r="E1486" s="23"/>
      <c r="G1486" s="23"/>
      <c r="H1486" s="23"/>
      <c r="J1486" s="23"/>
      <c r="K1486" s="23"/>
      <c r="M1486" s="23"/>
      <c r="N1486" s="23"/>
      <c r="P1486" s="23"/>
    </row>
    <row r="1487" spans="2:16" x14ac:dyDescent="0.25">
      <c r="B1487" s="23"/>
      <c r="E1487" s="23"/>
      <c r="G1487" s="23"/>
      <c r="H1487" s="23"/>
      <c r="J1487" s="23"/>
      <c r="K1487" s="23"/>
      <c r="M1487" s="23"/>
      <c r="N1487" s="23"/>
      <c r="P1487" s="23"/>
    </row>
    <row r="1488" spans="2:16" x14ac:dyDescent="0.25">
      <c r="B1488" s="23"/>
      <c r="E1488" s="23"/>
      <c r="G1488" s="23"/>
      <c r="H1488" s="23"/>
      <c r="J1488" s="23"/>
      <c r="K1488" s="23"/>
      <c r="M1488" s="23"/>
      <c r="N1488" s="23"/>
      <c r="P1488" s="23"/>
    </row>
    <row r="1489" spans="2:16" x14ac:dyDescent="0.25">
      <c r="B1489" s="23"/>
      <c r="E1489" s="23"/>
      <c r="G1489" s="23"/>
      <c r="H1489" s="23"/>
      <c r="J1489" s="23"/>
      <c r="K1489" s="23"/>
      <c r="M1489" s="23"/>
      <c r="N1489" s="23"/>
      <c r="P1489" s="23"/>
    </row>
    <row r="1490" spans="2:16" x14ac:dyDescent="0.25">
      <c r="B1490" s="23"/>
      <c r="E1490" s="23"/>
      <c r="G1490" s="23"/>
      <c r="H1490" s="23"/>
      <c r="J1490" s="23"/>
      <c r="K1490" s="23"/>
      <c r="M1490" s="23"/>
      <c r="N1490" s="23"/>
      <c r="P1490" s="23"/>
    </row>
    <row r="1491" spans="2:16" x14ac:dyDescent="0.25">
      <c r="B1491" s="23"/>
      <c r="E1491" s="23"/>
      <c r="G1491" s="23"/>
      <c r="H1491" s="23"/>
      <c r="J1491" s="23"/>
      <c r="K1491" s="23"/>
      <c r="M1491" s="23"/>
      <c r="N1491" s="23"/>
      <c r="P1491" s="23"/>
    </row>
    <row r="1492" spans="2:16" x14ac:dyDescent="0.25">
      <c r="B1492" s="23"/>
      <c r="E1492" s="23"/>
      <c r="G1492" s="23"/>
      <c r="H1492" s="23"/>
      <c r="J1492" s="23"/>
      <c r="K1492" s="23"/>
      <c r="M1492" s="23"/>
      <c r="N1492" s="23"/>
      <c r="P1492" s="23"/>
    </row>
    <row r="1493" spans="2:16" x14ac:dyDescent="0.25">
      <c r="B1493" s="23"/>
      <c r="E1493" s="23"/>
      <c r="G1493" s="23"/>
      <c r="H1493" s="23"/>
      <c r="J1493" s="23"/>
      <c r="K1493" s="23"/>
      <c r="M1493" s="23"/>
      <c r="N1493" s="23"/>
      <c r="P1493" s="23"/>
    </row>
    <row r="1494" spans="2:16" x14ac:dyDescent="0.25">
      <c r="B1494" s="23"/>
      <c r="E1494" s="23"/>
      <c r="G1494" s="23"/>
      <c r="H1494" s="23"/>
      <c r="J1494" s="23"/>
      <c r="K1494" s="23"/>
      <c r="M1494" s="23"/>
      <c r="N1494" s="23"/>
      <c r="P1494" s="23"/>
    </row>
    <row r="1495" spans="2:16" x14ac:dyDescent="0.25">
      <c r="B1495" s="23"/>
      <c r="E1495" s="23"/>
      <c r="G1495" s="23"/>
      <c r="H1495" s="23"/>
      <c r="J1495" s="23"/>
      <c r="K1495" s="23"/>
      <c r="M1495" s="23"/>
      <c r="N1495" s="23"/>
      <c r="P1495" s="23"/>
    </row>
    <row r="1496" spans="2:16" x14ac:dyDescent="0.25">
      <c r="B1496" s="23"/>
      <c r="E1496" s="23"/>
      <c r="G1496" s="23"/>
      <c r="H1496" s="23"/>
      <c r="J1496" s="23"/>
      <c r="K1496" s="23"/>
      <c r="M1496" s="23"/>
      <c r="N1496" s="23"/>
      <c r="P1496" s="23"/>
    </row>
    <row r="1497" spans="2:16" x14ac:dyDescent="0.25">
      <c r="B1497" s="23"/>
      <c r="E1497" s="23"/>
      <c r="G1497" s="23"/>
      <c r="H1497" s="23"/>
      <c r="J1497" s="23"/>
      <c r="K1497" s="23"/>
      <c r="M1497" s="23"/>
      <c r="N1497" s="23"/>
      <c r="P1497" s="23"/>
    </row>
    <row r="1498" spans="2:16" x14ac:dyDescent="0.25">
      <c r="B1498" s="23"/>
      <c r="E1498" s="23"/>
      <c r="G1498" s="23"/>
      <c r="H1498" s="23"/>
      <c r="J1498" s="23"/>
      <c r="K1498" s="23"/>
      <c r="M1498" s="23"/>
      <c r="N1498" s="23"/>
      <c r="P1498" s="23"/>
    </row>
    <row r="1499" spans="2:16" x14ac:dyDescent="0.25">
      <c r="B1499" s="23"/>
      <c r="E1499" s="23"/>
      <c r="G1499" s="23"/>
      <c r="H1499" s="23"/>
      <c r="J1499" s="23"/>
      <c r="K1499" s="23"/>
      <c r="M1499" s="23"/>
      <c r="N1499" s="23"/>
      <c r="P1499" s="23"/>
    </row>
    <row r="1500" spans="2:16" x14ac:dyDescent="0.25">
      <c r="B1500" s="23"/>
      <c r="E1500" s="23"/>
      <c r="G1500" s="23"/>
      <c r="H1500" s="23"/>
      <c r="J1500" s="23"/>
      <c r="K1500" s="23"/>
      <c r="M1500" s="23"/>
      <c r="N1500" s="23"/>
      <c r="P1500" s="23"/>
    </row>
    <row r="1501" spans="2:16" x14ac:dyDescent="0.25">
      <c r="B1501" s="23"/>
      <c r="E1501" s="23"/>
      <c r="G1501" s="23"/>
      <c r="H1501" s="23"/>
      <c r="J1501" s="23"/>
      <c r="K1501" s="23"/>
      <c r="M1501" s="23"/>
      <c r="N1501" s="23"/>
      <c r="P1501" s="23"/>
    </row>
    <row r="1502" spans="2:16" x14ac:dyDescent="0.25">
      <c r="B1502" s="23"/>
      <c r="E1502" s="23"/>
      <c r="G1502" s="23"/>
      <c r="H1502" s="23"/>
      <c r="J1502" s="23"/>
      <c r="K1502" s="23"/>
      <c r="M1502" s="23"/>
      <c r="N1502" s="23"/>
      <c r="P1502" s="23"/>
    </row>
    <row r="1503" spans="2:16" x14ac:dyDescent="0.25">
      <c r="B1503" s="23"/>
      <c r="E1503" s="23"/>
      <c r="G1503" s="23"/>
      <c r="H1503" s="23"/>
      <c r="J1503" s="23"/>
      <c r="K1503" s="23"/>
      <c r="M1503" s="23"/>
      <c r="N1503" s="23"/>
      <c r="P1503" s="23"/>
    </row>
    <row r="1504" spans="2:16" x14ac:dyDescent="0.25">
      <c r="B1504" s="23"/>
      <c r="E1504" s="23"/>
      <c r="G1504" s="23"/>
      <c r="H1504" s="23"/>
      <c r="J1504" s="23"/>
      <c r="K1504" s="23"/>
      <c r="M1504" s="23"/>
      <c r="N1504" s="23"/>
      <c r="P1504" s="23"/>
    </row>
    <row r="1505" spans="2:16" x14ac:dyDescent="0.25">
      <c r="B1505" s="23"/>
      <c r="E1505" s="23"/>
      <c r="G1505" s="23"/>
      <c r="H1505" s="23"/>
      <c r="J1505" s="23"/>
      <c r="K1505" s="23"/>
      <c r="M1505" s="23"/>
      <c r="N1505" s="23"/>
      <c r="P1505" s="23"/>
    </row>
    <row r="1506" spans="2:16" x14ac:dyDescent="0.25">
      <c r="B1506" s="23"/>
      <c r="E1506" s="23"/>
      <c r="G1506" s="23"/>
      <c r="H1506" s="23"/>
      <c r="J1506" s="23"/>
      <c r="K1506" s="23"/>
      <c r="M1506" s="23"/>
      <c r="N1506" s="23"/>
      <c r="P1506" s="23"/>
    </row>
    <row r="1507" spans="2:16" x14ac:dyDescent="0.25">
      <c r="B1507" s="23"/>
      <c r="E1507" s="23"/>
      <c r="G1507" s="23"/>
      <c r="H1507" s="23"/>
      <c r="J1507" s="23"/>
      <c r="K1507" s="23"/>
      <c r="M1507" s="23"/>
      <c r="N1507" s="23"/>
      <c r="P1507" s="23"/>
    </row>
    <row r="1508" spans="2:16" x14ac:dyDescent="0.25">
      <c r="B1508" s="23"/>
      <c r="E1508" s="23"/>
      <c r="G1508" s="23"/>
      <c r="H1508" s="23"/>
      <c r="J1508" s="23"/>
      <c r="K1508" s="23"/>
      <c r="M1508" s="23"/>
      <c r="N1508" s="23"/>
      <c r="P1508" s="23"/>
    </row>
    <row r="1509" spans="2:16" x14ac:dyDescent="0.25">
      <c r="B1509" s="23"/>
      <c r="E1509" s="23"/>
      <c r="G1509" s="23"/>
      <c r="H1509" s="23"/>
      <c r="J1509" s="23"/>
      <c r="K1509" s="23"/>
      <c r="M1509" s="23"/>
      <c r="N1509" s="23"/>
      <c r="P1509" s="23"/>
    </row>
    <row r="1510" spans="2:16" x14ac:dyDescent="0.25">
      <c r="B1510" s="23"/>
      <c r="E1510" s="23"/>
      <c r="G1510" s="23"/>
      <c r="H1510" s="23"/>
      <c r="J1510" s="23"/>
      <c r="K1510" s="23"/>
      <c r="M1510" s="23"/>
      <c r="N1510" s="23"/>
      <c r="P1510" s="23"/>
    </row>
    <row r="1511" spans="2:16" x14ac:dyDescent="0.25">
      <c r="B1511" s="23"/>
      <c r="E1511" s="23"/>
      <c r="G1511" s="23"/>
      <c r="H1511" s="23"/>
      <c r="J1511" s="23"/>
      <c r="K1511" s="23"/>
      <c r="M1511" s="23"/>
      <c r="N1511" s="23"/>
      <c r="P1511" s="23"/>
    </row>
    <row r="1512" spans="2:16" x14ac:dyDescent="0.25">
      <c r="B1512" s="23"/>
      <c r="E1512" s="23"/>
      <c r="G1512" s="23"/>
      <c r="H1512" s="23"/>
      <c r="J1512" s="23"/>
      <c r="K1512" s="23"/>
      <c r="M1512" s="23"/>
      <c r="N1512" s="23"/>
      <c r="P1512" s="23"/>
    </row>
    <row r="1513" spans="2:16" x14ac:dyDescent="0.25">
      <c r="B1513" s="23"/>
      <c r="E1513" s="23"/>
      <c r="G1513" s="23"/>
      <c r="H1513" s="23"/>
      <c r="J1513" s="23"/>
      <c r="K1513" s="23"/>
      <c r="M1513" s="23"/>
      <c r="N1513" s="23"/>
      <c r="P1513" s="23"/>
    </row>
    <row r="1514" spans="2:16" x14ac:dyDescent="0.25">
      <c r="B1514" s="23"/>
      <c r="E1514" s="23"/>
      <c r="G1514" s="23"/>
      <c r="H1514" s="23"/>
      <c r="J1514" s="23"/>
      <c r="K1514" s="23"/>
      <c r="M1514" s="23"/>
      <c r="N1514" s="23"/>
      <c r="P1514" s="23"/>
    </row>
    <row r="1515" spans="2:16" x14ac:dyDescent="0.25">
      <c r="B1515" s="23"/>
      <c r="E1515" s="23"/>
      <c r="G1515" s="23"/>
      <c r="H1515" s="23"/>
      <c r="J1515" s="23"/>
      <c r="K1515" s="23"/>
      <c r="M1515" s="23"/>
      <c r="N1515" s="23"/>
      <c r="P1515" s="23"/>
    </row>
    <row r="1516" spans="2:16" x14ac:dyDescent="0.25">
      <c r="B1516" s="23"/>
      <c r="E1516" s="23"/>
      <c r="G1516" s="23"/>
      <c r="H1516" s="23"/>
      <c r="J1516" s="23"/>
      <c r="K1516" s="23"/>
      <c r="M1516" s="23"/>
      <c r="N1516" s="23"/>
      <c r="P1516" s="23"/>
    </row>
    <row r="1517" spans="2:16" x14ac:dyDescent="0.25">
      <c r="B1517" s="23"/>
      <c r="E1517" s="23"/>
      <c r="G1517" s="23"/>
      <c r="H1517" s="23"/>
      <c r="J1517" s="23"/>
      <c r="K1517" s="23"/>
      <c r="M1517" s="23"/>
      <c r="N1517" s="23"/>
      <c r="P1517" s="23"/>
    </row>
    <row r="1518" spans="2:16" x14ac:dyDescent="0.25">
      <c r="B1518" s="23"/>
      <c r="E1518" s="23"/>
      <c r="G1518" s="23"/>
      <c r="H1518" s="23"/>
      <c r="J1518" s="23"/>
      <c r="K1518" s="23"/>
      <c r="M1518" s="23"/>
      <c r="N1518" s="23"/>
      <c r="P1518" s="23"/>
    </row>
    <row r="1519" spans="2:16" x14ac:dyDescent="0.25">
      <c r="B1519" s="23"/>
      <c r="E1519" s="23"/>
      <c r="G1519" s="23"/>
      <c r="H1519" s="23"/>
      <c r="J1519" s="23"/>
      <c r="K1519" s="23"/>
      <c r="M1519" s="23"/>
      <c r="N1519" s="23"/>
      <c r="P1519" s="23"/>
    </row>
    <row r="1520" spans="2:16" x14ac:dyDescent="0.25">
      <c r="B1520" s="23"/>
      <c r="E1520" s="23"/>
      <c r="G1520" s="23"/>
      <c r="H1520" s="23"/>
      <c r="J1520" s="23"/>
      <c r="K1520" s="23"/>
      <c r="M1520" s="23"/>
      <c r="N1520" s="23"/>
      <c r="P1520" s="23"/>
    </row>
    <row r="1521" spans="2:16" x14ac:dyDescent="0.25">
      <c r="B1521" s="23"/>
      <c r="E1521" s="23"/>
      <c r="G1521" s="23"/>
      <c r="H1521" s="23"/>
      <c r="J1521" s="23"/>
      <c r="K1521" s="23"/>
      <c r="M1521" s="23"/>
      <c r="N1521" s="23"/>
      <c r="P1521" s="23"/>
    </row>
    <row r="1522" spans="2:16" x14ac:dyDescent="0.25">
      <c r="B1522" s="23"/>
      <c r="E1522" s="23"/>
      <c r="G1522" s="23"/>
      <c r="H1522" s="23"/>
      <c r="J1522" s="23"/>
      <c r="K1522" s="23"/>
      <c r="M1522" s="23"/>
      <c r="N1522" s="23"/>
      <c r="P1522" s="23"/>
    </row>
    <row r="1523" spans="2:16" x14ac:dyDescent="0.25">
      <c r="B1523" s="23"/>
      <c r="E1523" s="23"/>
      <c r="G1523" s="23"/>
      <c r="H1523" s="23"/>
      <c r="J1523" s="23"/>
      <c r="K1523" s="23"/>
      <c r="M1523" s="23"/>
      <c r="N1523" s="23"/>
      <c r="P1523" s="23"/>
    </row>
    <row r="1524" spans="2:16" x14ac:dyDescent="0.25">
      <c r="B1524" s="23"/>
      <c r="E1524" s="23"/>
      <c r="G1524" s="23"/>
      <c r="H1524" s="23"/>
      <c r="J1524" s="23"/>
      <c r="K1524" s="23"/>
      <c r="M1524" s="23"/>
      <c r="N1524" s="23"/>
      <c r="P1524" s="23"/>
    </row>
    <row r="1525" spans="2:16" x14ac:dyDescent="0.25">
      <c r="B1525" s="23"/>
      <c r="E1525" s="23"/>
      <c r="G1525" s="23"/>
      <c r="H1525" s="23"/>
      <c r="J1525" s="23"/>
      <c r="K1525" s="23"/>
      <c r="M1525" s="23"/>
      <c r="N1525" s="23"/>
      <c r="P1525" s="23"/>
    </row>
    <row r="1526" spans="2:16" x14ac:dyDescent="0.25">
      <c r="B1526" s="23"/>
      <c r="E1526" s="23"/>
      <c r="G1526" s="23"/>
      <c r="H1526" s="23"/>
      <c r="J1526" s="23"/>
      <c r="K1526" s="23"/>
      <c r="M1526" s="23"/>
      <c r="N1526" s="23"/>
      <c r="P1526" s="23"/>
    </row>
    <row r="1527" spans="2:16" x14ac:dyDescent="0.25">
      <c r="B1527" s="23"/>
      <c r="E1527" s="23"/>
      <c r="G1527" s="23"/>
      <c r="H1527" s="23"/>
      <c r="J1527" s="23"/>
      <c r="K1527" s="23"/>
      <c r="M1527" s="23"/>
      <c r="N1527" s="23"/>
      <c r="P1527" s="23"/>
    </row>
    <row r="1528" spans="2:16" x14ac:dyDescent="0.25">
      <c r="B1528" s="23"/>
      <c r="E1528" s="23"/>
      <c r="G1528" s="23"/>
      <c r="H1528" s="23"/>
      <c r="J1528" s="23"/>
      <c r="K1528" s="23"/>
      <c r="M1528" s="23"/>
      <c r="N1528" s="23"/>
      <c r="P1528" s="23"/>
    </row>
    <row r="1529" spans="2:16" x14ac:dyDescent="0.25">
      <c r="B1529" s="23"/>
      <c r="E1529" s="23"/>
      <c r="G1529" s="23"/>
      <c r="H1529" s="23"/>
      <c r="J1529" s="23"/>
      <c r="K1529" s="23"/>
      <c r="M1529" s="23"/>
      <c r="N1529" s="23"/>
      <c r="P1529" s="23"/>
    </row>
    <row r="1530" spans="2:16" x14ac:dyDescent="0.25">
      <c r="B1530" s="23"/>
      <c r="E1530" s="23"/>
      <c r="G1530" s="23"/>
      <c r="H1530" s="23"/>
      <c r="J1530" s="23"/>
      <c r="K1530" s="23"/>
      <c r="M1530" s="23"/>
      <c r="N1530" s="23"/>
      <c r="P1530" s="23"/>
    </row>
    <row r="1531" spans="2:16" x14ac:dyDescent="0.25">
      <c r="B1531" s="23"/>
      <c r="E1531" s="23"/>
      <c r="G1531" s="23"/>
      <c r="H1531" s="23"/>
      <c r="J1531" s="23"/>
      <c r="K1531" s="23"/>
      <c r="M1531" s="23"/>
      <c r="N1531" s="23"/>
      <c r="P1531" s="23"/>
    </row>
    <row r="1532" spans="2:16" x14ac:dyDescent="0.25">
      <c r="B1532" s="23"/>
      <c r="E1532" s="23"/>
      <c r="G1532" s="23"/>
      <c r="H1532" s="23"/>
      <c r="J1532" s="23"/>
      <c r="K1532" s="23"/>
      <c r="M1532" s="23"/>
      <c r="N1532" s="23"/>
      <c r="P1532" s="23"/>
    </row>
    <row r="1533" spans="2:16" x14ac:dyDescent="0.25">
      <c r="B1533" s="23"/>
      <c r="E1533" s="23"/>
      <c r="G1533" s="23"/>
      <c r="H1533" s="23"/>
      <c r="J1533" s="23"/>
      <c r="K1533" s="23"/>
      <c r="M1533" s="23"/>
      <c r="N1533" s="23"/>
      <c r="P1533" s="23"/>
    </row>
    <row r="1534" spans="2:16" x14ac:dyDescent="0.25">
      <c r="B1534" s="23"/>
      <c r="E1534" s="23"/>
      <c r="G1534" s="23"/>
      <c r="H1534" s="23"/>
      <c r="J1534" s="23"/>
      <c r="K1534" s="23"/>
      <c r="M1534" s="23"/>
      <c r="N1534" s="23"/>
      <c r="P1534" s="23"/>
    </row>
    <row r="1535" spans="2:16" x14ac:dyDescent="0.25">
      <c r="B1535" s="23"/>
      <c r="E1535" s="23"/>
      <c r="G1535" s="23"/>
      <c r="H1535" s="23"/>
      <c r="J1535" s="23"/>
      <c r="K1535" s="23"/>
      <c r="M1535" s="23"/>
      <c r="N1535" s="23"/>
      <c r="P1535" s="23"/>
    </row>
    <row r="1536" spans="2:16" x14ac:dyDescent="0.25">
      <c r="B1536" s="23"/>
      <c r="E1536" s="23"/>
      <c r="G1536" s="23"/>
      <c r="H1536" s="23"/>
      <c r="J1536" s="23"/>
      <c r="K1536" s="23"/>
      <c r="M1536" s="23"/>
      <c r="N1536" s="23"/>
      <c r="P1536" s="23"/>
    </row>
    <row r="1537" spans="2:16" x14ac:dyDescent="0.25">
      <c r="B1537" s="23"/>
      <c r="E1537" s="23"/>
      <c r="G1537" s="23"/>
      <c r="H1537" s="23"/>
      <c r="J1537" s="23"/>
      <c r="K1537" s="23"/>
      <c r="M1537" s="23"/>
      <c r="N1537" s="23"/>
      <c r="P1537" s="23"/>
    </row>
    <row r="1538" spans="2:16" x14ac:dyDescent="0.25">
      <c r="B1538" s="23"/>
      <c r="E1538" s="23"/>
      <c r="G1538" s="23"/>
      <c r="H1538" s="23"/>
      <c r="J1538" s="23"/>
      <c r="K1538" s="23"/>
      <c r="M1538" s="23"/>
      <c r="N1538" s="23"/>
      <c r="P1538" s="23"/>
    </row>
    <row r="1539" spans="2:16" x14ac:dyDescent="0.25">
      <c r="B1539" s="23"/>
      <c r="E1539" s="23"/>
      <c r="G1539" s="23"/>
      <c r="H1539" s="23"/>
      <c r="J1539" s="23"/>
      <c r="K1539" s="23"/>
      <c r="M1539" s="23"/>
      <c r="N1539" s="23"/>
      <c r="P1539" s="23"/>
    </row>
    <row r="1540" spans="2:16" x14ac:dyDescent="0.25">
      <c r="B1540" s="23"/>
      <c r="E1540" s="23"/>
      <c r="G1540" s="23"/>
      <c r="H1540" s="23"/>
      <c r="J1540" s="23"/>
      <c r="K1540" s="23"/>
      <c r="M1540" s="23"/>
      <c r="N1540" s="23"/>
      <c r="P1540" s="23"/>
    </row>
    <row r="1541" spans="2:16" x14ac:dyDescent="0.25">
      <c r="B1541" s="23"/>
      <c r="E1541" s="23"/>
      <c r="G1541" s="23"/>
      <c r="H1541" s="23"/>
      <c r="J1541" s="23"/>
      <c r="K1541" s="23"/>
      <c r="M1541" s="23"/>
      <c r="N1541" s="23"/>
      <c r="P1541" s="23"/>
    </row>
    <row r="1542" spans="2:16" x14ac:dyDescent="0.25">
      <c r="B1542" s="23"/>
      <c r="E1542" s="23"/>
      <c r="G1542" s="23"/>
      <c r="H1542" s="23"/>
      <c r="J1542" s="23"/>
      <c r="K1542" s="23"/>
      <c r="M1542" s="23"/>
      <c r="N1542" s="23"/>
      <c r="P1542" s="23"/>
    </row>
    <row r="1543" spans="2:16" x14ac:dyDescent="0.25">
      <c r="B1543" s="23"/>
      <c r="E1543" s="23"/>
      <c r="G1543" s="23"/>
      <c r="H1543" s="23"/>
      <c r="J1543" s="23"/>
      <c r="K1543" s="23"/>
      <c r="M1543" s="23"/>
      <c r="N1543" s="23"/>
      <c r="P1543" s="23"/>
    </row>
    <row r="1544" spans="2:16" x14ac:dyDescent="0.25">
      <c r="B1544" s="23"/>
      <c r="E1544" s="23"/>
      <c r="G1544" s="23"/>
      <c r="H1544" s="23"/>
      <c r="J1544" s="23"/>
      <c r="K1544" s="23"/>
      <c r="M1544" s="23"/>
      <c r="N1544" s="23"/>
      <c r="P1544" s="23"/>
    </row>
    <row r="1545" spans="2:16" x14ac:dyDescent="0.25">
      <c r="B1545" s="23"/>
      <c r="E1545" s="23"/>
      <c r="G1545" s="23"/>
      <c r="H1545" s="23"/>
      <c r="J1545" s="23"/>
      <c r="K1545" s="23"/>
      <c r="M1545" s="23"/>
      <c r="N1545" s="23"/>
      <c r="P1545" s="23"/>
    </row>
    <row r="1546" spans="2:16" x14ac:dyDescent="0.25">
      <c r="B1546" s="23"/>
      <c r="E1546" s="23"/>
      <c r="G1546" s="23"/>
      <c r="H1546" s="23"/>
      <c r="J1546" s="23"/>
      <c r="K1546" s="23"/>
      <c r="M1546" s="23"/>
      <c r="N1546" s="23"/>
      <c r="P1546" s="23"/>
    </row>
    <row r="1547" spans="2:16" x14ac:dyDescent="0.25">
      <c r="B1547" s="23"/>
      <c r="E1547" s="23"/>
      <c r="G1547" s="23"/>
      <c r="H1547" s="23"/>
      <c r="J1547" s="23"/>
      <c r="K1547" s="23"/>
      <c r="M1547" s="23"/>
      <c r="N1547" s="23"/>
      <c r="P1547" s="23"/>
    </row>
    <row r="1548" spans="2:16" x14ac:dyDescent="0.25">
      <c r="B1548" s="23"/>
      <c r="E1548" s="23"/>
      <c r="G1548" s="23"/>
      <c r="H1548" s="23"/>
      <c r="J1548" s="23"/>
      <c r="K1548" s="23"/>
      <c r="M1548" s="23"/>
      <c r="N1548" s="23"/>
      <c r="P1548" s="23"/>
    </row>
    <row r="1549" spans="2:16" x14ac:dyDescent="0.25">
      <c r="B1549" s="23"/>
      <c r="E1549" s="23"/>
      <c r="G1549" s="23"/>
      <c r="H1549" s="23"/>
      <c r="J1549" s="23"/>
      <c r="K1549" s="23"/>
      <c r="M1549" s="23"/>
      <c r="N1549" s="23"/>
      <c r="P1549" s="23"/>
    </row>
    <row r="1550" spans="2:16" x14ac:dyDescent="0.25">
      <c r="B1550" s="23"/>
      <c r="E1550" s="23"/>
      <c r="G1550" s="23"/>
      <c r="H1550" s="23"/>
      <c r="J1550" s="23"/>
      <c r="K1550" s="23"/>
      <c r="M1550" s="23"/>
      <c r="N1550" s="23"/>
      <c r="P1550" s="23"/>
    </row>
    <row r="1551" spans="2:16" x14ac:dyDescent="0.25">
      <c r="B1551" s="23"/>
      <c r="E1551" s="23"/>
      <c r="G1551" s="23"/>
      <c r="H1551" s="23"/>
      <c r="J1551" s="23"/>
      <c r="K1551" s="23"/>
      <c r="M1551" s="23"/>
      <c r="N1551" s="23"/>
      <c r="P1551" s="23"/>
    </row>
    <row r="1552" spans="2:16" x14ac:dyDescent="0.25">
      <c r="B1552" s="23"/>
      <c r="E1552" s="23"/>
      <c r="G1552" s="23"/>
      <c r="H1552" s="23"/>
      <c r="J1552" s="23"/>
      <c r="K1552" s="23"/>
      <c r="M1552" s="23"/>
      <c r="N1552" s="23"/>
      <c r="P1552" s="23"/>
    </row>
    <row r="1553" spans="2:16" x14ac:dyDescent="0.25">
      <c r="B1553" s="23"/>
      <c r="E1553" s="23"/>
      <c r="G1553" s="23"/>
      <c r="H1553" s="23"/>
      <c r="J1553" s="23"/>
      <c r="K1553" s="23"/>
      <c r="M1553" s="23"/>
      <c r="N1553" s="23"/>
      <c r="P1553" s="23"/>
    </row>
    <row r="1554" spans="2:16" x14ac:dyDescent="0.25">
      <c r="B1554" s="23"/>
      <c r="E1554" s="23"/>
      <c r="G1554" s="23"/>
      <c r="H1554" s="23"/>
      <c r="J1554" s="23"/>
      <c r="K1554" s="23"/>
      <c r="M1554" s="23"/>
      <c r="N1554" s="23"/>
      <c r="P1554" s="23"/>
    </row>
    <row r="1555" spans="2:16" x14ac:dyDescent="0.25">
      <c r="B1555" s="23"/>
      <c r="E1555" s="23"/>
      <c r="G1555" s="23"/>
      <c r="H1555" s="23"/>
      <c r="J1555" s="23"/>
      <c r="K1555" s="23"/>
      <c r="M1555" s="23"/>
      <c r="N1555" s="23"/>
      <c r="P1555" s="23"/>
    </row>
    <row r="1556" spans="2:16" x14ac:dyDescent="0.25">
      <c r="B1556" s="23"/>
      <c r="E1556" s="23"/>
      <c r="G1556" s="23"/>
      <c r="H1556" s="23"/>
      <c r="J1556" s="23"/>
      <c r="K1556" s="23"/>
      <c r="M1556" s="23"/>
      <c r="N1556" s="23"/>
      <c r="P1556" s="23"/>
    </row>
    <row r="1557" spans="2:16" x14ac:dyDescent="0.25">
      <c r="B1557" s="23"/>
      <c r="E1557" s="23"/>
      <c r="G1557" s="23"/>
      <c r="H1557" s="23"/>
      <c r="J1557" s="23"/>
      <c r="K1557" s="23"/>
      <c r="M1557" s="23"/>
      <c r="N1557" s="23"/>
      <c r="P1557" s="23"/>
    </row>
    <row r="1558" spans="2:16" x14ac:dyDescent="0.25">
      <c r="B1558" s="23"/>
      <c r="E1558" s="23"/>
      <c r="G1558" s="23"/>
      <c r="H1558" s="23"/>
      <c r="J1558" s="23"/>
      <c r="K1558" s="23"/>
      <c r="M1558" s="23"/>
      <c r="N1558" s="23"/>
      <c r="P1558" s="23"/>
    </row>
    <row r="1559" spans="2:16" x14ac:dyDescent="0.25">
      <c r="B1559" s="23"/>
      <c r="E1559" s="23"/>
      <c r="G1559" s="23"/>
      <c r="H1559" s="23"/>
      <c r="J1559" s="23"/>
      <c r="K1559" s="23"/>
      <c r="M1559" s="23"/>
      <c r="N1559" s="23"/>
      <c r="P1559" s="23"/>
    </row>
    <row r="1560" spans="2:16" x14ac:dyDescent="0.25">
      <c r="B1560" s="23"/>
      <c r="E1560" s="23"/>
      <c r="G1560" s="23"/>
      <c r="H1560" s="23"/>
      <c r="J1560" s="23"/>
      <c r="K1560" s="23"/>
      <c r="M1560" s="23"/>
      <c r="N1560" s="23"/>
      <c r="P1560" s="23"/>
    </row>
    <row r="1561" spans="2:16" x14ac:dyDescent="0.25">
      <c r="B1561" s="23"/>
      <c r="E1561" s="23"/>
      <c r="G1561" s="23"/>
      <c r="H1561" s="23"/>
      <c r="J1561" s="23"/>
      <c r="K1561" s="23"/>
      <c r="M1561" s="23"/>
      <c r="N1561" s="23"/>
      <c r="P1561" s="23"/>
    </row>
    <row r="1562" spans="2:16" x14ac:dyDescent="0.25">
      <c r="B1562" s="23"/>
      <c r="E1562" s="23"/>
      <c r="G1562" s="23"/>
      <c r="H1562" s="23"/>
      <c r="J1562" s="23"/>
      <c r="K1562" s="23"/>
      <c r="M1562" s="23"/>
      <c r="N1562" s="23"/>
      <c r="P1562" s="23"/>
    </row>
    <row r="1563" spans="2:16" x14ac:dyDescent="0.25">
      <c r="B1563" s="23"/>
      <c r="E1563" s="23"/>
      <c r="G1563" s="23"/>
      <c r="H1563" s="23"/>
      <c r="J1563" s="23"/>
      <c r="K1563" s="23"/>
      <c r="M1563" s="23"/>
      <c r="N1563" s="23"/>
      <c r="P1563" s="23"/>
    </row>
    <row r="1564" spans="2:16" x14ac:dyDescent="0.25">
      <c r="B1564" s="23"/>
      <c r="E1564" s="23"/>
      <c r="G1564" s="23"/>
      <c r="H1564" s="23"/>
      <c r="J1564" s="23"/>
      <c r="K1564" s="23"/>
      <c r="M1564" s="23"/>
      <c r="N1564" s="23"/>
      <c r="P1564" s="23"/>
    </row>
    <row r="1565" spans="2:16" x14ac:dyDescent="0.25">
      <c r="B1565" s="23"/>
      <c r="E1565" s="23"/>
      <c r="G1565" s="23"/>
      <c r="H1565" s="23"/>
      <c r="J1565" s="23"/>
      <c r="K1565" s="23"/>
      <c r="M1565" s="23"/>
      <c r="N1565" s="23"/>
      <c r="P1565" s="23"/>
    </row>
    <row r="1566" spans="2:16" x14ac:dyDescent="0.25">
      <c r="B1566" s="23"/>
      <c r="E1566" s="23"/>
      <c r="G1566" s="23"/>
      <c r="H1566" s="23"/>
      <c r="J1566" s="23"/>
      <c r="K1566" s="23"/>
      <c r="M1566" s="23"/>
      <c r="N1566" s="23"/>
      <c r="P1566" s="23"/>
    </row>
    <row r="1567" spans="2:16" x14ac:dyDescent="0.25">
      <c r="B1567" s="23"/>
      <c r="E1567" s="23"/>
      <c r="G1567" s="23"/>
      <c r="H1567" s="23"/>
      <c r="J1567" s="23"/>
      <c r="K1567" s="23"/>
      <c r="M1567" s="23"/>
      <c r="N1567" s="23"/>
      <c r="P1567" s="23"/>
    </row>
    <row r="1568" spans="2:16" x14ac:dyDescent="0.25">
      <c r="B1568" s="23"/>
      <c r="E1568" s="23"/>
      <c r="G1568" s="23"/>
      <c r="H1568" s="23"/>
      <c r="J1568" s="23"/>
      <c r="K1568" s="23"/>
      <c r="M1568" s="23"/>
      <c r="N1568" s="23"/>
      <c r="P1568" s="23"/>
    </row>
    <row r="1569" spans="2:16" x14ac:dyDescent="0.25">
      <c r="B1569" s="23"/>
      <c r="E1569" s="23"/>
      <c r="G1569" s="23"/>
      <c r="H1569" s="23"/>
      <c r="J1569" s="23"/>
      <c r="K1569" s="23"/>
      <c r="M1569" s="23"/>
      <c r="N1569" s="23"/>
      <c r="P1569" s="23"/>
    </row>
    <row r="1570" spans="2:16" x14ac:dyDescent="0.25">
      <c r="B1570" s="23"/>
      <c r="E1570" s="23"/>
      <c r="G1570" s="23"/>
      <c r="H1570" s="23"/>
      <c r="J1570" s="23"/>
      <c r="K1570" s="23"/>
      <c r="M1570" s="23"/>
      <c r="N1570" s="23"/>
      <c r="P1570" s="23"/>
    </row>
    <row r="1571" spans="2:16" x14ac:dyDescent="0.25">
      <c r="B1571" s="23"/>
      <c r="E1571" s="23"/>
      <c r="G1571" s="23"/>
      <c r="H1571" s="23"/>
      <c r="J1571" s="23"/>
      <c r="K1571" s="23"/>
      <c r="M1571" s="23"/>
      <c r="N1571" s="23"/>
      <c r="P1571" s="23"/>
    </row>
    <row r="1572" spans="2:16" x14ac:dyDescent="0.25">
      <c r="B1572" s="23"/>
      <c r="E1572" s="23"/>
      <c r="G1572" s="23"/>
      <c r="H1572" s="23"/>
      <c r="J1572" s="23"/>
      <c r="K1572" s="23"/>
      <c r="M1572" s="23"/>
      <c r="N1572" s="23"/>
      <c r="P1572" s="23"/>
    </row>
    <row r="1573" spans="2:16" x14ac:dyDescent="0.25">
      <c r="B1573" s="23"/>
      <c r="E1573" s="23"/>
      <c r="G1573" s="23"/>
      <c r="H1573" s="23"/>
      <c r="J1573" s="23"/>
      <c r="K1573" s="23"/>
      <c r="M1573" s="23"/>
      <c r="N1573" s="23"/>
      <c r="P1573" s="23"/>
    </row>
    <row r="1574" spans="2:16" x14ac:dyDescent="0.25">
      <c r="B1574" s="23"/>
      <c r="E1574" s="23"/>
      <c r="G1574" s="23"/>
      <c r="H1574" s="23"/>
      <c r="J1574" s="23"/>
      <c r="K1574" s="23"/>
      <c r="M1574" s="23"/>
      <c r="N1574" s="23"/>
      <c r="P1574" s="23"/>
    </row>
    <row r="1575" spans="2:16" x14ac:dyDescent="0.25">
      <c r="B1575" s="23"/>
      <c r="E1575" s="23"/>
      <c r="G1575" s="23"/>
      <c r="H1575" s="23"/>
      <c r="J1575" s="23"/>
      <c r="K1575" s="23"/>
      <c r="M1575" s="23"/>
      <c r="N1575" s="23"/>
      <c r="P1575" s="23"/>
    </row>
    <row r="1576" spans="2:16" x14ac:dyDescent="0.25">
      <c r="B1576" s="23"/>
      <c r="E1576" s="23"/>
      <c r="G1576" s="23"/>
      <c r="H1576" s="23"/>
      <c r="J1576" s="23"/>
      <c r="K1576" s="23"/>
      <c r="M1576" s="23"/>
      <c r="N1576" s="23"/>
      <c r="P1576" s="23"/>
    </row>
    <row r="1577" spans="2:16" x14ac:dyDescent="0.25">
      <c r="B1577" s="23"/>
      <c r="E1577" s="23"/>
      <c r="G1577" s="23"/>
      <c r="H1577" s="23"/>
      <c r="J1577" s="23"/>
      <c r="K1577" s="23"/>
      <c r="M1577" s="23"/>
      <c r="N1577" s="23"/>
      <c r="P1577" s="23"/>
    </row>
    <row r="1578" spans="2:16" x14ac:dyDescent="0.25">
      <c r="B1578" s="23"/>
      <c r="E1578" s="23"/>
      <c r="G1578" s="23"/>
      <c r="H1578" s="23"/>
      <c r="J1578" s="23"/>
      <c r="K1578" s="23"/>
      <c r="M1578" s="23"/>
      <c r="N1578" s="23"/>
      <c r="P1578" s="23"/>
    </row>
    <row r="1579" spans="2:16" x14ac:dyDescent="0.25">
      <c r="B1579" s="23"/>
      <c r="E1579" s="23"/>
      <c r="G1579" s="23"/>
      <c r="H1579" s="23"/>
      <c r="J1579" s="23"/>
      <c r="K1579" s="23"/>
      <c r="M1579" s="23"/>
      <c r="N1579" s="23"/>
      <c r="P1579" s="23"/>
    </row>
    <row r="1580" spans="2:16" x14ac:dyDescent="0.25">
      <c r="B1580" s="23"/>
      <c r="E1580" s="23"/>
      <c r="G1580" s="23"/>
      <c r="H1580" s="23"/>
      <c r="J1580" s="23"/>
      <c r="K1580" s="23"/>
      <c r="M1580" s="23"/>
      <c r="N1580" s="23"/>
      <c r="P1580" s="23"/>
    </row>
    <row r="1581" spans="2:16" x14ac:dyDescent="0.25">
      <c r="B1581" s="23"/>
      <c r="E1581" s="23"/>
      <c r="G1581" s="23"/>
      <c r="H1581" s="23"/>
      <c r="J1581" s="23"/>
      <c r="K1581" s="23"/>
      <c r="M1581" s="23"/>
      <c r="N1581" s="23"/>
      <c r="P1581" s="23"/>
    </row>
    <row r="1582" spans="2:16" x14ac:dyDescent="0.25">
      <c r="B1582" s="23"/>
      <c r="E1582" s="23"/>
      <c r="G1582" s="23"/>
      <c r="H1582" s="23"/>
      <c r="J1582" s="23"/>
      <c r="K1582" s="23"/>
      <c r="M1582" s="23"/>
      <c r="N1582" s="23"/>
      <c r="P1582" s="23"/>
    </row>
    <row r="1583" spans="2:16" x14ac:dyDescent="0.25">
      <c r="B1583" s="23"/>
      <c r="E1583" s="23"/>
      <c r="G1583" s="23"/>
      <c r="H1583" s="23"/>
      <c r="J1583" s="23"/>
      <c r="K1583" s="23"/>
      <c r="M1583" s="23"/>
      <c r="N1583" s="23"/>
      <c r="P1583" s="23"/>
    </row>
    <row r="1584" spans="2:16" x14ac:dyDescent="0.25">
      <c r="B1584" s="23"/>
      <c r="E1584" s="23"/>
      <c r="G1584" s="23"/>
      <c r="H1584" s="23"/>
      <c r="J1584" s="23"/>
      <c r="K1584" s="23"/>
      <c r="M1584" s="23"/>
      <c r="N1584" s="23"/>
      <c r="P1584" s="23"/>
    </row>
    <row r="1585" spans="2:16" x14ac:dyDescent="0.25">
      <c r="B1585" s="23"/>
      <c r="E1585" s="23"/>
      <c r="G1585" s="23"/>
      <c r="H1585" s="23"/>
      <c r="J1585" s="23"/>
      <c r="K1585" s="23"/>
      <c r="M1585" s="23"/>
      <c r="N1585" s="23"/>
      <c r="P1585" s="23"/>
    </row>
    <row r="1586" spans="2:16" x14ac:dyDescent="0.25">
      <c r="B1586" s="23"/>
      <c r="E1586" s="23"/>
      <c r="G1586" s="23"/>
      <c r="H1586" s="23"/>
      <c r="J1586" s="23"/>
      <c r="K1586" s="23"/>
      <c r="M1586" s="23"/>
      <c r="N1586" s="23"/>
      <c r="P1586" s="23"/>
    </row>
    <row r="1587" spans="2:16" x14ac:dyDescent="0.25">
      <c r="B1587" s="23"/>
      <c r="E1587" s="23"/>
      <c r="G1587" s="23"/>
      <c r="H1587" s="23"/>
      <c r="J1587" s="23"/>
      <c r="K1587" s="23"/>
      <c r="M1587" s="23"/>
      <c r="N1587" s="23"/>
      <c r="P1587" s="23"/>
    </row>
    <row r="1588" spans="2:16" x14ac:dyDescent="0.25">
      <c r="B1588" s="23"/>
      <c r="E1588" s="23"/>
      <c r="G1588" s="23"/>
      <c r="H1588" s="23"/>
      <c r="J1588" s="23"/>
      <c r="K1588" s="23"/>
      <c r="M1588" s="23"/>
      <c r="N1588" s="23"/>
      <c r="P1588" s="23"/>
    </row>
    <row r="1589" spans="2:16" x14ac:dyDescent="0.25">
      <c r="B1589" s="23"/>
      <c r="E1589" s="23"/>
      <c r="G1589" s="23"/>
      <c r="H1589" s="23"/>
      <c r="J1589" s="23"/>
      <c r="K1589" s="23"/>
      <c r="M1589" s="23"/>
      <c r="N1589" s="23"/>
      <c r="P1589" s="23"/>
    </row>
    <row r="1590" spans="2:16" x14ac:dyDescent="0.25">
      <c r="B1590" s="23"/>
      <c r="E1590" s="23"/>
      <c r="G1590" s="23"/>
      <c r="H1590" s="23"/>
      <c r="J1590" s="23"/>
      <c r="K1590" s="23"/>
      <c r="M1590" s="23"/>
      <c r="N1590" s="23"/>
      <c r="P1590" s="23"/>
    </row>
    <row r="1591" spans="2:16" x14ac:dyDescent="0.25">
      <c r="B1591" s="23"/>
      <c r="E1591" s="23"/>
      <c r="G1591" s="23"/>
      <c r="H1591" s="23"/>
      <c r="J1591" s="23"/>
      <c r="K1591" s="23"/>
      <c r="M1591" s="23"/>
      <c r="N1591" s="23"/>
      <c r="P1591" s="23"/>
    </row>
    <row r="1592" spans="2:16" x14ac:dyDescent="0.25">
      <c r="B1592" s="23"/>
      <c r="E1592" s="23"/>
      <c r="G1592" s="23"/>
      <c r="H1592" s="23"/>
      <c r="J1592" s="23"/>
      <c r="K1592" s="23"/>
      <c r="M1592" s="23"/>
      <c r="N1592" s="23"/>
      <c r="P1592" s="23"/>
    </row>
    <row r="1593" spans="2:16" x14ac:dyDescent="0.25">
      <c r="B1593" s="23"/>
      <c r="E1593" s="23"/>
      <c r="G1593" s="23"/>
      <c r="H1593" s="23"/>
      <c r="J1593" s="23"/>
      <c r="K1593" s="23"/>
      <c r="M1593" s="23"/>
      <c r="N1593" s="23"/>
      <c r="P1593" s="23"/>
    </row>
    <row r="1594" spans="2:16" x14ac:dyDescent="0.25">
      <c r="B1594" s="23"/>
      <c r="E1594" s="23"/>
      <c r="G1594" s="23"/>
      <c r="H1594" s="23"/>
      <c r="J1594" s="23"/>
      <c r="K1594" s="23"/>
      <c r="M1594" s="23"/>
      <c r="N1594" s="23"/>
      <c r="P1594" s="23"/>
    </row>
    <row r="1595" spans="2:16" x14ac:dyDescent="0.25">
      <c r="B1595" s="23"/>
      <c r="E1595" s="23"/>
      <c r="G1595" s="23"/>
      <c r="H1595" s="23"/>
      <c r="J1595" s="23"/>
      <c r="K1595" s="23"/>
      <c r="M1595" s="23"/>
      <c r="N1595" s="23"/>
      <c r="P1595" s="23"/>
    </row>
    <row r="1596" spans="2:16" x14ac:dyDescent="0.25">
      <c r="B1596" s="23"/>
      <c r="E1596" s="23"/>
      <c r="G1596" s="23"/>
      <c r="H1596" s="23"/>
      <c r="J1596" s="23"/>
      <c r="K1596" s="23"/>
      <c r="M1596" s="23"/>
      <c r="N1596" s="23"/>
      <c r="P1596" s="23"/>
    </row>
    <row r="1597" spans="2:16" x14ac:dyDescent="0.25">
      <c r="B1597" s="23"/>
      <c r="E1597" s="23"/>
      <c r="G1597" s="23"/>
      <c r="H1597" s="23"/>
      <c r="J1597" s="23"/>
      <c r="K1597" s="23"/>
      <c r="M1597" s="23"/>
      <c r="N1597" s="23"/>
      <c r="P1597" s="23"/>
    </row>
    <row r="1598" spans="2:16" x14ac:dyDescent="0.25">
      <c r="B1598" s="23"/>
      <c r="E1598" s="23"/>
      <c r="G1598" s="23"/>
      <c r="H1598" s="23"/>
      <c r="J1598" s="23"/>
      <c r="K1598" s="23"/>
      <c r="M1598" s="23"/>
      <c r="N1598" s="23"/>
      <c r="P1598" s="23"/>
    </row>
    <row r="1599" spans="2:16" x14ac:dyDescent="0.25">
      <c r="B1599" s="23"/>
      <c r="E1599" s="23"/>
      <c r="G1599" s="23"/>
      <c r="H1599" s="23"/>
      <c r="J1599" s="23"/>
      <c r="K1599" s="23"/>
      <c r="M1599" s="23"/>
      <c r="N1599" s="23"/>
      <c r="P1599" s="23"/>
    </row>
    <row r="1600" spans="2:16" x14ac:dyDescent="0.25">
      <c r="B1600" s="23"/>
      <c r="E1600" s="23"/>
      <c r="G1600" s="23"/>
      <c r="H1600" s="23"/>
      <c r="J1600" s="23"/>
      <c r="K1600" s="23"/>
      <c r="M1600" s="23"/>
      <c r="N1600" s="23"/>
      <c r="P1600" s="23"/>
    </row>
    <row r="1601" spans="2:16" x14ac:dyDescent="0.25">
      <c r="B1601" s="23"/>
      <c r="E1601" s="23"/>
      <c r="G1601" s="23"/>
      <c r="H1601" s="23"/>
      <c r="J1601" s="23"/>
      <c r="K1601" s="23"/>
      <c r="M1601" s="23"/>
      <c r="N1601" s="23"/>
      <c r="P1601" s="23"/>
    </row>
    <row r="1602" spans="2:16" x14ac:dyDescent="0.25">
      <c r="B1602" s="23"/>
      <c r="E1602" s="23"/>
      <c r="G1602" s="23"/>
      <c r="H1602" s="23"/>
      <c r="J1602" s="23"/>
      <c r="K1602" s="23"/>
      <c r="M1602" s="23"/>
      <c r="N1602" s="23"/>
      <c r="P1602" s="23"/>
    </row>
    <row r="1603" spans="2:16" x14ac:dyDescent="0.25">
      <c r="B1603" s="23"/>
      <c r="E1603" s="23"/>
      <c r="G1603" s="23"/>
      <c r="H1603" s="23"/>
      <c r="J1603" s="23"/>
      <c r="K1603" s="23"/>
      <c r="M1603" s="23"/>
      <c r="N1603" s="23"/>
      <c r="P1603" s="23"/>
    </row>
    <row r="1604" spans="2:16" x14ac:dyDescent="0.25">
      <c r="B1604" s="23"/>
      <c r="E1604" s="23"/>
      <c r="G1604" s="23"/>
      <c r="H1604" s="23"/>
      <c r="J1604" s="23"/>
      <c r="K1604" s="23"/>
      <c r="M1604" s="23"/>
      <c r="N1604" s="23"/>
      <c r="P1604" s="23"/>
    </row>
    <row r="1605" spans="2:16" x14ac:dyDescent="0.25">
      <c r="B1605" s="23"/>
      <c r="E1605" s="23"/>
      <c r="G1605" s="23"/>
      <c r="H1605" s="23"/>
      <c r="J1605" s="23"/>
      <c r="K1605" s="23"/>
      <c r="M1605" s="23"/>
      <c r="N1605" s="23"/>
      <c r="P1605" s="23"/>
    </row>
    <row r="1606" spans="2:16" x14ac:dyDescent="0.25">
      <c r="B1606" s="23"/>
      <c r="E1606" s="23"/>
      <c r="G1606" s="23"/>
      <c r="H1606" s="23"/>
      <c r="J1606" s="23"/>
      <c r="K1606" s="23"/>
      <c r="M1606" s="23"/>
      <c r="N1606" s="23"/>
      <c r="P1606" s="23"/>
    </row>
    <row r="1607" spans="2:16" x14ac:dyDescent="0.25">
      <c r="B1607" s="23"/>
      <c r="E1607" s="23"/>
      <c r="G1607" s="23"/>
      <c r="H1607" s="23"/>
      <c r="J1607" s="23"/>
      <c r="K1607" s="23"/>
      <c r="M1607" s="23"/>
      <c r="N1607" s="23"/>
      <c r="P1607" s="23"/>
    </row>
    <row r="1608" spans="2:16" x14ac:dyDescent="0.25">
      <c r="B1608" s="23"/>
      <c r="E1608" s="23"/>
      <c r="G1608" s="23"/>
      <c r="H1608" s="23"/>
      <c r="J1608" s="23"/>
      <c r="K1608" s="23"/>
      <c r="M1608" s="23"/>
      <c r="N1608" s="23"/>
      <c r="P1608" s="23"/>
    </row>
    <row r="1609" spans="2:16" x14ac:dyDescent="0.25">
      <c r="B1609" s="23"/>
      <c r="E1609" s="23"/>
      <c r="G1609" s="23"/>
      <c r="H1609" s="23"/>
      <c r="J1609" s="23"/>
      <c r="K1609" s="23"/>
      <c r="M1609" s="23"/>
      <c r="N1609" s="23"/>
      <c r="P1609" s="23"/>
    </row>
    <row r="1610" spans="2:16" x14ac:dyDescent="0.25">
      <c r="B1610" s="23"/>
      <c r="E1610" s="23"/>
      <c r="G1610" s="23"/>
      <c r="H1610" s="23"/>
      <c r="J1610" s="23"/>
      <c r="K1610" s="23"/>
      <c r="M1610" s="23"/>
      <c r="N1610" s="23"/>
      <c r="P1610" s="23"/>
    </row>
    <row r="1611" spans="2:16" x14ac:dyDescent="0.25">
      <c r="B1611" s="23"/>
      <c r="E1611" s="23"/>
      <c r="G1611" s="23"/>
      <c r="H1611" s="23"/>
      <c r="J1611" s="23"/>
      <c r="K1611" s="23"/>
      <c r="M1611" s="23"/>
      <c r="N1611" s="23"/>
      <c r="P1611" s="23"/>
    </row>
    <row r="1612" spans="2:16" x14ac:dyDescent="0.25">
      <c r="B1612" s="23"/>
      <c r="E1612" s="23"/>
      <c r="G1612" s="23"/>
      <c r="H1612" s="23"/>
      <c r="J1612" s="23"/>
      <c r="K1612" s="23"/>
      <c r="M1612" s="23"/>
      <c r="N1612" s="23"/>
      <c r="P1612" s="23"/>
    </row>
    <row r="1613" spans="2:16" x14ac:dyDescent="0.25">
      <c r="B1613" s="23"/>
      <c r="E1613" s="23"/>
      <c r="G1613" s="23"/>
      <c r="H1613" s="23"/>
      <c r="J1613" s="23"/>
      <c r="K1613" s="23"/>
      <c r="M1613" s="23"/>
      <c r="N1613" s="23"/>
      <c r="P1613" s="23"/>
    </row>
    <row r="1614" spans="2:16" x14ac:dyDescent="0.25">
      <c r="B1614" s="23"/>
      <c r="E1614" s="23"/>
      <c r="G1614" s="23"/>
      <c r="H1614" s="23"/>
      <c r="J1614" s="23"/>
      <c r="K1614" s="23"/>
      <c r="M1614" s="23"/>
      <c r="N1614" s="23"/>
      <c r="P1614" s="23"/>
    </row>
    <row r="1615" spans="2:16" x14ac:dyDescent="0.25">
      <c r="B1615" s="23"/>
      <c r="E1615" s="23"/>
      <c r="G1615" s="23"/>
      <c r="H1615" s="23"/>
      <c r="J1615" s="23"/>
      <c r="K1615" s="23"/>
      <c r="M1615" s="23"/>
      <c r="N1615" s="23"/>
      <c r="P1615" s="23"/>
    </row>
    <row r="1616" spans="2:16" x14ac:dyDescent="0.25">
      <c r="B1616" s="23"/>
      <c r="E1616" s="23"/>
      <c r="G1616" s="23"/>
      <c r="H1616" s="23"/>
      <c r="J1616" s="23"/>
      <c r="K1616" s="23"/>
      <c r="M1616" s="23"/>
      <c r="N1616" s="23"/>
      <c r="P1616" s="23"/>
    </row>
    <row r="1617" spans="2:16" x14ac:dyDescent="0.25">
      <c r="B1617" s="23"/>
      <c r="E1617" s="23"/>
      <c r="G1617" s="23"/>
      <c r="H1617" s="23"/>
      <c r="J1617" s="23"/>
      <c r="K1617" s="23"/>
      <c r="M1617" s="23"/>
      <c r="N1617" s="23"/>
      <c r="P1617" s="23"/>
    </row>
    <row r="1618" spans="2:16" x14ac:dyDescent="0.25">
      <c r="B1618" s="23"/>
      <c r="E1618" s="23"/>
      <c r="G1618" s="23"/>
      <c r="H1618" s="23"/>
      <c r="J1618" s="23"/>
      <c r="K1618" s="23"/>
      <c r="M1618" s="23"/>
      <c r="N1618" s="23"/>
      <c r="P1618" s="23"/>
    </row>
    <row r="1619" spans="2:16" x14ac:dyDescent="0.25">
      <c r="B1619" s="23"/>
      <c r="E1619" s="23"/>
      <c r="G1619" s="23"/>
      <c r="H1619" s="23"/>
      <c r="J1619" s="23"/>
      <c r="K1619" s="23"/>
      <c r="M1619" s="23"/>
      <c r="N1619" s="23"/>
      <c r="P1619" s="23"/>
    </row>
    <row r="1620" spans="2:16" x14ac:dyDescent="0.25">
      <c r="B1620" s="23"/>
      <c r="E1620" s="23"/>
      <c r="G1620" s="23"/>
      <c r="H1620" s="23"/>
      <c r="J1620" s="23"/>
      <c r="K1620" s="23"/>
      <c r="M1620" s="23"/>
      <c r="N1620" s="23"/>
      <c r="P1620" s="23"/>
    </row>
    <row r="1621" spans="2:16" x14ac:dyDescent="0.25">
      <c r="B1621" s="23"/>
      <c r="E1621" s="23"/>
      <c r="G1621" s="23"/>
      <c r="H1621" s="23"/>
      <c r="J1621" s="23"/>
      <c r="K1621" s="23"/>
      <c r="M1621" s="23"/>
      <c r="N1621" s="23"/>
      <c r="P1621" s="23"/>
    </row>
    <row r="1622" spans="2:16" x14ac:dyDescent="0.25">
      <c r="B1622" s="23"/>
      <c r="E1622" s="23"/>
      <c r="G1622" s="23"/>
      <c r="H1622" s="23"/>
      <c r="J1622" s="23"/>
      <c r="K1622" s="23"/>
      <c r="M1622" s="23"/>
      <c r="N1622" s="23"/>
      <c r="P1622" s="23"/>
    </row>
    <row r="1623" spans="2:16" x14ac:dyDescent="0.25">
      <c r="B1623" s="23"/>
      <c r="E1623" s="23"/>
      <c r="G1623" s="23"/>
      <c r="H1623" s="23"/>
      <c r="J1623" s="23"/>
      <c r="K1623" s="23"/>
      <c r="M1623" s="23"/>
      <c r="N1623" s="23"/>
      <c r="P1623" s="23"/>
    </row>
    <row r="1624" spans="2:16" x14ac:dyDescent="0.25">
      <c r="B1624" s="23"/>
      <c r="E1624" s="23"/>
      <c r="G1624" s="23"/>
      <c r="H1624" s="23"/>
      <c r="J1624" s="23"/>
      <c r="K1624" s="23"/>
      <c r="M1624" s="23"/>
      <c r="N1624" s="23"/>
      <c r="P1624" s="23"/>
    </row>
    <row r="1625" spans="2:16" x14ac:dyDescent="0.25">
      <c r="B1625" s="23"/>
      <c r="E1625" s="23"/>
      <c r="G1625" s="23"/>
      <c r="H1625" s="23"/>
      <c r="J1625" s="23"/>
      <c r="K1625" s="23"/>
      <c r="M1625" s="23"/>
      <c r="N1625" s="23"/>
      <c r="P1625" s="23"/>
    </row>
    <row r="1626" spans="2:16" x14ac:dyDescent="0.25">
      <c r="B1626" s="23"/>
      <c r="E1626" s="23"/>
      <c r="G1626" s="23"/>
      <c r="H1626" s="23"/>
      <c r="J1626" s="23"/>
      <c r="K1626" s="23"/>
      <c r="M1626" s="23"/>
      <c r="N1626" s="23"/>
      <c r="P1626" s="23"/>
    </row>
    <row r="1627" spans="2:16" x14ac:dyDescent="0.25">
      <c r="B1627" s="23"/>
      <c r="E1627" s="23"/>
      <c r="G1627" s="23"/>
      <c r="H1627" s="23"/>
      <c r="J1627" s="23"/>
      <c r="K1627" s="23"/>
      <c r="M1627" s="23"/>
      <c r="N1627" s="23"/>
      <c r="P1627" s="23"/>
    </row>
    <row r="1628" spans="2:16" x14ac:dyDescent="0.25">
      <c r="B1628" s="23"/>
      <c r="E1628" s="23"/>
      <c r="G1628" s="23"/>
      <c r="H1628" s="23"/>
      <c r="J1628" s="23"/>
      <c r="K1628" s="23"/>
      <c r="M1628" s="23"/>
      <c r="N1628" s="23"/>
      <c r="P1628" s="23"/>
    </row>
    <row r="1629" spans="2:16" x14ac:dyDescent="0.25">
      <c r="B1629" s="23"/>
      <c r="E1629" s="23"/>
      <c r="G1629" s="23"/>
      <c r="H1629" s="23"/>
      <c r="J1629" s="23"/>
      <c r="K1629" s="23"/>
      <c r="M1629" s="23"/>
      <c r="N1629" s="23"/>
      <c r="P1629" s="23"/>
    </row>
    <row r="1630" spans="2:16" x14ac:dyDescent="0.25">
      <c r="B1630" s="23"/>
      <c r="E1630" s="23"/>
      <c r="G1630" s="23"/>
      <c r="H1630" s="23"/>
      <c r="J1630" s="23"/>
      <c r="K1630" s="23"/>
      <c r="M1630" s="23"/>
      <c r="N1630" s="23"/>
      <c r="P1630" s="23"/>
    </row>
    <row r="1631" spans="2:16" x14ac:dyDescent="0.25">
      <c r="B1631" s="23"/>
      <c r="E1631" s="23"/>
      <c r="G1631" s="23"/>
      <c r="H1631" s="23"/>
      <c r="J1631" s="23"/>
      <c r="K1631" s="23"/>
      <c r="M1631" s="23"/>
      <c r="N1631" s="23"/>
      <c r="P1631" s="23"/>
    </row>
    <row r="1632" spans="2:16" x14ac:dyDescent="0.25">
      <c r="B1632" s="23"/>
      <c r="E1632" s="23"/>
      <c r="G1632" s="23"/>
      <c r="H1632" s="23"/>
      <c r="J1632" s="23"/>
      <c r="K1632" s="23"/>
      <c r="M1632" s="23"/>
      <c r="N1632" s="23"/>
      <c r="P1632" s="23"/>
    </row>
    <row r="1633" spans="2:16" x14ac:dyDescent="0.25">
      <c r="B1633" s="23"/>
      <c r="E1633" s="23"/>
      <c r="G1633" s="23"/>
      <c r="H1633" s="23"/>
      <c r="J1633" s="23"/>
      <c r="K1633" s="23"/>
      <c r="M1633" s="23"/>
      <c r="N1633" s="23"/>
      <c r="P1633" s="23"/>
    </row>
    <row r="1634" spans="2:16" x14ac:dyDescent="0.25">
      <c r="B1634" s="23"/>
      <c r="E1634" s="23"/>
      <c r="G1634" s="23"/>
      <c r="H1634" s="23"/>
      <c r="J1634" s="23"/>
      <c r="K1634" s="23"/>
      <c r="M1634" s="23"/>
      <c r="N1634" s="23"/>
      <c r="P1634" s="23"/>
    </row>
    <row r="1635" spans="2:16" x14ac:dyDescent="0.25">
      <c r="B1635" s="23"/>
      <c r="E1635" s="23"/>
      <c r="G1635" s="23"/>
      <c r="H1635" s="23"/>
      <c r="J1635" s="23"/>
      <c r="K1635" s="23"/>
      <c r="M1635" s="23"/>
      <c r="N1635" s="23"/>
      <c r="P1635" s="23"/>
    </row>
    <row r="1636" spans="2:16" x14ac:dyDescent="0.25">
      <c r="B1636" s="23"/>
      <c r="E1636" s="23"/>
      <c r="G1636" s="23"/>
      <c r="H1636" s="23"/>
      <c r="J1636" s="23"/>
      <c r="K1636" s="23"/>
      <c r="M1636" s="23"/>
      <c r="N1636" s="23"/>
      <c r="P1636" s="23"/>
    </row>
    <row r="1637" spans="2:16" x14ac:dyDescent="0.25">
      <c r="B1637" s="23"/>
      <c r="E1637" s="23"/>
      <c r="G1637" s="23"/>
      <c r="H1637" s="23"/>
      <c r="J1637" s="23"/>
      <c r="K1637" s="23"/>
      <c r="M1637" s="23"/>
      <c r="N1637" s="23"/>
      <c r="P1637" s="23"/>
    </row>
    <row r="1638" spans="2:16" x14ac:dyDescent="0.25">
      <c r="B1638" s="23"/>
      <c r="E1638" s="23"/>
      <c r="G1638" s="23"/>
      <c r="H1638" s="23"/>
      <c r="J1638" s="23"/>
      <c r="K1638" s="23"/>
      <c r="M1638" s="23"/>
      <c r="N1638" s="23"/>
      <c r="P1638" s="23"/>
    </row>
    <row r="1639" spans="2:16" x14ac:dyDescent="0.25">
      <c r="B1639" s="23"/>
      <c r="E1639" s="23"/>
      <c r="G1639" s="23"/>
      <c r="H1639" s="23"/>
      <c r="J1639" s="23"/>
      <c r="K1639" s="23"/>
      <c r="M1639" s="23"/>
      <c r="N1639" s="23"/>
      <c r="P1639" s="23"/>
    </row>
    <row r="1640" spans="2:16" x14ac:dyDescent="0.25">
      <c r="B1640" s="23"/>
      <c r="E1640" s="23"/>
      <c r="G1640" s="23"/>
      <c r="H1640" s="23"/>
      <c r="J1640" s="23"/>
      <c r="K1640" s="23"/>
      <c r="M1640" s="23"/>
      <c r="N1640" s="23"/>
      <c r="P1640" s="23"/>
    </row>
    <row r="1641" spans="2:16" x14ac:dyDescent="0.25">
      <c r="B1641" s="23"/>
      <c r="E1641" s="23"/>
      <c r="G1641" s="23"/>
      <c r="H1641" s="23"/>
      <c r="J1641" s="23"/>
      <c r="K1641" s="23"/>
      <c r="M1641" s="23"/>
      <c r="N1641" s="23"/>
      <c r="P1641" s="23"/>
    </row>
    <row r="1642" spans="2:16" x14ac:dyDescent="0.25">
      <c r="B1642" s="23"/>
      <c r="E1642" s="23"/>
      <c r="G1642" s="23"/>
      <c r="H1642" s="23"/>
      <c r="J1642" s="23"/>
      <c r="K1642" s="23"/>
      <c r="M1642" s="23"/>
      <c r="N1642" s="23"/>
      <c r="P1642" s="23"/>
    </row>
    <row r="1643" spans="2:16" x14ac:dyDescent="0.25">
      <c r="B1643" s="23"/>
      <c r="E1643" s="23"/>
      <c r="G1643" s="23"/>
      <c r="H1643" s="23"/>
      <c r="J1643" s="23"/>
      <c r="K1643" s="23"/>
      <c r="M1643" s="23"/>
      <c r="N1643" s="23"/>
      <c r="P1643" s="23"/>
    </row>
    <row r="1644" spans="2:16" x14ac:dyDescent="0.25">
      <c r="B1644" s="23"/>
      <c r="E1644" s="23"/>
      <c r="G1644" s="23"/>
      <c r="H1644" s="23"/>
      <c r="J1644" s="23"/>
      <c r="K1644" s="23"/>
      <c r="M1644" s="23"/>
      <c r="N1644" s="23"/>
      <c r="P1644" s="23"/>
    </row>
    <row r="1645" spans="2:16" x14ac:dyDescent="0.25">
      <c r="B1645" s="23"/>
      <c r="E1645" s="23"/>
      <c r="G1645" s="23"/>
      <c r="H1645" s="23"/>
      <c r="J1645" s="23"/>
      <c r="K1645" s="23"/>
      <c r="M1645" s="23"/>
      <c r="N1645" s="23"/>
      <c r="P1645" s="23"/>
    </row>
    <row r="1646" spans="2:16" x14ac:dyDescent="0.25">
      <c r="B1646" s="23"/>
      <c r="E1646" s="23"/>
      <c r="G1646" s="23"/>
      <c r="H1646" s="23"/>
      <c r="J1646" s="23"/>
      <c r="K1646" s="23"/>
      <c r="M1646" s="23"/>
      <c r="N1646" s="23"/>
      <c r="P1646" s="23"/>
    </row>
    <row r="1647" spans="2:16" x14ac:dyDescent="0.25">
      <c r="B1647" s="23"/>
      <c r="E1647" s="23"/>
      <c r="G1647" s="23"/>
      <c r="H1647" s="23"/>
      <c r="J1647" s="23"/>
      <c r="K1647" s="23"/>
      <c r="M1647" s="23"/>
      <c r="N1647" s="23"/>
      <c r="P1647" s="23"/>
    </row>
    <row r="1648" spans="2:16" x14ac:dyDescent="0.25">
      <c r="B1648" s="23"/>
      <c r="E1648" s="23"/>
      <c r="G1648" s="23"/>
      <c r="H1648" s="23"/>
      <c r="J1648" s="23"/>
      <c r="K1648" s="23"/>
      <c r="M1648" s="23"/>
      <c r="N1648" s="23"/>
      <c r="P1648" s="23"/>
    </row>
    <row r="1649" spans="2:16" x14ac:dyDescent="0.25">
      <c r="B1649" s="23"/>
      <c r="E1649" s="23"/>
      <c r="G1649" s="23"/>
      <c r="H1649" s="23"/>
      <c r="J1649" s="23"/>
      <c r="K1649" s="23"/>
      <c r="M1649" s="23"/>
      <c r="N1649" s="23"/>
      <c r="P1649" s="23"/>
    </row>
    <row r="1650" spans="2:16" x14ac:dyDescent="0.25">
      <c r="B1650" s="23"/>
      <c r="E1650" s="23"/>
      <c r="G1650" s="23"/>
      <c r="H1650" s="23"/>
      <c r="J1650" s="23"/>
      <c r="K1650" s="23"/>
      <c r="M1650" s="23"/>
      <c r="N1650" s="23"/>
      <c r="P1650" s="23"/>
    </row>
    <row r="1651" spans="2:16" x14ac:dyDescent="0.25">
      <c r="B1651" s="23"/>
      <c r="E1651" s="23"/>
      <c r="G1651" s="23"/>
      <c r="H1651" s="23"/>
      <c r="J1651" s="23"/>
      <c r="K1651" s="23"/>
      <c r="M1651" s="23"/>
      <c r="N1651" s="23"/>
      <c r="P1651" s="23"/>
    </row>
    <row r="1652" spans="2:16" x14ac:dyDescent="0.25">
      <c r="B1652" s="23"/>
      <c r="E1652" s="23"/>
      <c r="G1652" s="23"/>
      <c r="H1652" s="23"/>
      <c r="J1652" s="23"/>
      <c r="K1652" s="23"/>
      <c r="M1652" s="23"/>
      <c r="N1652" s="23"/>
      <c r="P1652" s="23"/>
    </row>
    <row r="1653" spans="2:16" x14ac:dyDescent="0.25">
      <c r="B1653" s="23"/>
      <c r="E1653" s="23"/>
      <c r="G1653" s="23"/>
      <c r="H1653" s="23"/>
      <c r="J1653" s="23"/>
      <c r="K1653" s="23"/>
      <c r="M1653" s="23"/>
      <c r="N1653" s="23"/>
      <c r="P1653" s="23"/>
    </row>
    <row r="1654" spans="2:16" x14ac:dyDescent="0.25">
      <c r="B1654" s="23"/>
      <c r="E1654" s="23"/>
      <c r="G1654" s="23"/>
      <c r="H1654" s="23"/>
      <c r="J1654" s="23"/>
      <c r="K1654" s="23"/>
      <c r="M1654" s="23"/>
      <c r="N1654" s="23"/>
      <c r="P1654" s="23"/>
    </row>
    <row r="1655" spans="2:16" x14ac:dyDescent="0.25">
      <c r="B1655" s="23"/>
      <c r="E1655" s="23"/>
      <c r="G1655" s="23"/>
      <c r="H1655" s="23"/>
      <c r="J1655" s="23"/>
      <c r="K1655" s="23"/>
      <c r="M1655" s="23"/>
      <c r="N1655" s="23"/>
      <c r="P1655" s="23"/>
    </row>
    <row r="1656" spans="2:16" x14ac:dyDescent="0.25">
      <c r="B1656" s="23"/>
      <c r="E1656" s="23"/>
      <c r="G1656" s="23"/>
      <c r="H1656" s="23"/>
      <c r="J1656" s="23"/>
      <c r="K1656" s="23"/>
      <c r="M1656" s="23"/>
      <c r="N1656" s="23"/>
      <c r="P1656" s="23"/>
    </row>
    <row r="1657" spans="2:16" x14ac:dyDescent="0.25">
      <c r="B1657" s="23"/>
      <c r="E1657" s="23"/>
      <c r="G1657" s="23"/>
      <c r="H1657" s="23"/>
      <c r="J1657" s="23"/>
      <c r="K1657" s="23"/>
      <c r="M1657" s="23"/>
      <c r="N1657" s="23"/>
      <c r="P1657" s="23"/>
    </row>
    <row r="1658" spans="2:16" x14ac:dyDescent="0.25">
      <c r="B1658" s="23"/>
      <c r="E1658" s="23"/>
      <c r="G1658" s="23"/>
      <c r="H1658" s="23"/>
      <c r="J1658" s="23"/>
      <c r="K1658" s="23"/>
      <c r="M1658" s="23"/>
      <c r="N1658" s="23"/>
      <c r="P1658" s="23"/>
    </row>
    <row r="1659" spans="2:16" x14ac:dyDescent="0.25">
      <c r="B1659" s="23"/>
      <c r="E1659" s="23"/>
      <c r="G1659" s="23"/>
      <c r="H1659" s="23"/>
      <c r="J1659" s="23"/>
      <c r="K1659" s="23"/>
      <c r="M1659" s="23"/>
      <c r="N1659" s="23"/>
      <c r="P1659" s="23"/>
    </row>
    <row r="1660" spans="2:16" x14ac:dyDescent="0.25">
      <c r="B1660" s="23"/>
      <c r="E1660" s="23"/>
      <c r="G1660" s="23"/>
      <c r="H1660" s="23"/>
      <c r="J1660" s="23"/>
      <c r="K1660" s="23"/>
      <c r="M1660" s="23"/>
      <c r="N1660" s="23"/>
      <c r="P1660" s="23"/>
    </row>
    <row r="1661" spans="2:16" x14ac:dyDescent="0.25">
      <c r="B1661" s="23"/>
      <c r="E1661" s="23"/>
      <c r="G1661" s="23"/>
      <c r="H1661" s="23"/>
      <c r="J1661" s="23"/>
      <c r="K1661" s="23"/>
      <c r="M1661" s="23"/>
      <c r="N1661" s="23"/>
      <c r="P1661" s="23"/>
    </row>
    <row r="1662" spans="2:16" x14ac:dyDescent="0.25">
      <c r="B1662" s="23"/>
      <c r="E1662" s="23"/>
      <c r="G1662" s="23"/>
      <c r="H1662" s="23"/>
      <c r="J1662" s="23"/>
      <c r="K1662" s="23"/>
      <c r="M1662" s="23"/>
      <c r="N1662" s="23"/>
      <c r="P1662" s="23"/>
    </row>
    <row r="1663" spans="2:16" x14ac:dyDescent="0.25">
      <c r="B1663" s="23"/>
      <c r="E1663" s="23"/>
      <c r="G1663" s="23"/>
      <c r="H1663" s="23"/>
      <c r="J1663" s="23"/>
      <c r="K1663" s="23"/>
      <c r="M1663" s="23"/>
      <c r="N1663" s="23"/>
      <c r="P1663" s="23"/>
    </row>
    <row r="1664" spans="2:16" x14ac:dyDescent="0.25">
      <c r="B1664" s="23"/>
      <c r="E1664" s="23"/>
      <c r="G1664" s="23"/>
      <c r="H1664" s="23"/>
      <c r="J1664" s="23"/>
      <c r="K1664" s="23"/>
      <c r="M1664" s="23"/>
      <c r="N1664" s="23"/>
      <c r="P1664" s="23"/>
    </row>
    <row r="1665" spans="2:16" x14ac:dyDescent="0.25">
      <c r="B1665" s="23"/>
      <c r="E1665" s="23"/>
      <c r="G1665" s="23"/>
      <c r="H1665" s="23"/>
      <c r="J1665" s="23"/>
      <c r="K1665" s="23"/>
      <c r="M1665" s="23"/>
      <c r="N1665" s="23"/>
      <c r="P1665" s="23"/>
    </row>
    <row r="1666" spans="2:16" x14ac:dyDescent="0.25">
      <c r="B1666" s="23"/>
      <c r="E1666" s="23"/>
      <c r="G1666" s="23"/>
      <c r="H1666" s="23"/>
      <c r="J1666" s="23"/>
      <c r="K1666" s="23"/>
      <c r="M1666" s="23"/>
      <c r="N1666" s="23"/>
      <c r="P1666" s="23"/>
    </row>
    <row r="1667" spans="2:16" x14ac:dyDescent="0.25">
      <c r="B1667" s="23"/>
      <c r="E1667" s="23"/>
      <c r="G1667" s="23"/>
      <c r="H1667" s="23"/>
      <c r="J1667" s="23"/>
      <c r="K1667" s="23"/>
      <c r="M1667" s="23"/>
      <c r="N1667" s="23"/>
      <c r="P1667" s="23"/>
    </row>
    <row r="1668" spans="2:16" x14ac:dyDescent="0.25">
      <c r="B1668" s="23"/>
      <c r="E1668" s="23"/>
      <c r="G1668" s="23"/>
      <c r="H1668" s="23"/>
      <c r="J1668" s="23"/>
      <c r="K1668" s="23"/>
      <c r="M1668" s="23"/>
      <c r="N1668" s="23"/>
      <c r="P1668" s="23"/>
    </row>
    <row r="1669" spans="2:16" x14ac:dyDescent="0.25">
      <c r="B1669" s="23"/>
      <c r="E1669" s="23"/>
      <c r="G1669" s="23"/>
      <c r="H1669" s="23"/>
      <c r="J1669" s="23"/>
      <c r="K1669" s="23"/>
      <c r="M1669" s="23"/>
      <c r="N1669" s="23"/>
      <c r="P1669" s="23"/>
    </row>
    <row r="1670" spans="2:16" x14ac:dyDescent="0.25">
      <c r="B1670" s="23"/>
      <c r="E1670" s="23"/>
      <c r="G1670" s="23"/>
      <c r="H1670" s="23"/>
      <c r="J1670" s="23"/>
      <c r="K1670" s="23"/>
      <c r="M1670" s="23"/>
      <c r="N1670" s="23"/>
      <c r="P1670" s="23"/>
    </row>
    <row r="1671" spans="2:16" x14ac:dyDescent="0.25">
      <c r="B1671" s="23"/>
      <c r="E1671" s="23"/>
      <c r="G1671" s="23"/>
      <c r="H1671" s="23"/>
      <c r="J1671" s="23"/>
      <c r="K1671" s="23"/>
      <c r="M1671" s="23"/>
      <c r="N1671" s="23"/>
      <c r="P1671" s="23"/>
    </row>
    <row r="1672" spans="2:16" x14ac:dyDescent="0.25">
      <c r="B1672" s="23"/>
      <c r="E1672" s="23"/>
      <c r="G1672" s="23"/>
      <c r="H1672" s="23"/>
      <c r="J1672" s="23"/>
      <c r="K1672" s="23"/>
      <c r="M1672" s="23"/>
      <c r="N1672" s="23"/>
      <c r="P1672" s="23"/>
    </row>
    <row r="1673" spans="2:16" x14ac:dyDescent="0.25">
      <c r="B1673" s="23"/>
      <c r="E1673" s="23"/>
      <c r="G1673" s="23"/>
      <c r="H1673" s="23"/>
      <c r="J1673" s="23"/>
      <c r="K1673" s="23"/>
      <c r="M1673" s="23"/>
      <c r="N1673" s="23"/>
      <c r="P1673" s="23"/>
    </row>
    <row r="1674" spans="2:16" x14ac:dyDescent="0.25">
      <c r="B1674" s="23"/>
      <c r="E1674" s="23"/>
      <c r="G1674" s="23"/>
      <c r="H1674" s="23"/>
      <c r="J1674" s="23"/>
      <c r="K1674" s="23"/>
      <c r="M1674" s="23"/>
      <c r="N1674" s="23"/>
      <c r="P1674" s="23"/>
    </row>
    <row r="1675" spans="2:16" x14ac:dyDescent="0.25">
      <c r="B1675" s="23"/>
      <c r="E1675" s="23"/>
      <c r="G1675" s="23"/>
      <c r="H1675" s="23"/>
      <c r="J1675" s="23"/>
      <c r="K1675" s="23"/>
      <c r="M1675" s="23"/>
      <c r="N1675" s="23"/>
      <c r="P1675" s="23"/>
    </row>
    <row r="1676" spans="2:16" x14ac:dyDescent="0.25">
      <c r="B1676" s="23"/>
      <c r="E1676" s="23"/>
      <c r="G1676" s="23"/>
      <c r="H1676" s="23"/>
      <c r="J1676" s="23"/>
      <c r="K1676" s="23"/>
      <c r="M1676" s="23"/>
      <c r="N1676" s="23"/>
      <c r="P1676" s="23"/>
    </row>
    <row r="1677" spans="2:16" x14ac:dyDescent="0.25">
      <c r="B1677" s="23"/>
      <c r="E1677" s="23"/>
      <c r="G1677" s="23"/>
      <c r="H1677" s="23"/>
      <c r="J1677" s="23"/>
      <c r="K1677" s="23"/>
      <c r="M1677" s="23"/>
      <c r="N1677" s="23"/>
      <c r="P1677" s="23"/>
    </row>
    <row r="1678" spans="2:16" x14ac:dyDescent="0.25">
      <c r="B1678" s="23"/>
      <c r="E1678" s="23"/>
      <c r="G1678" s="23"/>
      <c r="H1678" s="23"/>
      <c r="J1678" s="23"/>
      <c r="K1678" s="23"/>
      <c r="M1678" s="23"/>
      <c r="N1678" s="23"/>
      <c r="P1678" s="23"/>
    </row>
    <row r="1679" spans="2:16" x14ac:dyDescent="0.25">
      <c r="B1679" s="23"/>
      <c r="E1679" s="23"/>
      <c r="G1679" s="23"/>
      <c r="H1679" s="23"/>
      <c r="J1679" s="23"/>
      <c r="K1679" s="23"/>
      <c r="M1679" s="23"/>
      <c r="N1679" s="23"/>
      <c r="P1679" s="23"/>
    </row>
    <row r="1680" spans="2:16" x14ac:dyDescent="0.25">
      <c r="B1680" s="23"/>
      <c r="E1680" s="23"/>
      <c r="G1680" s="23"/>
      <c r="H1680" s="23"/>
      <c r="J1680" s="23"/>
      <c r="K1680" s="23"/>
      <c r="M1680" s="23"/>
      <c r="N1680" s="23"/>
      <c r="P1680" s="23"/>
    </row>
    <row r="1681" spans="2:16" x14ac:dyDescent="0.25">
      <c r="B1681" s="23"/>
      <c r="E1681" s="23"/>
      <c r="G1681" s="23"/>
      <c r="H1681" s="23"/>
      <c r="J1681" s="23"/>
      <c r="K1681" s="23"/>
      <c r="M1681" s="23"/>
      <c r="N1681" s="23"/>
      <c r="P1681" s="23"/>
    </row>
    <row r="1682" spans="2:16" x14ac:dyDescent="0.25">
      <c r="B1682" s="23"/>
      <c r="E1682" s="23"/>
      <c r="G1682" s="23"/>
      <c r="H1682" s="23"/>
      <c r="J1682" s="23"/>
      <c r="K1682" s="23"/>
      <c r="M1682" s="23"/>
      <c r="N1682" s="23"/>
      <c r="P1682" s="23"/>
    </row>
    <row r="1683" spans="2:16" x14ac:dyDescent="0.25">
      <c r="B1683" s="23"/>
      <c r="E1683" s="23"/>
      <c r="G1683" s="23"/>
      <c r="H1683" s="23"/>
      <c r="J1683" s="23"/>
      <c r="K1683" s="23"/>
      <c r="M1683" s="23"/>
      <c r="N1683" s="23"/>
      <c r="P1683" s="23"/>
    </row>
    <row r="1684" spans="2:16" x14ac:dyDescent="0.25">
      <c r="B1684" s="23"/>
      <c r="E1684" s="23"/>
      <c r="G1684" s="23"/>
      <c r="H1684" s="23"/>
      <c r="J1684" s="23"/>
      <c r="K1684" s="23"/>
      <c r="M1684" s="23"/>
      <c r="N1684" s="23"/>
      <c r="P1684" s="23"/>
    </row>
    <row r="1685" spans="2:16" x14ac:dyDescent="0.25">
      <c r="B1685" s="23"/>
      <c r="E1685" s="23"/>
      <c r="G1685" s="23"/>
      <c r="H1685" s="23"/>
      <c r="J1685" s="23"/>
      <c r="K1685" s="23"/>
      <c r="M1685" s="23"/>
      <c r="N1685" s="23"/>
      <c r="P1685" s="23"/>
    </row>
    <row r="1686" spans="2:16" x14ac:dyDescent="0.25">
      <c r="B1686" s="23"/>
      <c r="E1686" s="23"/>
      <c r="G1686" s="23"/>
      <c r="H1686" s="23"/>
      <c r="J1686" s="23"/>
      <c r="K1686" s="23"/>
      <c r="M1686" s="23"/>
      <c r="N1686" s="23"/>
      <c r="P1686" s="23"/>
    </row>
    <row r="1687" spans="2:16" x14ac:dyDescent="0.25">
      <c r="B1687" s="23"/>
      <c r="E1687" s="23"/>
      <c r="G1687" s="23"/>
      <c r="H1687" s="23"/>
      <c r="J1687" s="23"/>
      <c r="K1687" s="23"/>
      <c r="M1687" s="23"/>
      <c r="N1687" s="23"/>
      <c r="P1687" s="23"/>
    </row>
    <row r="1688" spans="2:16" x14ac:dyDescent="0.25">
      <c r="B1688" s="23"/>
      <c r="E1688" s="23"/>
      <c r="G1688" s="23"/>
      <c r="H1688" s="23"/>
      <c r="J1688" s="23"/>
      <c r="K1688" s="23"/>
      <c r="M1688" s="23"/>
      <c r="N1688" s="23"/>
      <c r="P1688" s="23"/>
    </row>
    <row r="1689" spans="2:16" x14ac:dyDescent="0.25">
      <c r="B1689" s="23"/>
      <c r="E1689" s="23"/>
      <c r="G1689" s="23"/>
      <c r="H1689" s="23"/>
      <c r="J1689" s="23"/>
      <c r="K1689" s="23"/>
      <c r="M1689" s="23"/>
      <c r="N1689" s="23"/>
      <c r="P1689" s="23"/>
    </row>
    <row r="1690" spans="2:16" x14ac:dyDescent="0.25">
      <c r="B1690" s="23"/>
      <c r="E1690" s="23"/>
      <c r="G1690" s="23"/>
      <c r="H1690" s="23"/>
      <c r="J1690" s="23"/>
      <c r="K1690" s="23"/>
      <c r="M1690" s="23"/>
      <c r="N1690" s="23"/>
      <c r="P1690" s="23"/>
    </row>
    <row r="1691" spans="2:16" x14ac:dyDescent="0.25">
      <c r="B1691" s="23"/>
      <c r="E1691" s="23"/>
      <c r="G1691" s="23"/>
      <c r="H1691" s="23"/>
      <c r="J1691" s="23"/>
      <c r="K1691" s="23"/>
      <c r="M1691" s="23"/>
      <c r="N1691" s="23"/>
      <c r="P1691" s="23"/>
    </row>
    <row r="1692" spans="2:16" x14ac:dyDescent="0.25">
      <c r="B1692" s="23"/>
      <c r="E1692" s="23"/>
      <c r="G1692" s="23"/>
      <c r="H1692" s="23"/>
      <c r="J1692" s="23"/>
      <c r="K1692" s="23"/>
      <c r="M1692" s="23"/>
      <c r="N1692" s="23"/>
      <c r="P1692" s="23"/>
    </row>
    <row r="1693" spans="2:16" x14ac:dyDescent="0.25">
      <c r="B1693" s="23"/>
      <c r="E1693" s="23"/>
      <c r="G1693" s="23"/>
      <c r="H1693" s="23"/>
      <c r="J1693" s="23"/>
      <c r="K1693" s="23"/>
      <c r="M1693" s="23"/>
      <c r="N1693" s="23"/>
      <c r="P1693" s="23"/>
    </row>
    <row r="1694" spans="2:16" x14ac:dyDescent="0.25">
      <c r="B1694" s="23"/>
      <c r="E1694" s="23"/>
      <c r="G1694" s="23"/>
      <c r="H1694" s="23"/>
      <c r="J1694" s="23"/>
      <c r="K1694" s="23"/>
      <c r="M1694" s="23"/>
      <c r="N1694" s="23"/>
      <c r="P1694" s="23"/>
    </row>
    <row r="1695" spans="2:16" x14ac:dyDescent="0.25">
      <c r="B1695" s="23"/>
      <c r="E1695" s="23"/>
      <c r="G1695" s="23"/>
      <c r="H1695" s="23"/>
      <c r="J1695" s="23"/>
      <c r="K1695" s="23"/>
      <c r="M1695" s="23"/>
      <c r="N1695" s="23"/>
      <c r="P1695" s="23"/>
    </row>
    <row r="1696" spans="2:16" x14ac:dyDescent="0.25">
      <c r="B1696" s="23"/>
      <c r="E1696" s="23"/>
      <c r="G1696" s="23"/>
      <c r="H1696" s="23"/>
      <c r="J1696" s="23"/>
      <c r="K1696" s="23"/>
      <c r="M1696" s="23"/>
      <c r="N1696" s="23"/>
      <c r="P1696" s="23"/>
    </row>
    <row r="1697" spans="2:16" x14ac:dyDescent="0.25">
      <c r="B1697" s="23"/>
      <c r="E1697" s="23"/>
      <c r="G1697" s="23"/>
      <c r="H1697" s="23"/>
      <c r="J1697" s="23"/>
      <c r="K1697" s="23"/>
      <c r="M1697" s="23"/>
      <c r="N1697" s="23"/>
      <c r="P1697" s="23"/>
    </row>
    <row r="1698" spans="2:16" x14ac:dyDescent="0.25">
      <c r="B1698" s="23"/>
      <c r="E1698" s="23"/>
      <c r="G1698" s="23"/>
      <c r="H1698" s="23"/>
      <c r="J1698" s="23"/>
      <c r="K1698" s="23"/>
      <c r="M1698" s="23"/>
      <c r="N1698" s="23"/>
      <c r="P1698" s="23"/>
    </row>
    <row r="1699" spans="2:16" x14ac:dyDescent="0.25">
      <c r="B1699" s="23"/>
      <c r="E1699" s="23"/>
      <c r="G1699" s="23"/>
      <c r="H1699" s="23"/>
      <c r="J1699" s="23"/>
      <c r="K1699" s="23"/>
      <c r="M1699" s="23"/>
      <c r="N1699" s="23"/>
      <c r="P1699" s="23"/>
    </row>
    <row r="1700" spans="2:16" x14ac:dyDescent="0.25">
      <c r="B1700" s="23"/>
      <c r="E1700" s="23"/>
      <c r="G1700" s="23"/>
      <c r="H1700" s="23"/>
      <c r="J1700" s="23"/>
      <c r="K1700" s="23"/>
      <c r="M1700" s="23"/>
      <c r="N1700" s="23"/>
      <c r="P1700" s="23"/>
    </row>
    <row r="1701" spans="2:16" x14ac:dyDescent="0.25">
      <c r="B1701" s="23"/>
      <c r="E1701" s="23"/>
      <c r="G1701" s="23"/>
      <c r="H1701" s="23"/>
      <c r="J1701" s="23"/>
      <c r="K1701" s="23"/>
      <c r="M1701" s="23"/>
      <c r="N1701" s="23"/>
      <c r="P1701" s="23"/>
    </row>
    <row r="1702" spans="2:16" x14ac:dyDescent="0.25">
      <c r="B1702" s="23"/>
      <c r="E1702" s="23"/>
      <c r="G1702" s="23"/>
      <c r="H1702" s="23"/>
      <c r="J1702" s="23"/>
      <c r="K1702" s="23"/>
      <c r="M1702" s="23"/>
      <c r="N1702" s="23"/>
      <c r="P1702" s="23"/>
    </row>
    <row r="1703" spans="2:16" x14ac:dyDescent="0.25">
      <c r="B1703" s="23"/>
      <c r="E1703" s="23"/>
      <c r="G1703" s="23"/>
      <c r="H1703" s="23"/>
      <c r="J1703" s="23"/>
      <c r="K1703" s="23"/>
      <c r="M1703" s="23"/>
      <c r="N1703" s="23"/>
      <c r="P1703" s="23"/>
    </row>
    <row r="1704" spans="2:16" x14ac:dyDescent="0.25">
      <c r="B1704" s="23"/>
      <c r="E1704" s="23"/>
      <c r="G1704" s="23"/>
      <c r="H1704" s="23"/>
      <c r="J1704" s="23"/>
      <c r="K1704" s="23"/>
      <c r="M1704" s="23"/>
      <c r="N1704" s="23"/>
      <c r="P1704" s="23"/>
    </row>
    <row r="1705" spans="2:16" x14ac:dyDescent="0.25">
      <c r="B1705" s="23"/>
      <c r="E1705" s="23"/>
      <c r="G1705" s="23"/>
      <c r="H1705" s="23"/>
      <c r="J1705" s="23"/>
      <c r="K1705" s="23"/>
      <c r="M1705" s="23"/>
      <c r="N1705" s="23"/>
      <c r="P1705" s="23"/>
    </row>
    <row r="1706" spans="2:16" x14ac:dyDescent="0.25">
      <c r="B1706" s="23"/>
      <c r="E1706" s="23"/>
      <c r="G1706" s="23"/>
      <c r="H1706" s="23"/>
      <c r="J1706" s="23"/>
      <c r="K1706" s="23"/>
      <c r="M1706" s="23"/>
      <c r="N1706" s="23"/>
      <c r="P1706" s="23"/>
    </row>
    <row r="1707" spans="2:16" x14ac:dyDescent="0.25">
      <c r="B1707" s="23"/>
      <c r="E1707" s="23"/>
      <c r="G1707" s="23"/>
      <c r="H1707" s="23"/>
      <c r="J1707" s="23"/>
      <c r="K1707" s="23"/>
      <c r="M1707" s="23"/>
      <c r="N1707" s="23"/>
      <c r="P1707" s="23"/>
    </row>
    <row r="1708" spans="2:16" x14ac:dyDescent="0.25">
      <c r="B1708" s="23"/>
      <c r="E1708" s="23"/>
      <c r="G1708" s="23"/>
      <c r="H1708" s="23"/>
      <c r="J1708" s="23"/>
      <c r="K1708" s="23"/>
      <c r="M1708" s="23"/>
      <c r="N1708" s="23"/>
      <c r="P1708" s="23"/>
    </row>
    <row r="1709" spans="2:16" x14ac:dyDescent="0.25">
      <c r="B1709" s="23"/>
      <c r="E1709" s="23"/>
      <c r="G1709" s="23"/>
      <c r="H1709" s="23"/>
      <c r="J1709" s="23"/>
      <c r="K1709" s="23"/>
      <c r="M1709" s="23"/>
      <c r="N1709" s="23"/>
      <c r="P1709" s="23"/>
    </row>
    <row r="1710" spans="2:16" x14ac:dyDescent="0.25">
      <c r="B1710" s="23"/>
      <c r="E1710" s="23"/>
      <c r="G1710" s="23"/>
      <c r="H1710" s="23"/>
      <c r="J1710" s="23"/>
      <c r="K1710" s="23"/>
      <c r="M1710" s="23"/>
      <c r="N1710" s="23"/>
      <c r="P1710" s="23"/>
    </row>
    <row r="1711" spans="2:16" x14ac:dyDescent="0.25">
      <c r="B1711" s="23"/>
      <c r="E1711" s="23"/>
      <c r="G1711" s="23"/>
      <c r="H1711" s="23"/>
      <c r="J1711" s="23"/>
      <c r="K1711" s="23"/>
      <c r="M1711" s="23"/>
      <c r="N1711" s="23"/>
      <c r="P1711" s="23"/>
    </row>
    <row r="1712" spans="2:16" x14ac:dyDescent="0.25">
      <c r="B1712" s="23"/>
      <c r="E1712" s="23"/>
      <c r="G1712" s="23"/>
      <c r="H1712" s="23"/>
      <c r="J1712" s="23"/>
      <c r="K1712" s="23"/>
      <c r="M1712" s="23"/>
      <c r="N1712" s="23"/>
      <c r="P1712" s="23"/>
    </row>
    <row r="1713" spans="2:16" x14ac:dyDescent="0.25">
      <c r="B1713" s="23"/>
      <c r="E1713" s="23"/>
      <c r="G1713" s="23"/>
      <c r="H1713" s="23"/>
      <c r="J1713" s="23"/>
      <c r="K1713" s="23"/>
      <c r="M1713" s="23"/>
      <c r="N1713" s="23"/>
      <c r="P1713" s="23"/>
    </row>
    <row r="1714" spans="2:16" x14ac:dyDescent="0.25">
      <c r="B1714" s="23"/>
      <c r="E1714" s="23"/>
      <c r="G1714" s="23"/>
      <c r="H1714" s="23"/>
      <c r="J1714" s="23"/>
      <c r="K1714" s="23"/>
      <c r="M1714" s="23"/>
      <c r="N1714" s="23"/>
      <c r="P1714" s="23"/>
    </row>
    <row r="1715" spans="2:16" x14ac:dyDescent="0.25">
      <c r="B1715" s="23"/>
      <c r="E1715" s="23"/>
      <c r="G1715" s="23"/>
      <c r="H1715" s="23"/>
      <c r="J1715" s="23"/>
      <c r="K1715" s="23"/>
      <c r="M1715" s="23"/>
      <c r="N1715" s="23"/>
      <c r="P1715" s="23"/>
    </row>
    <row r="1716" spans="2:16" x14ac:dyDescent="0.25">
      <c r="B1716" s="23"/>
      <c r="E1716" s="23"/>
      <c r="G1716" s="23"/>
      <c r="H1716" s="23"/>
      <c r="J1716" s="23"/>
      <c r="K1716" s="23"/>
      <c r="M1716" s="23"/>
      <c r="N1716" s="23"/>
      <c r="P1716" s="23"/>
    </row>
    <row r="1717" spans="2:16" x14ac:dyDescent="0.25">
      <c r="B1717" s="23"/>
      <c r="E1717" s="23"/>
      <c r="G1717" s="23"/>
      <c r="H1717" s="23"/>
      <c r="J1717" s="23"/>
      <c r="K1717" s="23"/>
      <c r="M1717" s="23"/>
      <c r="N1717" s="23"/>
      <c r="P1717" s="23"/>
    </row>
    <row r="1718" spans="2:16" x14ac:dyDescent="0.25">
      <c r="B1718" s="23"/>
      <c r="E1718" s="23"/>
      <c r="G1718" s="23"/>
      <c r="H1718" s="23"/>
      <c r="J1718" s="23"/>
      <c r="K1718" s="23"/>
      <c r="M1718" s="23"/>
      <c r="N1718" s="23"/>
      <c r="P1718" s="23"/>
    </row>
    <row r="1719" spans="2:16" x14ac:dyDescent="0.25">
      <c r="B1719" s="23"/>
      <c r="E1719" s="23"/>
      <c r="G1719" s="23"/>
      <c r="H1719" s="23"/>
      <c r="J1719" s="23"/>
      <c r="K1719" s="23"/>
      <c r="M1719" s="23"/>
      <c r="N1719" s="23"/>
      <c r="P1719" s="23"/>
    </row>
    <row r="1720" spans="2:16" x14ac:dyDescent="0.25">
      <c r="B1720" s="23"/>
      <c r="E1720" s="23"/>
      <c r="G1720" s="23"/>
      <c r="H1720" s="23"/>
      <c r="J1720" s="23"/>
      <c r="K1720" s="23"/>
      <c r="M1720" s="23"/>
      <c r="N1720" s="23"/>
      <c r="P1720" s="23"/>
    </row>
    <row r="1721" spans="2:16" x14ac:dyDescent="0.25">
      <c r="B1721" s="23"/>
      <c r="E1721" s="23"/>
      <c r="G1721" s="23"/>
      <c r="H1721" s="23"/>
      <c r="J1721" s="23"/>
      <c r="K1721" s="23"/>
      <c r="M1721" s="23"/>
      <c r="N1721" s="23"/>
      <c r="P1721" s="23"/>
    </row>
    <row r="1722" spans="2:16" x14ac:dyDescent="0.25">
      <c r="B1722" s="23"/>
      <c r="E1722" s="23"/>
      <c r="G1722" s="23"/>
      <c r="H1722" s="23"/>
      <c r="J1722" s="23"/>
      <c r="K1722" s="23"/>
      <c r="M1722" s="23"/>
      <c r="N1722" s="23"/>
      <c r="P1722" s="23"/>
    </row>
    <row r="1723" spans="2:16" x14ac:dyDescent="0.25">
      <c r="B1723" s="23"/>
      <c r="E1723" s="23"/>
      <c r="G1723" s="23"/>
      <c r="H1723" s="23"/>
      <c r="J1723" s="23"/>
      <c r="K1723" s="23"/>
      <c r="M1723" s="23"/>
      <c r="N1723" s="23"/>
      <c r="P1723" s="23"/>
    </row>
    <row r="1724" spans="2:16" x14ac:dyDescent="0.25">
      <c r="B1724" s="23"/>
      <c r="E1724" s="23"/>
      <c r="G1724" s="23"/>
      <c r="H1724" s="23"/>
      <c r="J1724" s="23"/>
      <c r="K1724" s="23"/>
      <c r="M1724" s="23"/>
      <c r="N1724" s="23"/>
      <c r="P1724" s="23"/>
    </row>
    <row r="1725" spans="2:16" x14ac:dyDescent="0.25">
      <c r="B1725" s="23"/>
      <c r="E1725" s="23"/>
      <c r="G1725" s="23"/>
      <c r="H1725" s="23"/>
      <c r="J1725" s="23"/>
      <c r="K1725" s="23"/>
      <c r="M1725" s="23"/>
      <c r="N1725" s="23"/>
      <c r="P1725" s="23"/>
    </row>
    <row r="1726" spans="2:16" x14ac:dyDescent="0.25">
      <c r="B1726" s="23"/>
      <c r="E1726" s="23"/>
      <c r="G1726" s="23"/>
      <c r="H1726" s="23"/>
      <c r="J1726" s="23"/>
      <c r="K1726" s="23"/>
      <c r="M1726" s="23"/>
      <c r="N1726" s="23"/>
      <c r="P1726" s="23"/>
    </row>
    <row r="1727" spans="2:16" x14ac:dyDescent="0.25">
      <c r="B1727" s="23"/>
      <c r="E1727" s="23"/>
      <c r="G1727" s="23"/>
      <c r="H1727" s="23"/>
      <c r="J1727" s="23"/>
      <c r="K1727" s="23"/>
      <c r="M1727" s="23"/>
      <c r="N1727" s="23"/>
      <c r="P1727" s="23"/>
    </row>
    <row r="1728" spans="2:16" x14ac:dyDescent="0.25">
      <c r="B1728" s="23"/>
      <c r="E1728" s="23"/>
      <c r="G1728" s="23"/>
      <c r="H1728" s="23"/>
      <c r="J1728" s="23"/>
      <c r="K1728" s="23"/>
      <c r="M1728" s="23"/>
      <c r="N1728" s="23"/>
      <c r="P1728" s="23"/>
    </row>
    <row r="1729" spans="2:16" x14ac:dyDescent="0.25">
      <c r="B1729" s="23"/>
      <c r="E1729" s="23"/>
      <c r="G1729" s="23"/>
      <c r="H1729" s="23"/>
      <c r="J1729" s="23"/>
      <c r="K1729" s="23"/>
      <c r="M1729" s="23"/>
      <c r="N1729" s="23"/>
      <c r="P1729" s="23"/>
    </row>
    <row r="1730" spans="2:16" x14ac:dyDescent="0.25">
      <c r="B1730" s="23"/>
      <c r="E1730" s="23"/>
      <c r="G1730" s="23"/>
      <c r="H1730" s="23"/>
      <c r="J1730" s="23"/>
      <c r="K1730" s="23"/>
      <c r="M1730" s="23"/>
      <c r="N1730" s="23"/>
      <c r="P1730" s="23"/>
    </row>
    <row r="1731" spans="2:16" x14ac:dyDescent="0.25">
      <c r="B1731" s="23"/>
      <c r="E1731" s="23"/>
      <c r="G1731" s="23"/>
      <c r="H1731" s="23"/>
      <c r="J1731" s="23"/>
      <c r="K1731" s="23"/>
      <c r="M1731" s="23"/>
      <c r="N1731" s="23"/>
      <c r="P1731" s="23"/>
    </row>
    <row r="1732" spans="2:16" x14ac:dyDescent="0.25">
      <c r="B1732" s="23"/>
      <c r="E1732" s="23"/>
      <c r="G1732" s="23"/>
      <c r="H1732" s="23"/>
      <c r="J1732" s="23"/>
      <c r="K1732" s="23"/>
      <c r="M1732" s="23"/>
      <c r="N1732" s="23"/>
      <c r="P1732" s="23"/>
    </row>
    <row r="1733" spans="2:16" x14ac:dyDescent="0.25">
      <c r="B1733" s="23"/>
      <c r="E1733" s="23"/>
      <c r="G1733" s="23"/>
      <c r="H1733" s="23"/>
      <c r="J1733" s="23"/>
      <c r="K1733" s="23"/>
      <c r="M1733" s="23"/>
      <c r="N1733" s="23"/>
      <c r="P1733" s="23"/>
    </row>
    <row r="1734" spans="2:16" x14ac:dyDescent="0.25">
      <c r="B1734" s="23"/>
      <c r="E1734" s="23"/>
      <c r="G1734" s="23"/>
      <c r="H1734" s="23"/>
      <c r="J1734" s="23"/>
      <c r="K1734" s="23"/>
      <c r="M1734" s="23"/>
      <c r="N1734" s="23"/>
      <c r="P1734" s="23"/>
    </row>
    <row r="1735" spans="2:16" x14ac:dyDescent="0.25">
      <c r="B1735" s="23"/>
      <c r="E1735" s="23"/>
      <c r="G1735" s="23"/>
      <c r="H1735" s="23"/>
      <c r="J1735" s="23"/>
      <c r="K1735" s="23"/>
      <c r="M1735" s="23"/>
      <c r="N1735" s="23"/>
      <c r="P1735" s="23"/>
    </row>
    <row r="1736" spans="2:16" x14ac:dyDescent="0.25">
      <c r="B1736" s="23"/>
      <c r="E1736" s="23"/>
      <c r="G1736" s="23"/>
      <c r="H1736" s="23"/>
      <c r="J1736" s="23"/>
      <c r="K1736" s="23"/>
      <c r="M1736" s="23"/>
      <c r="N1736" s="23"/>
      <c r="P1736" s="23"/>
    </row>
    <row r="1737" spans="2:16" x14ac:dyDescent="0.25">
      <c r="B1737" s="23"/>
      <c r="E1737" s="23"/>
      <c r="G1737" s="23"/>
      <c r="H1737" s="23"/>
      <c r="J1737" s="23"/>
      <c r="K1737" s="23"/>
      <c r="M1737" s="23"/>
      <c r="N1737" s="23"/>
      <c r="P1737" s="23"/>
    </row>
    <row r="1738" spans="2:16" x14ac:dyDescent="0.25">
      <c r="B1738" s="23"/>
      <c r="E1738" s="23"/>
      <c r="G1738" s="23"/>
      <c r="H1738" s="23"/>
      <c r="J1738" s="23"/>
      <c r="K1738" s="23"/>
      <c r="M1738" s="23"/>
      <c r="N1738" s="23"/>
      <c r="P1738" s="23"/>
    </row>
    <row r="1739" spans="2:16" x14ac:dyDescent="0.25">
      <c r="B1739" s="23"/>
      <c r="E1739" s="23"/>
      <c r="G1739" s="23"/>
      <c r="H1739" s="23"/>
      <c r="J1739" s="23"/>
      <c r="K1739" s="23"/>
      <c r="M1739" s="23"/>
      <c r="N1739" s="23"/>
      <c r="P1739" s="23"/>
    </row>
    <row r="1740" spans="2:16" x14ac:dyDescent="0.25">
      <c r="B1740" s="23"/>
      <c r="E1740" s="23"/>
      <c r="G1740" s="23"/>
      <c r="H1740" s="23"/>
      <c r="J1740" s="23"/>
      <c r="K1740" s="23"/>
      <c r="M1740" s="23"/>
      <c r="N1740" s="23"/>
      <c r="P1740" s="23"/>
    </row>
    <row r="1741" spans="2:16" x14ac:dyDescent="0.25">
      <c r="B1741" s="23"/>
      <c r="E1741" s="23"/>
      <c r="G1741" s="23"/>
      <c r="H1741" s="23"/>
      <c r="J1741" s="23"/>
      <c r="K1741" s="23"/>
      <c r="M1741" s="23"/>
      <c r="N1741" s="23"/>
      <c r="P1741" s="23"/>
    </row>
    <row r="1742" spans="2:16" x14ac:dyDescent="0.25">
      <c r="B1742" s="23"/>
      <c r="E1742" s="23"/>
      <c r="G1742" s="23"/>
      <c r="H1742" s="23"/>
      <c r="J1742" s="23"/>
      <c r="K1742" s="23"/>
      <c r="M1742" s="23"/>
      <c r="N1742" s="23"/>
      <c r="P1742" s="23"/>
    </row>
    <row r="1743" spans="2:16" x14ac:dyDescent="0.25">
      <c r="B1743" s="23"/>
      <c r="E1743" s="23"/>
      <c r="G1743" s="23"/>
      <c r="H1743" s="23"/>
      <c r="J1743" s="23"/>
      <c r="K1743" s="23"/>
      <c r="M1743" s="23"/>
      <c r="N1743" s="23"/>
      <c r="P1743" s="23"/>
    </row>
    <row r="1744" spans="2:16" x14ac:dyDescent="0.25">
      <c r="B1744" s="23"/>
      <c r="E1744" s="23"/>
      <c r="G1744" s="23"/>
      <c r="H1744" s="23"/>
      <c r="J1744" s="23"/>
      <c r="K1744" s="23"/>
      <c r="M1744" s="23"/>
      <c r="N1744" s="23"/>
      <c r="P1744" s="23"/>
    </row>
    <row r="1745" spans="2:16" x14ac:dyDescent="0.25">
      <c r="B1745" s="23"/>
      <c r="E1745" s="23"/>
      <c r="G1745" s="23"/>
      <c r="H1745" s="23"/>
      <c r="J1745" s="23"/>
      <c r="K1745" s="23"/>
      <c r="M1745" s="23"/>
      <c r="N1745" s="23"/>
      <c r="P1745" s="23"/>
    </row>
    <row r="1746" spans="2:16" x14ac:dyDescent="0.25">
      <c r="B1746" s="23"/>
      <c r="E1746" s="23"/>
      <c r="G1746" s="23"/>
      <c r="H1746" s="23"/>
      <c r="J1746" s="23"/>
      <c r="K1746" s="23"/>
      <c r="M1746" s="23"/>
      <c r="N1746" s="23"/>
      <c r="P1746" s="23"/>
    </row>
    <row r="1747" spans="2:16" x14ac:dyDescent="0.25">
      <c r="B1747" s="23"/>
      <c r="E1747" s="23"/>
      <c r="G1747" s="23"/>
      <c r="H1747" s="23"/>
      <c r="J1747" s="23"/>
      <c r="K1747" s="23"/>
      <c r="M1747" s="23"/>
      <c r="N1747" s="23"/>
      <c r="P1747" s="23"/>
    </row>
    <row r="1748" spans="2:16" x14ac:dyDescent="0.25">
      <c r="B1748" s="23"/>
      <c r="E1748" s="23"/>
      <c r="G1748" s="23"/>
      <c r="H1748" s="23"/>
      <c r="J1748" s="23"/>
      <c r="K1748" s="23"/>
      <c r="M1748" s="23"/>
      <c r="N1748" s="23"/>
      <c r="P1748" s="23"/>
    </row>
    <row r="1749" spans="2:16" x14ac:dyDescent="0.25">
      <c r="B1749" s="23"/>
      <c r="E1749" s="23"/>
      <c r="G1749" s="23"/>
      <c r="H1749" s="23"/>
      <c r="J1749" s="23"/>
      <c r="K1749" s="23"/>
      <c r="M1749" s="23"/>
      <c r="N1749" s="23"/>
      <c r="P1749" s="23"/>
    </row>
    <row r="1750" spans="2:16" x14ac:dyDescent="0.25">
      <c r="B1750" s="23"/>
      <c r="E1750" s="23"/>
      <c r="G1750" s="23"/>
      <c r="H1750" s="23"/>
      <c r="J1750" s="23"/>
      <c r="K1750" s="23"/>
      <c r="M1750" s="23"/>
      <c r="N1750" s="23"/>
      <c r="P1750" s="23"/>
    </row>
    <row r="1751" spans="2:16" x14ac:dyDescent="0.25">
      <c r="B1751" s="23"/>
      <c r="E1751" s="23"/>
      <c r="G1751" s="23"/>
      <c r="H1751" s="23"/>
      <c r="J1751" s="23"/>
      <c r="K1751" s="23"/>
      <c r="M1751" s="23"/>
      <c r="N1751" s="23"/>
      <c r="P1751" s="23"/>
    </row>
    <row r="1752" spans="2:16" x14ac:dyDescent="0.25">
      <c r="B1752" s="23"/>
      <c r="E1752" s="23"/>
      <c r="G1752" s="23"/>
      <c r="H1752" s="23"/>
      <c r="J1752" s="23"/>
      <c r="K1752" s="23"/>
      <c r="M1752" s="23"/>
      <c r="N1752" s="23"/>
      <c r="P1752" s="23"/>
    </row>
    <row r="1753" spans="2:16" x14ac:dyDescent="0.25">
      <c r="B1753" s="23"/>
      <c r="E1753" s="23"/>
      <c r="G1753" s="23"/>
      <c r="H1753" s="23"/>
      <c r="J1753" s="23"/>
      <c r="K1753" s="23"/>
      <c r="M1753" s="23"/>
      <c r="N1753" s="23"/>
      <c r="P1753" s="23"/>
    </row>
    <row r="1754" spans="2:16" x14ac:dyDescent="0.25">
      <c r="B1754" s="23"/>
      <c r="E1754" s="23"/>
      <c r="G1754" s="23"/>
      <c r="H1754" s="23"/>
      <c r="J1754" s="23"/>
      <c r="K1754" s="23"/>
      <c r="M1754" s="23"/>
      <c r="N1754" s="23"/>
      <c r="P1754" s="23"/>
    </row>
    <row r="1755" spans="2:16" x14ac:dyDescent="0.25">
      <c r="B1755" s="23"/>
      <c r="E1755" s="23"/>
      <c r="G1755" s="23"/>
      <c r="H1755" s="23"/>
      <c r="J1755" s="23"/>
      <c r="K1755" s="23"/>
      <c r="M1755" s="23"/>
      <c r="N1755" s="23"/>
      <c r="P1755" s="23"/>
    </row>
    <row r="1756" spans="2:16" x14ac:dyDescent="0.25">
      <c r="B1756" s="23"/>
      <c r="E1756" s="23"/>
      <c r="G1756" s="23"/>
      <c r="H1756" s="23"/>
      <c r="J1756" s="23"/>
      <c r="K1756" s="23"/>
      <c r="M1756" s="23"/>
      <c r="N1756" s="23"/>
      <c r="P1756" s="23"/>
    </row>
    <row r="1757" spans="2:16" x14ac:dyDescent="0.25">
      <c r="B1757" s="23"/>
      <c r="E1757" s="23"/>
      <c r="G1757" s="23"/>
      <c r="H1757" s="23"/>
      <c r="J1757" s="23"/>
      <c r="K1757" s="23"/>
      <c r="M1757" s="23"/>
      <c r="N1757" s="23"/>
      <c r="P1757" s="23"/>
    </row>
    <row r="1758" spans="2:16" x14ac:dyDescent="0.25">
      <c r="B1758" s="23"/>
      <c r="E1758" s="23"/>
      <c r="G1758" s="23"/>
      <c r="H1758" s="23"/>
      <c r="J1758" s="23"/>
      <c r="K1758" s="23"/>
      <c r="M1758" s="23"/>
      <c r="N1758" s="23"/>
      <c r="P1758" s="23"/>
    </row>
    <row r="1759" spans="2:16" x14ac:dyDescent="0.25">
      <c r="B1759" s="23"/>
      <c r="E1759" s="23"/>
      <c r="G1759" s="23"/>
      <c r="H1759" s="23"/>
      <c r="J1759" s="23"/>
      <c r="K1759" s="23"/>
      <c r="M1759" s="23"/>
      <c r="N1759" s="23"/>
      <c r="P1759" s="23"/>
    </row>
    <row r="1760" spans="2:16" x14ac:dyDescent="0.25">
      <c r="B1760" s="23"/>
      <c r="E1760" s="23"/>
      <c r="G1760" s="23"/>
      <c r="H1760" s="23"/>
      <c r="J1760" s="23"/>
      <c r="K1760" s="23"/>
      <c r="M1760" s="23"/>
      <c r="N1760" s="23"/>
      <c r="P1760" s="23"/>
    </row>
    <row r="1761" spans="2:16" x14ac:dyDescent="0.25">
      <c r="B1761" s="23"/>
      <c r="E1761" s="23"/>
      <c r="G1761" s="23"/>
      <c r="H1761" s="23"/>
      <c r="J1761" s="23"/>
      <c r="K1761" s="23"/>
      <c r="M1761" s="23"/>
      <c r="N1761" s="23"/>
      <c r="P1761" s="23"/>
    </row>
    <row r="1762" spans="2:16" x14ac:dyDescent="0.25">
      <c r="B1762" s="23"/>
      <c r="E1762" s="23"/>
      <c r="G1762" s="23"/>
      <c r="H1762" s="23"/>
      <c r="J1762" s="23"/>
      <c r="K1762" s="23"/>
      <c r="M1762" s="23"/>
      <c r="N1762" s="23"/>
      <c r="P1762" s="23"/>
    </row>
    <row r="1763" spans="2:16" x14ac:dyDescent="0.25">
      <c r="B1763" s="23"/>
      <c r="E1763" s="23"/>
      <c r="G1763" s="23"/>
      <c r="H1763" s="23"/>
      <c r="J1763" s="23"/>
      <c r="K1763" s="23"/>
      <c r="M1763" s="23"/>
      <c r="N1763" s="23"/>
      <c r="P1763" s="23"/>
    </row>
    <row r="1764" spans="2:16" x14ac:dyDescent="0.25">
      <c r="B1764" s="23"/>
      <c r="E1764" s="23"/>
      <c r="G1764" s="23"/>
      <c r="H1764" s="23"/>
      <c r="J1764" s="23"/>
      <c r="K1764" s="23"/>
      <c r="M1764" s="23"/>
      <c r="N1764" s="23"/>
      <c r="P1764" s="23"/>
    </row>
    <row r="1765" spans="2:16" x14ac:dyDescent="0.25">
      <c r="B1765" s="23"/>
      <c r="E1765" s="23"/>
      <c r="G1765" s="23"/>
      <c r="H1765" s="23"/>
      <c r="J1765" s="23"/>
      <c r="K1765" s="23"/>
      <c r="M1765" s="23"/>
      <c r="N1765" s="23"/>
      <c r="P1765" s="23"/>
    </row>
    <row r="1766" spans="2:16" x14ac:dyDescent="0.25">
      <c r="B1766" s="23"/>
      <c r="E1766" s="23"/>
      <c r="G1766" s="23"/>
      <c r="H1766" s="23"/>
      <c r="J1766" s="23"/>
      <c r="K1766" s="23"/>
      <c r="M1766" s="23"/>
      <c r="N1766" s="23"/>
      <c r="P1766" s="23"/>
    </row>
    <row r="1767" spans="2:16" x14ac:dyDescent="0.25">
      <c r="B1767" s="23"/>
      <c r="E1767" s="23"/>
      <c r="G1767" s="23"/>
      <c r="H1767" s="23"/>
      <c r="J1767" s="23"/>
      <c r="K1767" s="23"/>
      <c r="M1767" s="23"/>
      <c r="N1767" s="23"/>
      <c r="P1767" s="23"/>
    </row>
    <row r="1768" spans="2:16" x14ac:dyDescent="0.25">
      <c r="B1768" s="23"/>
      <c r="E1768" s="23"/>
      <c r="G1768" s="23"/>
      <c r="H1768" s="23"/>
      <c r="J1768" s="23"/>
      <c r="K1768" s="23"/>
      <c r="M1768" s="23"/>
      <c r="N1768" s="23"/>
      <c r="P1768" s="23"/>
    </row>
    <row r="1769" spans="2:16" x14ac:dyDescent="0.25">
      <c r="B1769" s="23"/>
      <c r="E1769" s="23"/>
      <c r="G1769" s="23"/>
      <c r="H1769" s="23"/>
      <c r="J1769" s="23"/>
      <c r="K1769" s="23"/>
      <c r="M1769" s="23"/>
      <c r="N1769" s="23"/>
      <c r="P1769" s="23"/>
    </row>
    <row r="1770" spans="2:16" x14ac:dyDescent="0.25">
      <c r="B1770" s="23"/>
      <c r="E1770" s="23"/>
      <c r="G1770" s="23"/>
      <c r="H1770" s="23"/>
      <c r="J1770" s="23"/>
      <c r="K1770" s="23"/>
      <c r="M1770" s="23"/>
      <c r="N1770" s="23"/>
      <c r="P1770" s="23"/>
    </row>
    <row r="1771" spans="2:16" x14ac:dyDescent="0.25">
      <c r="B1771" s="23"/>
      <c r="E1771" s="23"/>
      <c r="G1771" s="23"/>
      <c r="H1771" s="23"/>
      <c r="J1771" s="23"/>
      <c r="K1771" s="23"/>
      <c r="M1771" s="23"/>
      <c r="N1771" s="23"/>
      <c r="P1771" s="23"/>
    </row>
    <row r="1772" spans="2:16" x14ac:dyDescent="0.25">
      <c r="B1772" s="23"/>
      <c r="E1772" s="23"/>
      <c r="G1772" s="23"/>
      <c r="H1772" s="23"/>
      <c r="J1772" s="23"/>
      <c r="K1772" s="23"/>
      <c r="M1772" s="23"/>
      <c r="N1772" s="23"/>
      <c r="P1772" s="23"/>
    </row>
    <row r="1773" spans="2:16" x14ac:dyDescent="0.25">
      <c r="B1773" s="23"/>
      <c r="E1773" s="23"/>
      <c r="G1773" s="23"/>
      <c r="H1773" s="23"/>
      <c r="J1773" s="23"/>
      <c r="K1773" s="23"/>
      <c r="M1773" s="23"/>
      <c r="N1773" s="23"/>
      <c r="P1773" s="23"/>
    </row>
    <row r="1774" spans="2:16" x14ac:dyDescent="0.25">
      <c r="B1774" s="23"/>
      <c r="E1774" s="23"/>
      <c r="G1774" s="23"/>
      <c r="H1774" s="23"/>
      <c r="J1774" s="23"/>
      <c r="K1774" s="23"/>
      <c r="M1774" s="23"/>
      <c r="N1774" s="23"/>
      <c r="P1774" s="23"/>
    </row>
    <row r="1775" spans="2:16" x14ac:dyDescent="0.25">
      <c r="B1775" s="23"/>
      <c r="E1775" s="23"/>
      <c r="G1775" s="23"/>
      <c r="H1775" s="23"/>
      <c r="J1775" s="23"/>
      <c r="K1775" s="23"/>
      <c r="M1775" s="23"/>
      <c r="N1775" s="23"/>
      <c r="P1775" s="23"/>
    </row>
    <row r="1776" spans="2:16" x14ac:dyDescent="0.25">
      <c r="B1776" s="23"/>
      <c r="E1776" s="23"/>
      <c r="G1776" s="23"/>
      <c r="H1776" s="23"/>
      <c r="J1776" s="23"/>
      <c r="K1776" s="23"/>
      <c r="M1776" s="23"/>
      <c r="N1776" s="23"/>
      <c r="P1776" s="23"/>
    </row>
    <row r="1777" spans="2:16" x14ac:dyDescent="0.25">
      <c r="B1777" s="23"/>
      <c r="E1777" s="23"/>
      <c r="G1777" s="23"/>
      <c r="H1777" s="23"/>
      <c r="J1777" s="23"/>
      <c r="K1777" s="23"/>
      <c r="M1777" s="23"/>
      <c r="N1777" s="23"/>
      <c r="P1777" s="23"/>
    </row>
    <row r="1778" spans="2:16" x14ac:dyDescent="0.25">
      <c r="B1778" s="23"/>
      <c r="E1778" s="23"/>
      <c r="G1778" s="23"/>
      <c r="H1778" s="23"/>
      <c r="J1778" s="23"/>
      <c r="K1778" s="23"/>
      <c r="M1778" s="23"/>
      <c r="N1778" s="23"/>
      <c r="P1778" s="23"/>
    </row>
    <row r="1779" spans="2:16" x14ac:dyDescent="0.25">
      <c r="B1779" s="23"/>
      <c r="E1779" s="23"/>
      <c r="G1779" s="23"/>
      <c r="H1779" s="23"/>
      <c r="J1779" s="23"/>
      <c r="K1779" s="23"/>
      <c r="M1779" s="23"/>
      <c r="N1779" s="23"/>
      <c r="P1779" s="23"/>
    </row>
    <row r="1780" spans="2:16" x14ac:dyDescent="0.25">
      <c r="B1780" s="23"/>
      <c r="E1780" s="23"/>
      <c r="G1780" s="23"/>
      <c r="H1780" s="23"/>
      <c r="J1780" s="23"/>
      <c r="K1780" s="23"/>
      <c r="M1780" s="23"/>
      <c r="N1780" s="23"/>
      <c r="P1780" s="23"/>
    </row>
    <row r="1781" spans="2:16" x14ac:dyDescent="0.25">
      <c r="B1781" s="23"/>
      <c r="E1781" s="23"/>
      <c r="G1781" s="23"/>
      <c r="H1781" s="23"/>
      <c r="J1781" s="23"/>
      <c r="K1781" s="23"/>
      <c r="M1781" s="23"/>
      <c r="N1781" s="23"/>
      <c r="P1781" s="23"/>
    </row>
    <row r="1782" spans="2:16" x14ac:dyDescent="0.25">
      <c r="B1782" s="23"/>
      <c r="E1782" s="23"/>
      <c r="G1782" s="23"/>
      <c r="H1782" s="23"/>
      <c r="J1782" s="23"/>
      <c r="K1782" s="23"/>
      <c r="M1782" s="23"/>
      <c r="N1782" s="23"/>
      <c r="P1782" s="23"/>
    </row>
    <row r="1783" spans="2:16" x14ac:dyDescent="0.25">
      <c r="B1783" s="23"/>
      <c r="E1783" s="23"/>
      <c r="G1783" s="23"/>
      <c r="H1783" s="23"/>
      <c r="J1783" s="23"/>
      <c r="K1783" s="23"/>
      <c r="M1783" s="23"/>
      <c r="N1783" s="23"/>
      <c r="P1783" s="23"/>
    </row>
    <row r="1784" spans="2:16" x14ac:dyDescent="0.25">
      <c r="B1784" s="23"/>
      <c r="E1784" s="23"/>
      <c r="G1784" s="23"/>
      <c r="H1784" s="23"/>
      <c r="J1784" s="23"/>
      <c r="K1784" s="23"/>
      <c r="M1784" s="23"/>
      <c r="N1784" s="23"/>
      <c r="P1784" s="23"/>
    </row>
    <row r="1785" spans="2:16" x14ac:dyDescent="0.25">
      <c r="B1785" s="23"/>
      <c r="E1785" s="23"/>
      <c r="G1785" s="23"/>
      <c r="H1785" s="23"/>
      <c r="J1785" s="23"/>
      <c r="K1785" s="23"/>
      <c r="M1785" s="23"/>
      <c r="N1785" s="23"/>
      <c r="P1785" s="23"/>
    </row>
    <row r="1786" spans="2:16" x14ac:dyDescent="0.25">
      <c r="B1786" s="23"/>
      <c r="E1786" s="23"/>
      <c r="G1786" s="23"/>
      <c r="H1786" s="23"/>
      <c r="J1786" s="23"/>
      <c r="K1786" s="23"/>
      <c r="M1786" s="23"/>
      <c r="N1786" s="23"/>
      <c r="P1786" s="23"/>
    </row>
    <row r="1787" spans="2:16" x14ac:dyDescent="0.25">
      <c r="B1787" s="23"/>
      <c r="E1787" s="23"/>
      <c r="G1787" s="23"/>
      <c r="H1787" s="23"/>
      <c r="J1787" s="23"/>
      <c r="K1787" s="23"/>
      <c r="M1787" s="23"/>
      <c r="N1787" s="23"/>
      <c r="P1787" s="23"/>
    </row>
    <row r="1788" spans="2:16" x14ac:dyDescent="0.25">
      <c r="B1788" s="23"/>
      <c r="E1788" s="23"/>
      <c r="G1788" s="23"/>
      <c r="H1788" s="23"/>
      <c r="J1788" s="23"/>
      <c r="K1788" s="23"/>
      <c r="M1788" s="23"/>
      <c r="N1788" s="23"/>
      <c r="P1788" s="23"/>
    </row>
    <row r="1789" spans="2:16" x14ac:dyDescent="0.25">
      <c r="B1789" s="23"/>
      <c r="E1789" s="23"/>
      <c r="G1789" s="23"/>
      <c r="H1789" s="23"/>
      <c r="J1789" s="23"/>
      <c r="K1789" s="23"/>
      <c r="M1789" s="23"/>
      <c r="N1789" s="23"/>
      <c r="P1789" s="23"/>
    </row>
    <row r="1790" spans="2:16" x14ac:dyDescent="0.25">
      <c r="B1790" s="23"/>
      <c r="E1790" s="23"/>
      <c r="G1790" s="23"/>
      <c r="H1790" s="23"/>
      <c r="J1790" s="23"/>
      <c r="K1790" s="23"/>
      <c r="M1790" s="23"/>
      <c r="N1790" s="23"/>
      <c r="P1790" s="23"/>
    </row>
    <row r="1791" spans="2:16" x14ac:dyDescent="0.25">
      <c r="B1791" s="23"/>
      <c r="E1791" s="23"/>
      <c r="G1791" s="23"/>
      <c r="H1791" s="23"/>
      <c r="J1791" s="23"/>
      <c r="K1791" s="23"/>
      <c r="M1791" s="23"/>
      <c r="N1791" s="23"/>
      <c r="P1791" s="23"/>
    </row>
    <row r="1792" spans="2:16" x14ac:dyDescent="0.25">
      <c r="B1792" s="23"/>
      <c r="E1792" s="23"/>
      <c r="G1792" s="23"/>
      <c r="H1792" s="23"/>
      <c r="J1792" s="23"/>
      <c r="K1792" s="23"/>
      <c r="M1792" s="23"/>
      <c r="N1792" s="23"/>
      <c r="P1792" s="23"/>
    </row>
    <row r="1793" spans="2:16" x14ac:dyDescent="0.25">
      <c r="B1793" s="23"/>
      <c r="E1793" s="23"/>
      <c r="G1793" s="23"/>
      <c r="H1793" s="23"/>
      <c r="J1793" s="23"/>
      <c r="K1793" s="23"/>
      <c r="M1793" s="23"/>
      <c r="N1793" s="23"/>
      <c r="P1793" s="23"/>
    </row>
    <row r="1794" spans="2:16" x14ac:dyDescent="0.25">
      <c r="B1794" s="23"/>
      <c r="E1794" s="23"/>
      <c r="G1794" s="23"/>
      <c r="H1794" s="23"/>
      <c r="J1794" s="23"/>
      <c r="K1794" s="23"/>
      <c r="M1794" s="23"/>
      <c r="N1794" s="23"/>
      <c r="P1794" s="23"/>
    </row>
    <row r="1795" spans="2:16" x14ac:dyDescent="0.25">
      <c r="B1795" s="23"/>
      <c r="E1795" s="23"/>
      <c r="G1795" s="23"/>
      <c r="H1795" s="23"/>
      <c r="J1795" s="23"/>
      <c r="K1795" s="23"/>
      <c r="M1795" s="23"/>
      <c r="N1795" s="23"/>
      <c r="P1795" s="23"/>
    </row>
    <row r="1796" spans="2:16" x14ac:dyDescent="0.25">
      <c r="B1796" s="23"/>
      <c r="E1796" s="23"/>
      <c r="G1796" s="23"/>
      <c r="H1796" s="23"/>
      <c r="J1796" s="23"/>
      <c r="K1796" s="23"/>
      <c r="M1796" s="23"/>
      <c r="N1796" s="23"/>
      <c r="P1796" s="23"/>
    </row>
    <row r="1797" spans="2:16" x14ac:dyDescent="0.25">
      <c r="B1797" s="23"/>
      <c r="E1797" s="23"/>
      <c r="G1797" s="23"/>
      <c r="H1797" s="23"/>
      <c r="J1797" s="23"/>
      <c r="K1797" s="23"/>
      <c r="M1797" s="23"/>
      <c r="N1797" s="23"/>
      <c r="P1797" s="23"/>
    </row>
    <row r="1798" spans="2:16" x14ac:dyDescent="0.25">
      <c r="B1798" s="23"/>
      <c r="E1798" s="23"/>
      <c r="G1798" s="23"/>
      <c r="H1798" s="23"/>
      <c r="J1798" s="23"/>
      <c r="K1798" s="23"/>
      <c r="M1798" s="23"/>
      <c r="N1798" s="23"/>
      <c r="P1798" s="23"/>
    </row>
    <row r="1799" spans="2:16" x14ac:dyDescent="0.25">
      <c r="B1799" s="23"/>
      <c r="E1799" s="23"/>
      <c r="G1799" s="23"/>
      <c r="H1799" s="23"/>
      <c r="J1799" s="23"/>
      <c r="K1799" s="23"/>
      <c r="M1799" s="23"/>
      <c r="N1799" s="23"/>
      <c r="P1799" s="23"/>
    </row>
    <row r="1800" spans="2:16" x14ac:dyDescent="0.25">
      <c r="B1800" s="23"/>
      <c r="E1800" s="23"/>
      <c r="G1800" s="23"/>
      <c r="H1800" s="23"/>
      <c r="J1800" s="23"/>
      <c r="K1800" s="23"/>
      <c r="M1800" s="23"/>
      <c r="N1800" s="23"/>
      <c r="P1800" s="23"/>
    </row>
    <row r="1801" spans="2:16" x14ac:dyDescent="0.25">
      <c r="B1801" s="23"/>
      <c r="E1801" s="23"/>
      <c r="G1801" s="23"/>
      <c r="H1801" s="23"/>
      <c r="J1801" s="23"/>
      <c r="K1801" s="23"/>
      <c r="M1801" s="23"/>
      <c r="N1801" s="23"/>
      <c r="P1801" s="23"/>
    </row>
    <row r="1802" spans="2:16" x14ac:dyDescent="0.25">
      <c r="B1802" s="23"/>
      <c r="E1802" s="23"/>
      <c r="G1802" s="23"/>
      <c r="H1802" s="23"/>
      <c r="J1802" s="23"/>
      <c r="K1802" s="23"/>
      <c r="M1802" s="23"/>
      <c r="N1802" s="23"/>
      <c r="P1802" s="23"/>
    </row>
    <row r="1803" spans="2:16" x14ac:dyDescent="0.25">
      <c r="B1803" s="23"/>
      <c r="E1803" s="23"/>
      <c r="G1803" s="23"/>
      <c r="H1803" s="23"/>
      <c r="J1803" s="23"/>
      <c r="K1803" s="23"/>
      <c r="M1803" s="23"/>
      <c r="N1803" s="23"/>
      <c r="P1803" s="23"/>
    </row>
    <row r="1804" spans="2:16" x14ac:dyDescent="0.25">
      <c r="B1804" s="23"/>
      <c r="E1804" s="23"/>
      <c r="G1804" s="23"/>
      <c r="H1804" s="23"/>
      <c r="J1804" s="23"/>
      <c r="K1804" s="23"/>
      <c r="M1804" s="23"/>
      <c r="N1804" s="23"/>
      <c r="P1804" s="23"/>
    </row>
    <row r="1805" spans="2:16" x14ac:dyDescent="0.25">
      <c r="B1805" s="23"/>
      <c r="E1805" s="23"/>
      <c r="G1805" s="23"/>
      <c r="H1805" s="23"/>
      <c r="J1805" s="23"/>
      <c r="K1805" s="23"/>
      <c r="M1805" s="23"/>
      <c r="N1805" s="23"/>
      <c r="P1805" s="23"/>
    </row>
    <row r="1806" spans="2:16" x14ac:dyDescent="0.25">
      <c r="B1806" s="23"/>
      <c r="E1806" s="23"/>
      <c r="G1806" s="23"/>
      <c r="H1806" s="23"/>
      <c r="J1806" s="23"/>
      <c r="K1806" s="23"/>
      <c r="M1806" s="23"/>
      <c r="N1806" s="23"/>
      <c r="P1806" s="23"/>
    </row>
    <row r="1807" spans="2:16" x14ac:dyDescent="0.25">
      <c r="B1807" s="23"/>
      <c r="E1807" s="23"/>
      <c r="G1807" s="23"/>
      <c r="H1807" s="23"/>
      <c r="J1807" s="23"/>
      <c r="K1807" s="23"/>
      <c r="M1807" s="23"/>
      <c r="N1807" s="23"/>
      <c r="P1807" s="23"/>
    </row>
    <row r="1808" spans="2:16" x14ac:dyDescent="0.25">
      <c r="B1808" s="23"/>
      <c r="E1808" s="23"/>
      <c r="G1808" s="23"/>
      <c r="H1808" s="23"/>
      <c r="J1808" s="23"/>
      <c r="K1808" s="23"/>
      <c r="M1808" s="23"/>
      <c r="N1808" s="23"/>
      <c r="P1808" s="23"/>
    </row>
    <row r="1809" spans="2:16" x14ac:dyDescent="0.25">
      <c r="B1809" s="23"/>
      <c r="E1809" s="23"/>
      <c r="G1809" s="23"/>
      <c r="H1809" s="23"/>
      <c r="J1809" s="23"/>
      <c r="K1809" s="23"/>
      <c r="M1809" s="23"/>
      <c r="N1809" s="23"/>
      <c r="P1809" s="23"/>
    </row>
    <row r="1810" spans="2:16" x14ac:dyDescent="0.25">
      <c r="B1810" s="23"/>
      <c r="E1810" s="23"/>
      <c r="G1810" s="23"/>
      <c r="H1810" s="23"/>
      <c r="J1810" s="23"/>
      <c r="K1810" s="23"/>
      <c r="M1810" s="23"/>
      <c r="N1810" s="23"/>
      <c r="P1810" s="23"/>
    </row>
    <row r="1811" spans="2:16" x14ac:dyDescent="0.25">
      <c r="B1811" s="23"/>
      <c r="E1811" s="23"/>
      <c r="G1811" s="23"/>
      <c r="H1811" s="23"/>
      <c r="J1811" s="23"/>
      <c r="K1811" s="23"/>
      <c r="M1811" s="23"/>
      <c r="N1811" s="23"/>
      <c r="P1811" s="23"/>
    </row>
    <row r="1812" spans="2:16" x14ac:dyDescent="0.25">
      <c r="B1812" s="23"/>
      <c r="E1812" s="23"/>
      <c r="G1812" s="23"/>
      <c r="H1812" s="23"/>
      <c r="J1812" s="23"/>
      <c r="K1812" s="23"/>
      <c r="M1812" s="23"/>
      <c r="N1812" s="23"/>
      <c r="P1812" s="23"/>
    </row>
    <row r="1813" spans="2:16" x14ac:dyDescent="0.25">
      <c r="B1813" s="23"/>
      <c r="E1813" s="23"/>
      <c r="G1813" s="23"/>
      <c r="H1813" s="23"/>
      <c r="J1813" s="23"/>
      <c r="K1813" s="23"/>
      <c r="M1813" s="23"/>
      <c r="N1813" s="23"/>
      <c r="P1813" s="23"/>
    </row>
    <row r="1814" spans="2:16" x14ac:dyDescent="0.25">
      <c r="B1814" s="23"/>
      <c r="E1814" s="23"/>
      <c r="G1814" s="23"/>
      <c r="H1814" s="23"/>
      <c r="J1814" s="23"/>
      <c r="K1814" s="23"/>
      <c r="M1814" s="23"/>
      <c r="N1814" s="23"/>
      <c r="P1814" s="23"/>
    </row>
    <row r="1815" spans="2:16" x14ac:dyDescent="0.25">
      <c r="B1815" s="23"/>
      <c r="E1815" s="23"/>
      <c r="G1815" s="23"/>
      <c r="H1815" s="23"/>
      <c r="J1815" s="23"/>
      <c r="K1815" s="23"/>
      <c r="M1815" s="23"/>
      <c r="N1815" s="23"/>
      <c r="P1815" s="23"/>
    </row>
    <row r="1816" spans="2:16" x14ac:dyDescent="0.25">
      <c r="B1816" s="23"/>
      <c r="E1816" s="23"/>
      <c r="G1816" s="23"/>
      <c r="H1816" s="23"/>
      <c r="J1816" s="23"/>
      <c r="K1816" s="23"/>
      <c r="M1816" s="23"/>
      <c r="N1816" s="23"/>
      <c r="P1816" s="23"/>
    </row>
    <row r="1817" spans="2:16" x14ac:dyDescent="0.25">
      <c r="B1817" s="23"/>
      <c r="E1817" s="23"/>
      <c r="G1817" s="23"/>
      <c r="H1817" s="23"/>
      <c r="J1817" s="23"/>
      <c r="K1817" s="23"/>
      <c r="M1817" s="23"/>
      <c r="N1817" s="23"/>
      <c r="P1817" s="23"/>
    </row>
    <row r="1818" spans="2:16" x14ac:dyDescent="0.25">
      <c r="B1818" s="23"/>
      <c r="E1818" s="23"/>
      <c r="G1818" s="23"/>
      <c r="H1818" s="23"/>
      <c r="J1818" s="23"/>
      <c r="K1818" s="23"/>
      <c r="M1818" s="23"/>
      <c r="N1818" s="23"/>
      <c r="P1818" s="23"/>
    </row>
    <row r="1819" spans="2:16" x14ac:dyDescent="0.25">
      <c r="B1819" s="23"/>
      <c r="E1819" s="23"/>
      <c r="G1819" s="23"/>
      <c r="H1819" s="23"/>
      <c r="J1819" s="23"/>
      <c r="K1819" s="23"/>
      <c r="M1819" s="23"/>
      <c r="N1819" s="23"/>
      <c r="P1819" s="23"/>
    </row>
    <row r="1820" spans="2:16" x14ac:dyDescent="0.25">
      <c r="B1820" s="23"/>
      <c r="E1820" s="23"/>
      <c r="G1820" s="23"/>
      <c r="H1820" s="23"/>
      <c r="J1820" s="23"/>
      <c r="K1820" s="23"/>
      <c r="M1820" s="23"/>
      <c r="N1820" s="23"/>
      <c r="P1820" s="23"/>
    </row>
    <row r="1821" spans="2:16" x14ac:dyDescent="0.25">
      <c r="B1821" s="23"/>
      <c r="E1821" s="23"/>
      <c r="G1821" s="23"/>
      <c r="H1821" s="23"/>
      <c r="J1821" s="23"/>
      <c r="K1821" s="23"/>
      <c r="M1821" s="23"/>
      <c r="N1821" s="23"/>
      <c r="P1821" s="23"/>
    </row>
    <row r="1822" spans="2:16" x14ac:dyDescent="0.25">
      <c r="B1822" s="23"/>
      <c r="E1822" s="23"/>
      <c r="G1822" s="23"/>
      <c r="H1822" s="23"/>
      <c r="J1822" s="23"/>
      <c r="K1822" s="23"/>
      <c r="M1822" s="23"/>
      <c r="N1822" s="23"/>
      <c r="P1822" s="23"/>
    </row>
    <row r="1823" spans="2:16" x14ac:dyDescent="0.25">
      <c r="B1823" s="23"/>
      <c r="E1823" s="23"/>
      <c r="G1823" s="23"/>
      <c r="H1823" s="23"/>
      <c r="J1823" s="23"/>
      <c r="K1823" s="23"/>
      <c r="M1823" s="23"/>
      <c r="N1823" s="23"/>
      <c r="P1823" s="23"/>
    </row>
    <row r="1824" spans="2:16" x14ac:dyDescent="0.25">
      <c r="B1824" s="23"/>
      <c r="E1824" s="23"/>
      <c r="G1824" s="23"/>
      <c r="H1824" s="23"/>
      <c r="J1824" s="23"/>
      <c r="K1824" s="23"/>
      <c r="M1824" s="23"/>
      <c r="N1824" s="23"/>
      <c r="P1824" s="23"/>
    </row>
    <row r="1825" spans="2:16" x14ac:dyDescent="0.25">
      <c r="B1825" s="23"/>
      <c r="E1825" s="23"/>
      <c r="G1825" s="23"/>
      <c r="H1825" s="23"/>
      <c r="J1825" s="23"/>
      <c r="K1825" s="23"/>
      <c r="M1825" s="23"/>
      <c r="N1825" s="23"/>
      <c r="P1825" s="23"/>
    </row>
    <row r="1826" spans="2:16" x14ac:dyDescent="0.25">
      <c r="B1826" s="23"/>
      <c r="E1826" s="23"/>
      <c r="G1826" s="23"/>
      <c r="H1826" s="23"/>
      <c r="J1826" s="23"/>
      <c r="K1826" s="23"/>
      <c r="M1826" s="23"/>
      <c r="N1826" s="23"/>
      <c r="P1826" s="23"/>
    </row>
    <row r="1827" spans="2:16" x14ac:dyDescent="0.25">
      <c r="B1827" s="23"/>
      <c r="E1827" s="23"/>
      <c r="G1827" s="23"/>
      <c r="H1827" s="23"/>
      <c r="J1827" s="23"/>
      <c r="K1827" s="23"/>
      <c r="M1827" s="23"/>
      <c r="N1827" s="23"/>
      <c r="P1827" s="23"/>
    </row>
    <row r="1828" spans="2:16" x14ac:dyDescent="0.25">
      <c r="B1828" s="23"/>
      <c r="E1828" s="23"/>
      <c r="G1828" s="23"/>
      <c r="H1828" s="23"/>
      <c r="J1828" s="23"/>
      <c r="K1828" s="23"/>
      <c r="M1828" s="23"/>
      <c r="N1828" s="23"/>
      <c r="P1828" s="23"/>
    </row>
    <row r="1829" spans="2:16" x14ac:dyDescent="0.25">
      <c r="B1829" s="23"/>
      <c r="E1829" s="23"/>
      <c r="G1829" s="23"/>
      <c r="H1829" s="23"/>
      <c r="J1829" s="23"/>
      <c r="K1829" s="23"/>
      <c r="M1829" s="23"/>
      <c r="N1829" s="23"/>
      <c r="P1829" s="23"/>
    </row>
    <row r="1830" spans="2:16" x14ac:dyDescent="0.25">
      <c r="B1830" s="23"/>
      <c r="E1830" s="23"/>
      <c r="G1830" s="23"/>
      <c r="H1830" s="23"/>
      <c r="J1830" s="23"/>
      <c r="K1830" s="23"/>
      <c r="M1830" s="23"/>
      <c r="N1830" s="23"/>
      <c r="P1830" s="23"/>
    </row>
    <row r="1831" spans="2:16" x14ac:dyDescent="0.25">
      <c r="B1831" s="23"/>
      <c r="E1831" s="23"/>
      <c r="G1831" s="23"/>
      <c r="H1831" s="23"/>
      <c r="J1831" s="23"/>
      <c r="K1831" s="23"/>
      <c r="M1831" s="23"/>
      <c r="N1831" s="23"/>
      <c r="P1831" s="23"/>
    </row>
    <row r="1832" spans="2:16" x14ac:dyDescent="0.25">
      <c r="B1832" s="23"/>
      <c r="E1832" s="23"/>
      <c r="G1832" s="23"/>
      <c r="H1832" s="23"/>
      <c r="J1832" s="23"/>
      <c r="K1832" s="23"/>
      <c r="M1832" s="23"/>
      <c r="N1832" s="23"/>
      <c r="P1832" s="23"/>
    </row>
    <row r="1833" spans="2:16" x14ac:dyDescent="0.25">
      <c r="B1833" s="23"/>
      <c r="E1833" s="23"/>
      <c r="G1833" s="23"/>
      <c r="H1833" s="23"/>
      <c r="J1833" s="23"/>
      <c r="K1833" s="23"/>
      <c r="M1833" s="23"/>
      <c r="N1833" s="23"/>
      <c r="P1833" s="23"/>
    </row>
    <row r="1834" spans="2:16" x14ac:dyDescent="0.25">
      <c r="B1834" s="23"/>
      <c r="E1834" s="23"/>
      <c r="G1834" s="23"/>
      <c r="H1834" s="23"/>
      <c r="J1834" s="23"/>
      <c r="K1834" s="23"/>
      <c r="M1834" s="23"/>
      <c r="N1834" s="23"/>
      <c r="P1834" s="23"/>
    </row>
    <row r="1835" spans="2:16" x14ac:dyDescent="0.25">
      <c r="B1835" s="23"/>
      <c r="E1835" s="23"/>
      <c r="G1835" s="23"/>
      <c r="H1835" s="23"/>
      <c r="J1835" s="23"/>
      <c r="K1835" s="23"/>
      <c r="M1835" s="23"/>
      <c r="N1835" s="23"/>
      <c r="P1835" s="23"/>
    </row>
    <row r="1836" spans="2:16" x14ac:dyDescent="0.25">
      <c r="B1836" s="23"/>
      <c r="E1836" s="23"/>
      <c r="G1836" s="23"/>
      <c r="H1836" s="23"/>
      <c r="J1836" s="23"/>
      <c r="K1836" s="23"/>
      <c r="M1836" s="23"/>
      <c r="N1836" s="23"/>
      <c r="P1836" s="23"/>
    </row>
    <row r="1837" spans="2:16" x14ac:dyDescent="0.25">
      <c r="B1837" s="23"/>
      <c r="E1837" s="23"/>
      <c r="G1837" s="23"/>
      <c r="H1837" s="23"/>
      <c r="J1837" s="23"/>
      <c r="K1837" s="23"/>
      <c r="M1837" s="23"/>
      <c r="N1837" s="23"/>
      <c r="P1837" s="23"/>
    </row>
    <row r="1838" spans="2:16" x14ac:dyDescent="0.25">
      <c r="B1838" s="23"/>
      <c r="E1838" s="23"/>
      <c r="G1838" s="23"/>
      <c r="H1838" s="23"/>
      <c r="J1838" s="23"/>
      <c r="K1838" s="23"/>
      <c r="M1838" s="23"/>
      <c r="N1838" s="23"/>
      <c r="P1838" s="23"/>
    </row>
    <row r="1839" spans="2:16" x14ac:dyDescent="0.25">
      <c r="B1839" s="23"/>
      <c r="E1839" s="23"/>
      <c r="G1839" s="23"/>
      <c r="H1839" s="23"/>
      <c r="J1839" s="23"/>
      <c r="K1839" s="23"/>
      <c r="M1839" s="23"/>
      <c r="N1839" s="23"/>
      <c r="P1839" s="23"/>
    </row>
    <row r="1840" spans="2:16" x14ac:dyDescent="0.25">
      <c r="B1840" s="23"/>
      <c r="E1840" s="23"/>
      <c r="G1840" s="23"/>
      <c r="H1840" s="23"/>
      <c r="J1840" s="23"/>
      <c r="K1840" s="23"/>
      <c r="M1840" s="23"/>
      <c r="N1840" s="23"/>
      <c r="P1840" s="23"/>
    </row>
    <row r="1841" spans="2:16" x14ac:dyDescent="0.25">
      <c r="B1841" s="23"/>
      <c r="E1841" s="23"/>
      <c r="G1841" s="23"/>
      <c r="H1841" s="23"/>
      <c r="J1841" s="23"/>
      <c r="K1841" s="23"/>
      <c r="M1841" s="23"/>
      <c r="N1841" s="23"/>
      <c r="P1841" s="23"/>
    </row>
    <row r="1842" spans="2:16" x14ac:dyDescent="0.25">
      <c r="B1842" s="23"/>
      <c r="E1842" s="23"/>
      <c r="G1842" s="23"/>
      <c r="H1842" s="23"/>
      <c r="J1842" s="23"/>
      <c r="K1842" s="23"/>
      <c r="M1842" s="23"/>
      <c r="N1842" s="23"/>
      <c r="P1842" s="23"/>
    </row>
    <row r="1843" spans="2:16" x14ac:dyDescent="0.25">
      <c r="B1843" s="23"/>
      <c r="E1843" s="23"/>
      <c r="G1843" s="23"/>
      <c r="H1843" s="23"/>
      <c r="J1843" s="23"/>
      <c r="K1843" s="23"/>
      <c r="M1843" s="23"/>
      <c r="N1843" s="23"/>
      <c r="P1843" s="23"/>
    </row>
    <row r="1844" spans="2:16" x14ac:dyDescent="0.25">
      <c r="B1844" s="23"/>
      <c r="E1844" s="23"/>
      <c r="G1844" s="23"/>
      <c r="H1844" s="23"/>
      <c r="J1844" s="23"/>
      <c r="K1844" s="23"/>
      <c r="M1844" s="23"/>
      <c r="N1844" s="23"/>
      <c r="P1844" s="23"/>
    </row>
    <row r="1845" spans="2:16" x14ac:dyDescent="0.25">
      <c r="B1845" s="23"/>
      <c r="E1845" s="23"/>
      <c r="G1845" s="23"/>
      <c r="H1845" s="23"/>
      <c r="J1845" s="23"/>
      <c r="K1845" s="23"/>
      <c r="M1845" s="23"/>
      <c r="N1845" s="23"/>
      <c r="P1845" s="23"/>
    </row>
    <row r="1846" spans="2:16" x14ac:dyDescent="0.25">
      <c r="B1846" s="23"/>
      <c r="E1846" s="23"/>
      <c r="G1846" s="23"/>
      <c r="H1846" s="23"/>
      <c r="J1846" s="23"/>
      <c r="K1846" s="23"/>
      <c r="M1846" s="23"/>
      <c r="N1846" s="23"/>
      <c r="P1846" s="23"/>
    </row>
    <row r="1847" spans="2:16" x14ac:dyDescent="0.25">
      <c r="B1847" s="23"/>
      <c r="E1847" s="23"/>
      <c r="G1847" s="23"/>
      <c r="H1847" s="23"/>
      <c r="J1847" s="23"/>
      <c r="K1847" s="23"/>
      <c r="M1847" s="23"/>
      <c r="N1847" s="23"/>
      <c r="P1847" s="23"/>
    </row>
    <row r="1848" spans="2:16" x14ac:dyDescent="0.25">
      <c r="B1848" s="23"/>
      <c r="E1848" s="23"/>
      <c r="G1848" s="23"/>
      <c r="H1848" s="23"/>
      <c r="J1848" s="23"/>
      <c r="K1848" s="23"/>
      <c r="M1848" s="23"/>
      <c r="N1848" s="23"/>
      <c r="P1848" s="23"/>
    </row>
    <row r="1849" spans="2:16" x14ac:dyDescent="0.25">
      <c r="B1849" s="23"/>
      <c r="E1849" s="23"/>
      <c r="G1849" s="23"/>
      <c r="H1849" s="23"/>
      <c r="J1849" s="23"/>
      <c r="K1849" s="23"/>
      <c r="M1849" s="23"/>
      <c r="N1849" s="23"/>
      <c r="P1849" s="23"/>
    </row>
    <row r="1850" spans="2:16" x14ac:dyDescent="0.25">
      <c r="B1850" s="23"/>
      <c r="E1850" s="23"/>
      <c r="G1850" s="23"/>
      <c r="H1850" s="23"/>
      <c r="J1850" s="23"/>
      <c r="K1850" s="23"/>
      <c r="M1850" s="23"/>
      <c r="N1850" s="23"/>
      <c r="P1850" s="23"/>
    </row>
    <row r="1851" spans="2:16" x14ac:dyDescent="0.25">
      <c r="B1851" s="23"/>
      <c r="E1851" s="23"/>
      <c r="G1851" s="23"/>
      <c r="H1851" s="23"/>
      <c r="J1851" s="23"/>
      <c r="K1851" s="23"/>
      <c r="M1851" s="23"/>
      <c r="N1851" s="23"/>
      <c r="P1851" s="23"/>
    </row>
    <row r="1852" spans="2:16" x14ac:dyDescent="0.25">
      <c r="B1852" s="23"/>
      <c r="E1852" s="23"/>
      <c r="G1852" s="23"/>
      <c r="H1852" s="23"/>
      <c r="J1852" s="23"/>
      <c r="K1852" s="23"/>
      <c r="M1852" s="23"/>
      <c r="N1852" s="23"/>
      <c r="P1852" s="23"/>
    </row>
    <row r="1853" spans="2:16" x14ac:dyDescent="0.25">
      <c r="B1853" s="23"/>
      <c r="E1853" s="23"/>
      <c r="G1853" s="23"/>
      <c r="H1853" s="23"/>
      <c r="J1853" s="23"/>
      <c r="K1853" s="23"/>
      <c r="M1853" s="23"/>
      <c r="N1853" s="23"/>
      <c r="P1853" s="23"/>
    </row>
    <row r="1854" spans="2:16" x14ac:dyDescent="0.25">
      <c r="B1854" s="23"/>
      <c r="E1854" s="23"/>
      <c r="G1854" s="23"/>
      <c r="H1854" s="23"/>
      <c r="J1854" s="23"/>
      <c r="K1854" s="23"/>
      <c r="M1854" s="23"/>
      <c r="N1854" s="23"/>
      <c r="P1854" s="23"/>
    </row>
    <row r="1855" spans="2:16" x14ac:dyDescent="0.25">
      <c r="B1855" s="23"/>
      <c r="E1855" s="23"/>
      <c r="G1855" s="23"/>
      <c r="H1855" s="23"/>
      <c r="J1855" s="23"/>
      <c r="K1855" s="23"/>
      <c r="M1855" s="23"/>
      <c r="N1855" s="23"/>
      <c r="P1855" s="23"/>
    </row>
    <row r="1856" spans="2:16" x14ac:dyDescent="0.25">
      <c r="B1856" s="23"/>
      <c r="E1856" s="23"/>
      <c r="G1856" s="23"/>
      <c r="H1856" s="23"/>
      <c r="J1856" s="23"/>
      <c r="K1856" s="23"/>
      <c r="M1856" s="23"/>
      <c r="N1856" s="23"/>
      <c r="P1856" s="23"/>
    </row>
    <row r="1857" spans="2:16" x14ac:dyDescent="0.25">
      <c r="B1857" s="23"/>
      <c r="E1857" s="23"/>
      <c r="G1857" s="23"/>
      <c r="H1857" s="23"/>
      <c r="J1857" s="23"/>
      <c r="K1857" s="23"/>
      <c r="M1857" s="23"/>
      <c r="N1857" s="23"/>
      <c r="P1857" s="23"/>
    </row>
    <row r="1858" spans="2:16" x14ac:dyDescent="0.25">
      <c r="B1858" s="23"/>
      <c r="E1858" s="23"/>
      <c r="G1858" s="23"/>
      <c r="H1858" s="23"/>
      <c r="J1858" s="23"/>
      <c r="K1858" s="23"/>
      <c r="M1858" s="23"/>
      <c r="N1858" s="23"/>
      <c r="P1858" s="23"/>
    </row>
    <row r="1859" spans="2:16" x14ac:dyDescent="0.25">
      <c r="B1859" s="23"/>
      <c r="E1859" s="23"/>
      <c r="G1859" s="23"/>
      <c r="H1859" s="23"/>
      <c r="J1859" s="23"/>
      <c r="K1859" s="23"/>
      <c r="M1859" s="23"/>
      <c r="N1859" s="23"/>
      <c r="P1859" s="23"/>
    </row>
    <row r="1860" spans="2:16" x14ac:dyDescent="0.25">
      <c r="B1860" s="23"/>
      <c r="E1860" s="23"/>
      <c r="G1860" s="23"/>
      <c r="H1860" s="23"/>
      <c r="J1860" s="23"/>
      <c r="K1860" s="23"/>
      <c r="M1860" s="23"/>
      <c r="N1860" s="23"/>
      <c r="P1860" s="23"/>
    </row>
    <row r="1861" spans="2:16" x14ac:dyDescent="0.25">
      <c r="B1861" s="23"/>
      <c r="E1861" s="23"/>
      <c r="G1861" s="23"/>
      <c r="H1861" s="23"/>
      <c r="J1861" s="23"/>
      <c r="K1861" s="23"/>
      <c r="M1861" s="23"/>
      <c r="N1861" s="23"/>
      <c r="P1861" s="23"/>
    </row>
    <row r="1862" spans="2:16" x14ac:dyDescent="0.25">
      <c r="B1862" s="23"/>
      <c r="E1862" s="23"/>
      <c r="G1862" s="23"/>
      <c r="H1862" s="23"/>
      <c r="J1862" s="23"/>
      <c r="K1862" s="23"/>
      <c r="M1862" s="23"/>
      <c r="N1862" s="23"/>
      <c r="P1862" s="23"/>
    </row>
    <row r="1863" spans="2:16" x14ac:dyDescent="0.25">
      <c r="B1863" s="23"/>
      <c r="E1863" s="23"/>
      <c r="G1863" s="23"/>
      <c r="H1863" s="23"/>
      <c r="J1863" s="23"/>
      <c r="K1863" s="23"/>
      <c r="M1863" s="23"/>
      <c r="N1863" s="23"/>
      <c r="P1863" s="23"/>
    </row>
    <row r="1864" spans="2:16" x14ac:dyDescent="0.25">
      <c r="B1864" s="23"/>
      <c r="E1864" s="23"/>
      <c r="G1864" s="23"/>
      <c r="H1864" s="23"/>
      <c r="J1864" s="23"/>
      <c r="K1864" s="23"/>
      <c r="M1864" s="23"/>
      <c r="N1864" s="23"/>
      <c r="P1864" s="23"/>
    </row>
    <row r="1865" spans="2:16" x14ac:dyDescent="0.25">
      <c r="B1865" s="23"/>
      <c r="E1865" s="23"/>
      <c r="G1865" s="23"/>
      <c r="H1865" s="23"/>
      <c r="J1865" s="23"/>
      <c r="K1865" s="23"/>
      <c r="M1865" s="23"/>
      <c r="N1865" s="23"/>
      <c r="P1865" s="23"/>
    </row>
    <row r="1866" spans="2:16" x14ac:dyDescent="0.25">
      <c r="B1866" s="23"/>
      <c r="E1866" s="23"/>
      <c r="G1866" s="23"/>
      <c r="H1866" s="23"/>
      <c r="J1866" s="23"/>
      <c r="K1866" s="23"/>
      <c r="M1866" s="23"/>
      <c r="N1866" s="23"/>
      <c r="P1866" s="23"/>
    </row>
    <row r="1867" spans="2:16" x14ac:dyDescent="0.25">
      <c r="B1867" s="23"/>
      <c r="E1867" s="23"/>
      <c r="G1867" s="23"/>
      <c r="H1867" s="23"/>
      <c r="J1867" s="23"/>
      <c r="K1867" s="23"/>
      <c r="M1867" s="23"/>
      <c r="N1867" s="23"/>
      <c r="P1867" s="23"/>
    </row>
    <row r="1868" spans="2:16" x14ac:dyDescent="0.25">
      <c r="B1868" s="23"/>
      <c r="E1868" s="23"/>
      <c r="G1868" s="23"/>
      <c r="H1868" s="23"/>
      <c r="J1868" s="23"/>
      <c r="K1868" s="23"/>
      <c r="M1868" s="23"/>
      <c r="N1868" s="23"/>
      <c r="P1868" s="23"/>
    </row>
    <row r="1869" spans="2:16" x14ac:dyDescent="0.25">
      <c r="B1869" s="23"/>
      <c r="E1869" s="23"/>
      <c r="G1869" s="23"/>
      <c r="H1869" s="23"/>
      <c r="J1869" s="23"/>
      <c r="K1869" s="23"/>
      <c r="M1869" s="23"/>
      <c r="N1869" s="23"/>
      <c r="P1869" s="23"/>
    </row>
    <row r="1870" spans="2:16" x14ac:dyDescent="0.25">
      <c r="B1870" s="23"/>
      <c r="E1870" s="23"/>
      <c r="G1870" s="23"/>
      <c r="H1870" s="23"/>
      <c r="J1870" s="23"/>
      <c r="K1870" s="23"/>
      <c r="M1870" s="23"/>
      <c r="N1870" s="23"/>
      <c r="P1870" s="23"/>
    </row>
    <row r="1871" spans="2:16" x14ac:dyDescent="0.25">
      <c r="B1871" s="23"/>
      <c r="E1871" s="23"/>
      <c r="G1871" s="23"/>
      <c r="H1871" s="23"/>
      <c r="J1871" s="23"/>
      <c r="K1871" s="23"/>
      <c r="M1871" s="23"/>
      <c r="N1871" s="23"/>
      <c r="P1871" s="23"/>
    </row>
    <row r="1872" spans="2:16" x14ac:dyDescent="0.25">
      <c r="B1872" s="23"/>
      <c r="E1872" s="23"/>
      <c r="G1872" s="23"/>
      <c r="H1872" s="23"/>
      <c r="J1872" s="23"/>
      <c r="K1872" s="23"/>
      <c r="M1872" s="23"/>
      <c r="N1872" s="23"/>
      <c r="P1872" s="23"/>
    </row>
    <row r="1873" spans="2:16" x14ac:dyDescent="0.25">
      <c r="B1873" s="23"/>
      <c r="E1873" s="23"/>
      <c r="G1873" s="23"/>
      <c r="H1873" s="23"/>
      <c r="J1873" s="23"/>
      <c r="K1873" s="23"/>
      <c r="M1873" s="23"/>
      <c r="N1873" s="23"/>
      <c r="P1873" s="23"/>
    </row>
    <row r="1874" spans="2:16" x14ac:dyDescent="0.25">
      <c r="B1874" s="23"/>
      <c r="E1874" s="23"/>
      <c r="G1874" s="23"/>
      <c r="H1874" s="23"/>
      <c r="J1874" s="23"/>
      <c r="K1874" s="23"/>
      <c r="M1874" s="23"/>
      <c r="N1874" s="23"/>
      <c r="P1874" s="23"/>
    </row>
    <row r="1875" spans="2:16" x14ac:dyDescent="0.25">
      <c r="B1875" s="23"/>
      <c r="E1875" s="23"/>
      <c r="G1875" s="23"/>
      <c r="H1875" s="23"/>
      <c r="J1875" s="23"/>
      <c r="K1875" s="23"/>
      <c r="M1875" s="23"/>
      <c r="N1875" s="23"/>
      <c r="P1875" s="23"/>
    </row>
    <row r="1876" spans="2:16" x14ac:dyDescent="0.25">
      <c r="B1876" s="23"/>
      <c r="E1876" s="23"/>
      <c r="G1876" s="23"/>
      <c r="H1876" s="23"/>
      <c r="J1876" s="23"/>
      <c r="K1876" s="23"/>
      <c r="M1876" s="23"/>
      <c r="N1876" s="23"/>
      <c r="P1876" s="23"/>
    </row>
    <row r="1877" spans="2:16" x14ac:dyDescent="0.25">
      <c r="B1877" s="23"/>
      <c r="E1877" s="23"/>
      <c r="G1877" s="23"/>
      <c r="H1877" s="23"/>
      <c r="J1877" s="23"/>
      <c r="K1877" s="23"/>
      <c r="M1877" s="23"/>
      <c r="N1877" s="23"/>
      <c r="P1877" s="23"/>
    </row>
    <row r="1878" spans="2:16" x14ac:dyDescent="0.25">
      <c r="B1878" s="23"/>
      <c r="E1878" s="23"/>
      <c r="G1878" s="23"/>
      <c r="H1878" s="23"/>
      <c r="J1878" s="23"/>
      <c r="K1878" s="23"/>
      <c r="M1878" s="23"/>
      <c r="N1878" s="23"/>
      <c r="P1878" s="23"/>
    </row>
    <row r="1879" spans="2:16" x14ac:dyDescent="0.25">
      <c r="B1879" s="23"/>
      <c r="E1879" s="23"/>
      <c r="G1879" s="23"/>
      <c r="H1879" s="23"/>
      <c r="J1879" s="23"/>
      <c r="K1879" s="23"/>
      <c r="M1879" s="23"/>
      <c r="N1879" s="23"/>
      <c r="P1879" s="23"/>
    </row>
    <row r="1880" spans="2:16" x14ac:dyDescent="0.25">
      <c r="B1880" s="23"/>
      <c r="E1880" s="23"/>
      <c r="G1880" s="23"/>
      <c r="H1880" s="23"/>
      <c r="J1880" s="23"/>
      <c r="K1880" s="23"/>
      <c r="M1880" s="23"/>
      <c r="N1880" s="23"/>
      <c r="P1880" s="23"/>
    </row>
    <row r="1881" spans="2:16" x14ac:dyDescent="0.25">
      <c r="B1881" s="23"/>
      <c r="E1881" s="23"/>
      <c r="G1881" s="23"/>
      <c r="H1881" s="23"/>
      <c r="J1881" s="23"/>
      <c r="K1881" s="23"/>
      <c r="M1881" s="23"/>
      <c r="N1881" s="23"/>
      <c r="P1881" s="23"/>
    </row>
    <row r="1882" spans="2:16" x14ac:dyDescent="0.25">
      <c r="B1882" s="23"/>
      <c r="E1882" s="23"/>
      <c r="G1882" s="23"/>
      <c r="H1882" s="23"/>
      <c r="J1882" s="23"/>
      <c r="K1882" s="23"/>
      <c r="M1882" s="23"/>
      <c r="N1882" s="23"/>
      <c r="P1882" s="23"/>
    </row>
    <row r="1883" spans="2:16" x14ac:dyDescent="0.25">
      <c r="B1883" s="23"/>
      <c r="E1883" s="23"/>
      <c r="G1883" s="23"/>
      <c r="H1883" s="23"/>
      <c r="J1883" s="23"/>
      <c r="K1883" s="23"/>
      <c r="M1883" s="23"/>
      <c r="N1883" s="23"/>
      <c r="P1883" s="23"/>
    </row>
    <row r="1884" spans="2:16" x14ac:dyDescent="0.25">
      <c r="B1884" s="23"/>
      <c r="E1884" s="23"/>
      <c r="G1884" s="23"/>
      <c r="H1884" s="23"/>
      <c r="J1884" s="23"/>
      <c r="K1884" s="23"/>
      <c r="M1884" s="23"/>
      <c r="N1884" s="23"/>
      <c r="P1884" s="23"/>
    </row>
    <row r="1885" spans="2:16" x14ac:dyDescent="0.25">
      <c r="B1885" s="23"/>
      <c r="E1885" s="23"/>
      <c r="G1885" s="23"/>
      <c r="H1885" s="23"/>
      <c r="J1885" s="23"/>
      <c r="K1885" s="23"/>
      <c r="M1885" s="23"/>
      <c r="N1885" s="23"/>
      <c r="P1885" s="23"/>
    </row>
    <row r="1886" spans="2:16" x14ac:dyDescent="0.25">
      <c r="B1886" s="23"/>
      <c r="E1886" s="23"/>
      <c r="G1886" s="23"/>
      <c r="H1886" s="23"/>
      <c r="J1886" s="23"/>
      <c r="K1886" s="23"/>
      <c r="M1886" s="23"/>
      <c r="N1886" s="23"/>
      <c r="P1886" s="23"/>
    </row>
    <row r="1887" spans="2:16" x14ac:dyDescent="0.25">
      <c r="B1887" s="23"/>
      <c r="E1887" s="23"/>
      <c r="G1887" s="23"/>
      <c r="H1887" s="23"/>
      <c r="J1887" s="23"/>
      <c r="K1887" s="23"/>
      <c r="M1887" s="23"/>
      <c r="N1887" s="23"/>
      <c r="P1887" s="23"/>
    </row>
    <row r="1888" spans="2:16" x14ac:dyDescent="0.25">
      <c r="B1888" s="23"/>
      <c r="E1888" s="23"/>
      <c r="G1888" s="23"/>
      <c r="H1888" s="23"/>
      <c r="J1888" s="23"/>
      <c r="K1888" s="23"/>
      <c r="M1888" s="23"/>
      <c r="N1888" s="23"/>
      <c r="P1888" s="23"/>
    </row>
    <row r="1889" spans="2:16" x14ac:dyDescent="0.25">
      <c r="B1889" s="23"/>
      <c r="E1889" s="23"/>
      <c r="G1889" s="23"/>
      <c r="H1889" s="23"/>
      <c r="J1889" s="23"/>
      <c r="K1889" s="23"/>
      <c r="M1889" s="23"/>
      <c r="N1889" s="23"/>
      <c r="P1889" s="23"/>
    </row>
    <row r="1890" spans="2:16" x14ac:dyDescent="0.25">
      <c r="B1890" s="23"/>
      <c r="E1890" s="23"/>
      <c r="G1890" s="23"/>
      <c r="H1890" s="23"/>
      <c r="J1890" s="23"/>
      <c r="K1890" s="23"/>
      <c r="M1890" s="23"/>
      <c r="N1890" s="23"/>
      <c r="P1890" s="23"/>
    </row>
    <row r="1891" spans="2:16" x14ac:dyDescent="0.25">
      <c r="B1891" s="23"/>
      <c r="E1891" s="23"/>
      <c r="G1891" s="23"/>
      <c r="H1891" s="23"/>
      <c r="J1891" s="23"/>
      <c r="K1891" s="23"/>
      <c r="M1891" s="23"/>
      <c r="N1891" s="23"/>
      <c r="P1891" s="23"/>
    </row>
    <row r="1892" spans="2:16" x14ac:dyDescent="0.25">
      <c r="B1892" s="23"/>
      <c r="E1892" s="23"/>
      <c r="G1892" s="23"/>
      <c r="H1892" s="23"/>
      <c r="J1892" s="23"/>
      <c r="K1892" s="23"/>
      <c r="M1892" s="23"/>
      <c r="N1892" s="23"/>
      <c r="P1892" s="23"/>
    </row>
    <row r="1893" spans="2:16" x14ac:dyDescent="0.25">
      <c r="B1893" s="23"/>
      <c r="E1893" s="23"/>
      <c r="G1893" s="23"/>
      <c r="H1893" s="23"/>
      <c r="J1893" s="23"/>
      <c r="K1893" s="23"/>
      <c r="M1893" s="23"/>
      <c r="N1893" s="23"/>
      <c r="P1893" s="23"/>
    </row>
    <row r="1894" spans="2:16" x14ac:dyDescent="0.25">
      <c r="B1894" s="23"/>
      <c r="E1894" s="23"/>
      <c r="G1894" s="23"/>
      <c r="H1894" s="23"/>
      <c r="J1894" s="23"/>
      <c r="K1894" s="23"/>
      <c r="M1894" s="23"/>
      <c r="N1894" s="23"/>
      <c r="P1894" s="23"/>
    </row>
    <row r="1895" spans="2:16" x14ac:dyDescent="0.25">
      <c r="B1895" s="23"/>
      <c r="E1895" s="23"/>
      <c r="G1895" s="23"/>
      <c r="H1895" s="23"/>
      <c r="J1895" s="23"/>
      <c r="K1895" s="23"/>
      <c r="M1895" s="23"/>
      <c r="N1895" s="23"/>
      <c r="P1895" s="23"/>
    </row>
    <row r="1896" spans="2:16" x14ac:dyDescent="0.25">
      <c r="B1896" s="23"/>
      <c r="E1896" s="23"/>
      <c r="G1896" s="23"/>
      <c r="H1896" s="23"/>
      <c r="J1896" s="23"/>
      <c r="K1896" s="23"/>
      <c r="M1896" s="23"/>
      <c r="N1896" s="23"/>
      <c r="P1896" s="23"/>
    </row>
    <row r="1897" spans="2:16" x14ac:dyDescent="0.25">
      <c r="B1897" s="23"/>
      <c r="E1897" s="23"/>
      <c r="G1897" s="23"/>
      <c r="H1897" s="23"/>
      <c r="J1897" s="23"/>
      <c r="K1897" s="23"/>
      <c r="M1897" s="23"/>
      <c r="N1897" s="23"/>
      <c r="P1897" s="23"/>
    </row>
    <row r="1898" spans="2:16" x14ac:dyDescent="0.25">
      <c r="B1898" s="23"/>
      <c r="E1898" s="23"/>
      <c r="G1898" s="23"/>
      <c r="H1898" s="23"/>
      <c r="J1898" s="23"/>
      <c r="K1898" s="23"/>
      <c r="M1898" s="23"/>
      <c r="N1898" s="23"/>
      <c r="P1898" s="23"/>
    </row>
    <row r="1899" spans="2:16" x14ac:dyDescent="0.25">
      <c r="B1899" s="23"/>
      <c r="E1899" s="23"/>
      <c r="G1899" s="23"/>
      <c r="H1899" s="23"/>
      <c r="J1899" s="23"/>
      <c r="K1899" s="23"/>
      <c r="M1899" s="23"/>
      <c r="N1899" s="23"/>
      <c r="P1899" s="23"/>
    </row>
    <row r="1900" spans="2:16" x14ac:dyDescent="0.25">
      <c r="B1900" s="23"/>
      <c r="E1900" s="23"/>
      <c r="G1900" s="23"/>
      <c r="H1900" s="23"/>
      <c r="J1900" s="23"/>
      <c r="K1900" s="23"/>
      <c r="M1900" s="23"/>
      <c r="N1900" s="23"/>
      <c r="P1900" s="23"/>
    </row>
    <row r="1901" spans="2:16" x14ac:dyDescent="0.25">
      <c r="B1901" s="23"/>
      <c r="E1901" s="23"/>
      <c r="G1901" s="23"/>
      <c r="H1901" s="23"/>
      <c r="J1901" s="23"/>
      <c r="K1901" s="23"/>
      <c r="M1901" s="23"/>
      <c r="N1901" s="23"/>
      <c r="P1901" s="23"/>
    </row>
    <row r="1902" spans="2:16" x14ac:dyDescent="0.25">
      <c r="B1902" s="23"/>
      <c r="E1902" s="23"/>
      <c r="G1902" s="23"/>
      <c r="H1902" s="23"/>
      <c r="J1902" s="23"/>
      <c r="K1902" s="23"/>
      <c r="M1902" s="23"/>
      <c r="N1902" s="23"/>
      <c r="P1902" s="23"/>
    </row>
    <row r="1903" spans="2:16" x14ac:dyDescent="0.25">
      <c r="B1903" s="23"/>
      <c r="E1903" s="23"/>
      <c r="G1903" s="23"/>
      <c r="H1903" s="23"/>
      <c r="J1903" s="23"/>
      <c r="K1903" s="23"/>
      <c r="M1903" s="23"/>
      <c r="N1903" s="23"/>
      <c r="P1903" s="23"/>
    </row>
    <row r="1904" spans="2:16" x14ac:dyDescent="0.25">
      <c r="B1904" s="23"/>
      <c r="E1904" s="23"/>
      <c r="G1904" s="23"/>
      <c r="H1904" s="23"/>
      <c r="J1904" s="23"/>
      <c r="K1904" s="23"/>
      <c r="M1904" s="23"/>
      <c r="N1904" s="23"/>
      <c r="P1904" s="23"/>
    </row>
    <row r="1905" spans="2:16" x14ac:dyDescent="0.25">
      <c r="B1905" s="23"/>
      <c r="E1905" s="23"/>
      <c r="G1905" s="23"/>
      <c r="H1905" s="23"/>
      <c r="J1905" s="23"/>
      <c r="K1905" s="23"/>
      <c r="M1905" s="23"/>
      <c r="N1905" s="23"/>
      <c r="P1905" s="23"/>
    </row>
    <row r="1906" spans="2:16" x14ac:dyDescent="0.25">
      <c r="B1906" s="23"/>
      <c r="E1906" s="23"/>
      <c r="G1906" s="23"/>
      <c r="H1906" s="23"/>
      <c r="J1906" s="23"/>
      <c r="K1906" s="23"/>
      <c r="M1906" s="23"/>
      <c r="N1906" s="23"/>
      <c r="P1906" s="23"/>
    </row>
    <row r="1907" spans="2:16" x14ac:dyDescent="0.25">
      <c r="B1907" s="23"/>
      <c r="E1907" s="23"/>
      <c r="G1907" s="23"/>
      <c r="H1907" s="23"/>
      <c r="J1907" s="23"/>
      <c r="K1907" s="23"/>
      <c r="M1907" s="23"/>
      <c r="N1907" s="23"/>
      <c r="P1907" s="23"/>
    </row>
    <row r="1908" spans="2:16" x14ac:dyDescent="0.25">
      <c r="B1908" s="23"/>
      <c r="E1908" s="23"/>
      <c r="G1908" s="23"/>
      <c r="H1908" s="23"/>
      <c r="J1908" s="23"/>
      <c r="K1908" s="23"/>
      <c r="M1908" s="23"/>
      <c r="N1908" s="23"/>
      <c r="P1908" s="23"/>
    </row>
    <row r="1909" spans="2:16" x14ac:dyDescent="0.25">
      <c r="B1909" s="23"/>
      <c r="E1909" s="23"/>
      <c r="G1909" s="23"/>
      <c r="H1909" s="23"/>
      <c r="J1909" s="23"/>
      <c r="K1909" s="23"/>
      <c r="M1909" s="23"/>
      <c r="N1909" s="23"/>
      <c r="P1909" s="23"/>
    </row>
    <row r="1910" spans="2:16" x14ac:dyDescent="0.25">
      <c r="B1910" s="23"/>
      <c r="E1910" s="23"/>
      <c r="G1910" s="23"/>
      <c r="H1910" s="23"/>
      <c r="J1910" s="23"/>
      <c r="K1910" s="23"/>
      <c r="M1910" s="23"/>
      <c r="N1910" s="23"/>
      <c r="P1910" s="23"/>
    </row>
    <row r="1911" spans="2:16" x14ac:dyDescent="0.25">
      <c r="B1911" s="23"/>
      <c r="E1911" s="23"/>
      <c r="G1911" s="23"/>
      <c r="H1911" s="23"/>
      <c r="J1911" s="23"/>
      <c r="K1911" s="23"/>
      <c r="M1911" s="23"/>
      <c r="N1911" s="23"/>
      <c r="P1911" s="23"/>
    </row>
    <row r="1912" spans="2:16" x14ac:dyDescent="0.25">
      <c r="B1912" s="23"/>
      <c r="E1912" s="23"/>
      <c r="G1912" s="23"/>
      <c r="H1912" s="23"/>
      <c r="J1912" s="23"/>
      <c r="K1912" s="23"/>
      <c r="M1912" s="23"/>
      <c r="N1912" s="23"/>
      <c r="P1912" s="23"/>
    </row>
    <row r="1913" spans="2:16" x14ac:dyDescent="0.25">
      <c r="B1913" s="23"/>
      <c r="E1913" s="23"/>
      <c r="G1913" s="23"/>
      <c r="H1913" s="23"/>
      <c r="J1913" s="23"/>
      <c r="K1913" s="23"/>
      <c r="M1913" s="23"/>
      <c r="N1913" s="23"/>
      <c r="P1913" s="23"/>
    </row>
    <row r="1914" spans="2:16" x14ac:dyDescent="0.25">
      <c r="B1914" s="23"/>
      <c r="E1914" s="23"/>
      <c r="G1914" s="23"/>
      <c r="H1914" s="23"/>
      <c r="J1914" s="23"/>
      <c r="K1914" s="23"/>
      <c r="M1914" s="23"/>
      <c r="N1914" s="23"/>
      <c r="P1914" s="23"/>
    </row>
    <row r="1915" spans="2:16" x14ac:dyDescent="0.25">
      <c r="B1915" s="23"/>
      <c r="E1915" s="23"/>
      <c r="G1915" s="23"/>
      <c r="H1915" s="23"/>
      <c r="J1915" s="23"/>
      <c r="K1915" s="23"/>
      <c r="M1915" s="23"/>
      <c r="N1915" s="23"/>
      <c r="P1915" s="23"/>
    </row>
    <row r="1916" spans="2:16" x14ac:dyDescent="0.25">
      <c r="B1916" s="23"/>
      <c r="E1916" s="23"/>
      <c r="G1916" s="23"/>
      <c r="H1916" s="23"/>
      <c r="J1916" s="23"/>
      <c r="K1916" s="23"/>
      <c r="M1916" s="23"/>
      <c r="N1916" s="23"/>
      <c r="P1916" s="23"/>
    </row>
    <row r="1917" spans="2:16" x14ac:dyDescent="0.25">
      <c r="B1917" s="23"/>
      <c r="E1917" s="23"/>
      <c r="G1917" s="23"/>
      <c r="H1917" s="23"/>
      <c r="J1917" s="23"/>
      <c r="K1917" s="23"/>
      <c r="M1917" s="23"/>
      <c r="N1917" s="23"/>
      <c r="P1917" s="23"/>
    </row>
    <row r="1918" spans="2:16" x14ac:dyDescent="0.25">
      <c r="B1918" s="23"/>
      <c r="E1918" s="23"/>
      <c r="G1918" s="23"/>
      <c r="H1918" s="23"/>
      <c r="J1918" s="23"/>
      <c r="K1918" s="23"/>
      <c r="M1918" s="23"/>
      <c r="N1918" s="23"/>
      <c r="P1918" s="23"/>
    </row>
    <row r="1919" spans="2:16" x14ac:dyDescent="0.25">
      <c r="B1919" s="23"/>
      <c r="E1919" s="23"/>
      <c r="G1919" s="23"/>
      <c r="H1919" s="23"/>
      <c r="J1919" s="23"/>
      <c r="K1919" s="23"/>
      <c r="M1919" s="23"/>
      <c r="N1919" s="23"/>
      <c r="P1919" s="23"/>
    </row>
    <row r="1920" spans="2:16" x14ac:dyDescent="0.25">
      <c r="B1920" s="23"/>
      <c r="E1920" s="23"/>
      <c r="G1920" s="23"/>
      <c r="H1920" s="23"/>
      <c r="J1920" s="23"/>
      <c r="K1920" s="23"/>
      <c r="M1920" s="23"/>
      <c r="N1920" s="23"/>
      <c r="P1920" s="23"/>
    </row>
    <row r="1921" spans="2:16" x14ac:dyDescent="0.25">
      <c r="B1921" s="23"/>
      <c r="E1921" s="23"/>
      <c r="G1921" s="23"/>
      <c r="H1921" s="23"/>
      <c r="J1921" s="23"/>
      <c r="K1921" s="23"/>
      <c r="M1921" s="23"/>
      <c r="N1921" s="23"/>
      <c r="P1921" s="23"/>
    </row>
    <row r="1922" spans="2:16" x14ac:dyDescent="0.25">
      <c r="B1922" s="23"/>
      <c r="E1922" s="23"/>
      <c r="G1922" s="23"/>
      <c r="H1922" s="23"/>
      <c r="J1922" s="23"/>
      <c r="K1922" s="23"/>
      <c r="M1922" s="23"/>
      <c r="N1922" s="23"/>
      <c r="P1922" s="23"/>
    </row>
    <row r="1923" spans="2:16" x14ac:dyDescent="0.25">
      <c r="B1923" s="23"/>
      <c r="E1923" s="23"/>
      <c r="G1923" s="23"/>
      <c r="H1923" s="23"/>
      <c r="J1923" s="23"/>
      <c r="K1923" s="23"/>
      <c r="M1923" s="23"/>
      <c r="N1923" s="23"/>
      <c r="P1923" s="23"/>
    </row>
    <row r="1924" spans="2:16" x14ac:dyDescent="0.25">
      <c r="B1924" s="23"/>
      <c r="E1924" s="23"/>
      <c r="G1924" s="23"/>
      <c r="H1924" s="23"/>
      <c r="J1924" s="23"/>
      <c r="K1924" s="23"/>
      <c r="M1924" s="23"/>
      <c r="N1924" s="23"/>
      <c r="P1924" s="23"/>
    </row>
    <row r="1925" spans="2:16" x14ac:dyDescent="0.25">
      <c r="B1925" s="23"/>
      <c r="E1925" s="23"/>
      <c r="G1925" s="23"/>
      <c r="H1925" s="23"/>
      <c r="J1925" s="23"/>
      <c r="K1925" s="23"/>
      <c r="M1925" s="23"/>
      <c r="N1925" s="23"/>
      <c r="P1925" s="23"/>
    </row>
    <row r="1926" spans="2:16" x14ac:dyDescent="0.25">
      <c r="B1926" s="23"/>
      <c r="E1926" s="23"/>
      <c r="G1926" s="23"/>
      <c r="H1926" s="23"/>
      <c r="J1926" s="23"/>
      <c r="K1926" s="23"/>
      <c r="M1926" s="23"/>
      <c r="N1926" s="23"/>
      <c r="P1926" s="23"/>
    </row>
    <row r="1927" spans="2:16" x14ac:dyDescent="0.25">
      <c r="B1927" s="23"/>
      <c r="E1927" s="23"/>
      <c r="G1927" s="23"/>
      <c r="H1927" s="23"/>
      <c r="J1927" s="23"/>
      <c r="K1927" s="23"/>
      <c r="M1927" s="23"/>
      <c r="N1927" s="23"/>
      <c r="P1927" s="23"/>
    </row>
    <row r="1928" spans="2:16" x14ac:dyDescent="0.25">
      <c r="B1928" s="23"/>
      <c r="E1928" s="23"/>
      <c r="G1928" s="23"/>
      <c r="H1928" s="23"/>
      <c r="J1928" s="23"/>
      <c r="K1928" s="23"/>
      <c r="M1928" s="23"/>
      <c r="N1928" s="23"/>
      <c r="P1928" s="23"/>
    </row>
    <row r="1929" spans="2:16" x14ac:dyDescent="0.25">
      <c r="B1929" s="23"/>
      <c r="E1929" s="23"/>
      <c r="G1929" s="23"/>
      <c r="H1929" s="23"/>
      <c r="J1929" s="23"/>
      <c r="K1929" s="23"/>
      <c r="M1929" s="23"/>
      <c r="N1929" s="23"/>
      <c r="P1929" s="23"/>
    </row>
    <row r="1930" spans="2:16" x14ac:dyDescent="0.25">
      <c r="B1930" s="23"/>
      <c r="E1930" s="23"/>
      <c r="G1930" s="23"/>
      <c r="H1930" s="23"/>
      <c r="J1930" s="23"/>
      <c r="K1930" s="23"/>
      <c r="M1930" s="23"/>
      <c r="N1930" s="23"/>
      <c r="P1930" s="23"/>
    </row>
    <row r="1931" spans="2:16" x14ac:dyDescent="0.25">
      <c r="B1931" s="23"/>
      <c r="E1931" s="23"/>
      <c r="G1931" s="23"/>
      <c r="H1931" s="23"/>
      <c r="J1931" s="23"/>
      <c r="K1931" s="23"/>
      <c r="M1931" s="23"/>
      <c r="N1931" s="23"/>
      <c r="P1931" s="23"/>
    </row>
    <row r="1932" spans="2:16" x14ac:dyDescent="0.25">
      <c r="B1932" s="23"/>
      <c r="E1932" s="23"/>
      <c r="G1932" s="23"/>
      <c r="H1932" s="23"/>
      <c r="J1932" s="23"/>
      <c r="K1932" s="23"/>
      <c r="M1932" s="23"/>
      <c r="N1932" s="23"/>
      <c r="P1932" s="23"/>
    </row>
    <row r="1933" spans="2:16" x14ac:dyDescent="0.25">
      <c r="B1933" s="23"/>
      <c r="E1933" s="23"/>
      <c r="G1933" s="23"/>
      <c r="H1933" s="23"/>
      <c r="J1933" s="23"/>
      <c r="K1933" s="23"/>
      <c r="M1933" s="23"/>
      <c r="N1933" s="23"/>
      <c r="P1933" s="23"/>
    </row>
    <row r="1934" spans="2:16" x14ac:dyDescent="0.25">
      <c r="B1934" s="23"/>
      <c r="E1934" s="23"/>
      <c r="G1934" s="23"/>
      <c r="H1934" s="23"/>
      <c r="J1934" s="23"/>
      <c r="K1934" s="23"/>
      <c r="M1934" s="23"/>
      <c r="N1934" s="23"/>
      <c r="P1934" s="23"/>
    </row>
    <row r="1935" spans="2:16" x14ac:dyDescent="0.25">
      <c r="B1935" s="23"/>
      <c r="E1935" s="23"/>
      <c r="G1935" s="23"/>
      <c r="H1935" s="23"/>
      <c r="J1935" s="23"/>
      <c r="K1935" s="23"/>
      <c r="M1935" s="23"/>
      <c r="N1935" s="23"/>
      <c r="P1935" s="23"/>
    </row>
    <row r="1936" spans="2:16" x14ac:dyDescent="0.25">
      <c r="B1936" s="23"/>
      <c r="E1936" s="23"/>
      <c r="G1936" s="23"/>
      <c r="H1936" s="23"/>
      <c r="J1936" s="23"/>
      <c r="K1936" s="23"/>
      <c r="M1936" s="23"/>
      <c r="N1936" s="23"/>
      <c r="P1936" s="23"/>
    </row>
    <row r="1937" spans="2:16" x14ac:dyDescent="0.25">
      <c r="B1937" s="23"/>
      <c r="E1937" s="23"/>
      <c r="G1937" s="23"/>
      <c r="H1937" s="23"/>
      <c r="J1937" s="23"/>
      <c r="K1937" s="23"/>
      <c r="M1937" s="23"/>
      <c r="N1937" s="23"/>
      <c r="P1937" s="23"/>
    </row>
    <row r="1938" spans="2:16" x14ac:dyDescent="0.25">
      <c r="B1938" s="23"/>
      <c r="E1938" s="23"/>
      <c r="G1938" s="23"/>
      <c r="H1938" s="23"/>
      <c r="J1938" s="23"/>
      <c r="K1938" s="23"/>
      <c r="M1938" s="23"/>
      <c r="N1938" s="23"/>
      <c r="P1938" s="23"/>
    </row>
    <row r="1939" spans="2:16" x14ac:dyDescent="0.25">
      <c r="B1939" s="23"/>
      <c r="E1939" s="23"/>
      <c r="G1939" s="23"/>
      <c r="H1939" s="23"/>
      <c r="J1939" s="23"/>
      <c r="K1939" s="23"/>
      <c r="M1939" s="23"/>
      <c r="N1939" s="23"/>
      <c r="P1939" s="23"/>
    </row>
    <row r="1940" spans="2:16" x14ac:dyDescent="0.25">
      <c r="B1940" s="23"/>
      <c r="E1940" s="23"/>
      <c r="G1940" s="23"/>
      <c r="H1940" s="23"/>
      <c r="J1940" s="23"/>
      <c r="K1940" s="23"/>
      <c r="M1940" s="23"/>
      <c r="N1940" s="23"/>
      <c r="P1940" s="23"/>
    </row>
    <row r="1941" spans="2:16" x14ac:dyDescent="0.25">
      <c r="B1941" s="23"/>
      <c r="E1941" s="23"/>
      <c r="G1941" s="23"/>
      <c r="H1941" s="23"/>
      <c r="J1941" s="23"/>
      <c r="K1941" s="23"/>
      <c r="M1941" s="23"/>
      <c r="N1941" s="23"/>
      <c r="P1941" s="23"/>
    </row>
    <row r="1942" spans="2:16" x14ac:dyDescent="0.25">
      <c r="B1942" s="23"/>
      <c r="E1942" s="23"/>
      <c r="G1942" s="23"/>
      <c r="H1942" s="23"/>
      <c r="J1942" s="23"/>
      <c r="K1942" s="23"/>
      <c r="M1942" s="23"/>
      <c r="N1942" s="23"/>
      <c r="P1942" s="23"/>
    </row>
    <row r="1943" spans="2:16" x14ac:dyDescent="0.25">
      <c r="B1943" s="23"/>
      <c r="E1943" s="23"/>
      <c r="G1943" s="23"/>
      <c r="H1943" s="23"/>
      <c r="J1943" s="23"/>
      <c r="K1943" s="23"/>
      <c r="M1943" s="23"/>
      <c r="N1943" s="23"/>
      <c r="P1943" s="23"/>
    </row>
    <row r="1944" spans="2:16" x14ac:dyDescent="0.25">
      <c r="B1944" s="23"/>
      <c r="E1944" s="23"/>
      <c r="G1944" s="23"/>
      <c r="H1944" s="23"/>
      <c r="J1944" s="23"/>
      <c r="K1944" s="23"/>
      <c r="M1944" s="23"/>
      <c r="N1944" s="23"/>
      <c r="P1944" s="23"/>
    </row>
    <row r="1945" spans="2:16" x14ac:dyDescent="0.25">
      <c r="B1945" s="23"/>
      <c r="E1945" s="23"/>
      <c r="G1945" s="23"/>
      <c r="H1945" s="23"/>
      <c r="J1945" s="23"/>
      <c r="K1945" s="23"/>
      <c r="M1945" s="23"/>
      <c r="N1945" s="23"/>
      <c r="P1945" s="23"/>
    </row>
    <row r="1946" spans="2:16" x14ac:dyDescent="0.25">
      <c r="B1946" s="23"/>
      <c r="E1946" s="23"/>
      <c r="G1946" s="23"/>
      <c r="H1946" s="23"/>
      <c r="J1946" s="23"/>
      <c r="K1946" s="23"/>
      <c r="M1946" s="23"/>
      <c r="N1946" s="23"/>
      <c r="P1946" s="23"/>
    </row>
    <row r="1947" spans="2:16" x14ac:dyDescent="0.25">
      <c r="B1947" s="23"/>
      <c r="E1947" s="23"/>
      <c r="G1947" s="23"/>
      <c r="H1947" s="23"/>
      <c r="J1947" s="23"/>
      <c r="K1947" s="23"/>
      <c r="M1947" s="23"/>
      <c r="N1947" s="23"/>
      <c r="P1947" s="23"/>
    </row>
    <row r="1948" spans="2:16" x14ac:dyDescent="0.25">
      <c r="B1948" s="23"/>
      <c r="E1948" s="23"/>
      <c r="G1948" s="23"/>
      <c r="H1948" s="23"/>
      <c r="J1948" s="23"/>
      <c r="K1948" s="23"/>
      <c r="M1948" s="23"/>
      <c r="N1948" s="23"/>
      <c r="P1948" s="23"/>
    </row>
    <row r="1949" spans="2:16" x14ac:dyDescent="0.25">
      <c r="B1949" s="23"/>
      <c r="E1949" s="23"/>
      <c r="G1949" s="23"/>
      <c r="H1949" s="23"/>
      <c r="J1949" s="23"/>
      <c r="K1949" s="23"/>
      <c r="M1949" s="23"/>
      <c r="N1949" s="23"/>
      <c r="P1949" s="23"/>
    </row>
    <row r="1950" spans="2:16" x14ac:dyDescent="0.25">
      <c r="B1950" s="23"/>
      <c r="E1950" s="23"/>
      <c r="G1950" s="23"/>
      <c r="H1950" s="23"/>
      <c r="J1950" s="23"/>
      <c r="K1950" s="23"/>
      <c r="M1950" s="23"/>
      <c r="N1950" s="23"/>
      <c r="P1950" s="23"/>
    </row>
    <row r="1951" spans="2:16" x14ac:dyDescent="0.25">
      <c r="B1951" s="23"/>
      <c r="E1951" s="23"/>
      <c r="G1951" s="23"/>
      <c r="H1951" s="23"/>
      <c r="J1951" s="23"/>
      <c r="K1951" s="23"/>
      <c r="M1951" s="23"/>
      <c r="N1951" s="23"/>
      <c r="P1951" s="23"/>
    </row>
    <row r="1952" spans="2:16" x14ac:dyDescent="0.25">
      <c r="B1952" s="23"/>
      <c r="E1952" s="23"/>
      <c r="G1952" s="23"/>
      <c r="H1952" s="23"/>
      <c r="J1952" s="23"/>
      <c r="K1952" s="23"/>
      <c r="M1952" s="23"/>
      <c r="N1952" s="23"/>
      <c r="P1952" s="23"/>
    </row>
    <row r="1953" spans="2:16" x14ac:dyDescent="0.25">
      <c r="B1953" s="23"/>
      <c r="E1953" s="23"/>
      <c r="G1953" s="23"/>
      <c r="H1953" s="23"/>
      <c r="J1953" s="23"/>
      <c r="K1953" s="23"/>
      <c r="M1953" s="23"/>
      <c r="N1953" s="23"/>
      <c r="P1953" s="23"/>
    </row>
    <row r="1954" spans="2:16" x14ac:dyDescent="0.25">
      <c r="B1954" s="23"/>
      <c r="E1954" s="23"/>
      <c r="G1954" s="23"/>
      <c r="H1954" s="23"/>
      <c r="J1954" s="23"/>
      <c r="K1954" s="23"/>
      <c r="M1954" s="23"/>
      <c r="N1954" s="23"/>
      <c r="P1954" s="23"/>
    </row>
    <row r="1955" spans="2:16" x14ac:dyDescent="0.25">
      <c r="B1955" s="23"/>
      <c r="E1955" s="23"/>
      <c r="G1955" s="23"/>
      <c r="H1955" s="23"/>
      <c r="J1955" s="23"/>
      <c r="K1955" s="23"/>
      <c r="M1955" s="23"/>
      <c r="N1955" s="23"/>
      <c r="P1955" s="23"/>
    </row>
    <row r="1956" spans="2:16" x14ac:dyDescent="0.25">
      <c r="B1956" s="23"/>
      <c r="E1956" s="23"/>
      <c r="G1956" s="23"/>
      <c r="H1956" s="23"/>
      <c r="J1956" s="23"/>
      <c r="K1956" s="23"/>
      <c r="M1956" s="23"/>
      <c r="N1956" s="23"/>
      <c r="P1956" s="23"/>
    </row>
    <row r="1957" spans="2:16" x14ac:dyDescent="0.25">
      <c r="B1957" s="23"/>
      <c r="E1957" s="23"/>
      <c r="G1957" s="23"/>
      <c r="H1957" s="23"/>
      <c r="J1957" s="23"/>
      <c r="K1957" s="23"/>
      <c r="M1957" s="23"/>
      <c r="N1957" s="23"/>
      <c r="P1957" s="23"/>
    </row>
    <row r="1958" spans="2:16" x14ac:dyDescent="0.25">
      <c r="B1958" s="23"/>
      <c r="E1958" s="23"/>
      <c r="G1958" s="23"/>
      <c r="H1958" s="23"/>
      <c r="J1958" s="23"/>
      <c r="K1958" s="23"/>
      <c r="M1958" s="23"/>
      <c r="N1958" s="23"/>
      <c r="P1958" s="23"/>
    </row>
    <row r="1959" spans="2:16" x14ac:dyDescent="0.25">
      <c r="B1959" s="23"/>
      <c r="E1959" s="23"/>
      <c r="G1959" s="23"/>
      <c r="H1959" s="23"/>
      <c r="J1959" s="23"/>
      <c r="K1959" s="23"/>
      <c r="M1959" s="23"/>
      <c r="N1959" s="23"/>
      <c r="P1959" s="23"/>
    </row>
    <row r="1960" spans="2:16" x14ac:dyDescent="0.25">
      <c r="B1960" s="23"/>
      <c r="E1960" s="23"/>
      <c r="G1960" s="23"/>
      <c r="H1960" s="23"/>
      <c r="J1960" s="23"/>
      <c r="K1960" s="23"/>
      <c r="M1960" s="23"/>
      <c r="N1960" s="23"/>
      <c r="P1960" s="23"/>
    </row>
    <row r="1961" spans="2:16" x14ac:dyDescent="0.25">
      <c r="B1961" s="23"/>
      <c r="E1961" s="23"/>
      <c r="G1961" s="23"/>
      <c r="H1961" s="23"/>
      <c r="J1961" s="23"/>
      <c r="K1961" s="23"/>
      <c r="M1961" s="23"/>
      <c r="N1961" s="23"/>
      <c r="P1961" s="23"/>
    </row>
    <row r="1962" spans="2:16" x14ac:dyDescent="0.25">
      <c r="B1962" s="23"/>
      <c r="E1962" s="23"/>
      <c r="G1962" s="23"/>
      <c r="H1962" s="23"/>
      <c r="J1962" s="23"/>
      <c r="K1962" s="23"/>
      <c r="M1962" s="23"/>
      <c r="N1962" s="23"/>
      <c r="P1962" s="23"/>
    </row>
    <row r="1963" spans="2:16" x14ac:dyDescent="0.25">
      <c r="B1963" s="23"/>
      <c r="E1963" s="23"/>
      <c r="G1963" s="23"/>
      <c r="H1963" s="23"/>
      <c r="J1963" s="23"/>
      <c r="K1963" s="23"/>
      <c r="M1963" s="23"/>
      <c r="N1963" s="23"/>
      <c r="P1963" s="23"/>
    </row>
    <row r="1964" spans="2:16" x14ac:dyDescent="0.25">
      <c r="B1964" s="23"/>
      <c r="E1964" s="23"/>
      <c r="G1964" s="23"/>
      <c r="H1964" s="23"/>
      <c r="J1964" s="23"/>
      <c r="K1964" s="23"/>
      <c r="M1964" s="23"/>
      <c r="N1964" s="23"/>
      <c r="P1964" s="23"/>
    </row>
    <row r="1965" spans="2:16" x14ac:dyDescent="0.25">
      <c r="B1965" s="23"/>
      <c r="E1965" s="23"/>
      <c r="G1965" s="23"/>
      <c r="H1965" s="23"/>
      <c r="J1965" s="23"/>
      <c r="K1965" s="23"/>
      <c r="M1965" s="23"/>
      <c r="N1965" s="23"/>
      <c r="P1965" s="23"/>
    </row>
    <row r="1966" spans="2:16" x14ac:dyDescent="0.25">
      <c r="B1966" s="23"/>
      <c r="E1966" s="23"/>
      <c r="G1966" s="23"/>
      <c r="H1966" s="23"/>
      <c r="J1966" s="23"/>
      <c r="K1966" s="23"/>
      <c r="M1966" s="23"/>
      <c r="N1966" s="23"/>
      <c r="P1966" s="23"/>
    </row>
    <row r="1967" spans="2:16" x14ac:dyDescent="0.25">
      <c r="B1967" s="23"/>
      <c r="E1967" s="23"/>
      <c r="G1967" s="23"/>
      <c r="H1967" s="23"/>
      <c r="J1967" s="23"/>
      <c r="K1967" s="23"/>
      <c r="M1967" s="23"/>
      <c r="N1967" s="23"/>
      <c r="P1967" s="23"/>
    </row>
    <row r="1968" spans="2:16" x14ac:dyDescent="0.25">
      <c r="B1968" s="23"/>
      <c r="E1968" s="23"/>
      <c r="G1968" s="23"/>
      <c r="H1968" s="23"/>
      <c r="J1968" s="23"/>
      <c r="K1968" s="23"/>
      <c r="M1968" s="23"/>
      <c r="N1968" s="23"/>
      <c r="P1968" s="23"/>
    </row>
    <row r="1969" spans="2:16" x14ac:dyDescent="0.25">
      <c r="B1969" s="23"/>
      <c r="E1969" s="23"/>
      <c r="G1969" s="23"/>
      <c r="H1969" s="23"/>
      <c r="J1969" s="23"/>
      <c r="K1969" s="23"/>
      <c r="M1969" s="23"/>
      <c r="N1969" s="23"/>
      <c r="P1969" s="23"/>
    </row>
    <row r="1970" spans="2:16" x14ac:dyDescent="0.25">
      <c r="B1970" s="23"/>
      <c r="E1970" s="23"/>
      <c r="G1970" s="23"/>
      <c r="H1970" s="23"/>
      <c r="J1970" s="23"/>
      <c r="K1970" s="23"/>
      <c r="M1970" s="23"/>
      <c r="N1970" s="23"/>
      <c r="P1970" s="23"/>
    </row>
    <row r="1971" spans="2:16" x14ac:dyDescent="0.25">
      <c r="B1971" s="23"/>
      <c r="E1971" s="23"/>
      <c r="G1971" s="23"/>
      <c r="H1971" s="23"/>
      <c r="J1971" s="23"/>
      <c r="K1971" s="23"/>
      <c r="M1971" s="23"/>
      <c r="N1971" s="23"/>
      <c r="P1971" s="23"/>
    </row>
    <row r="1972" spans="2:16" x14ac:dyDescent="0.25">
      <c r="B1972" s="23"/>
      <c r="E1972" s="23"/>
      <c r="G1972" s="23"/>
      <c r="H1972" s="23"/>
      <c r="J1972" s="23"/>
      <c r="K1972" s="23"/>
      <c r="M1972" s="23"/>
      <c r="N1972" s="23"/>
      <c r="P1972" s="23"/>
    </row>
    <row r="1973" spans="2:16" x14ac:dyDescent="0.25">
      <c r="B1973" s="23"/>
      <c r="E1973" s="23"/>
      <c r="G1973" s="23"/>
      <c r="H1973" s="23"/>
      <c r="J1973" s="23"/>
      <c r="K1973" s="23"/>
      <c r="M1973" s="23"/>
      <c r="N1973" s="23"/>
      <c r="P1973" s="23"/>
    </row>
    <row r="1974" spans="2:16" x14ac:dyDescent="0.25">
      <c r="B1974" s="23"/>
      <c r="E1974" s="23"/>
      <c r="G1974" s="23"/>
      <c r="H1974" s="23"/>
      <c r="J1974" s="23"/>
      <c r="K1974" s="23"/>
      <c r="M1974" s="23"/>
      <c r="N1974" s="23"/>
      <c r="P1974" s="23"/>
    </row>
    <row r="1975" spans="2:16" x14ac:dyDescent="0.25">
      <c r="B1975" s="23"/>
      <c r="E1975" s="23"/>
      <c r="G1975" s="23"/>
      <c r="H1975" s="23"/>
      <c r="J1975" s="23"/>
      <c r="K1975" s="23"/>
      <c r="M1975" s="23"/>
      <c r="N1975" s="23"/>
      <c r="P1975" s="23"/>
    </row>
    <row r="1976" spans="2:16" x14ac:dyDescent="0.25">
      <c r="B1976" s="23"/>
      <c r="E1976" s="23"/>
      <c r="G1976" s="23"/>
      <c r="H1976" s="23"/>
      <c r="J1976" s="23"/>
      <c r="K1976" s="23"/>
      <c r="M1976" s="23"/>
      <c r="N1976" s="23"/>
      <c r="P1976" s="23"/>
    </row>
    <row r="1977" spans="2:16" x14ac:dyDescent="0.25">
      <c r="B1977" s="23"/>
      <c r="E1977" s="23"/>
      <c r="G1977" s="23"/>
      <c r="H1977" s="23"/>
      <c r="J1977" s="23"/>
      <c r="K1977" s="23"/>
      <c r="M1977" s="23"/>
      <c r="N1977" s="23"/>
      <c r="P1977" s="23"/>
    </row>
    <row r="1978" spans="2:16" x14ac:dyDescent="0.25">
      <c r="B1978" s="23"/>
      <c r="E1978" s="23"/>
      <c r="G1978" s="23"/>
      <c r="H1978" s="23"/>
      <c r="J1978" s="23"/>
      <c r="K1978" s="23"/>
      <c r="M1978" s="23"/>
      <c r="N1978" s="23"/>
      <c r="P1978" s="23"/>
    </row>
    <row r="1979" spans="2:16" x14ac:dyDescent="0.25">
      <c r="B1979" s="23"/>
      <c r="E1979" s="23"/>
      <c r="G1979" s="23"/>
      <c r="H1979" s="23"/>
      <c r="J1979" s="23"/>
      <c r="K1979" s="23"/>
      <c r="M1979" s="23"/>
      <c r="N1979" s="23"/>
      <c r="P1979" s="23"/>
    </row>
    <row r="1980" spans="2:16" x14ac:dyDescent="0.25">
      <c r="B1980" s="23"/>
      <c r="E1980" s="23"/>
      <c r="G1980" s="23"/>
      <c r="H1980" s="23"/>
      <c r="J1980" s="23"/>
      <c r="K1980" s="23"/>
      <c r="M1980" s="23"/>
      <c r="N1980" s="23"/>
      <c r="P1980" s="23"/>
    </row>
    <row r="1981" spans="2:16" x14ac:dyDescent="0.25">
      <c r="B1981" s="23"/>
      <c r="E1981" s="23"/>
      <c r="G1981" s="23"/>
      <c r="H1981" s="23"/>
      <c r="J1981" s="23"/>
      <c r="K1981" s="23"/>
      <c r="M1981" s="23"/>
      <c r="N1981" s="23"/>
      <c r="P1981" s="23"/>
    </row>
    <row r="1982" spans="2:16" x14ac:dyDescent="0.25">
      <c r="B1982" s="23"/>
      <c r="E1982" s="23"/>
      <c r="G1982" s="23"/>
      <c r="H1982" s="23"/>
      <c r="J1982" s="23"/>
      <c r="K1982" s="23"/>
      <c r="M1982" s="23"/>
      <c r="N1982" s="23"/>
      <c r="P1982" s="23"/>
    </row>
    <row r="1983" spans="2:16" x14ac:dyDescent="0.25">
      <c r="B1983" s="23"/>
      <c r="E1983" s="23"/>
      <c r="G1983" s="23"/>
      <c r="H1983" s="23"/>
      <c r="J1983" s="23"/>
      <c r="K1983" s="23"/>
      <c r="M1983" s="23"/>
      <c r="N1983" s="23"/>
      <c r="P1983" s="23"/>
    </row>
    <row r="1984" spans="2:16" x14ac:dyDescent="0.25">
      <c r="B1984" s="23"/>
      <c r="E1984" s="23"/>
      <c r="G1984" s="23"/>
      <c r="H1984" s="23"/>
      <c r="J1984" s="23"/>
      <c r="K1984" s="23"/>
      <c r="M1984" s="23"/>
      <c r="N1984" s="23"/>
      <c r="P1984" s="23"/>
    </row>
    <row r="1985" spans="2:16" x14ac:dyDescent="0.25">
      <c r="B1985" s="23"/>
      <c r="E1985" s="23"/>
      <c r="G1985" s="23"/>
      <c r="H1985" s="23"/>
      <c r="J1985" s="23"/>
      <c r="K1985" s="23"/>
      <c r="M1985" s="23"/>
      <c r="N1985" s="23"/>
      <c r="P1985" s="23"/>
    </row>
    <row r="1986" spans="2:16" x14ac:dyDescent="0.25">
      <c r="B1986" s="23"/>
      <c r="E1986" s="23"/>
      <c r="G1986" s="23"/>
      <c r="H1986" s="23"/>
      <c r="J1986" s="23"/>
      <c r="K1986" s="23"/>
      <c r="M1986" s="23"/>
      <c r="N1986" s="23"/>
      <c r="P1986" s="23"/>
    </row>
    <row r="1987" spans="2:16" x14ac:dyDescent="0.25">
      <c r="B1987" s="23"/>
      <c r="E1987" s="23"/>
      <c r="G1987" s="23"/>
      <c r="H1987" s="23"/>
      <c r="J1987" s="23"/>
      <c r="K1987" s="23"/>
      <c r="M1987" s="23"/>
      <c r="N1987" s="23"/>
      <c r="P1987" s="23"/>
    </row>
    <row r="1988" spans="2:16" x14ac:dyDescent="0.25">
      <c r="B1988" s="23"/>
      <c r="E1988" s="23"/>
      <c r="G1988" s="23"/>
      <c r="H1988" s="23"/>
      <c r="J1988" s="23"/>
      <c r="K1988" s="23"/>
      <c r="M1988" s="23"/>
      <c r="N1988" s="23"/>
      <c r="P1988" s="23"/>
    </row>
    <row r="1989" spans="2:16" x14ac:dyDescent="0.25">
      <c r="B1989" s="23"/>
      <c r="E1989" s="23"/>
      <c r="G1989" s="23"/>
      <c r="H1989" s="23"/>
      <c r="J1989" s="23"/>
      <c r="K1989" s="23"/>
      <c r="M1989" s="23"/>
      <c r="N1989" s="23"/>
      <c r="P1989" s="23"/>
    </row>
    <row r="1990" spans="2:16" x14ac:dyDescent="0.25">
      <c r="B1990" s="23"/>
      <c r="E1990" s="23"/>
      <c r="G1990" s="23"/>
      <c r="H1990" s="23"/>
      <c r="J1990" s="23"/>
      <c r="K1990" s="23"/>
      <c r="M1990" s="23"/>
      <c r="N1990" s="23"/>
      <c r="P1990" s="23"/>
    </row>
    <row r="1991" spans="2:16" x14ac:dyDescent="0.25">
      <c r="B1991" s="23"/>
      <c r="E1991" s="23"/>
      <c r="G1991" s="23"/>
      <c r="H1991" s="23"/>
      <c r="J1991" s="23"/>
      <c r="K1991" s="23"/>
      <c r="M1991" s="23"/>
      <c r="N1991" s="23"/>
      <c r="P1991" s="23"/>
    </row>
    <row r="1992" spans="2:16" x14ac:dyDescent="0.25">
      <c r="B1992" s="23"/>
      <c r="E1992" s="23"/>
      <c r="G1992" s="23"/>
      <c r="H1992" s="23"/>
      <c r="J1992" s="23"/>
      <c r="K1992" s="23"/>
      <c r="M1992" s="23"/>
      <c r="N1992" s="23"/>
      <c r="P1992" s="23"/>
    </row>
    <row r="1993" spans="2:16" x14ac:dyDescent="0.25">
      <c r="B1993" s="23"/>
      <c r="E1993" s="23"/>
      <c r="G1993" s="23"/>
      <c r="H1993" s="23"/>
      <c r="J1993" s="23"/>
      <c r="K1993" s="23"/>
      <c r="M1993" s="23"/>
      <c r="N1993" s="23"/>
      <c r="P1993" s="23"/>
    </row>
    <row r="1994" spans="2:16" x14ac:dyDescent="0.25">
      <c r="B1994" s="23"/>
      <c r="E1994" s="23"/>
      <c r="G1994" s="23"/>
      <c r="H1994" s="23"/>
      <c r="J1994" s="23"/>
      <c r="K1994" s="23"/>
      <c r="M1994" s="23"/>
      <c r="N1994" s="23"/>
      <c r="P1994" s="23"/>
    </row>
    <row r="1995" spans="2:16" x14ac:dyDescent="0.25">
      <c r="B1995" s="23"/>
      <c r="E1995" s="23"/>
      <c r="G1995" s="23"/>
      <c r="H1995" s="23"/>
      <c r="J1995" s="23"/>
      <c r="K1995" s="23"/>
      <c r="M1995" s="23"/>
      <c r="N1995" s="23"/>
      <c r="P1995" s="23"/>
    </row>
    <row r="1996" spans="2:16" x14ac:dyDescent="0.25">
      <c r="B1996" s="23"/>
      <c r="E1996" s="23"/>
      <c r="G1996" s="23"/>
      <c r="H1996" s="23"/>
      <c r="J1996" s="23"/>
      <c r="K1996" s="23"/>
      <c r="M1996" s="23"/>
      <c r="N1996" s="23"/>
      <c r="P1996" s="23"/>
    </row>
    <row r="1997" spans="2:16" x14ac:dyDescent="0.25">
      <c r="B1997" s="23"/>
      <c r="E1997" s="23"/>
      <c r="G1997" s="23"/>
      <c r="H1997" s="23"/>
      <c r="J1997" s="23"/>
      <c r="K1997" s="23"/>
      <c r="M1997" s="23"/>
      <c r="N1997" s="23"/>
      <c r="P1997" s="23"/>
    </row>
    <row r="1998" spans="2:16" x14ac:dyDescent="0.25">
      <c r="B1998" s="23"/>
      <c r="E1998" s="23"/>
      <c r="G1998" s="23"/>
      <c r="H1998" s="23"/>
      <c r="J1998" s="23"/>
      <c r="K1998" s="23"/>
      <c r="M1998" s="23"/>
      <c r="N1998" s="23"/>
      <c r="P1998" s="23"/>
    </row>
    <row r="1999" spans="2:16" x14ac:dyDescent="0.25">
      <c r="B1999" s="23"/>
      <c r="E1999" s="23"/>
      <c r="G1999" s="23"/>
      <c r="H1999" s="23"/>
      <c r="J1999" s="23"/>
      <c r="K1999" s="23"/>
      <c r="M1999" s="23"/>
      <c r="N1999" s="23"/>
      <c r="P1999" s="23"/>
    </row>
    <row r="2000" spans="2:16" x14ac:dyDescent="0.25">
      <c r="B2000" s="23"/>
      <c r="E2000" s="23"/>
      <c r="G2000" s="23"/>
      <c r="H2000" s="23"/>
      <c r="J2000" s="23"/>
      <c r="K2000" s="23"/>
      <c r="M2000" s="23"/>
      <c r="N2000" s="23"/>
      <c r="P2000" s="23"/>
    </row>
    <row r="2001" spans="2:16" x14ac:dyDescent="0.25">
      <c r="B2001" s="23"/>
      <c r="E2001" s="23"/>
      <c r="G2001" s="23"/>
      <c r="H2001" s="23"/>
      <c r="J2001" s="23"/>
      <c r="K2001" s="23"/>
      <c r="M2001" s="23"/>
      <c r="N2001" s="23"/>
      <c r="P2001" s="23"/>
    </row>
    <row r="2002" spans="2:16" x14ac:dyDescent="0.25">
      <c r="B2002" s="23"/>
      <c r="E2002" s="23"/>
      <c r="G2002" s="23"/>
      <c r="H2002" s="23"/>
      <c r="J2002" s="23"/>
      <c r="K2002" s="23"/>
      <c r="M2002" s="23"/>
      <c r="N2002" s="23"/>
      <c r="P2002" s="23"/>
    </row>
    <row r="2003" spans="2:16" x14ac:dyDescent="0.25">
      <c r="B2003" s="23"/>
      <c r="E2003" s="23"/>
      <c r="G2003" s="23"/>
      <c r="H2003" s="23"/>
      <c r="J2003" s="23"/>
      <c r="K2003" s="23"/>
      <c r="M2003" s="23"/>
      <c r="N2003" s="23"/>
      <c r="P2003" s="23"/>
    </row>
    <row r="2004" spans="2:16" x14ac:dyDescent="0.25">
      <c r="B2004" s="23"/>
      <c r="E2004" s="23"/>
      <c r="G2004" s="23"/>
      <c r="H2004" s="23"/>
      <c r="J2004" s="23"/>
      <c r="K2004" s="23"/>
      <c r="M2004" s="23"/>
      <c r="N2004" s="23"/>
      <c r="P2004" s="23"/>
    </row>
    <row r="2005" spans="2:16" x14ac:dyDescent="0.25">
      <c r="B2005" s="23"/>
      <c r="E2005" s="23"/>
      <c r="G2005" s="23"/>
      <c r="H2005" s="23"/>
      <c r="J2005" s="23"/>
      <c r="K2005" s="23"/>
      <c r="M2005" s="23"/>
      <c r="N2005" s="23"/>
      <c r="P2005" s="23"/>
    </row>
    <row r="2006" spans="2:16" x14ac:dyDescent="0.25">
      <c r="B2006" s="23"/>
      <c r="E2006" s="23"/>
      <c r="G2006" s="23"/>
      <c r="H2006" s="23"/>
      <c r="J2006" s="23"/>
      <c r="K2006" s="23"/>
      <c r="M2006" s="23"/>
      <c r="N2006" s="23"/>
      <c r="P2006" s="23"/>
    </row>
    <row r="2007" spans="2:16" x14ac:dyDescent="0.25">
      <c r="B2007" s="23"/>
      <c r="E2007" s="23"/>
      <c r="G2007" s="23"/>
      <c r="H2007" s="23"/>
      <c r="J2007" s="23"/>
      <c r="K2007" s="23"/>
      <c r="M2007" s="23"/>
      <c r="N2007" s="23"/>
      <c r="P2007" s="23"/>
    </row>
    <row r="2008" spans="2:16" x14ac:dyDescent="0.25">
      <c r="B2008" s="23"/>
      <c r="E2008" s="23"/>
      <c r="G2008" s="23"/>
      <c r="H2008" s="23"/>
      <c r="J2008" s="23"/>
      <c r="K2008" s="23"/>
      <c r="M2008" s="23"/>
      <c r="N2008" s="23"/>
      <c r="P2008" s="23"/>
    </row>
    <row r="2009" spans="2:16" x14ac:dyDescent="0.25">
      <c r="B2009" s="23"/>
      <c r="E2009" s="23"/>
      <c r="G2009" s="23"/>
      <c r="H2009" s="23"/>
      <c r="J2009" s="23"/>
      <c r="K2009" s="23"/>
      <c r="M2009" s="23"/>
      <c r="N2009" s="23"/>
      <c r="P2009" s="23"/>
    </row>
    <row r="2010" spans="2:16" x14ac:dyDescent="0.25">
      <c r="B2010" s="23"/>
      <c r="E2010" s="23"/>
      <c r="G2010" s="23"/>
      <c r="H2010" s="23"/>
      <c r="J2010" s="23"/>
      <c r="K2010" s="23"/>
      <c r="M2010" s="23"/>
      <c r="N2010" s="23"/>
      <c r="P2010" s="23"/>
    </row>
    <row r="2011" spans="2:16" x14ac:dyDescent="0.25">
      <c r="B2011" s="23"/>
      <c r="E2011" s="23"/>
      <c r="G2011" s="23"/>
      <c r="H2011" s="23"/>
      <c r="J2011" s="23"/>
      <c r="K2011" s="23"/>
      <c r="M2011" s="23"/>
      <c r="N2011" s="23"/>
      <c r="P2011" s="23"/>
    </row>
    <row r="2012" spans="2:16" x14ac:dyDescent="0.25">
      <c r="B2012" s="23"/>
      <c r="E2012" s="23"/>
      <c r="G2012" s="23"/>
      <c r="H2012" s="23"/>
      <c r="J2012" s="23"/>
      <c r="K2012" s="23"/>
      <c r="M2012" s="23"/>
      <c r="N2012" s="23"/>
      <c r="P2012" s="23"/>
    </row>
    <row r="2013" spans="2:16" x14ac:dyDescent="0.25">
      <c r="B2013" s="23"/>
      <c r="E2013" s="23"/>
      <c r="G2013" s="23"/>
      <c r="H2013" s="23"/>
      <c r="J2013" s="23"/>
      <c r="K2013" s="23"/>
      <c r="M2013" s="23"/>
      <c r="N2013" s="23"/>
      <c r="P2013" s="23"/>
    </row>
    <row r="2014" spans="2:16" x14ac:dyDescent="0.25">
      <c r="B2014" s="23"/>
      <c r="E2014" s="23"/>
      <c r="G2014" s="23"/>
      <c r="H2014" s="23"/>
      <c r="J2014" s="23"/>
      <c r="K2014" s="23"/>
      <c r="M2014" s="23"/>
      <c r="N2014" s="23"/>
      <c r="P2014" s="23"/>
    </row>
    <row r="2015" spans="2:16" x14ac:dyDescent="0.25">
      <c r="B2015" s="23"/>
      <c r="E2015" s="23"/>
      <c r="G2015" s="23"/>
      <c r="H2015" s="23"/>
      <c r="J2015" s="23"/>
      <c r="K2015" s="23"/>
      <c r="M2015" s="23"/>
      <c r="N2015" s="23"/>
      <c r="P2015" s="23"/>
    </row>
    <row r="2016" spans="2:16" x14ac:dyDescent="0.25">
      <c r="B2016" s="23"/>
      <c r="E2016" s="23"/>
      <c r="G2016" s="23"/>
      <c r="H2016" s="23"/>
      <c r="J2016" s="23"/>
      <c r="K2016" s="23"/>
      <c r="M2016" s="23"/>
      <c r="N2016" s="23"/>
      <c r="P2016" s="23"/>
    </row>
    <row r="2017" spans="2:16" x14ac:dyDescent="0.25">
      <c r="B2017" s="23"/>
      <c r="E2017" s="23"/>
      <c r="G2017" s="23"/>
      <c r="H2017" s="23"/>
      <c r="J2017" s="23"/>
      <c r="K2017" s="23"/>
      <c r="M2017" s="23"/>
      <c r="N2017" s="23"/>
      <c r="P2017" s="23"/>
    </row>
    <row r="2018" spans="2:16" x14ac:dyDescent="0.25">
      <c r="B2018" s="23"/>
      <c r="E2018" s="23"/>
      <c r="G2018" s="23"/>
      <c r="H2018" s="23"/>
      <c r="J2018" s="23"/>
      <c r="K2018" s="23"/>
      <c r="M2018" s="23"/>
      <c r="N2018" s="23"/>
      <c r="P2018" s="23"/>
    </row>
    <row r="2019" spans="2:16" x14ac:dyDescent="0.25">
      <c r="B2019" s="23"/>
      <c r="E2019" s="23"/>
      <c r="G2019" s="23"/>
      <c r="H2019" s="23"/>
      <c r="J2019" s="23"/>
      <c r="K2019" s="23"/>
      <c r="M2019" s="23"/>
      <c r="N2019" s="23"/>
      <c r="P2019" s="23"/>
    </row>
    <row r="2020" spans="2:16" x14ac:dyDescent="0.25">
      <c r="B2020" s="23"/>
      <c r="E2020" s="23"/>
      <c r="G2020" s="23"/>
      <c r="H2020" s="23"/>
      <c r="J2020" s="23"/>
      <c r="K2020" s="23"/>
      <c r="M2020" s="23"/>
      <c r="N2020" s="23"/>
      <c r="P2020" s="23"/>
    </row>
    <row r="2021" spans="2:16" x14ac:dyDescent="0.25">
      <c r="B2021" s="23"/>
      <c r="E2021" s="23"/>
      <c r="G2021" s="23"/>
      <c r="H2021" s="23"/>
      <c r="J2021" s="23"/>
      <c r="K2021" s="23"/>
      <c r="M2021" s="23"/>
      <c r="N2021" s="23"/>
      <c r="P2021" s="23"/>
    </row>
    <row r="2022" spans="2:16" x14ac:dyDescent="0.25">
      <c r="B2022" s="23"/>
      <c r="E2022" s="23"/>
      <c r="G2022" s="23"/>
      <c r="H2022" s="23"/>
      <c r="J2022" s="23"/>
      <c r="K2022" s="23"/>
      <c r="M2022" s="23"/>
      <c r="N2022" s="23"/>
      <c r="P2022" s="23"/>
    </row>
    <row r="2023" spans="2:16" x14ac:dyDescent="0.25">
      <c r="B2023" s="23"/>
      <c r="E2023" s="23"/>
      <c r="G2023" s="23"/>
      <c r="H2023" s="23"/>
      <c r="J2023" s="23"/>
      <c r="K2023" s="23"/>
      <c r="M2023" s="23"/>
      <c r="N2023" s="23"/>
      <c r="P2023" s="23"/>
    </row>
    <row r="2024" spans="2:16" x14ac:dyDescent="0.25">
      <c r="B2024" s="23"/>
      <c r="E2024" s="23"/>
      <c r="G2024" s="23"/>
      <c r="H2024" s="23"/>
      <c r="J2024" s="23"/>
      <c r="K2024" s="23"/>
      <c r="M2024" s="23"/>
      <c r="N2024" s="23"/>
      <c r="P2024" s="23"/>
    </row>
    <row r="2025" spans="2:16" x14ac:dyDescent="0.25">
      <c r="B2025" s="23"/>
      <c r="E2025" s="23"/>
      <c r="G2025" s="23"/>
      <c r="H2025" s="23"/>
      <c r="J2025" s="23"/>
      <c r="K2025" s="23"/>
      <c r="M2025" s="23"/>
      <c r="N2025" s="23"/>
      <c r="P2025" s="23"/>
    </row>
    <row r="2026" spans="2:16" x14ac:dyDescent="0.25">
      <c r="B2026" s="23"/>
      <c r="E2026" s="23"/>
      <c r="G2026" s="23"/>
      <c r="H2026" s="23"/>
      <c r="J2026" s="23"/>
      <c r="K2026" s="23"/>
      <c r="M2026" s="23"/>
      <c r="N2026" s="23"/>
      <c r="P2026" s="23"/>
    </row>
    <row r="2027" spans="2:16" x14ac:dyDescent="0.25">
      <c r="B2027" s="23"/>
      <c r="E2027" s="23"/>
      <c r="G2027" s="23"/>
      <c r="H2027" s="23"/>
      <c r="J2027" s="23"/>
      <c r="K2027" s="23"/>
      <c r="M2027" s="23"/>
      <c r="N2027" s="23"/>
      <c r="P2027" s="23"/>
    </row>
    <row r="2028" spans="2:16" x14ac:dyDescent="0.25">
      <c r="B2028" s="23"/>
      <c r="E2028" s="23"/>
      <c r="G2028" s="23"/>
      <c r="H2028" s="23"/>
      <c r="J2028" s="23"/>
      <c r="K2028" s="23"/>
      <c r="M2028" s="23"/>
      <c r="N2028" s="23"/>
      <c r="P2028" s="23"/>
    </row>
    <row r="2029" spans="2:16" x14ac:dyDescent="0.25">
      <c r="B2029" s="23"/>
      <c r="E2029" s="23"/>
      <c r="G2029" s="23"/>
      <c r="H2029" s="23"/>
      <c r="J2029" s="23"/>
      <c r="K2029" s="23"/>
      <c r="M2029" s="23"/>
      <c r="N2029" s="23"/>
      <c r="P2029" s="23"/>
    </row>
    <row r="2030" spans="2:16" x14ac:dyDescent="0.25">
      <c r="B2030" s="23"/>
      <c r="E2030" s="23"/>
      <c r="G2030" s="23"/>
      <c r="H2030" s="23"/>
      <c r="J2030" s="23"/>
      <c r="K2030" s="23"/>
      <c r="M2030" s="23"/>
      <c r="N2030" s="23"/>
      <c r="P2030" s="23"/>
    </row>
    <row r="2031" spans="2:16" x14ac:dyDescent="0.25">
      <c r="B2031" s="23"/>
      <c r="E2031" s="23"/>
      <c r="G2031" s="23"/>
      <c r="H2031" s="23"/>
      <c r="J2031" s="23"/>
      <c r="K2031" s="23"/>
      <c r="M2031" s="23"/>
      <c r="N2031" s="23"/>
      <c r="P2031" s="23"/>
    </row>
    <row r="2032" spans="2:16" x14ac:dyDescent="0.25">
      <c r="B2032" s="23"/>
      <c r="E2032" s="23"/>
      <c r="G2032" s="23"/>
      <c r="H2032" s="23"/>
      <c r="J2032" s="23"/>
      <c r="K2032" s="23"/>
      <c r="M2032" s="23"/>
      <c r="N2032" s="23"/>
      <c r="P2032" s="23"/>
    </row>
    <row r="2033" spans="2:16" x14ac:dyDescent="0.25">
      <c r="B2033" s="23"/>
      <c r="E2033" s="23"/>
      <c r="G2033" s="23"/>
      <c r="H2033" s="23"/>
      <c r="J2033" s="23"/>
      <c r="K2033" s="23"/>
      <c r="M2033" s="23"/>
      <c r="N2033" s="23"/>
      <c r="P2033" s="23"/>
    </row>
    <row r="2034" spans="2:16" x14ac:dyDescent="0.25">
      <c r="B2034" s="23"/>
      <c r="E2034" s="23"/>
      <c r="G2034" s="23"/>
      <c r="H2034" s="23"/>
      <c r="J2034" s="23"/>
      <c r="K2034" s="23"/>
      <c r="M2034" s="23"/>
      <c r="N2034" s="23"/>
      <c r="P2034" s="23"/>
    </row>
    <row r="2035" spans="2:16" x14ac:dyDescent="0.25">
      <c r="B2035" s="23"/>
      <c r="E2035" s="23"/>
      <c r="G2035" s="23"/>
      <c r="H2035" s="23"/>
      <c r="J2035" s="23"/>
      <c r="K2035" s="23"/>
      <c r="M2035" s="23"/>
      <c r="N2035" s="23"/>
      <c r="P2035" s="23"/>
    </row>
    <row r="2036" spans="2:16" x14ac:dyDescent="0.25">
      <c r="B2036" s="23"/>
      <c r="E2036" s="23"/>
      <c r="G2036" s="23"/>
      <c r="H2036" s="23"/>
      <c r="J2036" s="23"/>
      <c r="K2036" s="23"/>
      <c r="M2036" s="23"/>
      <c r="N2036" s="23"/>
      <c r="P2036" s="23"/>
    </row>
    <row r="2037" spans="2:16" x14ac:dyDescent="0.25">
      <c r="B2037" s="23"/>
      <c r="E2037" s="23"/>
      <c r="G2037" s="23"/>
      <c r="H2037" s="23"/>
      <c r="J2037" s="23"/>
      <c r="K2037" s="23"/>
      <c r="M2037" s="23"/>
      <c r="N2037" s="23"/>
      <c r="P2037" s="23"/>
    </row>
    <row r="2038" spans="2:16" x14ac:dyDescent="0.25">
      <c r="B2038" s="23"/>
      <c r="E2038" s="23"/>
      <c r="G2038" s="23"/>
      <c r="H2038" s="23"/>
      <c r="J2038" s="23"/>
      <c r="K2038" s="23"/>
      <c r="M2038" s="23"/>
      <c r="N2038" s="23"/>
      <c r="P2038" s="23"/>
    </row>
    <row r="2039" spans="2:16" x14ac:dyDescent="0.25">
      <c r="B2039" s="23"/>
      <c r="E2039" s="23"/>
      <c r="G2039" s="23"/>
      <c r="H2039" s="23"/>
      <c r="J2039" s="23"/>
      <c r="K2039" s="23"/>
      <c r="M2039" s="23"/>
      <c r="N2039" s="23"/>
      <c r="P2039" s="23"/>
    </row>
    <row r="2040" spans="2:16" x14ac:dyDescent="0.25">
      <c r="B2040" s="23"/>
      <c r="E2040" s="23"/>
      <c r="G2040" s="23"/>
      <c r="H2040" s="23"/>
      <c r="J2040" s="23"/>
      <c r="K2040" s="23"/>
      <c r="M2040" s="23"/>
      <c r="N2040" s="23"/>
      <c r="P2040" s="23"/>
    </row>
    <row r="2041" spans="2:16" x14ac:dyDescent="0.25">
      <c r="B2041" s="23"/>
      <c r="E2041" s="23"/>
      <c r="G2041" s="23"/>
      <c r="H2041" s="23"/>
      <c r="J2041" s="23"/>
      <c r="K2041" s="23"/>
      <c r="M2041" s="23"/>
      <c r="N2041" s="23"/>
      <c r="P2041" s="23"/>
    </row>
    <row r="2042" spans="2:16" x14ac:dyDescent="0.25">
      <c r="B2042" s="23"/>
      <c r="E2042" s="23"/>
      <c r="G2042" s="23"/>
      <c r="H2042" s="23"/>
      <c r="J2042" s="23"/>
      <c r="K2042" s="23"/>
      <c r="M2042" s="23"/>
      <c r="N2042" s="23"/>
      <c r="P2042" s="23"/>
    </row>
    <row r="2043" spans="2:16" x14ac:dyDescent="0.25">
      <c r="B2043" s="23"/>
      <c r="E2043" s="23"/>
      <c r="G2043" s="23"/>
      <c r="H2043" s="23"/>
      <c r="J2043" s="23"/>
      <c r="K2043" s="23"/>
      <c r="M2043" s="23"/>
      <c r="N2043" s="23"/>
      <c r="P2043" s="23"/>
    </row>
    <row r="2044" spans="2:16" x14ac:dyDescent="0.25">
      <c r="B2044" s="23"/>
      <c r="E2044" s="23"/>
      <c r="G2044" s="23"/>
      <c r="H2044" s="23"/>
      <c r="J2044" s="23"/>
      <c r="K2044" s="23"/>
      <c r="M2044" s="23"/>
      <c r="N2044" s="23"/>
      <c r="P2044" s="23"/>
    </row>
    <row r="2045" spans="2:16" x14ac:dyDescent="0.25">
      <c r="B2045" s="23"/>
      <c r="E2045" s="23"/>
      <c r="G2045" s="23"/>
      <c r="H2045" s="23"/>
      <c r="J2045" s="23"/>
      <c r="K2045" s="23"/>
      <c r="M2045" s="23"/>
      <c r="N2045" s="23"/>
      <c r="P2045" s="23"/>
    </row>
    <row r="2046" spans="2:16" x14ac:dyDescent="0.25">
      <c r="B2046" s="23"/>
      <c r="E2046" s="23"/>
      <c r="G2046" s="23"/>
      <c r="H2046" s="23"/>
      <c r="J2046" s="23"/>
      <c r="K2046" s="23"/>
      <c r="M2046" s="23"/>
      <c r="N2046" s="23"/>
      <c r="P2046" s="23"/>
    </row>
    <row r="2047" spans="2:16" x14ac:dyDescent="0.25">
      <c r="B2047" s="23"/>
      <c r="E2047" s="23"/>
      <c r="G2047" s="23"/>
      <c r="H2047" s="23"/>
      <c r="J2047" s="23"/>
      <c r="K2047" s="23"/>
      <c r="M2047" s="23"/>
      <c r="N2047" s="23"/>
      <c r="P2047" s="23"/>
    </row>
    <row r="2048" spans="2:16" x14ac:dyDescent="0.25">
      <c r="B2048" s="23"/>
      <c r="E2048" s="23"/>
      <c r="G2048" s="23"/>
      <c r="H2048" s="23"/>
      <c r="J2048" s="23"/>
      <c r="K2048" s="23"/>
      <c r="M2048" s="23"/>
      <c r="N2048" s="23"/>
      <c r="P2048" s="23"/>
    </row>
    <row r="2049" spans="2:16" x14ac:dyDescent="0.25">
      <c r="B2049" s="23"/>
      <c r="E2049" s="23"/>
      <c r="G2049" s="23"/>
      <c r="H2049" s="23"/>
      <c r="J2049" s="23"/>
      <c r="K2049" s="23"/>
      <c r="M2049" s="23"/>
      <c r="N2049" s="23"/>
      <c r="P2049" s="23"/>
    </row>
    <row r="2050" spans="2:16" x14ac:dyDescent="0.25">
      <c r="B2050" s="23"/>
      <c r="E2050" s="23"/>
      <c r="G2050" s="23"/>
      <c r="H2050" s="23"/>
      <c r="J2050" s="23"/>
      <c r="K2050" s="23"/>
      <c r="M2050" s="23"/>
      <c r="N2050" s="23"/>
      <c r="P2050" s="23"/>
    </row>
    <row r="2051" spans="2:16" x14ac:dyDescent="0.25">
      <c r="B2051" s="23"/>
      <c r="E2051" s="23"/>
      <c r="G2051" s="23"/>
      <c r="H2051" s="23"/>
      <c r="J2051" s="23"/>
      <c r="K2051" s="23"/>
      <c r="M2051" s="23"/>
      <c r="N2051" s="23"/>
      <c r="P2051" s="23"/>
    </row>
    <row r="2052" spans="2:16" x14ac:dyDescent="0.25">
      <c r="B2052" s="23"/>
      <c r="E2052" s="23"/>
      <c r="G2052" s="23"/>
      <c r="H2052" s="23"/>
      <c r="J2052" s="23"/>
      <c r="K2052" s="23"/>
      <c r="M2052" s="23"/>
      <c r="N2052" s="23"/>
      <c r="P2052" s="23"/>
    </row>
    <row r="2053" spans="2:16" x14ac:dyDescent="0.25">
      <c r="B2053" s="23"/>
      <c r="E2053" s="23"/>
      <c r="G2053" s="23"/>
      <c r="H2053" s="23"/>
      <c r="J2053" s="23"/>
      <c r="K2053" s="23"/>
      <c r="M2053" s="23"/>
      <c r="N2053" s="23"/>
      <c r="P2053" s="23"/>
    </row>
    <row r="2054" spans="2:16" x14ac:dyDescent="0.25">
      <c r="B2054" s="23"/>
      <c r="E2054" s="23"/>
      <c r="G2054" s="23"/>
      <c r="H2054" s="23"/>
      <c r="J2054" s="23"/>
      <c r="K2054" s="23"/>
      <c r="M2054" s="23"/>
      <c r="N2054" s="23"/>
      <c r="P2054" s="23"/>
    </row>
    <row r="2055" spans="2:16" x14ac:dyDescent="0.25">
      <c r="B2055" s="23"/>
      <c r="E2055" s="23"/>
      <c r="G2055" s="23"/>
      <c r="H2055" s="23"/>
      <c r="J2055" s="23"/>
      <c r="K2055" s="23"/>
      <c r="M2055" s="23"/>
      <c r="N2055" s="23"/>
      <c r="P2055" s="23"/>
    </row>
    <row r="2056" spans="2:16" x14ac:dyDescent="0.25">
      <c r="B2056" s="23"/>
      <c r="E2056" s="23"/>
      <c r="G2056" s="23"/>
      <c r="H2056" s="23"/>
      <c r="J2056" s="23"/>
      <c r="K2056" s="23"/>
      <c r="M2056" s="23"/>
      <c r="N2056" s="23"/>
      <c r="P2056" s="23"/>
    </row>
    <row r="2057" spans="2:16" x14ac:dyDescent="0.25">
      <c r="B2057" s="23"/>
      <c r="E2057" s="23"/>
      <c r="G2057" s="23"/>
      <c r="H2057" s="23"/>
      <c r="J2057" s="23"/>
      <c r="K2057" s="23"/>
      <c r="M2057" s="23"/>
      <c r="N2057" s="23"/>
      <c r="P2057" s="23"/>
    </row>
    <row r="2058" spans="2:16" x14ac:dyDescent="0.25">
      <c r="B2058" s="23"/>
      <c r="E2058" s="23"/>
      <c r="G2058" s="23"/>
      <c r="H2058" s="23"/>
      <c r="J2058" s="23"/>
      <c r="K2058" s="23"/>
      <c r="M2058" s="23"/>
      <c r="N2058" s="23"/>
      <c r="P2058" s="23"/>
    </row>
    <row r="2059" spans="2:16" x14ac:dyDescent="0.25">
      <c r="B2059" s="23"/>
      <c r="E2059" s="23"/>
      <c r="G2059" s="23"/>
      <c r="H2059" s="23"/>
      <c r="J2059" s="23"/>
      <c r="K2059" s="23"/>
      <c r="M2059" s="23"/>
      <c r="N2059" s="23"/>
      <c r="P2059" s="23"/>
    </row>
    <row r="2060" spans="2:16" x14ac:dyDescent="0.25">
      <c r="B2060" s="23"/>
      <c r="E2060" s="23"/>
      <c r="G2060" s="23"/>
      <c r="H2060" s="23"/>
      <c r="J2060" s="23"/>
      <c r="K2060" s="23"/>
      <c r="M2060" s="23"/>
      <c r="N2060" s="23"/>
      <c r="P2060" s="23"/>
    </row>
    <row r="2061" spans="2:16" x14ac:dyDescent="0.25">
      <c r="B2061" s="23"/>
      <c r="E2061" s="23"/>
      <c r="G2061" s="23"/>
      <c r="H2061" s="23"/>
      <c r="J2061" s="23"/>
      <c r="K2061" s="23"/>
      <c r="M2061" s="23"/>
      <c r="N2061" s="23"/>
      <c r="P2061" s="23"/>
    </row>
    <row r="2062" spans="2:16" x14ac:dyDescent="0.25">
      <c r="B2062" s="23"/>
      <c r="E2062" s="23"/>
      <c r="G2062" s="23"/>
      <c r="H2062" s="23"/>
      <c r="J2062" s="23"/>
      <c r="K2062" s="23"/>
      <c r="M2062" s="23"/>
      <c r="N2062" s="23"/>
      <c r="P2062" s="23"/>
    </row>
    <row r="2063" spans="2:16" x14ac:dyDescent="0.25">
      <c r="B2063" s="23"/>
      <c r="E2063" s="23"/>
      <c r="G2063" s="23"/>
      <c r="H2063" s="23"/>
      <c r="J2063" s="23"/>
      <c r="K2063" s="23"/>
      <c r="M2063" s="23"/>
      <c r="N2063" s="23"/>
      <c r="P2063" s="23"/>
    </row>
    <row r="2064" spans="2:16" x14ac:dyDescent="0.25">
      <c r="B2064" s="23"/>
      <c r="E2064" s="23"/>
      <c r="G2064" s="23"/>
      <c r="H2064" s="23"/>
      <c r="J2064" s="23"/>
      <c r="K2064" s="23"/>
      <c r="M2064" s="23"/>
      <c r="N2064" s="23"/>
      <c r="P2064" s="23"/>
    </row>
    <row r="2065" spans="2:16" x14ac:dyDescent="0.25">
      <c r="B2065" s="23"/>
      <c r="E2065" s="23"/>
      <c r="G2065" s="23"/>
      <c r="H2065" s="23"/>
      <c r="J2065" s="23"/>
      <c r="K2065" s="23"/>
      <c r="M2065" s="23"/>
      <c r="N2065" s="23"/>
      <c r="P2065" s="23"/>
    </row>
    <row r="2066" spans="2:16" x14ac:dyDescent="0.25">
      <c r="B2066" s="23"/>
      <c r="E2066" s="23"/>
      <c r="G2066" s="23"/>
      <c r="H2066" s="23"/>
      <c r="J2066" s="23"/>
      <c r="K2066" s="23"/>
      <c r="M2066" s="23"/>
      <c r="N2066" s="23"/>
      <c r="P2066" s="23"/>
    </row>
    <row r="2067" spans="2:16" x14ac:dyDescent="0.25">
      <c r="B2067" s="23"/>
      <c r="E2067" s="23"/>
      <c r="G2067" s="23"/>
      <c r="H2067" s="23"/>
      <c r="J2067" s="23"/>
      <c r="K2067" s="23"/>
      <c r="M2067" s="23"/>
      <c r="N2067" s="23"/>
      <c r="P2067" s="23"/>
    </row>
    <row r="2068" spans="2:16" x14ac:dyDescent="0.25">
      <c r="B2068" s="23"/>
      <c r="E2068" s="23"/>
      <c r="G2068" s="23"/>
      <c r="H2068" s="23"/>
      <c r="J2068" s="23"/>
      <c r="K2068" s="23"/>
      <c r="M2068" s="23"/>
      <c r="N2068" s="23"/>
      <c r="P2068" s="23"/>
    </row>
    <row r="2069" spans="2:16" x14ac:dyDescent="0.25">
      <c r="B2069" s="23"/>
      <c r="E2069" s="23"/>
      <c r="G2069" s="23"/>
      <c r="H2069" s="23"/>
      <c r="J2069" s="23"/>
      <c r="K2069" s="23"/>
      <c r="M2069" s="23"/>
      <c r="N2069" s="23"/>
      <c r="P2069" s="23"/>
    </row>
    <row r="2070" spans="2:16" x14ac:dyDescent="0.25">
      <c r="B2070" s="23"/>
      <c r="E2070" s="23"/>
      <c r="G2070" s="23"/>
      <c r="H2070" s="23"/>
      <c r="J2070" s="23"/>
      <c r="K2070" s="23"/>
      <c r="M2070" s="23"/>
      <c r="N2070" s="23"/>
      <c r="P2070" s="23"/>
    </row>
    <row r="2071" spans="2:16" x14ac:dyDescent="0.25">
      <c r="B2071" s="23"/>
      <c r="E2071" s="23"/>
      <c r="G2071" s="23"/>
      <c r="H2071" s="23"/>
      <c r="J2071" s="23"/>
      <c r="K2071" s="23"/>
      <c r="M2071" s="23"/>
      <c r="N2071" s="23"/>
      <c r="P2071" s="23"/>
    </row>
    <row r="2072" spans="2:16" x14ac:dyDescent="0.25">
      <c r="B2072" s="23"/>
      <c r="E2072" s="23"/>
      <c r="G2072" s="23"/>
      <c r="H2072" s="23"/>
      <c r="J2072" s="23"/>
      <c r="K2072" s="23"/>
      <c r="M2072" s="23"/>
      <c r="N2072" s="23"/>
      <c r="P2072" s="23"/>
    </row>
    <row r="2073" spans="2:16" x14ac:dyDescent="0.25">
      <c r="B2073" s="23"/>
      <c r="E2073" s="23"/>
      <c r="G2073" s="23"/>
      <c r="H2073" s="23"/>
      <c r="J2073" s="23"/>
      <c r="K2073" s="23"/>
      <c r="M2073" s="23"/>
      <c r="N2073" s="23"/>
      <c r="P2073" s="23"/>
    </row>
    <row r="2074" spans="2:16" x14ac:dyDescent="0.25">
      <c r="B2074" s="23"/>
      <c r="E2074" s="23"/>
      <c r="G2074" s="23"/>
      <c r="H2074" s="23"/>
      <c r="J2074" s="23"/>
      <c r="K2074" s="23"/>
      <c r="M2074" s="23"/>
      <c r="N2074" s="23"/>
      <c r="P2074" s="23"/>
    </row>
    <row r="2075" spans="2:16" x14ac:dyDescent="0.25">
      <c r="B2075" s="23"/>
      <c r="E2075" s="23"/>
      <c r="G2075" s="23"/>
      <c r="H2075" s="23"/>
      <c r="J2075" s="23"/>
      <c r="K2075" s="23"/>
      <c r="M2075" s="23"/>
      <c r="N2075" s="23"/>
      <c r="P2075" s="23"/>
    </row>
    <row r="2076" spans="2:16" x14ac:dyDescent="0.25">
      <c r="B2076" s="23"/>
      <c r="E2076" s="23"/>
      <c r="G2076" s="23"/>
      <c r="H2076" s="23"/>
      <c r="J2076" s="23"/>
      <c r="K2076" s="23"/>
      <c r="M2076" s="23"/>
      <c r="N2076" s="23"/>
      <c r="P2076" s="23"/>
    </row>
    <row r="2077" spans="2:16" x14ac:dyDescent="0.25">
      <c r="B2077" s="23"/>
      <c r="E2077" s="23"/>
      <c r="G2077" s="23"/>
      <c r="H2077" s="23"/>
      <c r="J2077" s="23"/>
      <c r="K2077" s="23"/>
      <c r="M2077" s="23"/>
      <c r="N2077" s="23"/>
      <c r="P2077" s="23"/>
    </row>
    <row r="2078" spans="2:16" x14ac:dyDescent="0.25">
      <c r="B2078" s="23"/>
      <c r="E2078" s="23"/>
      <c r="G2078" s="23"/>
      <c r="H2078" s="23"/>
      <c r="J2078" s="23"/>
      <c r="K2078" s="23"/>
      <c r="M2078" s="23"/>
      <c r="N2078" s="23"/>
      <c r="P2078" s="23"/>
    </row>
    <row r="2079" spans="2:16" x14ac:dyDescent="0.25">
      <c r="B2079" s="23"/>
      <c r="E2079" s="23"/>
      <c r="G2079" s="23"/>
      <c r="H2079" s="23"/>
      <c r="J2079" s="23"/>
      <c r="K2079" s="23"/>
      <c r="M2079" s="23"/>
      <c r="N2079" s="23"/>
      <c r="P2079" s="23"/>
    </row>
    <row r="2080" spans="2:16" x14ac:dyDescent="0.25">
      <c r="B2080" s="23"/>
      <c r="E2080" s="23"/>
      <c r="G2080" s="23"/>
      <c r="H2080" s="23"/>
      <c r="J2080" s="23"/>
      <c r="K2080" s="23"/>
      <c r="M2080" s="23"/>
      <c r="N2080" s="23"/>
      <c r="P2080" s="23"/>
    </row>
    <row r="2081" spans="2:16" x14ac:dyDescent="0.25">
      <c r="B2081" s="23"/>
      <c r="E2081" s="23"/>
      <c r="G2081" s="23"/>
      <c r="H2081" s="23"/>
      <c r="J2081" s="23"/>
      <c r="K2081" s="23"/>
      <c r="M2081" s="23"/>
      <c r="N2081" s="23"/>
      <c r="P2081" s="23"/>
    </row>
    <row r="2082" spans="2:16" x14ac:dyDescent="0.25">
      <c r="B2082" s="23"/>
      <c r="E2082" s="23"/>
      <c r="G2082" s="23"/>
      <c r="H2082" s="23"/>
      <c r="J2082" s="23"/>
      <c r="K2082" s="23"/>
      <c r="M2082" s="23"/>
      <c r="N2082" s="23"/>
      <c r="P2082" s="23"/>
    </row>
    <row r="2083" spans="2:16" x14ac:dyDescent="0.25">
      <c r="B2083" s="23"/>
      <c r="E2083" s="23"/>
      <c r="G2083" s="23"/>
      <c r="H2083" s="23"/>
      <c r="J2083" s="23"/>
      <c r="K2083" s="23"/>
      <c r="M2083" s="23"/>
      <c r="N2083" s="23"/>
      <c r="P2083" s="23"/>
    </row>
    <row r="2084" spans="2:16" x14ac:dyDescent="0.25">
      <c r="B2084" s="23"/>
      <c r="E2084" s="23"/>
      <c r="G2084" s="23"/>
      <c r="H2084" s="23"/>
      <c r="J2084" s="23"/>
      <c r="K2084" s="23"/>
      <c r="M2084" s="23"/>
      <c r="N2084" s="23"/>
      <c r="P2084" s="23"/>
    </row>
    <row r="2085" spans="2:16" x14ac:dyDescent="0.25">
      <c r="B2085" s="23"/>
      <c r="E2085" s="23"/>
      <c r="G2085" s="23"/>
      <c r="H2085" s="23"/>
      <c r="J2085" s="23"/>
      <c r="K2085" s="23"/>
      <c r="M2085" s="23"/>
      <c r="N2085" s="23"/>
      <c r="P2085" s="23"/>
    </row>
    <row r="2086" spans="2:16" x14ac:dyDescent="0.25">
      <c r="B2086" s="23"/>
      <c r="E2086" s="23"/>
      <c r="G2086" s="23"/>
      <c r="H2086" s="23"/>
      <c r="J2086" s="23"/>
      <c r="K2086" s="23"/>
      <c r="M2086" s="23"/>
      <c r="N2086" s="23"/>
      <c r="P2086" s="23"/>
    </row>
    <row r="2087" spans="2:16" x14ac:dyDescent="0.25">
      <c r="B2087" s="23"/>
      <c r="E2087" s="23"/>
      <c r="G2087" s="23"/>
      <c r="H2087" s="23"/>
      <c r="J2087" s="23"/>
      <c r="K2087" s="23"/>
      <c r="M2087" s="23"/>
      <c r="N2087" s="23"/>
      <c r="P2087" s="23"/>
    </row>
    <row r="2088" spans="2:16" x14ac:dyDescent="0.25">
      <c r="B2088" s="23"/>
      <c r="E2088" s="23"/>
      <c r="G2088" s="23"/>
      <c r="H2088" s="23"/>
      <c r="J2088" s="23"/>
      <c r="K2088" s="23"/>
      <c r="M2088" s="23"/>
      <c r="N2088" s="23"/>
      <c r="P2088" s="23"/>
    </row>
    <row r="2089" spans="2:16" x14ac:dyDescent="0.25">
      <c r="B2089" s="23"/>
      <c r="E2089" s="23"/>
      <c r="G2089" s="23"/>
      <c r="H2089" s="23"/>
      <c r="J2089" s="23"/>
      <c r="K2089" s="23"/>
      <c r="M2089" s="23"/>
      <c r="N2089" s="23"/>
      <c r="P2089" s="23"/>
    </row>
    <row r="2090" spans="2:16" x14ac:dyDescent="0.25">
      <c r="B2090" s="23"/>
      <c r="E2090" s="23"/>
      <c r="G2090" s="23"/>
      <c r="H2090" s="23"/>
      <c r="J2090" s="23"/>
      <c r="K2090" s="23"/>
      <c r="M2090" s="23"/>
      <c r="N2090" s="23"/>
      <c r="P2090" s="23"/>
    </row>
    <row r="2091" spans="2:16" x14ac:dyDescent="0.25">
      <c r="B2091" s="23"/>
      <c r="E2091" s="23"/>
      <c r="G2091" s="23"/>
      <c r="H2091" s="23"/>
      <c r="J2091" s="23"/>
      <c r="K2091" s="23"/>
      <c r="M2091" s="23"/>
      <c r="N2091" s="23"/>
      <c r="P2091" s="23"/>
    </row>
    <row r="2092" spans="2:16" x14ac:dyDescent="0.25">
      <c r="B2092" s="23"/>
      <c r="E2092" s="23"/>
      <c r="G2092" s="23"/>
      <c r="H2092" s="23"/>
      <c r="J2092" s="23"/>
      <c r="K2092" s="23"/>
      <c r="M2092" s="23"/>
      <c r="N2092" s="23"/>
      <c r="P2092" s="23"/>
    </row>
    <row r="2093" spans="2:16" x14ac:dyDescent="0.25">
      <c r="B2093" s="23"/>
      <c r="E2093" s="23"/>
      <c r="G2093" s="23"/>
      <c r="H2093" s="23"/>
      <c r="J2093" s="23"/>
      <c r="K2093" s="23"/>
      <c r="M2093" s="23"/>
      <c r="N2093" s="23"/>
      <c r="P2093" s="23"/>
    </row>
    <row r="2094" spans="2:16" x14ac:dyDescent="0.25">
      <c r="B2094" s="23"/>
      <c r="E2094" s="23"/>
      <c r="G2094" s="23"/>
      <c r="H2094" s="23"/>
      <c r="J2094" s="23"/>
      <c r="K2094" s="23"/>
      <c r="M2094" s="23"/>
      <c r="N2094" s="23"/>
      <c r="P2094" s="23"/>
    </row>
    <row r="2095" spans="2:16" x14ac:dyDescent="0.25">
      <c r="B2095" s="23"/>
      <c r="E2095" s="23"/>
      <c r="G2095" s="23"/>
      <c r="H2095" s="23"/>
      <c r="J2095" s="23"/>
      <c r="K2095" s="23"/>
      <c r="M2095" s="23"/>
      <c r="N2095" s="23"/>
      <c r="P2095" s="23"/>
    </row>
    <row r="2096" spans="2:16" x14ac:dyDescent="0.25">
      <c r="B2096" s="23"/>
      <c r="E2096" s="23"/>
      <c r="G2096" s="23"/>
      <c r="H2096" s="23"/>
      <c r="J2096" s="23"/>
      <c r="K2096" s="23"/>
      <c r="M2096" s="23"/>
      <c r="N2096" s="23"/>
      <c r="P2096" s="23"/>
    </row>
    <row r="2097" spans="2:16" x14ac:dyDescent="0.25">
      <c r="B2097" s="23"/>
      <c r="E2097" s="23"/>
      <c r="G2097" s="23"/>
      <c r="H2097" s="23"/>
      <c r="J2097" s="23"/>
      <c r="K2097" s="23"/>
      <c r="M2097" s="23"/>
      <c r="N2097" s="23"/>
      <c r="P2097" s="23"/>
    </row>
    <row r="2098" spans="2:16" x14ac:dyDescent="0.25">
      <c r="B2098" s="23"/>
      <c r="E2098" s="23"/>
      <c r="G2098" s="23"/>
      <c r="H2098" s="23"/>
      <c r="J2098" s="23"/>
      <c r="K2098" s="23"/>
      <c r="M2098" s="23"/>
      <c r="N2098" s="23"/>
      <c r="P2098" s="23"/>
    </row>
    <row r="2099" spans="2:16" x14ac:dyDescent="0.25">
      <c r="B2099" s="23"/>
      <c r="E2099" s="23"/>
      <c r="G2099" s="23"/>
      <c r="H2099" s="23"/>
      <c r="J2099" s="23"/>
      <c r="K2099" s="23"/>
      <c r="M2099" s="23"/>
      <c r="N2099" s="23"/>
      <c r="P2099" s="23"/>
    </row>
    <row r="2100" spans="2:16" x14ac:dyDescent="0.25">
      <c r="B2100" s="23"/>
      <c r="E2100" s="23"/>
      <c r="G2100" s="23"/>
      <c r="H2100" s="23"/>
      <c r="J2100" s="23"/>
      <c r="K2100" s="23"/>
      <c r="M2100" s="23"/>
      <c r="N2100" s="23"/>
      <c r="P2100" s="23"/>
    </row>
    <row r="2101" spans="2:16" x14ac:dyDescent="0.25">
      <c r="B2101" s="23"/>
      <c r="E2101" s="23"/>
      <c r="G2101" s="23"/>
      <c r="H2101" s="23"/>
      <c r="J2101" s="23"/>
      <c r="K2101" s="23"/>
      <c r="M2101" s="23"/>
      <c r="N2101" s="23"/>
      <c r="P2101" s="23"/>
    </row>
    <row r="2102" spans="2:16" x14ac:dyDescent="0.25">
      <c r="B2102" s="23"/>
      <c r="E2102" s="23"/>
      <c r="G2102" s="23"/>
      <c r="H2102" s="23"/>
      <c r="J2102" s="23"/>
      <c r="K2102" s="23"/>
      <c r="M2102" s="23"/>
      <c r="N2102" s="23"/>
      <c r="P2102" s="23"/>
    </row>
    <row r="2103" spans="2:16" x14ac:dyDescent="0.25">
      <c r="B2103" s="23"/>
      <c r="E2103" s="23"/>
      <c r="G2103" s="23"/>
      <c r="H2103" s="23"/>
      <c r="J2103" s="23"/>
      <c r="K2103" s="23"/>
      <c r="M2103" s="23"/>
      <c r="N2103" s="23"/>
      <c r="P2103" s="23"/>
    </row>
    <row r="2104" spans="2:16" x14ac:dyDescent="0.25">
      <c r="B2104" s="23"/>
      <c r="E2104" s="23"/>
      <c r="G2104" s="23"/>
      <c r="H2104" s="23"/>
      <c r="J2104" s="23"/>
      <c r="K2104" s="23"/>
      <c r="M2104" s="23"/>
      <c r="N2104" s="23"/>
      <c r="P2104" s="23"/>
    </row>
    <row r="2105" spans="2:16" x14ac:dyDescent="0.25">
      <c r="B2105" s="23"/>
      <c r="E2105" s="23"/>
      <c r="G2105" s="23"/>
      <c r="H2105" s="23"/>
      <c r="J2105" s="23"/>
      <c r="K2105" s="23"/>
      <c r="M2105" s="23"/>
      <c r="N2105" s="23"/>
      <c r="P2105" s="23"/>
    </row>
    <row r="2106" spans="2:16" x14ac:dyDescent="0.25">
      <c r="B2106" s="23"/>
      <c r="E2106" s="23"/>
      <c r="G2106" s="23"/>
      <c r="H2106" s="23"/>
      <c r="J2106" s="23"/>
      <c r="K2106" s="23"/>
      <c r="M2106" s="23"/>
      <c r="N2106" s="23"/>
      <c r="P2106" s="23"/>
    </row>
    <row r="2107" spans="2:16" x14ac:dyDescent="0.25">
      <c r="B2107" s="23"/>
      <c r="E2107" s="23"/>
      <c r="G2107" s="23"/>
      <c r="H2107" s="23"/>
      <c r="J2107" s="23"/>
      <c r="K2107" s="23"/>
      <c r="M2107" s="23"/>
      <c r="N2107" s="23"/>
      <c r="P2107" s="23"/>
    </row>
    <row r="2108" spans="2:16" x14ac:dyDescent="0.25">
      <c r="B2108" s="23"/>
      <c r="E2108" s="23"/>
      <c r="G2108" s="23"/>
      <c r="H2108" s="23"/>
      <c r="J2108" s="23"/>
      <c r="K2108" s="23"/>
      <c r="M2108" s="23"/>
      <c r="N2108" s="23"/>
      <c r="P2108" s="23"/>
    </row>
    <row r="2109" spans="2:16" x14ac:dyDescent="0.25">
      <c r="B2109" s="23"/>
      <c r="E2109" s="23"/>
      <c r="G2109" s="23"/>
      <c r="H2109" s="23"/>
      <c r="J2109" s="23"/>
      <c r="K2109" s="23"/>
      <c r="M2109" s="23"/>
      <c r="N2109" s="23"/>
      <c r="P2109" s="23"/>
    </row>
    <row r="2110" spans="2:16" x14ac:dyDescent="0.25">
      <c r="B2110" s="23"/>
      <c r="E2110" s="23"/>
      <c r="G2110" s="23"/>
      <c r="H2110" s="23"/>
      <c r="J2110" s="23"/>
      <c r="K2110" s="23"/>
      <c r="M2110" s="23"/>
      <c r="N2110" s="23"/>
      <c r="P2110" s="23"/>
    </row>
    <row r="2111" spans="2:16" x14ac:dyDescent="0.25">
      <c r="B2111" s="23"/>
      <c r="E2111" s="23"/>
      <c r="G2111" s="23"/>
      <c r="H2111" s="23"/>
      <c r="J2111" s="23"/>
      <c r="K2111" s="23"/>
      <c r="M2111" s="23"/>
      <c r="N2111" s="23"/>
      <c r="P2111" s="23"/>
    </row>
    <row r="2112" spans="2:16" x14ac:dyDescent="0.25">
      <c r="B2112" s="23"/>
      <c r="E2112" s="23"/>
      <c r="G2112" s="23"/>
      <c r="H2112" s="23"/>
      <c r="J2112" s="23"/>
      <c r="K2112" s="23"/>
      <c r="M2112" s="23"/>
      <c r="N2112" s="23"/>
      <c r="P2112" s="23"/>
    </row>
    <row r="2113" spans="2:16" x14ac:dyDescent="0.25">
      <c r="B2113" s="23"/>
      <c r="E2113" s="23"/>
      <c r="G2113" s="23"/>
      <c r="H2113" s="23"/>
      <c r="J2113" s="23"/>
      <c r="K2113" s="23"/>
      <c r="M2113" s="23"/>
      <c r="N2113" s="23"/>
      <c r="P2113" s="23"/>
    </row>
    <row r="2114" spans="2:16" x14ac:dyDescent="0.25">
      <c r="B2114" s="23"/>
      <c r="E2114" s="23"/>
      <c r="G2114" s="23"/>
      <c r="H2114" s="23"/>
      <c r="J2114" s="23"/>
      <c r="K2114" s="23"/>
      <c r="M2114" s="23"/>
      <c r="N2114" s="23"/>
      <c r="P2114" s="23"/>
    </row>
    <row r="2115" spans="2:16" x14ac:dyDescent="0.25">
      <c r="B2115" s="23"/>
      <c r="E2115" s="23"/>
      <c r="G2115" s="23"/>
      <c r="H2115" s="23"/>
      <c r="J2115" s="23"/>
      <c r="K2115" s="23"/>
      <c r="M2115" s="23"/>
      <c r="N2115" s="23"/>
      <c r="P2115" s="23"/>
    </row>
    <row r="2116" spans="2:16" x14ac:dyDescent="0.25">
      <c r="B2116" s="23"/>
      <c r="E2116" s="23"/>
      <c r="G2116" s="23"/>
      <c r="H2116" s="23"/>
      <c r="J2116" s="23"/>
      <c r="K2116" s="23"/>
      <c r="M2116" s="23"/>
      <c r="N2116" s="23"/>
      <c r="P2116" s="23"/>
    </row>
    <row r="2117" spans="2:16" x14ac:dyDescent="0.25">
      <c r="B2117" s="23"/>
      <c r="E2117" s="23"/>
      <c r="G2117" s="23"/>
      <c r="H2117" s="23"/>
      <c r="J2117" s="23"/>
      <c r="K2117" s="23"/>
      <c r="M2117" s="23"/>
      <c r="N2117" s="23"/>
      <c r="P2117" s="23"/>
    </row>
    <row r="2118" spans="2:16" x14ac:dyDescent="0.25">
      <c r="B2118" s="23"/>
      <c r="E2118" s="23"/>
      <c r="G2118" s="23"/>
      <c r="H2118" s="23"/>
      <c r="J2118" s="23"/>
      <c r="K2118" s="23"/>
      <c r="M2118" s="23"/>
      <c r="N2118" s="23"/>
      <c r="P2118" s="23"/>
    </row>
    <row r="2119" spans="2:16" x14ac:dyDescent="0.25">
      <c r="B2119" s="23"/>
      <c r="E2119" s="23"/>
      <c r="G2119" s="23"/>
      <c r="H2119" s="23"/>
      <c r="J2119" s="23"/>
      <c r="K2119" s="23"/>
      <c r="M2119" s="23"/>
      <c r="N2119" s="23"/>
      <c r="P2119" s="23"/>
    </row>
    <row r="2120" spans="2:16" x14ac:dyDescent="0.25">
      <c r="B2120" s="23"/>
      <c r="E2120" s="23"/>
      <c r="G2120" s="23"/>
      <c r="H2120" s="23"/>
      <c r="J2120" s="23"/>
      <c r="K2120" s="23"/>
      <c r="M2120" s="23"/>
      <c r="N2120" s="23"/>
      <c r="P2120" s="23"/>
    </row>
    <row r="2121" spans="2:16" x14ac:dyDescent="0.25">
      <c r="B2121" s="23"/>
      <c r="E2121" s="23"/>
      <c r="G2121" s="23"/>
      <c r="H2121" s="23"/>
      <c r="J2121" s="23"/>
      <c r="K2121" s="23"/>
      <c r="M2121" s="23"/>
      <c r="N2121" s="23"/>
      <c r="P2121" s="23"/>
    </row>
    <row r="2122" spans="2:16" x14ac:dyDescent="0.25">
      <c r="B2122" s="23"/>
      <c r="E2122" s="23"/>
      <c r="G2122" s="23"/>
      <c r="H2122" s="23"/>
      <c r="J2122" s="23"/>
      <c r="K2122" s="23"/>
      <c r="M2122" s="23"/>
      <c r="N2122" s="23"/>
      <c r="P2122" s="23"/>
    </row>
    <row r="2123" spans="2:16" x14ac:dyDescent="0.25">
      <c r="B2123" s="23"/>
      <c r="E2123" s="23"/>
      <c r="G2123" s="23"/>
      <c r="H2123" s="23"/>
      <c r="J2123" s="23"/>
      <c r="K2123" s="23"/>
      <c r="M2123" s="23"/>
      <c r="N2123" s="23"/>
      <c r="P2123" s="23"/>
    </row>
    <row r="2124" spans="2:16" x14ac:dyDescent="0.25">
      <c r="B2124" s="23"/>
      <c r="E2124" s="23"/>
      <c r="G2124" s="23"/>
      <c r="H2124" s="23"/>
      <c r="J2124" s="23"/>
      <c r="K2124" s="23"/>
      <c r="M2124" s="23"/>
      <c r="N2124" s="23"/>
      <c r="P2124" s="23"/>
    </row>
    <row r="2125" spans="2:16" x14ac:dyDescent="0.25">
      <c r="B2125" s="23"/>
      <c r="E2125" s="23"/>
      <c r="G2125" s="23"/>
      <c r="H2125" s="23"/>
      <c r="J2125" s="23"/>
      <c r="K2125" s="23"/>
      <c r="M2125" s="23"/>
      <c r="N2125" s="23"/>
      <c r="P2125" s="23"/>
    </row>
    <row r="2126" spans="2:16" x14ac:dyDescent="0.25">
      <c r="B2126" s="23"/>
      <c r="E2126" s="23"/>
      <c r="G2126" s="23"/>
      <c r="H2126" s="23"/>
      <c r="J2126" s="23"/>
      <c r="K2126" s="23"/>
      <c r="M2126" s="23"/>
      <c r="N2126" s="23"/>
      <c r="P2126" s="23"/>
    </row>
    <row r="2127" spans="2:16" x14ac:dyDescent="0.25">
      <c r="B2127" s="23"/>
      <c r="E2127" s="23"/>
      <c r="G2127" s="23"/>
      <c r="H2127" s="23"/>
      <c r="J2127" s="23"/>
      <c r="K2127" s="23"/>
      <c r="M2127" s="23"/>
      <c r="N2127" s="23"/>
      <c r="P2127" s="23"/>
    </row>
    <row r="2128" spans="2:16" x14ac:dyDescent="0.25">
      <c r="B2128" s="23"/>
      <c r="E2128" s="23"/>
      <c r="G2128" s="23"/>
      <c r="H2128" s="23"/>
      <c r="J2128" s="23"/>
      <c r="K2128" s="23"/>
      <c r="M2128" s="23"/>
      <c r="N2128" s="23"/>
      <c r="P2128" s="23"/>
    </row>
    <row r="2129" spans="2:16" x14ac:dyDescent="0.25">
      <c r="B2129" s="23"/>
      <c r="E2129" s="23"/>
      <c r="G2129" s="23"/>
      <c r="H2129" s="23"/>
      <c r="J2129" s="23"/>
      <c r="K2129" s="23"/>
      <c r="M2129" s="23"/>
      <c r="N2129" s="23"/>
      <c r="P2129" s="23"/>
    </row>
    <row r="2130" spans="2:16" x14ac:dyDescent="0.25">
      <c r="B2130" s="23"/>
      <c r="E2130" s="23"/>
      <c r="G2130" s="23"/>
      <c r="H2130" s="23"/>
      <c r="J2130" s="23"/>
      <c r="K2130" s="23"/>
      <c r="M2130" s="23"/>
      <c r="N2130" s="23"/>
      <c r="P2130" s="23"/>
    </row>
    <row r="2131" spans="2:16" x14ac:dyDescent="0.25">
      <c r="B2131" s="23"/>
      <c r="E2131" s="23"/>
      <c r="G2131" s="23"/>
      <c r="H2131" s="23"/>
      <c r="J2131" s="23"/>
      <c r="K2131" s="23"/>
      <c r="M2131" s="23"/>
      <c r="N2131" s="23"/>
      <c r="P2131" s="23"/>
    </row>
    <row r="2132" spans="2:16" x14ac:dyDescent="0.25">
      <c r="B2132" s="23"/>
      <c r="E2132" s="23"/>
      <c r="G2132" s="23"/>
      <c r="H2132" s="23"/>
      <c r="J2132" s="23"/>
      <c r="K2132" s="23"/>
      <c r="M2132" s="23"/>
      <c r="N2132" s="23"/>
      <c r="P2132" s="23"/>
    </row>
    <row r="2133" spans="2:16" x14ac:dyDescent="0.25">
      <c r="B2133" s="23"/>
      <c r="E2133" s="23"/>
      <c r="G2133" s="23"/>
      <c r="H2133" s="23"/>
      <c r="J2133" s="23"/>
      <c r="K2133" s="23"/>
      <c r="M2133" s="23"/>
      <c r="N2133" s="23"/>
      <c r="P2133" s="23"/>
    </row>
    <row r="2134" spans="2:16" x14ac:dyDescent="0.25">
      <c r="B2134" s="23"/>
      <c r="E2134" s="23"/>
      <c r="G2134" s="23"/>
      <c r="H2134" s="23"/>
      <c r="J2134" s="23"/>
      <c r="K2134" s="23"/>
      <c r="M2134" s="23"/>
      <c r="N2134" s="23"/>
      <c r="P2134" s="23"/>
    </row>
    <row r="2135" spans="2:16" x14ac:dyDescent="0.25">
      <c r="B2135" s="23"/>
      <c r="E2135" s="23"/>
      <c r="G2135" s="23"/>
      <c r="H2135" s="23"/>
      <c r="J2135" s="23"/>
      <c r="K2135" s="23"/>
      <c r="M2135" s="23"/>
      <c r="N2135" s="23"/>
      <c r="P2135" s="23"/>
    </row>
    <row r="2136" spans="2:16" x14ac:dyDescent="0.25">
      <c r="B2136" s="23"/>
      <c r="E2136" s="23"/>
      <c r="G2136" s="23"/>
      <c r="H2136" s="23"/>
      <c r="J2136" s="23"/>
      <c r="K2136" s="23"/>
      <c r="M2136" s="23"/>
      <c r="N2136" s="23"/>
      <c r="P2136" s="23"/>
    </row>
    <row r="2137" spans="2:16" x14ac:dyDescent="0.25">
      <c r="B2137" s="23"/>
      <c r="E2137" s="23"/>
      <c r="G2137" s="23"/>
      <c r="H2137" s="23"/>
      <c r="J2137" s="23"/>
      <c r="K2137" s="23"/>
      <c r="M2137" s="23"/>
      <c r="N2137" s="23"/>
      <c r="P2137" s="23"/>
    </row>
    <row r="2138" spans="2:16" x14ac:dyDescent="0.25">
      <c r="B2138" s="23"/>
      <c r="E2138" s="23"/>
      <c r="G2138" s="23"/>
      <c r="H2138" s="23"/>
      <c r="J2138" s="23"/>
      <c r="K2138" s="23"/>
      <c r="M2138" s="23"/>
      <c r="N2138" s="23"/>
      <c r="P2138" s="23"/>
    </row>
    <row r="2139" spans="2:16" x14ac:dyDescent="0.25">
      <c r="B2139" s="23"/>
      <c r="E2139" s="23"/>
      <c r="G2139" s="23"/>
      <c r="H2139" s="23"/>
      <c r="J2139" s="23"/>
      <c r="K2139" s="23"/>
      <c r="M2139" s="23"/>
      <c r="N2139" s="23"/>
      <c r="P2139" s="23"/>
    </row>
    <row r="2140" spans="2:16" x14ac:dyDescent="0.25">
      <c r="B2140" s="23"/>
      <c r="E2140" s="23"/>
      <c r="G2140" s="23"/>
      <c r="H2140" s="23"/>
      <c r="J2140" s="23"/>
      <c r="K2140" s="23"/>
      <c r="M2140" s="23"/>
      <c r="N2140" s="23"/>
      <c r="P2140" s="23"/>
    </row>
    <row r="2141" spans="2:16" x14ac:dyDescent="0.25">
      <c r="B2141" s="23"/>
      <c r="E2141" s="23"/>
      <c r="G2141" s="23"/>
      <c r="H2141" s="23"/>
      <c r="J2141" s="23"/>
      <c r="K2141" s="23"/>
      <c r="M2141" s="23"/>
      <c r="N2141" s="23"/>
      <c r="P2141" s="23"/>
    </row>
    <row r="2142" spans="2:16" x14ac:dyDescent="0.25">
      <c r="B2142" s="23"/>
      <c r="E2142" s="23"/>
      <c r="G2142" s="23"/>
      <c r="H2142" s="23"/>
      <c r="J2142" s="23"/>
      <c r="K2142" s="23"/>
      <c r="M2142" s="23"/>
      <c r="N2142" s="23"/>
      <c r="P2142" s="23"/>
    </row>
    <row r="2143" spans="2:16" x14ac:dyDescent="0.25">
      <c r="B2143" s="23"/>
      <c r="E2143" s="23"/>
      <c r="G2143" s="23"/>
      <c r="H2143" s="23"/>
      <c r="J2143" s="23"/>
      <c r="K2143" s="23"/>
      <c r="M2143" s="23"/>
      <c r="N2143" s="23"/>
      <c r="P2143" s="23"/>
    </row>
    <row r="2144" spans="2:16" x14ac:dyDescent="0.25">
      <c r="B2144" s="23"/>
      <c r="E2144" s="23"/>
      <c r="G2144" s="23"/>
      <c r="H2144" s="23"/>
      <c r="J2144" s="23"/>
      <c r="K2144" s="23"/>
      <c r="M2144" s="23"/>
      <c r="N2144" s="23"/>
      <c r="P2144" s="23"/>
    </row>
    <row r="2145" spans="2:16" x14ac:dyDescent="0.25">
      <c r="B2145" s="23"/>
      <c r="E2145" s="23"/>
      <c r="G2145" s="23"/>
      <c r="H2145" s="23"/>
      <c r="J2145" s="23"/>
      <c r="K2145" s="23"/>
      <c r="M2145" s="23"/>
      <c r="N2145" s="23"/>
      <c r="P2145" s="23"/>
    </row>
    <row r="2146" spans="2:16" x14ac:dyDescent="0.25">
      <c r="B2146" s="23"/>
      <c r="E2146" s="23"/>
      <c r="G2146" s="23"/>
      <c r="H2146" s="23"/>
      <c r="J2146" s="23"/>
      <c r="K2146" s="23"/>
      <c r="M2146" s="23"/>
      <c r="N2146" s="23"/>
      <c r="P2146" s="23"/>
    </row>
    <row r="2147" spans="2:16" x14ac:dyDescent="0.25">
      <c r="B2147" s="23"/>
      <c r="E2147" s="23"/>
      <c r="G2147" s="23"/>
      <c r="H2147" s="23"/>
      <c r="J2147" s="23"/>
      <c r="K2147" s="23"/>
      <c r="M2147" s="23"/>
      <c r="N2147" s="23"/>
      <c r="P2147" s="23"/>
    </row>
    <row r="2148" spans="2:16" x14ac:dyDescent="0.25">
      <c r="B2148" s="23"/>
      <c r="E2148" s="23"/>
      <c r="G2148" s="23"/>
      <c r="H2148" s="23"/>
      <c r="J2148" s="23"/>
      <c r="K2148" s="23"/>
      <c r="M2148" s="23"/>
      <c r="N2148" s="23"/>
      <c r="P2148" s="23"/>
    </row>
    <row r="2149" spans="2:16" x14ac:dyDescent="0.25">
      <c r="B2149" s="23"/>
      <c r="E2149" s="23"/>
      <c r="G2149" s="23"/>
      <c r="H2149" s="23"/>
      <c r="J2149" s="23"/>
      <c r="K2149" s="23"/>
      <c r="M2149" s="23"/>
      <c r="N2149" s="23"/>
      <c r="P2149" s="23"/>
    </row>
    <row r="2150" spans="2:16" x14ac:dyDescent="0.25">
      <c r="B2150" s="23"/>
      <c r="E2150" s="23"/>
      <c r="G2150" s="23"/>
      <c r="H2150" s="23"/>
      <c r="J2150" s="23"/>
      <c r="K2150" s="23"/>
      <c r="M2150" s="23"/>
      <c r="N2150" s="23"/>
      <c r="P2150" s="23"/>
    </row>
    <row r="2151" spans="2:16" x14ac:dyDescent="0.25">
      <c r="B2151" s="23"/>
      <c r="E2151" s="23"/>
      <c r="G2151" s="23"/>
      <c r="H2151" s="23"/>
      <c r="J2151" s="23"/>
      <c r="K2151" s="23"/>
      <c r="M2151" s="23"/>
      <c r="N2151" s="23"/>
      <c r="P2151" s="23"/>
    </row>
    <row r="2152" spans="2:16" x14ac:dyDescent="0.25">
      <c r="B2152" s="23"/>
      <c r="E2152" s="23"/>
      <c r="G2152" s="23"/>
      <c r="H2152" s="23"/>
      <c r="J2152" s="23"/>
      <c r="K2152" s="23"/>
      <c r="M2152" s="23"/>
      <c r="N2152" s="23"/>
      <c r="P2152" s="23"/>
    </row>
    <row r="2153" spans="2:16" x14ac:dyDescent="0.25">
      <c r="B2153" s="23"/>
      <c r="E2153" s="23"/>
      <c r="G2153" s="23"/>
      <c r="H2153" s="23"/>
      <c r="J2153" s="23"/>
      <c r="K2153" s="23"/>
      <c r="M2153" s="23"/>
      <c r="N2153" s="23"/>
      <c r="P2153" s="23"/>
    </row>
    <row r="2154" spans="2:16" x14ac:dyDescent="0.25">
      <c r="B2154" s="23"/>
      <c r="E2154" s="23"/>
      <c r="G2154" s="23"/>
      <c r="H2154" s="23"/>
      <c r="J2154" s="23"/>
      <c r="K2154" s="23"/>
      <c r="M2154" s="23"/>
      <c r="N2154" s="23"/>
      <c r="P2154" s="23"/>
    </row>
    <row r="2155" spans="2:16" x14ac:dyDescent="0.25">
      <c r="B2155" s="23"/>
      <c r="E2155" s="23"/>
      <c r="G2155" s="23"/>
      <c r="H2155" s="23"/>
      <c r="J2155" s="23"/>
      <c r="K2155" s="23"/>
      <c r="M2155" s="23"/>
      <c r="N2155" s="23"/>
      <c r="P2155" s="23"/>
    </row>
    <row r="2156" spans="2:16" x14ac:dyDescent="0.25">
      <c r="B2156" s="23"/>
      <c r="E2156" s="23"/>
      <c r="G2156" s="23"/>
      <c r="H2156" s="23"/>
      <c r="J2156" s="23"/>
      <c r="K2156" s="23"/>
      <c r="M2156" s="23"/>
      <c r="N2156" s="23"/>
      <c r="P2156" s="23"/>
    </row>
    <row r="2157" spans="2:16" x14ac:dyDescent="0.25">
      <c r="B2157" s="23"/>
      <c r="E2157" s="23"/>
      <c r="G2157" s="23"/>
      <c r="H2157" s="23"/>
      <c r="J2157" s="23"/>
      <c r="K2157" s="23"/>
      <c r="M2157" s="23"/>
      <c r="N2157" s="23"/>
      <c r="P2157" s="23"/>
    </row>
    <row r="2158" spans="2:16" x14ac:dyDescent="0.25">
      <c r="B2158" s="23"/>
      <c r="E2158" s="23"/>
      <c r="G2158" s="23"/>
      <c r="H2158" s="23"/>
      <c r="J2158" s="23"/>
      <c r="K2158" s="23"/>
      <c r="M2158" s="23"/>
      <c r="N2158" s="23"/>
      <c r="P2158" s="23"/>
    </row>
    <row r="2159" spans="2:16" x14ac:dyDescent="0.25">
      <c r="B2159" s="23"/>
      <c r="E2159" s="23"/>
      <c r="G2159" s="23"/>
      <c r="H2159" s="23"/>
      <c r="J2159" s="23"/>
      <c r="K2159" s="23"/>
      <c r="M2159" s="23"/>
      <c r="N2159" s="23"/>
      <c r="P2159" s="23"/>
    </row>
    <row r="2160" spans="2:16" x14ac:dyDescent="0.25">
      <c r="B2160" s="23"/>
      <c r="E2160" s="23"/>
      <c r="G2160" s="23"/>
      <c r="H2160" s="23"/>
      <c r="J2160" s="23"/>
      <c r="K2160" s="23"/>
      <c r="M2160" s="23"/>
      <c r="N2160" s="23"/>
      <c r="P2160" s="23"/>
    </row>
    <row r="2161" spans="2:16" x14ac:dyDescent="0.25">
      <c r="B2161" s="23"/>
      <c r="E2161" s="23"/>
      <c r="G2161" s="23"/>
      <c r="H2161" s="23"/>
      <c r="J2161" s="23"/>
      <c r="K2161" s="23"/>
      <c r="M2161" s="23"/>
      <c r="N2161" s="23"/>
      <c r="P2161" s="23"/>
    </row>
    <row r="2162" spans="2:16" x14ac:dyDescent="0.25">
      <c r="B2162" s="23"/>
      <c r="E2162" s="23"/>
      <c r="G2162" s="23"/>
      <c r="H2162" s="23"/>
      <c r="J2162" s="23"/>
      <c r="K2162" s="23"/>
      <c r="M2162" s="23"/>
      <c r="N2162" s="23"/>
      <c r="P2162" s="23"/>
    </row>
    <row r="2163" spans="2:16" x14ac:dyDescent="0.25">
      <c r="B2163" s="23"/>
      <c r="E2163" s="23"/>
      <c r="G2163" s="23"/>
      <c r="H2163" s="23"/>
      <c r="J2163" s="23"/>
      <c r="K2163" s="23"/>
      <c r="M2163" s="23"/>
      <c r="N2163" s="23"/>
      <c r="P2163" s="23"/>
    </row>
    <row r="2164" spans="2:16" x14ac:dyDescent="0.25">
      <c r="B2164" s="23"/>
      <c r="E2164" s="23"/>
      <c r="G2164" s="23"/>
      <c r="H2164" s="23"/>
      <c r="J2164" s="23"/>
      <c r="K2164" s="23"/>
      <c r="M2164" s="23"/>
      <c r="N2164" s="23"/>
      <c r="P2164" s="23"/>
    </row>
    <row r="2165" spans="2:16" x14ac:dyDescent="0.25">
      <c r="B2165" s="23"/>
      <c r="E2165" s="23"/>
      <c r="G2165" s="23"/>
      <c r="H2165" s="23"/>
      <c r="J2165" s="23"/>
      <c r="K2165" s="23"/>
      <c r="M2165" s="23"/>
      <c r="N2165" s="23"/>
      <c r="P2165" s="23"/>
    </row>
    <row r="2166" spans="2:16" x14ac:dyDescent="0.25">
      <c r="B2166" s="23"/>
      <c r="E2166" s="23"/>
      <c r="G2166" s="23"/>
      <c r="H2166" s="23"/>
      <c r="J2166" s="23"/>
      <c r="K2166" s="23"/>
      <c r="M2166" s="23"/>
      <c r="N2166" s="23"/>
      <c r="P2166" s="23"/>
    </row>
    <row r="2167" spans="2:16" x14ac:dyDescent="0.25">
      <c r="B2167" s="23"/>
      <c r="E2167" s="23"/>
      <c r="G2167" s="23"/>
      <c r="H2167" s="23"/>
      <c r="J2167" s="23"/>
      <c r="K2167" s="23"/>
      <c r="M2167" s="23"/>
      <c r="N2167" s="23"/>
      <c r="P2167" s="23"/>
    </row>
    <row r="2168" spans="2:16" x14ac:dyDescent="0.25">
      <c r="B2168" s="23"/>
      <c r="E2168" s="23"/>
      <c r="G2168" s="23"/>
      <c r="H2168" s="23"/>
      <c r="J2168" s="23"/>
      <c r="K2168" s="23"/>
      <c r="M2168" s="23"/>
      <c r="N2168" s="23"/>
      <c r="P2168" s="23"/>
    </row>
    <row r="2169" spans="2:16" x14ac:dyDescent="0.25">
      <c r="B2169" s="23"/>
      <c r="E2169" s="23"/>
      <c r="G2169" s="23"/>
      <c r="H2169" s="23"/>
      <c r="J2169" s="23"/>
      <c r="K2169" s="23"/>
      <c r="M2169" s="23"/>
      <c r="N2169" s="23"/>
      <c r="P2169" s="23"/>
    </row>
    <row r="2170" spans="2:16" x14ac:dyDescent="0.25">
      <c r="B2170" s="23"/>
      <c r="E2170" s="23"/>
      <c r="G2170" s="23"/>
      <c r="H2170" s="23"/>
      <c r="J2170" s="23"/>
      <c r="K2170" s="23"/>
      <c r="M2170" s="23"/>
      <c r="N2170" s="23"/>
      <c r="P2170" s="23"/>
    </row>
    <row r="2171" spans="2:16" x14ac:dyDescent="0.25">
      <c r="B2171" s="23"/>
      <c r="E2171" s="23"/>
      <c r="G2171" s="23"/>
      <c r="H2171" s="23"/>
      <c r="J2171" s="23"/>
      <c r="K2171" s="23"/>
      <c r="M2171" s="23"/>
      <c r="N2171" s="23"/>
      <c r="P2171" s="23"/>
    </row>
    <row r="2172" spans="2:16" x14ac:dyDescent="0.25">
      <c r="B2172" s="23"/>
      <c r="E2172" s="23"/>
      <c r="G2172" s="23"/>
      <c r="H2172" s="23"/>
      <c r="J2172" s="23"/>
      <c r="K2172" s="23"/>
      <c r="M2172" s="23"/>
      <c r="N2172" s="23"/>
      <c r="P2172" s="23"/>
    </row>
    <row r="2173" spans="2:16" x14ac:dyDescent="0.25">
      <c r="B2173" s="23"/>
      <c r="E2173" s="23"/>
      <c r="G2173" s="23"/>
      <c r="H2173" s="23"/>
      <c r="J2173" s="23"/>
      <c r="K2173" s="23"/>
      <c r="M2173" s="23"/>
      <c r="N2173" s="23"/>
      <c r="P2173" s="23"/>
    </row>
    <row r="2174" spans="2:16" x14ac:dyDescent="0.25">
      <c r="B2174" s="23"/>
      <c r="E2174" s="23"/>
      <c r="G2174" s="23"/>
      <c r="H2174" s="23"/>
      <c r="J2174" s="23"/>
      <c r="K2174" s="23"/>
      <c r="M2174" s="23"/>
      <c r="N2174" s="23"/>
      <c r="P2174" s="23"/>
    </row>
    <row r="2175" spans="2:16" x14ac:dyDescent="0.25">
      <c r="B2175" s="23"/>
      <c r="E2175" s="23"/>
      <c r="G2175" s="23"/>
      <c r="H2175" s="23"/>
      <c r="J2175" s="23"/>
      <c r="K2175" s="23"/>
      <c r="M2175" s="23"/>
      <c r="N2175" s="23"/>
      <c r="P2175" s="23"/>
    </row>
    <row r="2176" spans="2:16" x14ac:dyDescent="0.25">
      <c r="B2176" s="23"/>
      <c r="E2176" s="23"/>
      <c r="G2176" s="23"/>
      <c r="H2176" s="23"/>
      <c r="J2176" s="23"/>
      <c r="K2176" s="23"/>
      <c r="M2176" s="23"/>
      <c r="N2176" s="23"/>
      <c r="P2176" s="23"/>
    </row>
    <row r="2177" spans="2:16" x14ac:dyDescent="0.25">
      <c r="B2177" s="23"/>
      <c r="E2177" s="23"/>
      <c r="G2177" s="23"/>
      <c r="H2177" s="23"/>
      <c r="J2177" s="23"/>
      <c r="K2177" s="23"/>
      <c r="M2177" s="23"/>
      <c r="N2177" s="23"/>
      <c r="P2177" s="23"/>
    </row>
    <row r="2178" spans="2:16" x14ac:dyDescent="0.25">
      <c r="B2178" s="23"/>
      <c r="E2178" s="23"/>
      <c r="G2178" s="23"/>
      <c r="H2178" s="23"/>
      <c r="J2178" s="23"/>
      <c r="K2178" s="23"/>
      <c r="M2178" s="23"/>
      <c r="N2178" s="23"/>
      <c r="P2178" s="23"/>
    </row>
    <row r="2179" spans="2:16" x14ac:dyDescent="0.25">
      <c r="B2179" s="23"/>
      <c r="E2179" s="23"/>
      <c r="G2179" s="23"/>
      <c r="H2179" s="23"/>
      <c r="J2179" s="23"/>
      <c r="K2179" s="23"/>
      <c r="M2179" s="23"/>
      <c r="N2179" s="23"/>
      <c r="P2179" s="23"/>
    </row>
    <row r="2180" spans="2:16" x14ac:dyDescent="0.25">
      <c r="B2180" s="23"/>
      <c r="E2180" s="23"/>
      <c r="G2180" s="23"/>
      <c r="H2180" s="23"/>
      <c r="J2180" s="23"/>
      <c r="K2180" s="23"/>
      <c r="M2180" s="23"/>
      <c r="N2180" s="23"/>
      <c r="P2180" s="23"/>
    </row>
    <row r="2181" spans="2:16" x14ac:dyDescent="0.25">
      <c r="B2181" s="23"/>
      <c r="E2181" s="23"/>
      <c r="G2181" s="23"/>
      <c r="H2181" s="23"/>
      <c r="J2181" s="23"/>
      <c r="K2181" s="23"/>
      <c r="M2181" s="23"/>
      <c r="N2181" s="23"/>
      <c r="P2181" s="23"/>
    </row>
    <row r="2182" spans="2:16" x14ac:dyDescent="0.25">
      <c r="B2182" s="23"/>
      <c r="E2182" s="23"/>
      <c r="G2182" s="23"/>
      <c r="H2182" s="23"/>
      <c r="J2182" s="23"/>
      <c r="K2182" s="23"/>
      <c r="M2182" s="23"/>
      <c r="N2182" s="23"/>
      <c r="P2182" s="23"/>
    </row>
    <row r="2183" spans="2:16" x14ac:dyDescent="0.25">
      <c r="B2183" s="23"/>
      <c r="E2183" s="23"/>
      <c r="G2183" s="23"/>
      <c r="H2183" s="23"/>
      <c r="J2183" s="23"/>
      <c r="K2183" s="23"/>
      <c r="M2183" s="23"/>
      <c r="N2183" s="23"/>
      <c r="P2183" s="23"/>
    </row>
    <row r="2184" spans="2:16" x14ac:dyDescent="0.25">
      <c r="B2184" s="23"/>
      <c r="E2184" s="23"/>
      <c r="G2184" s="23"/>
      <c r="H2184" s="23"/>
      <c r="J2184" s="23"/>
      <c r="K2184" s="23"/>
      <c r="M2184" s="23"/>
      <c r="N2184" s="23"/>
      <c r="P2184" s="23"/>
    </row>
    <row r="2185" spans="2:16" x14ac:dyDescent="0.25">
      <c r="B2185" s="23"/>
      <c r="E2185" s="23"/>
      <c r="G2185" s="23"/>
      <c r="H2185" s="23"/>
      <c r="J2185" s="23"/>
      <c r="K2185" s="23"/>
      <c r="M2185" s="23"/>
      <c r="N2185" s="23"/>
      <c r="P2185" s="23"/>
    </row>
    <row r="2186" spans="2:16" x14ac:dyDescent="0.25">
      <c r="B2186" s="23"/>
      <c r="E2186" s="23"/>
      <c r="G2186" s="23"/>
      <c r="H2186" s="23"/>
      <c r="J2186" s="23"/>
      <c r="K2186" s="23"/>
      <c r="M2186" s="23"/>
      <c r="N2186" s="23"/>
      <c r="P2186" s="23"/>
    </row>
    <row r="2187" spans="2:16" x14ac:dyDescent="0.25">
      <c r="B2187" s="23"/>
      <c r="E2187" s="23"/>
      <c r="G2187" s="23"/>
      <c r="H2187" s="23"/>
      <c r="J2187" s="23"/>
      <c r="K2187" s="23"/>
      <c r="M2187" s="23"/>
      <c r="N2187" s="23"/>
      <c r="P2187" s="23"/>
    </row>
    <row r="2188" spans="2:16" x14ac:dyDescent="0.25">
      <c r="B2188" s="23"/>
      <c r="E2188" s="23"/>
      <c r="G2188" s="23"/>
      <c r="H2188" s="23"/>
      <c r="J2188" s="23"/>
      <c r="K2188" s="23"/>
      <c r="M2188" s="23"/>
      <c r="N2188" s="23"/>
      <c r="P2188" s="23"/>
    </row>
    <row r="2189" spans="2:16" x14ac:dyDescent="0.25">
      <c r="B2189" s="23"/>
      <c r="E2189" s="23"/>
      <c r="G2189" s="23"/>
      <c r="H2189" s="23"/>
      <c r="J2189" s="23"/>
      <c r="K2189" s="23"/>
      <c r="M2189" s="23"/>
      <c r="N2189" s="23"/>
      <c r="P2189" s="23"/>
    </row>
    <row r="2190" spans="2:16" x14ac:dyDescent="0.25">
      <c r="B2190" s="23"/>
      <c r="E2190" s="23"/>
      <c r="G2190" s="23"/>
      <c r="H2190" s="23"/>
      <c r="J2190" s="23"/>
      <c r="K2190" s="23"/>
      <c r="M2190" s="23"/>
      <c r="N2190" s="23"/>
      <c r="P2190" s="23"/>
    </row>
    <row r="2191" spans="2:16" x14ac:dyDescent="0.25">
      <c r="B2191" s="23"/>
      <c r="E2191" s="23"/>
      <c r="G2191" s="23"/>
      <c r="H2191" s="23"/>
      <c r="J2191" s="23"/>
      <c r="K2191" s="23"/>
      <c r="M2191" s="23"/>
      <c r="N2191" s="23"/>
      <c r="P2191" s="23"/>
    </row>
    <row r="2192" spans="2:16" x14ac:dyDescent="0.25">
      <c r="B2192" s="23"/>
      <c r="E2192" s="23"/>
      <c r="G2192" s="23"/>
      <c r="H2192" s="23"/>
      <c r="J2192" s="23"/>
      <c r="K2192" s="23"/>
      <c r="M2192" s="23"/>
      <c r="N2192" s="23"/>
      <c r="P2192" s="23"/>
    </row>
    <row r="2193" spans="2:16" x14ac:dyDescent="0.25">
      <c r="B2193" s="23"/>
      <c r="E2193" s="23"/>
      <c r="G2193" s="23"/>
      <c r="H2193" s="23"/>
      <c r="J2193" s="23"/>
      <c r="K2193" s="23"/>
      <c r="M2193" s="23"/>
      <c r="N2193" s="23"/>
      <c r="P2193" s="23"/>
    </row>
    <row r="2194" spans="2:16" x14ac:dyDescent="0.25">
      <c r="B2194" s="23"/>
      <c r="E2194" s="23"/>
      <c r="G2194" s="23"/>
      <c r="H2194" s="23"/>
      <c r="J2194" s="23"/>
      <c r="K2194" s="23"/>
      <c r="M2194" s="23"/>
      <c r="N2194" s="23"/>
      <c r="P2194" s="23"/>
    </row>
    <row r="2195" spans="2:16" x14ac:dyDescent="0.25">
      <c r="B2195" s="23"/>
      <c r="E2195" s="23"/>
      <c r="G2195" s="23"/>
      <c r="H2195" s="23"/>
      <c r="J2195" s="23"/>
      <c r="K2195" s="23"/>
      <c r="M2195" s="23"/>
      <c r="N2195" s="23"/>
      <c r="P2195" s="23"/>
    </row>
    <row r="2196" spans="2:16" x14ac:dyDescent="0.25">
      <c r="B2196" s="23"/>
      <c r="E2196" s="23"/>
      <c r="G2196" s="23"/>
      <c r="H2196" s="23"/>
      <c r="J2196" s="23"/>
      <c r="K2196" s="23"/>
      <c r="M2196" s="23"/>
      <c r="N2196" s="23"/>
      <c r="P2196" s="23"/>
    </row>
    <row r="2197" spans="2:16" x14ac:dyDescent="0.25">
      <c r="B2197" s="23"/>
      <c r="E2197" s="23"/>
      <c r="G2197" s="23"/>
      <c r="H2197" s="23"/>
      <c r="J2197" s="23"/>
      <c r="K2197" s="23"/>
      <c r="M2197" s="23"/>
      <c r="N2197" s="23"/>
      <c r="P2197" s="23"/>
    </row>
    <row r="2198" spans="2:16" x14ac:dyDescent="0.25">
      <c r="B2198" s="23"/>
      <c r="E2198" s="23"/>
      <c r="G2198" s="23"/>
      <c r="H2198" s="23"/>
      <c r="J2198" s="23"/>
      <c r="K2198" s="23"/>
      <c r="M2198" s="23"/>
      <c r="N2198" s="23"/>
      <c r="P2198" s="23"/>
    </row>
    <row r="2199" spans="2:16" x14ac:dyDescent="0.25">
      <c r="B2199" s="23"/>
      <c r="E2199" s="23"/>
      <c r="G2199" s="23"/>
      <c r="H2199" s="23"/>
      <c r="J2199" s="23"/>
      <c r="K2199" s="23"/>
      <c r="M2199" s="23"/>
      <c r="N2199" s="23"/>
      <c r="P2199" s="23"/>
    </row>
    <row r="2200" spans="2:16" x14ac:dyDescent="0.25">
      <c r="B2200" s="23"/>
      <c r="E2200" s="23"/>
      <c r="G2200" s="23"/>
      <c r="H2200" s="23"/>
      <c r="J2200" s="23"/>
      <c r="K2200" s="23"/>
      <c r="M2200" s="23"/>
      <c r="N2200" s="23"/>
      <c r="P2200" s="23"/>
    </row>
    <row r="2201" spans="2:16" x14ac:dyDescent="0.25">
      <c r="B2201" s="23"/>
      <c r="E2201" s="23"/>
      <c r="G2201" s="23"/>
      <c r="H2201" s="23"/>
      <c r="J2201" s="23"/>
      <c r="K2201" s="23"/>
      <c r="M2201" s="23"/>
      <c r="N2201" s="23"/>
      <c r="P2201" s="23"/>
    </row>
    <row r="2202" spans="2:16" x14ac:dyDescent="0.25">
      <c r="B2202" s="23"/>
      <c r="E2202" s="23"/>
      <c r="G2202" s="23"/>
      <c r="H2202" s="23"/>
      <c r="J2202" s="23"/>
      <c r="K2202" s="23"/>
      <c r="M2202" s="23"/>
      <c r="N2202" s="23"/>
      <c r="P2202" s="23"/>
    </row>
    <row r="2203" spans="2:16" x14ac:dyDescent="0.25">
      <c r="B2203" s="23"/>
      <c r="E2203" s="23"/>
      <c r="G2203" s="23"/>
      <c r="H2203" s="23"/>
      <c r="J2203" s="23"/>
      <c r="K2203" s="23"/>
      <c r="M2203" s="23"/>
      <c r="N2203" s="23"/>
      <c r="P2203" s="23"/>
    </row>
    <row r="2204" spans="2:16" x14ac:dyDescent="0.25">
      <c r="B2204" s="23"/>
      <c r="E2204" s="23"/>
      <c r="G2204" s="23"/>
      <c r="H2204" s="23"/>
      <c r="J2204" s="23"/>
      <c r="K2204" s="23"/>
      <c r="M2204" s="23"/>
      <c r="N2204" s="23"/>
      <c r="P2204" s="23"/>
    </row>
    <row r="2205" spans="2:16" x14ac:dyDescent="0.25">
      <c r="B2205" s="23"/>
      <c r="E2205" s="23"/>
      <c r="G2205" s="23"/>
      <c r="H2205" s="23"/>
      <c r="J2205" s="23"/>
      <c r="K2205" s="23"/>
      <c r="M2205" s="23"/>
      <c r="N2205" s="23"/>
      <c r="P2205" s="23"/>
    </row>
    <row r="2206" spans="2:16" x14ac:dyDescent="0.25">
      <c r="B2206" s="23"/>
      <c r="E2206" s="23"/>
      <c r="G2206" s="23"/>
      <c r="H2206" s="23"/>
      <c r="J2206" s="23"/>
      <c r="K2206" s="23"/>
      <c r="M2206" s="23"/>
      <c r="N2206" s="23"/>
      <c r="P2206" s="23"/>
    </row>
    <row r="2207" spans="2:16" x14ac:dyDescent="0.25">
      <c r="B2207" s="23"/>
      <c r="E2207" s="23"/>
      <c r="G2207" s="23"/>
      <c r="H2207" s="23"/>
      <c r="J2207" s="23"/>
      <c r="K2207" s="23"/>
      <c r="M2207" s="23"/>
      <c r="N2207" s="23"/>
      <c r="P2207" s="23"/>
    </row>
    <row r="2208" spans="2:16" x14ac:dyDescent="0.25">
      <c r="B2208" s="23"/>
      <c r="E2208" s="23"/>
      <c r="G2208" s="23"/>
      <c r="H2208" s="23"/>
      <c r="J2208" s="23"/>
      <c r="K2208" s="23"/>
      <c r="M2208" s="23"/>
      <c r="N2208" s="23"/>
      <c r="P2208" s="23"/>
    </row>
    <row r="2209" spans="2:16" x14ac:dyDescent="0.25">
      <c r="B2209" s="23"/>
      <c r="E2209" s="23"/>
      <c r="G2209" s="23"/>
      <c r="H2209" s="23"/>
      <c r="J2209" s="23"/>
      <c r="K2209" s="23"/>
      <c r="M2209" s="23"/>
      <c r="N2209" s="23"/>
      <c r="P2209" s="23"/>
    </row>
    <row r="2210" spans="2:16" x14ac:dyDescent="0.25">
      <c r="B2210" s="23"/>
      <c r="E2210" s="23"/>
      <c r="G2210" s="23"/>
      <c r="H2210" s="23"/>
      <c r="J2210" s="23"/>
      <c r="K2210" s="23"/>
      <c r="M2210" s="23"/>
      <c r="N2210" s="23"/>
      <c r="P2210" s="23"/>
    </row>
    <row r="2211" spans="2:16" x14ac:dyDescent="0.25">
      <c r="B2211" s="23"/>
      <c r="E2211" s="23"/>
      <c r="G2211" s="23"/>
      <c r="H2211" s="23"/>
      <c r="J2211" s="23"/>
      <c r="K2211" s="23"/>
      <c r="M2211" s="23"/>
      <c r="N2211" s="23"/>
      <c r="P2211" s="23"/>
    </row>
    <row r="2212" spans="2:16" x14ac:dyDescent="0.25">
      <c r="B2212" s="23"/>
      <c r="E2212" s="23"/>
      <c r="G2212" s="23"/>
      <c r="H2212" s="23"/>
      <c r="J2212" s="23"/>
      <c r="K2212" s="23"/>
      <c r="M2212" s="23"/>
      <c r="N2212" s="23"/>
      <c r="P2212" s="23"/>
    </row>
    <row r="2213" spans="2:16" x14ac:dyDescent="0.25">
      <c r="B2213" s="23"/>
      <c r="E2213" s="23"/>
      <c r="G2213" s="23"/>
      <c r="H2213" s="23"/>
      <c r="J2213" s="23"/>
      <c r="K2213" s="23"/>
      <c r="M2213" s="23"/>
      <c r="N2213" s="23"/>
      <c r="P2213" s="23"/>
    </row>
    <row r="2214" spans="2:16" x14ac:dyDescent="0.25">
      <c r="B2214" s="23"/>
      <c r="E2214" s="23"/>
      <c r="G2214" s="23"/>
      <c r="H2214" s="23"/>
      <c r="J2214" s="23"/>
      <c r="K2214" s="23"/>
      <c r="M2214" s="23"/>
      <c r="N2214" s="23"/>
      <c r="P2214" s="23"/>
    </row>
    <row r="2215" spans="2:16" x14ac:dyDescent="0.25">
      <c r="B2215" s="23"/>
      <c r="E2215" s="23"/>
      <c r="G2215" s="23"/>
      <c r="H2215" s="23"/>
      <c r="J2215" s="23"/>
      <c r="K2215" s="23"/>
      <c r="M2215" s="23"/>
      <c r="N2215" s="23"/>
      <c r="P2215" s="23"/>
    </row>
    <row r="2216" spans="2:16" x14ac:dyDescent="0.25">
      <c r="B2216" s="23"/>
      <c r="E2216" s="23"/>
      <c r="G2216" s="23"/>
      <c r="H2216" s="23"/>
      <c r="J2216" s="23"/>
      <c r="K2216" s="23"/>
      <c r="M2216" s="23"/>
      <c r="N2216" s="23"/>
      <c r="P2216" s="23"/>
    </row>
    <row r="2217" spans="2:16" x14ac:dyDescent="0.25">
      <c r="B2217" s="23"/>
      <c r="E2217" s="23"/>
      <c r="G2217" s="23"/>
      <c r="H2217" s="23"/>
      <c r="J2217" s="23"/>
      <c r="K2217" s="23"/>
      <c r="M2217" s="23"/>
      <c r="N2217" s="23"/>
      <c r="P2217" s="23"/>
    </row>
    <row r="2218" spans="2:16" x14ac:dyDescent="0.25">
      <c r="B2218" s="23"/>
      <c r="E2218" s="23"/>
      <c r="G2218" s="23"/>
      <c r="H2218" s="23"/>
      <c r="J2218" s="23"/>
      <c r="K2218" s="23"/>
      <c r="M2218" s="23"/>
      <c r="N2218" s="23"/>
      <c r="P2218" s="23"/>
    </row>
    <row r="2219" spans="2:16" x14ac:dyDescent="0.25">
      <c r="B2219" s="23"/>
      <c r="E2219" s="23"/>
      <c r="G2219" s="23"/>
      <c r="H2219" s="23"/>
      <c r="J2219" s="23"/>
      <c r="K2219" s="23"/>
      <c r="M2219" s="23"/>
      <c r="N2219" s="23"/>
      <c r="P2219" s="23"/>
    </row>
    <row r="2220" spans="2:16" x14ac:dyDescent="0.25">
      <c r="B2220" s="23"/>
      <c r="E2220" s="23"/>
      <c r="G2220" s="23"/>
      <c r="H2220" s="23"/>
      <c r="J2220" s="23"/>
      <c r="K2220" s="23"/>
      <c r="M2220" s="23"/>
      <c r="N2220" s="23"/>
      <c r="P2220" s="23"/>
    </row>
    <row r="2221" spans="2:16" x14ac:dyDescent="0.25">
      <c r="B2221" s="23"/>
      <c r="E2221" s="23"/>
      <c r="G2221" s="23"/>
      <c r="H2221" s="23"/>
      <c r="J2221" s="23"/>
      <c r="K2221" s="23"/>
      <c r="M2221" s="23"/>
      <c r="N2221" s="23"/>
      <c r="P2221" s="23"/>
    </row>
    <row r="2222" spans="2:16" x14ac:dyDescent="0.25">
      <c r="B2222" s="23"/>
      <c r="E2222" s="23"/>
      <c r="G2222" s="23"/>
      <c r="H2222" s="23"/>
      <c r="J2222" s="23"/>
      <c r="K2222" s="23"/>
      <c r="M2222" s="23"/>
      <c r="N2222" s="23"/>
      <c r="P2222" s="23"/>
    </row>
    <row r="2223" spans="2:16" x14ac:dyDescent="0.25">
      <c r="B2223" s="23"/>
      <c r="E2223" s="23"/>
      <c r="G2223" s="23"/>
      <c r="H2223" s="23"/>
      <c r="J2223" s="23"/>
      <c r="K2223" s="23"/>
      <c r="M2223" s="23"/>
      <c r="N2223" s="23"/>
      <c r="P2223" s="23"/>
    </row>
    <row r="2224" spans="2:16" x14ac:dyDescent="0.25">
      <c r="B2224" s="23"/>
      <c r="E2224" s="23"/>
      <c r="G2224" s="23"/>
      <c r="H2224" s="23"/>
      <c r="J2224" s="23"/>
      <c r="K2224" s="23"/>
      <c r="M2224" s="23"/>
      <c r="N2224" s="23"/>
      <c r="P2224" s="23"/>
    </row>
    <row r="2225" spans="2:16" x14ac:dyDescent="0.25">
      <c r="B2225" s="23"/>
      <c r="E2225" s="23"/>
      <c r="G2225" s="23"/>
      <c r="H2225" s="23"/>
      <c r="J2225" s="23"/>
      <c r="K2225" s="23"/>
      <c r="M2225" s="23"/>
      <c r="N2225" s="23"/>
      <c r="P2225" s="23"/>
    </row>
    <row r="2226" spans="2:16" x14ac:dyDescent="0.25">
      <c r="B2226" s="23"/>
      <c r="E2226" s="23"/>
      <c r="G2226" s="23"/>
      <c r="H2226" s="23"/>
      <c r="J2226" s="23"/>
      <c r="K2226" s="23"/>
      <c r="M2226" s="23"/>
      <c r="N2226" s="23"/>
      <c r="P2226" s="23"/>
    </row>
    <row r="2227" spans="2:16" x14ac:dyDescent="0.25">
      <c r="B2227" s="23"/>
      <c r="E2227" s="23"/>
      <c r="G2227" s="23"/>
      <c r="H2227" s="23"/>
      <c r="J2227" s="23"/>
      <c r="K2227" s="23"/>
      <c r="M2227" s="23"/>
      <c r="N2227" s="23"/>
      <c r="P2227" s="23"/>
    </row>
    <row r="2228" spans="2:16" x14ac:dyDescent="0.25">
      <c r="B2228" s="23"/>
      <c r="E2228" s="23"/>
      <c r="G2228" s="23"/>
      <c r="H2228" s="23"/>
      <c r="J2228" s="23"/>
      <c r="K2228" s="23"/>
      <c r="M2228" s="23"/>
      <c r="N2228" s="23"/>
      <c r="P2228" s="23"/>
    </row>
    <row r="2229" spans="2:16" x14ac:dyDescent="0.25">
      <c r="B2229" s="23"/>
      <c r="E2229" s="23"/>
      <c r="G2229" s="23"/>
      <c r="H2229" s="23"/>
      <c r="J2229" s="23"/>
      <c r="K2229" s="23"/>
      <c r="M2229" s="23"/>
      <c r="N2229" s="23"/>
      <c r="P2229" s="23"/>
    </row>
    <row r="2230" spans="2:16" x14ac:dyDescent="0.25">
      <c r="B2230" s="23"/>
      <c r="E2230" s="23"/>
      <c r="G2230" s="23"/>
      <c r="H2230" s="23"/>
      <c r="J2230" s="23"/>
      <c r="K2230" s="23"/>
      <c r="M2230" s="23"/>
      <c r="N2230" s="23"/>
      <c r="P2230" s="23"/>
    </row>
    <row r="2231" spans="2:16" x14ac:dyDescent="0.25">
      <c r="B2231" s="23"/>
      <c r="E2231" s="23"/>
      <c r="G2231" s="23"/>
      <c r="H2231" s="23"/>
      <c r="J2231" s="23"/>
      <c r="K2231" s="23"/>
      <c r="M2231" s="23"/>
      <c r="N2231" s="23"/>
      <c r="P2231" s="23"/>
    </row>
    <row r="2232" spans="2:16" x14ac:dyDescent="0.25">
      <c r="B2232" s="23"/>
      <c r="E2232" s="23"/>
      <c r="G2232" s="23"/>
      <c r="H2232" s="23"/>
      <c r="J2232" s="23"/>
      <c r="K2232" s="23"/>
      <c r="M2232" s="23"/>
      <c r="N2232" s="23"/>
      <c r="P2232" s="23"/>
    </row>
    <row r="2233" spans="2:16" x14ac:dyDescent="0.25">
      <c r="B2233" s="23"/>
      <c r="E2233" s="23"/>
      <c r="G2233" s="23"/>
      <c r="H2233" s="23"/>
      <c r="J2233" s="23"/>
      <c r="K2233" s="23"/>
      <c r="M2233" s="23"/>
      <c r="N2233" s="23"/>
      <c r="P2233" s="23"/>
    </row>
    <row r="2234" spans="2:16" x14ac:dyDescent="0.25">
      <c r="B2234" s="23"/>
      <c r="E2234" s="23"/>
      <c r="G2234" s="23"/>
      <c r="H2234" s="23"/>
      <c r="J2234" s="23"/>
      <c r="K2234" s="23"/>
      <c r="M2234" s="23"/>
      <c r="N2234" s="23"/>
      <c r="P2234" s="23"/>
    </row>
    <row r="2235" spans="2:16" x14ac:dyDescent="0.25">
      <c r="B2235" s="23"/>
      <c r="E2235" s="23"/>
      <c r="G2235" s="23"/>
      <c r="H2235" s="23"/>
      <c r="J2235" s="23"/>
      <c r="K2235" s="23"/>
      <c r="M2235" s="23"/>
      <c r="N2235" s="23"/>
      <c r="P2235" s="23"/>
    </row>
    <row r="2236" spans="2:16" x14ac:dyDescent="0.25">
      <c r="B2236" s="23"/>
      <c r="E2236" s="23"/>
      <c r="G2236" s="23"/>
      <c r="H2236" s="23"/>
      <c r="J2236" s="23"/>
      <c r="K2236" s="23"/>
      <c r="M2236" s="23"/>
      <c r="N2236" s="23"/>
      <c r="P2236" s="23"/>
    </row>
    <row r="2237" spans="2:16" x14ac:dyDescent="0.25">
      <c r="B2237" s="23"/>
      <c r="E2237" s="23"/>
      <c r="G2237" s="23"/>
      <c r="H2237" s="23"/>
      <c r="J2237" s="23"/>
      <c r="K2237" s="23"/>
      <c r="M2237" s="23"/>
      <c r="N2237" s="23"/>
      <c r="P2237" s="23"/>
    </row>
    <row r="2238" spans="2:16" x14ac:dyDescent="0.25">
      <c r="B2238" s="23"/>
      <c r="E2238" s="23"/>
      <c r="G2238" s="23"/>
      <c r="H2238" s="23"/>
      <c r="J2238" s="23"/>
      <c r="K2238" s="23"/>
      <c r="M2238" s="23"/>
      <c r="N2238" s="23"/>
      <c r="P2238" s="23"/>
    </row>
    <row r="2239" spans="2:16" x14ac:dyDescent="0.25">
      <c r="B2239" s="23"/>
      <c r="E2239" s="23"/>
      <c r="G2239" s="23"/>
      <c r="H2239" s="23"/>
      <c r="J2239" s="23"/>
      <c r="K2239" s="23"/>
      <c r="M2239" s="23"/>
      <c r="N2239" s="23"/>
      <c r="P2239" s="23"/>
    </row>
    <row r="2240" spans="2:16" x14ac:dyDescent="0.25">
      <c r="B2240" s="23"/>
      <c r="E2240" s="23"/>
      <c r="G2240" s="23"/>
      <c r="H2240" s="23"/>
      <c r="J2240" s="23"/>
      <c r="K2240" s="23"/>
      <c r="M2240" s="23"/>
      <c r="N2240" s="23"/>
      <c r="P2240" s="23"/>
    </row>
    <row r="2241" spans="2:16" x14ac:dyDescent="0.25">
      <c r="B2241" s="23"/>
      <c r="E2241" s="23"/>
      <c r="G2241" s="23"/>
      <c r="H2241" s="23"/>
      <c r="J2241" s="23"/>
      <c r="K2241" s="23"/>
      <c r="M2241" s="23"/>
      <c r="N2241" s="23"/>
      <c r="P2241" s="23"/>
    </row>
    <row r="2242" spans="2:16" x14ac:dyDescent="0.25">
      <c r="B2242" s="23"/>
      <c r="E2242" s="23"/>
      <c r="G2242" s="23"/>
      <c r="H2242" s="23"/>
      <c r="J2242" s="23"/>
      <c r="K2242" s="23"/>
      <c r="M2242" s="23"/>
      <c r="N2242" s="23"/>
      <c r="P2242" s="23"/>
    </row>
    <row r="2243" spans="2:16" x14ac:dyDescent="0.25">
      <c r="B2243" s="23"/>
      <c r="E2243" s="23"/>
      <c r="G2243" s="23"/>
      <c r="H2243" s="23"/>
      <c r="J2243" s="23"/>
      <c r="K2243" s="23"/>
      <c r="M2243" s="23"/>
      <c r="N2243" s="23"/>
      <c r="P2243" s="23"/>
    </row>
    <row r="2244" spans="2:16" x14ac:dyDescent="0.25">
      <c r="B2244" s="23"/>
      <c r="E2244" s="23"/>
      <c r="G2244" s="23"/>
      <c r="H2244" s="23"/>
      <c r="J2244" s="23"/>
      <c r="K2244" s="23"/>
      <c r="M2244" s="23"/>
      <c r="N2244" s="23"/>
      <c r="P2244" s="23"/>
    </row>
    <row r="2245" spans="2:16" x14ac:dyDescent="0.25">
      <c r="B2245" s="23"/>
      <c r="E2245" s="23"/>
      <c r="G2245" s="23"/>
      <c r="H2245" s="23"/>
      <c r="J2245" s="23"/>
      <c r="K2245" s="23"/>
      <c r="M2245" s="23"/>
      <c r="N2245" s="23"/>
      <c r="P2245" s="23"/>
    </row>
    <row r="2246" spans="2:16" x14ac:dyDescent="0.25">
      <c r="B2246" s="23"/>
      <c r="E2246" s="23"/>
      <c r="G2246" s="23"/>
      <c r="H2246" s="23"/>
      <c r="J2246" s="23"/>
      <c r="K2246" s="23"/>
      <c r="M2246" s="23"/>
      <c r="N2246" s="23"/>
      <c r="P2246" s="23"/>
    </row>
    <row r="2247" spans="2:16" x14ac:dyDescent="0.25">
      <c r="B2247" s="23"/>
      <c r="E2247" s="23"/>
      <c r="G2247" s="23"/>
      <c r="H2247" s="23"/>
      <c r="J2247" s="23"/>
      <c r="K2247" s="23"/>
      <c r="M2247" s="23"/>
      <c r="N2247" s="23"/>
      <c r="P2247" s="23"/>
    </row>
    <row r="2248" spans="2:16" x14ac:dyDescent="0.25">
      <c r="B2248" s="23"/>
      <c r="E2248" s="23"/>
      <c r="G2248" s="23"/>
      <c r="H2248" s="23"/>
      <c r="J2248" s="23"/>
      <c r="K2248" s="23"/>
      <c r="M2248" s="23"/>
      <c r="N2248" s="23"/>
      <c r="P2248" s="23"/>
    </row>
    <row r="2249" spans="2:16" x14ac:dyDescent="0.25">
      <c r="B2249" s="23"/>
      <c r="E2249" s="23"/>
      <c r="G2249" s="23"/>
      <c r="H2249" s="23"/>
      <c r="J2249" s="23"/>
      <c r="K2249" s="23"/>
      <c r="M2249" s="23"/>
      <c r="N2249" s="23"/>
      <c r="P2249" s="23"/>
    </row>
    <row r="2250" spans="2:16" x14ac:dyDescent="0.25">
      <c r="B2250" s="23"/>
      <c r="E2250" s="23"/>
      <c r="G2250" s="23"/>
      <c r="H2250" s="23"/>
      <c r="J2250" s="23"/>
      <c r="K2250" s="23"/>
      <c r="M2250" s="23"/>
      <c r="N2250" s="23"/>
      <c r="P2250" s="23"/>
    </row>
    <row r="2251" spans="2:16" x14ac:dyDescent="0.25">
      <c r="B2251" s="23"/>
      <c r="E2251" s="23"/>
      <c r="G2251" s="23"/>
      <c r="H2251" s="23"/>
      <c r="J2251" s="23"/>
      <c r="K2251" s="23"/>
      <c r="M2251" s="23"/>
      <c r="N2251" s="23"/>
      <c r="P2251" s="23"/>
    </row>
    <row r="2252" spans="2:16" x14ac:dyDescent="0.25">
      <c r="B2252" s="23"/>
      <c r="E2252" s="23"/>
      <c r="G2252" s="23"/>
      <c r="H2252" s="23"/>
      <c r="J2252" s="23"/>
      <c r="K2252" s="23"/>
      <c r="M2252" s="23"/>
      <c r="N2252" s="23"/>
      <c r="P2252" s="23"/>
    </row>
    <row r="2253" spans="2:16" x14ac:dyDescent="0.25">
      <c r="B2253" s="23"/>
      <c r="E2253" s="23"/>
      <c r="G2253" s="23"/>
      <c r="H2253" s="23"/>
      <c r="J2253" s="23"/>
      <c r="K2253" s="23"/>
      <c r="M2253" s="23"/>
      <c r="N2253" s="23"/>
      <c r="P2253" s="23"/>
    </row>
    <row r="2254" spans="2:16" x14ac:dyDescent="0.25">
      <c r="B2254" s="23"/>
      <c r="E2254" s="23"/>
      <c r="G2254" s="23"/>
      <c r="H2254" s="23"/>
      <c r="J2254" s="23"/>
      <c r="K2254" s="23"/>
      <c r="M2254" s="23"/>
      <c r="N2254" s="23"/>
      <c r="P2254" s="23"/>
    </row>
    <row r="2255" spans="2:16" x14ac:dyDescent="0.25">
      <c r="B2255" s="23"/>
      <c r="E2255" s="23"/>
      <c r="G2255" s="23"/>
      <c r="H2255" s="23"/>
      <c r="J2255" s="23"/>
      <c r="K2255" s="23"/>
      <c r="M2255" s="23"/>
      <c r="N2255" s="23"/>
      <c r="P2255" s="23"/>
    </row>
    <row r="2256" spans="2:16" x14ac:dyDescent="0.25">
      <c r="B2256" s="23"/>
      <c r="E2256" s="23"/>
      <c r="G2256" s="23"/>
      <c r="H2256" s="23"/>
      <c r="J2256" s="23"/>
      <c r="K2256" s="23"/>
      <c r="M2256" s="23"/>
      <c r="N2256" s="23"/>
      <c r="P2256" s="23"/>
    </row>
    <row r="2257" spans="2:16" x14ac:dyDescent="0.25">
      <c r="B2257" s="23"/>
      <c r="E2257" s="23"/>
      <c r="G2257" s="23"/>
      <c r="H2257" s="23"/>
      <c r="J2257" s="23"/>
      <c r="K2257" s="23"/>
      <c r="M2257" s="23"/>
      <c r="N2257" s="23"/>
      <c r="P2257" s="23"/>
    </row>
    <row r="2258" spans="2:16" x14ac:dyDescent="0.25">
      <c r="B2258" s="23"/>
      <c r="E2258" s="23"/>
      <c r="G2258" s="23"/>
      <c r="H2258" s="23"/>
      <c r="J2258" s="23"/>
      <c r="K2258" s="23"/>
      <c r="M2258" s="23"/>
      <c r="N2258" s="23"/>
      <c r="P2258" s="23"/>
    </row>
    <row r="2259" spans="2:16" x14ac:dyDescent="0.25">
      <c r="B2259" s="23"/>
      <c r="E2259" s="23"/>
      <c r="G2259" s="23"/>
      <c r="H2259" s="23"/>
      <c r="J2259" s="23"/>
      <c r="K2259" s="23"/>
      <c r="M2259" s="23"/>
      <c r="N2259" s="23"/>
      <c r="P2259" s="23"/>
    </row>
    <row r="2260" spans="2:16" x14ac:dyDescent="0.25">
      <c r="B2260" s="23"/>
      <c r="E2260" s="23"/>
      <c r="G2260" s="23"/>
      <c r="H2260" s="23"/>
      <c r="J2260" s="23"/>
      <c r="K2260" s="23"/>
      <c r="M2260" s="23"/>
      <c r="N2260" s="23"/>
      <c r="P2260" s="23"/>
    </row>
    <row r="2261" spans="2:16" x14ac:dyDescent="0.25">
      <c r="B2261" s="23"/>
      <c r="E2261" s="23"/>
      <c r="G2261" s="23"/>
      <c r="H2261" s="23"/>
      <c r="J2261" s="23"/>
      <c r="K2261" s="23"/>
      <c r="M2261" s="23"/>
      <c r="N2261" s="23"/>
      <c r="P2261" s="23"/>
    </row>
    <row r="2262" spans="2:16" x14ac:dyDescent="0.25">
      <c r="B2262" s="23"/>
      <c r="E2262" s="23"/>
      <c r="G2262" s="23"/>
      <c r="H2262" s="23"/>
      <c r="J2262" s="23"/>
      <c r="K2262" s="23"/>
      <c r="M2262" s="23"/>
      <c r="N2262" s="23"/>
      <c r="P2262" s="23"/>
    </row>
    <row r="2263" spans="2:16" x14ac:dyDescent="0.25">
      <c r="B2263" s="23"/>
      <c r="E2263" s="23"/>
      <c r="G2263" s="23"/>
      <c r="H2263" s="23"/>
      <c r="J2263" s="23"/>
      <c r="K2263" s="23"/>
      <c r="M2263" s="23"/>
      <c r="N2263" s="23"/>
      <c r="P2263" s="23"/>
    </row>
    <row r="2264" spans="2:16" x14ac:dyDescent="0.25">
      <c r="B2264" s="23"/>
      <c r="E2264" s="23"/>
      <c r="G2264" s="23"/>
      <c r="H2264" s="23"/>
      <c r="J2264" s="23"/>
      <c r="K2264" s="23"/>
      <c r="M2264" s="23"/>
      <c r="N2264" s="23"/>
      <c r="P2264" s="23"/>
    </row>
    <row r="2265" spans="2:16" x14ac:dyDescent="0.25">
      <c r="B2265" s="23"/>
      <c r="E2265" s="23"/>
      <c r="G2265" s="23"/>
      <c r="H2265" s="23"/>
      <c r="J2265" s="23"/>
      <c r="K2265" s="23"/>
      <c r="M2265" s="23"/>
      <c r="N2265" s="23"/>
      <c r="P2265" s="23"/>
    </row>
    <row r="2266" spans="2:16" x14ac:dyDescent="0.25">
      <c r="B2266" s="23"/>
      <c r="E2266" s="23"/>
      <c r="G2266" s="23"/>
      <c r="H2266" s="23"/>
      <c r="J2266" s="23"/>
      <c r="K2266" s="23"/>
      <c r="M2266" s="23"/>
      <c r="N2266" s="23"/>
      <c r="P2266" s="23"/>
    </row>
    <row r="2267" spans="2:16" x14ac:dyDescent="0.25">
      <c r="B2267" s="23"/>
      <c r="E2267" s="23"/>
      <c r="G2267" s="23"/>
      <c r="H2267" s="23"/>
      <c r="J2267" s="23"/>
      <c r="K2267" s="23"/>
      <c r="M2267" s="23"/>
      <c r="N2267" s="23"/>
      <c r="P2267" s="23"/>
    </row>
    <row r="2268" spans="2:16" x14ac:dyDescent="0.25">
      <c r="B2268" s="23"/>
      <c r="E2268" s="23"/>
      <c r="G2268" s="23"/>
      <c r="H2268" s="23"/>
      <c r="J2268" s="23"/>
      <c r="K2268" s="23"/>
      <c r="M2268" s="23"/>
      <c r="N2268" s="23"/>
      <c r="P2268" s="23"/>
    </row>
    <row r="2269" spans="2:16" x14ac:dyDescent="0.25">
      <c r="B2269" s="23"/>
      <c r="E2269" s="23"/>
      <c r="G2269" s="23"/>
      <c r="H2269" s="23"/>
      <c r="J2269" s="23"/>
      <c r="K2269" s="23"/>
      <c r="M2269" s="23"/>
      <c r="N2269" s="23"/>
      <c r="P2269" s="23"/>
    </row>
    <row r="2270" spans="2:16" x14ac:dyDescent="0.25">
      <c r="B2270" s="23"/>
      <c r="E2270" s="23"/>
      <c r="G2270" s="23"/>
      <c r="H2270" s="23"/>
      <c r="J2270" s="23"/>
      <c r="K2270" s="23"/>
      <c r="M2270" s="23"/>
      <c r="N2270" s="23"/>
      <c r="P2270" s="23"/>
    </row>
    <row r="2271" spans="2:16" x14ac:dyDescent="0.25">
      <c r="B2271" s="23"/>
      <c r="E2271" s="23"/>
      <c r="G2271" s="23"/>
      <c r="H2271" s="23"/>
      <c r="J2271" s="23"/>
      <c r="K2271" s="23"/>
      <c r="M2271" s="23"/>
      <c r="N2271" s="23"/>
      <c r="P2271" s="23"/>
    </row>
    <row r="2272" spans="2:16" x14ac:dyDescent="0.25">
      <c r="B2272" s="23"/>
      <c r="E2272" s="23"/>
      <c r="G2272" s="23"/>
      <c r="H2272" s="23"/>
      <c r="J2272" s="23"/>
      <c r="K2272" s="23"/>
      <c r="M2272" s="23"/>
      <c r="N2272" s="23"/>
      <c r="P2272" s="23"/>
    </row>
    <row r="2273" spans="2:16" x14ac:dyDescent="0.25">
      <c r="B2273" s="23"/>
      <c r="E2273" s="23"/>
      <c r="G2273" s="23"/>
      <c r="H2273" s="23"/>
      <c r="J2273" s="23"/>
      <c r="K2273" s="23"/>
      <c r="M2273" s="23"/>
      <c r="N2273" s="23"/>
      <c r="P2273" s="23"/>
    </row>
    <row r="2274" spans="2:16" x14ac:dyDescent="0.25">
      <c r="B2274" s="23"/>
      <c r="E2274" s="23"/>
      <c r="G2274" s="23"/>
      <c r="H2274" s="23"/>
      <c r="J2274" s="23"/>
      <c r="K2274" s="23"/>
      <c r="M2274" s="23"/>
      <c r="N2274" s="23"/>
      <c r="P2274" s="23"/>
    </row>
    <row r="2275" spans="2:16" x14ac:dyDescent="0.25">
      <c r="B2275" s="23"/>
      <c r="E2275" s="23"/>
      <c r="G2275" s="23"/>
      <c r="H2275" s="23"/>
      <c r="J2275" s="23"/>
      <c r="K2275" s="23"/>
      <c r="M2275" s="23"/>
      <c r="N2275" s="23"/>
      <c r="P2275" s="23"/>
    </row>
    <row r="2276" spans="2:16" x14ac:dyDescent="0.25">
      <c r="B2276" s="23"/>
      <c r="E2276" s="23"/>
      <c r="G2276" s="23"/>
      <c r="H2276" s="23"/>
      <c r="J2276" s="23"/>
      <c r="K2276" s="23"/>
      <c r="M2276" s="23"/>
      <c r="N2276" s="23"/>
      <c r="P2276" s="23"/>
    </row>
    <row r="2277" spans="2:16" x14ac:dyDescent="0.25">
      <c r="B2277" s="23"/>
      <c r="E2277" s="23"/>
      <c r="G2277" s="23"/>
      <c r="H2277" s="23"/>
      <c r="J2277" s="23"/>
      <c r="K2277" s="23"/>
      <c r="M2277" s="23"/>
      <c r="N2277" s="23"/>
      <c r="P2277" s="23"/>
    </row>
    <row r="2278" spans="2:16" x14ac:dyDescent="0.25">
      <c r="B2278" s="23"/>
      <c r="E2278" s="23"/>
      <c r="G2278" s="23"/>
      <c r="H2278" s="23"/>
      <c r="J2278" s="23"/>
      <c r="K2278" s="23"/>
      <c r="M2278" s="23"/>
      <c r="N2278" s="23"/>
      <c r="P2278" s="23"/>
    </row>
    <row r="2279" spans="2:16" x14ac:dyDescent="0.25">
      <c r="B2279" s="23"/>
      <c r="E2279" s="23"/>
      <c r="G2279" s="23"/>
      <c r="H2279" s="23"/>
      <c r="J2279" s="23"/>
      <c r="K2279" s="23"/>
      <c r="M2279" s="23"/>
      <c r="N2279" s="23"/>
      <c r="P2279" s="23"/>
    </row>
    <row r="2280" spans="2:16" x14ac:dyDescent="0.25">
      <c r="B2280" s="23"/>
      <c r="E2280" s="23"/>
      <c r="G2280" s="23"/>
      <c r="H2280" s="23"/>
      <c r="J2280" s="23"/>
      <c r="K2280" s="23"/>
      <c r="M2280" s="23"/>
      <c r="N2280" s="23"/>
      <c r="P2280" s="23"/>
    </row>
    <row r="2281" spans="2:16" x14ac:dyDescent="0.25">
      <c r="B2281" s="23"/>
      <c r="E2281" s="23"/>
      <c r="G2281" s="23"/>
      <c r="H2281" s="23"/>
      <c r="J2281" s="23"/>
      <c r="K2281" s="23"/>
      <c r="M2281" s="23"/>
      <c r="N2281" s="23"/>
      <c r="P2281" s="23"/>
    </row>
    <row r="2282" spans="2:16" x14ac:dyDescent="0.25">
      <c r="B2282" s="23"/>
      <c r="E2282" s="23"/>
      <c r="G2282" s="23"/>
      <c r="H2282" s="23"/>
      <c r="J2282" s="23"/>
      <c r="K2282" s="23"/>
      <c r="M2282" s="23"/>
      <c r="N2282" s="23"/>
      <c r="P2282" s="23"/>
    </row>
    <row r="2283" spans="2:16" x14ac:dyDescent="0.25">
      <c r="B2283" s="23"/>
      <c r="E2283" s="23"/>
      <c r="G2283" s="23"/>
      <c r="H2283" s="23"/>
      <c r="J2283" s="23"/>
      <c r="K2283" s="23"/>
      <c r="M2283" s="23"/>
      <c r="N2283" s="23"/>
      <c r="P2283" s="23"/>
    </row>
    <row r="2284" spans="2:16" x14ac:dyDescent="0.25">
      <c r="B2284" s="23"/>
      <c r="E2284" s="23"/>
      <c r="G2284" s="23"/>
      <c r="H2284" s="23"/>
      <c r="J2284" s="23"/>
      <c r="K2284" s="23"/>
      <c r="M2284" s="23"/>
      <c r="N2284" s="23"/>
      <c r="P2284" s="23"/>
    </row>
    <row r="2285" spans="2:16" x14ac:dyDescent="0.25">
      <c r="B2285" s="23"/>
      <c r="E2285" s="23"/>
      <c r="G2285" s="23"/>
      <c r="H2285" s="23"/>
      <c r="J2285" s="23"/>
      <c r="K2285" s="23"/>
      <c r="M2285" s="23"/>
      <c r="N2285" s="23"/>
      <c r="P2285" s="23"/>
    </row>
    <row r="2286" spans="2:16" x14ac:dyDescent="0.25">
      <c r="B2286" s="23"/>
      <c r="E2286" s="23"/>
      <c r="G2286" s="23"/>
      <c r="H2286" s="23"/>
      <c r="J2286" s="23"/>
      <c r="K2286" s="23"/>
      <c r="M2286" s="23"/>
      <c r="N2286" s="23"/>
      <c r="P2286" s="23"/>
    </row>
    <row r="2287" spans="2:16" x14ac:dyDescent="0.25">
      <c r="B2287" s="23"/>
      <c r="E2287" s="23"/>
      <c r="G2287" s="23"/>
      <c r="H2287" s="23"/>
      <c r="J2287" s="23"/>
      <c r="K2287" s="23"/>
      <c r="M2287" s="23"/>
      <c r="N2287" s="23"/>
      <c r="P2287" s="23"/>
    </row>
    <row r="2288" spans="2:16" x14ac:dyDescent="0.25">
      <c r="B2288" s="23"/>
      <c r="E2288" s="23"/>
      <c r="G2288" s="23"/>
      <c r="H2288" s="23"/>
      <c r="J2288" s="23"/>
      <c r="K2288" s="23"/>
      <c r="M2288" s="23"/>
      <c r="N2288" s="23"/>
      <c r="P2288" s="23"/>
    </row>
    <row r="2289" spans="2:16" x14ac:dyDescent="0.25">
      <c r="B2289" s="23"/>
      <c r="E2289" s="23"/>
      <c r="G2289" s="23"/>
      <c r="H2289" s="23"/>
      <c r="J2289" s="23"/>
      <c r="K2289" s="23"/>
      <c r="M2289" s="23"/>
      <c r="N2289" s="23"/>
      <c r="P2289" s="23"/>
    </row>
    <row r="2290" spans="2:16" x14ac:dyDescent="0.25">
      <c r="B2290" s="23"/>
      <c r="E2290" s="23"/>
      <c r="G2290" s="23"/>
      <c r="H2290" s="23"/>
      <c r="J2290" s="23"/>
      <c r="K2290" s="23"/>
      <c r="M2290" s="23"/>
      <c r="N2290" s="23"/>
      <c r="P2290" s="23"/>
    </row>
    <row r="2291" spans="2:16" x14ac:dyDescent="0.25">
      <c r="B2291" s="23"/>
      <c r="E2291" s="23"/>
      <c r="G2291" s="23"/>
      <c r="H2291" s="23"/>
      <c r="J2291" s="23"/>
      <c r="K2291" s="23"/>
      <c r="M2291" s="23"/>
      <c r="N2291" s="23"/>
      <c r="P2291" s="23"/>
    </row>
    <row r="2292" spans="2:16" x14ac:dyDescent="0.25">
      <c r="B2292" s="23"/>
      <c r="E2292" s="23"/>
      <c r="G2292" s="23"/>
      <c r="H2292" s="23"/>
      <c r="J2292" s="23"/>
      <c r="K2292" s="23"/>
      <c r="M2292" s="23"/>
      <c r="N2292" s="23"/>
      <c r="P2292" s="23"/>
    </row>
    <row r="2293" spans="2:16" x14ac:dyDescent="0.25">
      <c r="B2293" s="23"/>
      <c r="E2293" s="23"/>
      <c r="G2293" s="23"/>
      <c r="H2293" s="23"/>
      <c r="J2293" s="23"/>
      <c r="K2293" s="23"/>
      <c r="M2293" s="23"/>
      <c r="N2293" s="23"/>
      <c r="P2293" s="23"/>
    </row>
    <row r="2294" spans="2:16" x14ac:dyDescent="0.25">
      <c r="B2294" s="23"/>
      <c r="E2294" s="23"/>
      <c r="G2294" s="23"/>
      <c r="H2294" s="23"/>
      <c r="J2294" s="23"/>
      <c r="K2294" s="23"/>
      <c r="M2294" s="23"/>
      <c r="N2294" s="23"/>
      <c r="P2294" s="23"/>
    </row>
    <row r="2295" spans="2:16" x14ac:dyDescent="0.25">
      <c r="B2295" s="23"/>
      <c r="E2295" s="23"/>
      <c r="G2295" s="23"/>
      <c r="H2295" s="23"/>
      <c r="J2295" s="23"/>
      <c r="K2295" s="23"/>
      <c r="M2295" s="23"/>
      <c r="N2295" s="23"/>
      <c r="P2295" s="23"/>
    </row>
    <row r="2296" spans="2:16" x14ac:dyDescent="0.25">
      <c r="B2296" s="23"/>
      <c r="E2296" s="23"/>
      <c r="G2296" s="23"/>
      <c r="H2296" s="23"/>
      <c r="J2296" s="23"/>
      <c r="K2296" s="23"/>
      <c r="M2296" s="23"/>
      <c r="N2296" s="23"/>
      <c r="P2296" s="23"/>
    </row>
    <row r="2297" spans="2:16" x14ac:dyDescent="0.25">
      <c r="B2297" s="23"/>
      <c r="E2297" s="23"/>
      <c r="G2297" s="23"/>
      <c r="H2297" s="23"/>
      <c r="J2297" s="23"/>
      <c r="K2297" s="23"/>
      <c r="M2297" s="23"/>
      <c r="N2297" s="23"/>
      <c r="P2297" s="23"/>
    </row>
    <row r="2298" spans="2:16" x14ac:dyDescent="0.25">
      <c r="B2298" s="23"/>
      <c r="E2298" s="23"/>
      <c r="G2298" s="23"/>
      <c r="H2298" s="23"/>
      <c r="J2298" s="23"/>
      <c r="K2298" s="23"/>
      <c r="M2298" s="23"/>
      <c r="N2298" s="23"/>
      <c r="P2298" s="23"/>
    </row>
    <row r="2299" spans="2:16" x14ac:dyDescent="0.25">
      <c r="B2299" s="23"/>
      <c r="E2299" s="23"/>
      <c r="G2299" s="23"/>
      <c r="H2299" s="23"/>
      <c r="J2299" s="23"/>
      <c r="K2299" s="23"/>
      <c r="M2299" s="23"/>
      <c r="N2299" s="23"/>
      <c r="P2299" s="23"/>
    </row>
    <row r="2300" spans="2:16" x14ac:dyDescent="0.25">
      <c r="B2300" s="23"/>
      <c r="E2300" s="23"/>
      <c r="G2300" s="23"/>
      <c r="H2300" s="23"/>
      <c r="J2300" s="23"/>
      <c r="K2300" s="23"/>
      <c r="M2300" s="23"/>
      <c r="N2300" s="23"/>
      <c r="P2300" s="23"/>
    </row>
    <row r="2301" spans="2:16" x14ac:dyDescent="0.25">
      <c r="B2301" s="23"/>
      <c r="E2301" s="23"/>
      <c r="G2301" s="23"/>
      <c r="H2301" s="23"/>
      <c r="J2301" s="23"/>
      <c r="K2301" s="23"/>
      <c r="M2301" s="23"/>
      <c r="N2301" s="23"/>
      <c r="P2301" s="23"/>
    </row>
    <row r="2302" spans="2:16" x14ac:dyDescent="0.25">
      <c r="B2302" s="23"/>
      <c r="E2302" s="23"/>
      <c r="G2302" s="23"/>
      <c r="H2302" s="23"/>
      <c r="J2302" s="23"/>
      <c r="K2302" s="23"/>
      <c r="M2302" s="23"/>
      <c r="N2302" s="23"/>
      <c r="P2302" s="23"/>
    </row>
    <row r="2303" spans="2:16" x14ac:dyDescent="0.25">
      <c r="B2303" s="23"/>
      <c r="E2303" s="23"/>
      <c r="G2303" s="23"/>
      <c r="H2303" s="23"/>
      <c r="J2303" s="23"/>
      <c r="K2303" s="23"/>
      <c r="M2303" s="23"/>
      <c r="N2303" s="23"/>
      <c r="P2303" s="23"/>
    </row>
    <row r="2304" spans="2:16" x14ac:dyDescent="0.25">
      <c r="B2304" s="23"/>
      <c r="E2304" s="23"/>
      <c r="G2304" s="23"/>
      <c r="H2304" s="23"/>
      <c r="J2304" s="23"/>
      <c r="K2304" s="23"/>
      <c r="M2304" s="23"/>
      <c r="N2304" s="23"/>
      <c r="P2304" s="23"/>
    </row>
    <row r="2305" spans="2:16" x14ac:dyDescent="0.25">
      <c r="B2305" s="23"/>
      <c r="E2305" s="23"/>
      <c r="G2305" s="23"/>
      <c r="H2305" s="23"/>
      <c r="J2305" s="23"/>
      <c r="K2305" s="23"/>
      <c r="M2305" s="23"/>
      <c r="N2305" s="23"/>
      <c r="P2305" s="23"/>
    </row>
    <row r="2306" spans="2:16" x14ac:dyDescent="0.25">
      <c r="B2306" s="23"/>
      <c r="E2306" s="23"/>
      <c r="G2306" s="23"/>
      <c r="H2306" s="23"/>
      <c r="J2306" s="23"/>
      <c r="K2306" s="23"/>
      <c r="M2306" s="23"/>
      <c r="N2306" s="23"/>
      <c r="P2306" s="23"/>
    </row>
    <row r="2307" spans="2:16" x14ac:dyDescent="0.25">
      <c r="B2307" s="23"/>
      <c r="E2307" s="23"/>
      <c r="G2307" s="23"/>
      <c r="H2307" s="23"/>
      <c r="J2307" s="23"/>
      <c r="K2307" s="23"/>
      <c r="M2307" s="23"/>
      <c r="N2307" s="23"/>
      <c r="P2307" s="23"/>
    </row>
    <row r="2308" spans="2:16" x14ac:dyDescent="0.25">
      <c r="B2308" s="23"/>
      <c r="E2308" s="23"/>
      <c r="G2308" s="23"/>
      <c r="H2308" s="23"/>
      <c r="J2308" s="23"/>
      <c r="K2308" s="23"/>
      <c r="M2308" s="23"/>
      <c r="N2308" s="23"/>
      <c r="P2308" s="23"/>
    </row>
    <row r="2309" spans="2:16" x14ac:dyDescent="0.25">
      <c r="B2309" s="23"/>
      <c r="E2309" s="23"/>
      <c r="G2309" s="23"/>
      <c r="H2309" s="23"/>
      <c r="J2309" s="23"/>
      <c r="K2309" s="23"/>
      <c r="M2309" s="23"/>
      <c r="N2309" s="23"/>
      <c r="P2309" s="23"/>
    </row>
    <row r="2310" spans="2:16" x14ac:dyDescent="0.25">
      <c r="B2310" s="23"/>
      <c r="E2310" s="23"/>
      <c r="G2310" s="23"/>
      <c r="H2310" s="23"/>
      <c r="J2310" s="23"/>
      <c r="K2310" s="23"/>
      <c r="M2310" s="23"/>
      <c r="N2310" s="23"/>
      <c r="P2310" s="23"/>
    </row>
    <row r="2311" spans="2:16" x14ac:dyDescent="0.25">
      <c r="B2311" s="23"/>
      <c r="E2311" s="23"/>
      <c r="G2311" s="23"/>
      <c r="H2311" s="23"/>
      <c r="J2311" s="23"/>
      <c r="K2311" s="23"/>
      <c r="M2311" s="23"/>
      <c r="N2311" s="23"/>
      <c r="P2311" s="23"/>
    </row>
    <row r="2312" spans="2:16" x14ac:dyDescent="0.25">
      <c r="B2312" s="23"/>
      <c r="E2312" s="23"/>
      <c r="G2312" s="23"/>
      <c r="H2312" s="23"/>
      <c r="J2312" s="23"/>
      <c r="K2312" s="23"/>
      <c r="M2312" s="23"/>
      <c r="N2312" s="23"/>
      <c r="P2312" s="23"/>
    </row>
    <row r="2313" spans="2:16" x14ac:dyDescent="0.25">
      <c r="B2313" s="23"/>
      <c r="E2313" s="23"/>
      <c r="G2313" s="23"/>
      <c r="H2313" s="23"/>
      <c r="J2313" s="23"/>
      <c r="K2313" s="23"/>
      <c r="M2313" s="23"/>
      <c r="N2313" s="23"/>
      <c r="P2313" s="23"/>
    </row>
    <row r="2314" spans="2:16" x14ac:dyDescent="0.25">
      <c r="B2314" s="23"/>
      <c r="E2314" s="23"/>
      <c r="G2314" s="23"/>
      <c r="H2314" s="23"/>
      <c r="J2314" s="23"/>
      <c r="K2314" s="23"/>
      <c r="M2314" s="23"/>
      <c r="N2314" s="23"/>
      <c r="P2314" s="23"/>
    </row>
    <row r="2315" spans="2:16" x14ac:dyDescent="0.25">
      <c r="B2315" s="23"/>
      <c r="E2315" s="23"/>
      <c r="G2315" s="23"/>
      <c r="H2315" s="23"/>
      <c r="J2315" s="23"/>
      <c r="K2315" s="23"/>
      <c r="M2315" s="23"/>
      <c r="N2315" s="23"/>
      <c r="P2315" s="23"/>
    </row>
    <row r="2316" spans="2:16" x14ac:dyDescent="0.25">
      <c r="B2316" s="23"/>
      <c r="E2316" s="23"/>
      <c r="G2316" s="23"/>
      <c r="H2316" s="23"/>
      <c r="J2316" s="23"/>
      <c r="K2316" s="23"/>
      <c r="M2316" s="23"/>
      <c r="N2316" s="23"/>
      <c r="P2316" s="23"/>
    </row>
    <row r="2317" spans="2:16" x14ac:dyDescent="0.25">
      <c r="B2317" s="23"/>
      <c r="E2317" s="23"/>
      <c r="G2317" s="23"/>
      <c r="H2317" s="23"/>
      <c r="J2317" s="23"/>
      <c r="K2317" s="23"/>
      <c r="M2317" s="23"/>
      <c r="N2317" s="23"/>
      <c r="P2317" s="23"/>
    </row>
    <row r="2318" spans="2:16" x14ac:dyDescent="0.25">
      <c r="B2318" s="23"/>
      <c r="E2318" s="23"/>
      <c r="G2318" s="23"/>
      <c r="H2318" s="23"/>
      <c r="J2318" s="23"/>
      <c r="K2318" s="23"/>
      <c r="M2318" s="23"/>
      <c r="N2318" s="23"/>
      <c r="P2318" s="23"/>
    </row>
    <row r="2319" spans="2:16" x14ac:dyDescent="0.25">
      <c r="B2319" s="23"/>
      <c r="E2319" s="23"/>
      <c r="G2319" s="23"/>
      <c r="H2319" s="23"/>
      <c r="J2319" s="23"/>
      <c r="K2319" s="23"/>
      <c r="M2319" s="23"/>
      <c r="N2319" s="23"/>
      <c r="P2319" s="23"/>
    </row>
    <row r="2320" spans="2:16" x14ac:dyDescent="0.25">
      <c r="B2320" s="23"/>
      <c r="E2320" s="23"/>
      <c r="G2320" s="23"/>
      <c r="H2320" s="23"/>
      <c r="J2320" s="23"/>
      <c r="K2320" s="23"/>
      <c r="M2320" s="23"/>
      <c r="N2320" s="23"/>
      <c r="P2320" s="23"/>
    </row>
    <row r="2321" spans="2:16" x14ac:dyDescent="0.25">
      <c r="B2321" s="23"/>
      <c r="E2321" s="23"/>
      <c r="G2321" s="23"/>
      <c r="H2321" s="23"/>
      <c r="J2321" s="23"/>
      <c r="K2321" s="23"/>
      <c r="M2321" s="23"/>
      <c r="N2321" s="23"/>
      <c r="P2321" s="23"/>
    </row>
    <row r="2322" spans="2:16" x14ac:dyDescent="0.25">
      <c r="B2322" s="23"/>
      <c r="E2322" s="23"/>
      <c r="G2322" s="23"/>
      <c r="H2322" s="23"/>
      <c r="J2322" s="23"/>
      <c r="K2322" s="23"/>
      <c r="M2322" s="23"/>
      <c r="N2322" s="23"/>
      <c r="P2322" s="23"/>
    </row>
    <row r="2323" spans="2:16" x14ac:dyDescent="0.25">
      <c r="B2323" s="23"/>
      <c r="E2323" s="23"/>
      <c r="G2323" s="23"/>
      <c r="H2323" s="23"/>
      <c r="J2323" s="23"/>
      <c r="K2323" s="23"/>
      <c r="M2323" s="23"/>
      <c r="N2323" s="23"/>
      <c r="P2323" s="23"/>
    </row>
    <row r="2324" spans="2:16" x14ac:dyDescent="0.25">
      <c r="B2324" s="23"/>
      <c r="E2324" s="23"/>
      <c r="G2324" s="23"/>
      <c r="H2324" s="23"/>
      <c r="J2324" s="23"/>
      <c r="K2324" s="23"/>
      <c r="M2324" s="23"/>
      <c r="N2324" s="23"/>
      <c r="P2324" s="23"/>
    </row>
    <row r="2325" spans="2:16" x14ac:dyDescent="0.25">
      <c r="B2325" s="23"/>
      <c r="E2325" s="23"/>
      <c r="G2325" s="23"/>
      <c r="H2325" s="23"/>
      <c r="J2325" s="23"/>
      <c r="K2325" s="23"/>
      <c r="M2325" s="23"/>
      <c r="N2325" s="23"/>
      <c r="P2325" s="23"/>
    </row>
    <row r="2326" spans="2:16" x14ac:dyDescent="0.25">
      <c r="B2326" s="23"/>
      <c r="E2326" s="23"/>
      <c r="G2326" s="23"/>
      <c r="H2326" s="23"/>
      <c r="J2326" s="23"/>
      <c r="K2326" s="23"/>
      <c r="M2326" s="23"/>
      <c r="N2326" s="23"/>
      <c r="P2326" s="23"/>
    </row>
    <row r="2327" spans="2:16" x14ac:dyDescent="0.25">
      <c r="B2327" s="23"/>
      <c r="E2327" s="23"/>
      <c r="G2327" s="23"/>
      <c r="H2327" s="23"/>
      <c r="J2327" s="23"/>
      <c r="K2327" s="23"/>
      <c r="M2327" s="23"/>
      <c r="N2327" s="23"/>
      <c r="P2327" s="23"/>
    </row>
    <row r="2328" spans="2:16" x14ac:dyDescent="0.25">
      <c r="B2328" s="23"/>
      <c r="E2328" s="23"/>
      <c r="G2328" s="23"/>
      <c r="H2328" s="23"/>
      <c r="J2328" s="23"/>
      <c r="K2328" s="23"/>
      <c r="M2328" s="23"/>
      <c r="N2328" s="23"/>
      <c r="P2328" s="23"/>
    </row>
    <row r="2329" spans="2:16" x14ac:dyDescent="0.25">
      <c r="B2329" s="23"/>
      <c r="E2329" s="23"/>
      <c r="G2329" s="23"/>
      <c r="H2329" s="23"/>
      <c r="J2329" s="23"/>
      <c r="K2329" s="23"/>
      <c r="M2329" s="23"/>
      <c r="N2329" s="23"/>
      <c r="P2329" s="23"/>
    </row>
    <row r="2330" spans="2:16" x14ac:dyDescent="0.25">
      <c r="B2330" s="23"/>
      <c r="E2330" s="23"/>
      <c r="G2330" s="23"/>
      <c r="H2330" s="23"/>
      <c r="J2330" s="23"/>
      <c r="K2330" s="23"/>
      <c r="M2330" s="23"/>
      <c r="N2330" s="23"/>
      <c r="P2330" s="23"/>
    </row>
    <row r="2331" spans="2:16" x14ac:dyDescent="0.25">
      <c r="B2331" s="23"/>
      <c r="E2331" s="23"/>
      <c r="G2331" s="23"/>
      <c r="H2331" s="23"/>
      <c r="J2331" s="23"/>
      <c r="K2331" s="23"/>
      <c r="M2331" s="23"/>
      <c r="N2331" s="23"/>
      <c r="P2331" s="23"/>
    </row>
    <row r="2332" spans="2:16" x14ac:dyDescent="0.25">
      <c r="B2332" s="23"/>
      <c r="E2332" s="23"/>
      <c r="G2332" s="23"/>
      <c r="H2332" s="23"/>
      <c r="J2332" s="23"/>
      <c r="K2332" s="23"/>
      <c r="M2332" s="23"/>
      <c r="N2332" s="23"/>
      <c r="P2332" s="23"/>
    </row>
    <row r="2333" spans="2:16" x14ac:dyDescent="0.25">
      <c r="B2333" s="23"/>
      <c r="E2333" s="23"/>
      <c r="G2333" s="23"/>
      <c r="H2333" s="23"/>
      <c r="J2333" s="23"/>
      <c r="K2333" s="23"/>
      <c r="M2333" s="23"/>
      <c r="N2333" s="23"/>
      <c r="P2333" s="23"/>
    </row>
    <row r="2334" spans="2:16" x14ac:dyDescent="0.25">
      <c r="B2334" s="23"/>
      <c r="E2334" s="23"/>
      <c r="G2334" s="23"/>
      <c r="H2334" s="23"/>
      <c r="J2334" s="23"/>
      <c r="K2334" s="23"/>
      <c r="M2334" s="23"/>
      <c r="N2334" s="23"/>
      <c r="P2334" s="23"/>
    </row>
    <row r="2335" spans="2:16" x14ac:dyDescent="0.25">
      <c r="B2335" s="23"/>
      <c r="E2335" s="23"/>
      <c r="G2335" s="23"/>
      <c r="H2335" s="23"/>
      <c r="J2335" s="23"/>
      <c r="K2335" s="23"/>
      <c r="M2335" s="23"/>
      <c r="N2335" s="23"/>
      <c r="P2335" s="23"/>
    </row>
    <row r="2336" spans="2:16" x14ac:dyDescent="0.25">
      <c r="B2336" s="23"/>
      <c r="E2336" s="23"/>
      <c r="G2336" s="23"/>
      <c r="H2336" s="23"/>
      <c r="J2336" s="23"/>
      <c r="K2336" s="23"/>
      <c r="M2336" s="23"/>
      <c r="N2336" s="23"/>
      <c r="P2336" s="23"/>
    </row>
    <row r="2337" spans="2:16" x14ac:dyDescent="0.25">
      <c r="B2337" s="23"/>
      <c r="E2337" s="23"/>
      <c r="G2337" s="23"/>
      <c r="H2337" s="23"/>
      <c r="J2337" s="23"/>
      <c r="K2337" s="23"/>
      <c r="M2337" s="23"/>
      <c r="N2337" s="23"/>
      <c r="P2337" s="23"/>
    </row>
    <row r="2338" spans="2:16" x14ac:dyDescent="0.25">
      <c r="B2338" s="23"/>
      <c r="E2338" s="23"/>
      <c r="G2338" s="23"/>
      <c r="H2338" s="23"/>
      <c r="J2338" s="23"/>
      <c r="K2338" s="23"/>
      <c r="M2338" s="23"/>
      <c r="N2338" s="23"/>
      <c r="P2338" s="23"/>
    </row>
    <row r="2339" spans="2:16" x14ac:dyDescent="0.25">
      <c r="B2339" s="23"/>
      <c r="E2339" s="23"/>
      <c r="G2339" s="23"/>
      <c r="H2339" s="23"/>
      <c r="J2339" s="23"/>
      <c r="K2339" s="23"/>
      <c r="M2339" s="23"/>
      <c r="N2339" s="23"/>
      <c r="P2339" s="23"/>
    </row>
    <row r="2340" spans="2:16" x14ac:dyDescent="0.25">
      <c r="B2340" s="23"/>
      <c r="E2340" s="23"/>
      <c r="G2340" s="23"/>
      <c r="H2340" s="23"/>
      <c r="J2340" s="23"/>
      <c r="K2340" s="23"/>
      <c r="M2340" s="23"/>
      <c r="N2340" s="23"/>
      <c r="P2340" s="23"/>
    </row>
    <row r="2341" spans="2:16" x14ac:dyDescent="0.25">
      <c r="B2341" s="23"/>
      <c r="E2341" s="23"/>
      <c r="G2341" s="23"/>
      <c r="H2341" s="23"/>
      <c r="J2341" s="23"/>
      <c r="K2341" s="23"/>
      <c r="M2341" s="23"/>
      <c r="N2341" s="23"/>
      <c r="P2341" s="23"/>
    </row>
    <row r="2342" spans="2:16" x14ac:dyDescent="0.25">
      <c r="B2342" s="23"/>
      <c r="E2342" s="23"/>
      <c r="G2342" s="23"/>
      <c r="H2342" s="23"/>
      <c r="J2342" s="23"/>
      <c r="K2342" s="23"/>
      <c r="M2342" s="23"/>
      <c r="N2342" s="23"/>
      <c r="P2342" s="23"/>
    </row>
    <row r="2343" spans="2:16" x14ac:dyDescent="0.25">
      <c r="B2343" s="23"/>
      <c r="E2343" s="23"/>
      <c r="G2343" s="23"/>
      <c r="H2343" s="23"/>
      <c r="J2343" s="23"/>
      <c r="K2343" s="23"/>
      <c r="M2343" s="23"/>
      <c r="N2343" s="23"/>
      <c r="P2343" s="23"/>
    </row>
    <row r="2344" spans="2:16" x14ac:dyDescent="0.25">
      <c r="B2344" s="23"/>
      <c r="E2344" s="23"/>
      <c r="G2344" s="23"/>
      <c r="H2344" s="23"/>
      <c r="J2344" s="23"/>
      <c r="K2344" s="23"/>
      <c r="M2344" s="23"/>
      <c r="N2344" s="23"/>
      <c r="P2344" s="23"/>
    </row>
    <row r="2345" spans="2:16" x14ac:dyDescent="0.25">
      <c r="B2345" s="23"/>
      <c r="E2345" s="23"/>
      <c r="G2345" s="23"/>
      <c r="H2345" s="23"/>
      <c r="J2345" s="23"/>
      <c r="K2345" s="23"/>
      <c r="M2345" s="23"/>
      <c r="N2345" s="23"/>
      <c r="P2345" s="23"/>
    </row>
    <row r="2346" spans="2:16" x14ac:dyDescent="0.25">
      <c r="B2346" s="23"/>
      <c r="E2346" s="23"/>
      <c r="G2346" s="23"/>
      <c r="H2346" s="23"/>
      <c r="J2346" s="23"/>
      <c r="K2346" s="23"/>
      <c r="M2346" s="23"/>
      <c r="N2346" s="23"/>
      <c r="P2346" s="23"/>
    </row>
    <row r="2347" spans="2:16" x14ac:dyDescent="0.25">
      <c r="B2347" s="23"/>
      <c r="E2347" s="23"/>
      <c r="G2347" s="23"/>
      <c r="H2347" s="23"/>
      <c r="J2347" s="23"/>
      <c r="K2347" s="23"/>
      <c r="M2347" s="23"/>
      <c r="N2347" s="23"/>
      <c r="P2347" s="23"/>
    </row>
    <row r="2348" spans="2:16" x14ac:dyDescent="0.25">
      <c r="B2348" s="23"/>
      <c r="E2348" s="23"/>
      <c r="G2348" s="23"/>
      <c r="H2348" s="23"/>
      <c r="J2348" s="23"/>
      <c r="K2348" s="23"/>
      <c r="M2348" s="23"/>
      <c r="N2348" s="23"/>
      <c r="P2348" s="23"/>
    </row>
    <row r="2349" spans="2:16" x14ac:dyDescent="0.25">
      <c r="B2349" s="23"/>
      <c r="E2349" s="23"/>
      <c r="G2349" s="23"/>
      <c r="H2349" s="23"/>
      <c r="J2349" s="23"/>
      <c r="K2349" s="23"/>
      <c r="M2349" s="23"/>
      <c r="N2349" s="23"/>
      <c r="P2349" s="23"/>
    </row>
    <row r="2350" spans="2:16" x14ac:dyDescent="0.25">
      <c r="B2350" s="23"/>
      <c r="E2350" s="23"/>
      <c r="G2350" s="23"/>
      <c r="H2350" s="23"/>
      <c r="J2350" s="23"/>
      <c r="K2350" s="23"/>
      <c r="M2350" s="23"/>
      <c r="N2350" s="23"/>
      <c r="P2350" s="23"/>
    </row>
    <row r="2351" spans="2:16" x14ac:dyDescent="0.25">
      <c r="B2351" s="23"/>
      <c r="E2351" s="23"/>
      <c r="G2351" s="23"/>
      <c r="H2351" s="23"/>
      <c r="J2351" s="23"/>
      <c r="K2351" s="23"/>
      <c r="M2351" s="23"/>
      <c r="N2351" s="23"/>
      <c r="P2351" s="23"/>
    </row>
    <row r="2352" spans="2:16" x14ac:dyDescent="0.25">
      <c r="B2352" s="23"/>
      <c r="E2352" s="23"/>
      <c r="G2352" s="23"/>
      <c r="H2352" s="23"/>
      <c r="J2352" s="23"/>
      <c r="K2352" s="23"/>
      <c r="M2352" s="23"/>
      <c r="N2352" s="23"/>
      <c r="P2352" s="23"/>
    </row>
    <row r="2353" spans="2:16" x14ac:dyDescent="0.25">
      <c r="B2353" s="23"/>
      <c r="E2353" s="23"/>
      <c r="G2353" s="23"/>
      <c r="H2353" s="23"/>
      <c r="J2353" s="23"/>
      <c r="K2353" s="23"/>
      <c r="M2353" s="23"/>
      <c r="N2353" s="23"/>
      <c r="P2353" s="23"/>
    </row>
    <row r="2354" spans="2:16" x14ac:dyDescent="0.25">
      <c r="B2354" s="23"/>
      <c r="E2354" s="23"/>
      <c r="G2354" s="23"/>
      <c r="H2354" s="23"/>
      <c r="J2354" s="23"/>
      <c r="K2354" s="23"/>
      <c r="M2354" s="23"/>
      <c r="N2354" s="23"/>
      <c r="P2354" s="23"/>
    </row>
    <row r="2355" spans="2:16" x14ac:dyDescent="0.25">
      <c r="B2355" s="23"/>
      <c r="E2355" s="23"/>
      <c r="G2355" s="23"/>
      <c r="H2355" s="23"/>
      <c r="J2355" s="23"/>
      <c r="K2355" s="23"/>
      <c r="M2355" s="23"/>
      <c r="N2355" s="23"/>
      <c r="P2355" s="23"/>
    </row>
    <row r="2356" spans="2:16" x14ac:dyDescent="0.25">
      <c r="B2356" s="23"/>
      <c r="E2356" s="23"/>
      <c r="G2356" s="23"/>
      <c r="H2356" s="23"/>
      <c r="J2356" s="23"/>
      <c r="K2356" s="23"/>
      <c r="M2356" s="23"/>
      <c r="N2356" s="23"/>
      <c r="P2356" s="23"/>
    </row>
    <row r="2357" spans="2:16" x14ac:dyDescent="0.25">
      <c r="B2357" s="23"/>
      <c r="E2357" s="23"/>
      <c r="G2357" s="23"/>
      <c r="H2357" s="23"/>
      <c r="J2357" s="23"/>
      <c r="K2357" s="23"/>
      <c r="M2357" s="23"/>
      <c r="N2357" s="23"/>
      <c r="P2357" s="23"/>
    </row>
    <row r="2358" spans="2:16" x14ac:dyDescent="0.25">
      <c r="B2358" s="23"/>
      <c r="E2358" s="23"/>
      <c r="G2358" s="23"/>
      <c r="H2358" s="23"/>
      <c r="J2358" s="23"/>
      <c r="K2358" s="23"/>
      <c r="M2358" s="23"/>
      <c r="N2358" s="23"/>
      <c r="P2358" s="23"/>
    </row>
    <row r="2359" spans="2:16" x14ac:dyDescent="0.25">
      <c r="B2359" s="23"/>
      <c r="E2359" s="23"/>
      <c r="G2359" s="23"/>
      <c r="H2359" s="23"/>
      <c r="J2359" s="23"/>
      <c r="K2359" s="23"/>
      <c r="M2359" s="23"/>
      <c r="N2359" s="23"/>
      <c r="P2359" s="23"/>
    </row>
    <row r="2360" spans="2:16" x14ac:dyDescent="0.25">
      <c r="B2360" s="23"/>
      <c r="E2360" s="23"/>
      <c r="G2360" s="23"/>
      <c r="H2360" s="23"/>
      <c r="J2360" s="23"/>
      <c r="K2360" s="23"/>
      <c r="M2360" s="23"/>
      <c r="N2360" s="23"/>
      <c r="P2360" s="23"/>
    </row>
    <row r="2361" spans="2:16" x14ac:dyDescent="0.25">
      <c r="B2361" s="23"/>
      <c r="E2361" s="23"/>
      <c r="G2361" s="23"/>
      <c r="H2361" s="23"/>
      <c r="J2361" s="23"/>
      <c r="K2361" s="23"/>
      <c r="M2361" s="23"/>
      <c r="N2361" s="23"/>
      <c r="P2361" s="23"/>
    </row>
    <row r="2362" spans="2:16" x14ac:dyDescent="0.25">
      <c r="B2362" s="23"/>
      <c r="E2362" s="23"/>
      <c r="G2362" s="23"/>
      <c r="H2362" s="23"/>
      <c r="J2362" s="23"/>
      <c r="K2362" s="23"/>
      <c r="M2362" s="23"/>
      <c r="N2362" s="23"/>
      <c r="P2362" s="23"/>
    </row>
    <row r="2363" spans="2:16" x14ac:dyDescent="0.25">
      <c r="B2363" s="23"/>
      <c r="E2363" s="23"/>
      <c r="G2363" s="23"/>
      <c r="H2363" s="23"/>
      <c r="J2363" s="23"/>
      <c r="K2363" s="23"/>
      <c r="M2363" s="23"/>
      <c r="N2363" s="23"/>
      <c r="P2363" s="23"/>
    </row>
    <row r="2364" spans="2:16" x14ac:dyDescent="0.25">
      <c r="B2364" s="23"/>
      <c r="E2364" s="23"/>
      <c r="G2364" s="23"/>
      <c r="H2364" s="23"/>
      <c r="J2364" s="23"/>
      <c r="K2364" s="23"/>
      <c r="M2364" s="23"/>
      <c r="N2364" s="23"/>
      <c r="P2364" s="23"/>
    </row>
    <row r="2365" spans="2:16" x14ac:dyDescent="0.25">
      <c r="B2365" s="23"/>
      <c r="E2365" s="23"/>
      <c r="G2365" s="23"/>
      <c r="H2365" s="23"/>
      <c r="J2365" s="23"/>
      <c r="K2365" s="23"/>
      <c r="M2365" s="23"/>
      <c r="N2365" s="23"/>
      <c r="P2365" s="23"/>
    </row>
    <row r="2366" spans="2:16" x14ac:dyDescent="0.25">
      <c r="B2366" s="23"/>
      <c r="E2366" s="23"/>
      <c r="G2366" s="23"/>
      <c r="H2366" s="23"/>
      <c r="J2366" s="23"/>
      <c r="K2366" s="23"/>
      <c r="M2366" s="23"/>
      <c r="N2366" s="23"/>
      <c r="P2366" s="23"/>
    </row>
    <row r="2367" spans="2:16" x14ac:dyDescent="0.25">
      <c r="B2367" s="23"/>
      <c r="E2367" s="23"/>
      <c r="G2367" s="23"/>
      <c r="H2367" s="23"/>
      <c r="J2367" s="23"/>
      <c r="K2367" s="23"/>
      <c r="M2367" s="23"/>
      <c r="N2367" s="23"/>
      <c r="P2367" s="23"/>
    </row>
    <row r="2368" spans="2:16" x14ac:dyDescent="0.25">
      <c r="B2368" s="23"/>
      <c r="E2368" s="23"/>
      <c r="G2368" s="23"/>
      <c r="H2368" s="23"/>
      <c r="J2368" s="23"/>
      <c r="K2368" s="23"/>
      <c r="M2368" s="23"/>
      <c r="N2368" s="23"/>
      <c r="P2368" s="23"/>
    </row>
    <row r="2369" spans="2:16" x14ac:dyDescent="0.25">
      <c r="B2369" s="23"/>
      <c r="E2369" s="23"/>
      <c r="G2369" s="23"/>
      <c r="H2369" s="23"/>
      <c r="J2369" s="23"/>
      <c r="K2369" s="23"/>
      <c r="M2369" s="23"/>
      <c r="N2369" s="23"/>
      <c r="P2369" s="23"/>
    </row>
    <row r="2370" spans="2:16" x14ac:dyDescent="0.25">
      <c r="B2370" s="23"/>
      <c r="E2370" s="23"/>
      <c r="G2370" s="23"/>
      <c r="H2370" s="23"/>
      <c r="J2370" s="23"/>
      <c r="K2370" s="23"/>
      <c r="M2370" s="23"/>
      <c r="N2370" s="23"/>
      <c r="P2370" s="23"/>
    </row>
    <row r="2371" spans="2:16" x14ac:dyDescent="0.25">
      <c r="B2371" s="23"/>
      <c r="E2371" s="23"/>
      <c r="G2371" s="23"/>
      <c r="H2371" s="23"/>
      <c r="J2371" s="23"/>
      <c r="K2371" s="23"/>
      <c r="M2371" s="23"/>
      <c r="N2371" s="23"/>
      <c r="P2371" s="23"/>
    </row>
    <row r="2372" spans="2:16" x14ac:dyDescent="0.25">
      <c r="B2372" s="23"/>
      <c r="E2372" s="23"/>
      <c r="G2372" s="23"/>
      <c r="H2372" s="23"/>
      <c r="J2372" s="23"/>
      <c r="K2372" s="23"/>
      <c r="M2372" s="23"/>
      <c r="N2372" s="23"/>
      <c r="P2372" s="23"/>
    </row>
    <row r="2373" spans="2:16" x14ac:dyDescent="0.25">
      <c r="B2373" s="23"/>
      <c r="E2373" s="23"/>
      <c r="G2373" s="23"/>
      <c r="H2373" s="23"/>
      <c r="J2373" s="23"/>
      <c r="K2373" s="23"/>
      <c r="M2373" s="23"/>
      <c r="N2373" s="23"/>
      <c r="P2373" s="23"/>
    </row>
    <row r="2374" spans="2:16" x14ac:dyDescent="0.25">
      <c r="B2374" s="23"/>
      <c r="E2374" s="23"/>
      <c r="G2374" s="23"/>
      <c r="H2374" s="23"/>
      <c r="J2374" s="23"/>
      <c r="K2374" s="23"/>
      <c r="M2374" s="23"/>
      <c r="N2374" s="23"/>
      <c r="P2374" s="23"/>
    </row>
    <row r="2375" spans="2:16" x14ac:dyDescent="0.25">
      <c r="B2375" s="23"/>
      <c r="E2375" s="23"/>
      <c r="G2375" s="23"/>
      <c r="H2375" s="23"/>
      <c r="J2375" s="23"/>
      <c r="K2375" s="23"/>
      <c r="M2375" s="23"/>
      <c r="N2375" s="23"/>
      <c r="P2375" s="23"/>
    </row>
    <row r="2376" spans="2:16" x14ac:dyDescent="0.25">
      <c r="B2376" s="23"/>
      <c r="E2376" s="23"/>
      <c r="G2376" s="23"/>
      <c r="H2376" s="23"/>
      <c r="J2376" s="23"/>
      <c r="K2376" s="23"/>
      <c r="M2376" s="23"/>
      <c r="N2376" s="23"/>
      <c r="P2376" s="23"/>
    </row>
    <row r="2377" spans="2:16" x14ac:dyDescent="0.25">
      <c r="B2377" s="23"/>
      <c r="E2377" s="23"/>
      <c r="G2377" s="23"/>
      <c r="H2377" s="23"/>
      <c r="J2377" s="23"/>
      <c r="K2377" s="23"/>
      <c r="M2377" s="23"/>
      <c r="N2377" s="23"/>
      <c r="P2377" s="23"/>
    </row>
    <row r="2378" spans="2:16" x14ac:dyDescent="0.25">
      <c r="B2378" s="23"/>
      <c r="E2378" s="23"/>
      <c r="G2378" s="23"/>
      <c r="H2378" s="23"/>
      <c r="J2378" s="23"/>
      <c r="K2378" s="23"/>
      <c r="M2378" s="23"/>
      <c r="N2378" s="23"/>
      <c r="P2378" s="23"/>
    </row>
    <row r="2379" spans="2:16" x14ac:dyDescent="0.25">
      <c r="B2379" s="23"/>
      <c r="E2379" s="23"/>
      <c r="G2379" s="23"/>
      <c r="H2379" s="23"/>
      <c r="J2379" s="23"/>
      <c r="K2379" s="23"/>
      <c r="M2379" s="23"/>
      <c r="N2379" s="23"/>
      <c r="P2379" s="23"/>
    </row>
    <row r="2380" spans="2:16" x14ac:dyDescent="0.25">
      <c r="B2380" s="23"/>
      <c r="E2380" s="23"/>
      <c r="G2380" s="23"/>
      <c r="H2380" s="23"/>
      <c r="J2380" s="23"/>
      <c r="K2380" s="23"/>
      <c r="M2380" s="23"/>
      <c r="N2380" s="23"/>
      <c r="P2380" s="23"/>
    </row>
    <row r="2381" spans="2:16" x14ac:dyDescent="0.25">
      <c r="B2381" s="23"/>
      <c r="E2381" s="23"/>
      <c r="G2381" s="23"/>
      <c r="H2381" s="23"/>
      <c r="J2381" s="23"/>
      <c r="K2381" s="23"/>
      <c r="M2381" s="23"/>
      <c r="N2381" s="23"/>
      <c r="P2381" s="23"/>
    </row>
    <row r="2382" spans="2:16" x14ac:dyDescent="0.25">
      <c r="B2382" s="23"/>
      <c r="E2382" s="23"/>
      <c r="G2382" s="23"/>
      <c r="H2382" s="23"/>
      <c r="J2382" s="23"/>
      <c r="K2382" s="23"/>
      <c r="M2382" s="23"/>
      <c r="N2382" s="23"/>
      <c r="P2382" s="23"/>
    </row>
    <row r="2383" spans="2:16" x14ac:dyDescent="0.25">
      <c r="B2383" s="23"/>
      <c r="E2383" s="23"/>
      <c r="G2383" s="23"/>
      <c r="H2383" s="23"/>
      <c r="J2383" s="23"/>
      <c r="K2383" s="23"/>
      <c r="M2383" s="23"/>
      <c r="N2383" s="23"/>
      <c r="P2383" s="23"/>
    </row>
    <row r="2384" spans="2:16" x14ac:dyDescent="0.25">
      <c r="B2384" s="23"/>
      <c r="E2384" s="23"/>
      <c r="G2384" s="23"/>
      <c r="H2384" s="23"/>
      <c r="J2384" s="23"/>
      <c r="K2384" s="23"/>
      <c r="M2384" s="23"/>
      <c r="N2384" s="23"/>
      <c r="P2384" s="23"/>
    </row>
    <row r="2385" spans="2:16" x14ac:dyDescent="0.25">
      <c r="B2385" s="23"/>
      <c r="E2385" s="23"/>
      <c r="G2385" s="23"/>
      <c r="H2385" s="23"/>
      <c r="J2385" s="23"/>
      <c r="K2385" s="23"/>
      <c r="M2385" s="23"/>
      <c r="N2385" s="23"/>
      <c r="P2385" s="23"/>
    </row>
    <row r="2386" spans="2:16" x14ac:dyDescent="0.25">
      <c r="B2386" s="23"/>
      <c r="E2386" s="23"/>
      <c r="G2386" s="23"/>
      <c r="H2386" s="23"/>
      <c r="J2386" s="23"/>
      <c r="K2386" s="23"/>
      <c r="M2386" s="23"/>
      <c r="N2386" s="23"/>
      <c r="P2386" s="23"/>
    </row>
    <row r="2387" spans="2:16" x14ac:dyDescent="0.25">
      <c r="B2387" s="23"/>
      <c r="E2387" s="23"/>
      <c r="G2387" s="23"/>
      <c r="H2387" s="23"/>
      <c r="J2387" s="23"/>
      <c r="K2387" s="23"/>
      <c r="M2387" s="23"/>
      <c r="N2387" s="23"/>
      <c r="P2387" s="23"/>
    </row>
    <row r="2388" spans="2:16" x14ac:dyDescent="0.25">
      <c r="B2388" s="23"/>
      <c r="E2388" s="23"/>
      <c r="G2388" s="23"/>
      <c r="H2388" s="23"/>
      <c r="J2388" s="23"/>
      <c r="K2388" s="23"/>
      <c r="M2388" s="23"/>
      <c r="N2388" s="23"/>
      <c r="P2388" s="23"/>
    </row>
    <row r="2389" spans="2:16" x14ac:dyDescent="0.25">
      <c r="B2389" s="23"/>
      <c r="E2389" s="23"/>
      <c r="G2389" s="23"/>
      <c r="H2389" s="23"/>
      <c r="J2389" s="23"/>
      <c r="K2389" s="23"/>
      <c r="M2389" s="23"/>
      <c r="N2389" s="23"/>
      <c r="P2389" s="23"/>
    </row>
    <row r="2390" spans="2:16" x14ac:dyDescent="0.25">
      <c r="B2390" s="23"/>
      <c r="E2390" s="23"/>
      <c r="G2390" s="23"/>
      <c r="H2390" s="23"/>
      <c r="J2390" s="23"/>
      <c r="K2390" s="23"/>
      <c r="M2390" s="23"/>
      <c r="N2390" s="23"/>
      <c r="P2390" s="23"/>
    </row>
    <row r="2391" spans="2:16" x14ac:dyDescent="0.25">
      <c r="B2391" s="23"/>
      <c r="E2391" s="23"/>
      <c r="G2391" s="23"/>
      <c r="H2391" s="23"/>
      <c r="J2391" s="23"/>
      <c r="K2391" s="23"/>
      <c r="M2391" s="23"/>
      <c r="N2391" s="23"/>
      <c r="P2391" s="23"/>
    </row>
    <row r="2392" spans="2:16" x14ac:dyDescent="0.25">
      <c r="B2392" s="23"/>
      <c r="E2392" s="23"/>
      <c r="G2392" s="23"/>
      <c r="H2392" s="23"/>
      <c r="J2392" s="23"/>
      <c r="K2392" s="23"/>
      <c r="M2392" s="23"/>
      <c r="N2392" s="23"/>
      <c r="P2392" s="23"/>
    </row>
    <row r="2393" spans="2:16" x14ac:dyDescent="0.25">
      <c r="B2393" s="23"/>
      <c r="E2393" s="23"/>
      <c r="G2393" s="23"/>
      <c r="H2393" s="23"/>
      <c r="J2393" s="23"/>
      <c r="K2393" s="23"/>
      <c r="M2393" s="23"/>
      <c r="N2393" s="23"/>
      <c r="P2393" s="23"/>
    </row>
    <row r="2394" spans="2:16" x14ac:dyDescent="0.25">
      <c r="B2394" s="23"/>
      <c r="E2394" s="23"/>
      <c r="G2394" s="23"/>
      <c r="H2394" s="23"/>
      <c r="J2394" s="23"/>
      <c r="K2394" s="23"/>
      <c r="M2394" s="23"/>
      <c r="N2394" s="23"/>
      <c r="P2394" s="23"/>
    </row>
    <row r="2395" spans="2:16" x14ac:dyDescent="0.25">
      <c r="B2395" s="23"/>
      <c r="E2395" s="23"/>
      <c r="G2395" s="23"/>
      <c r="H2395" s="23"/>
      <c r="J2395" s="23"/>
      <c r="K2395" s="23"/>
      <c r="M2395" s="23"/>
      <c r="N2395" s="23"/>
      <c r="P2395" s="23"/>
    </row>
    <row r="2396" spans="2:16" x14ac:dyDescent="0.25">
      <c r="B2396" s="23"/>
      <c r="E2396" s="23"/>
      <c r="G2396" s="23"/>
      <c r="H2396" s="23"/>
      <c r="J2396" s="23"/>
      <c r="K2396" s="23"/>
      <c r="M2396" s="23"/>
      <c r="N2396" s="23"/>
      <c r="P2396" s="23"/>
    </row>
    <row r="2397" spans="2:16" x14ac:dyDescent="0.25">
      <c r="B2397" s="23"/>
      <c r="E2397" s="23"/>
      <c r="G2397" s="23"/>
      <c r="H2397" s="23"/>
      <c r="J2397" s="23"/>
      <c r="K2397" s="23"/>
      <c r="M2397" s="23"/>
      <c r="N2397" s="23"/>
      <c r="P2397" s="23"/>
    </row>
    <row r="2398" spans="2:16" x14ac:dyDescent="0.25">
      <c r="B2398" s="23"/>
      <c r="E2398" s="23"/>
      <c r="G2398" s="23"/>
      <c r="H2398" s="23"/>
      <c r="J2398" s="23"/>
      <c r="K2398" s="23"/>
      <c r="M2398" s="23"/>
      <c r="N2398" s="23"/>
      <c r="P2398" s="23"/>
    </row>
    <row r="2399" spans="2:16" x14ac:dyDescent="0.25">
      <c r="B2399" s="23"/>
      <c r="E2399" s="23"/>
      <c r="G2399" s="23"/>
      <c r="H2399" s="23"/>
      <c r="J2399" s="23"/>
      <c r="K2399" s="23"/>
      <c r="M2399" s="23"/>
      <c r="N2399" s="23"/>
      <c r="P2399" s="23"/>
    </row>
    <row r="2400" spans="2:16" x14ac:dyDescent="0.25">
      <c r="B2400" s="23"/>
      <c r="E2400" s="23"/>
      <c r="G2400" s="23"/>
      <c r="H2400" s="23"/>
      <c r="J2400" s="23"/>
      <c r="K2400" s="23"/>
      <c r="M2400" s="23"/>
      <c r="N2400" s="23"/>
      <c r="P2400" s="23"/>
    </row>
    <row r="2401" spans="2:16" x14ac:dyDescent="0.25">
      <c r="B2401" s="23"/>
      <c r="E2401" s="23"/>
      <c r="G2401" s="23"/>
      <c r="H2401" s="23"/>
      <c r="J2401" s="23"/>
      <c r="K2401" s="23"/>
      <c r="M2401" s="23"/>
      <c r="N2401" s="23"/>
      <c r="P2401" s="23"/>
    </row>
    <row r="2402" spans="2:16" x14ac:dyDescent="0.25">
      <c r="B2402" s="23"/>
      <c r="E2402" s="23"/>
      <c r="G2402" s="23"/>
      <c r="H2402" s="23"/>
      <c r="J2402" s="23"/>
      <c r="K2402" s="23"/>
      <c r="M2402" s="23"/>
      <c r="N2402" s="23"/>
      <c r="P2402" s="23"/>
    </row>
    <row r="2403" spans="2:16" x14ac:dyDescent="0.25">
      <c r="B2403" s="23"/>
      <c r="E2403" s="23"/>
      <c r="G2403" s="23"/>
      <c r="H2403" s="23"/>
      <c r="J2403" s="23"/>
      <c r="K2403" s="23"/>
      <c r="M2403" s="23"/>
      <c r="N2403" s="23"/>
      <c r="P2403" s="23"/>
    </row>
    <row r="2404" spans="2:16" x14ac:dyDescent="0.25">
      <c r="B2404" s="23"/>
      <c r="E2404" s="23"/>
      <c r="G2404" s="23"/>
      <c r="H2404" s="23"/>
      <c r="J2404" s="23"/>
      <c r="K2404" s="23"/>
      <c r="M2404" s="23"/>
      <c r="N2404" s="23"/>
      <c r="P2404" s="23"/>
    </row>
    <row r="2405" spans="2:16" x14ac:dyDescent="0.25">
      <c r="B2405" s="23"/>
      <c r="E2405" s="23"/>
      <c r="G2405" s="23"/>
      <c r="H2405" s="23"/>
      <c r="J2405" s="23"/>
      <c r="K2405" s="23"/>
      <c r="M2405" s="23"/>
      <c r="N2405" s="23"/>
      <c r="P2405" s="23"/>
    </row>
    <row r="2406" spans="2:16" x14ac:dyDescent="0.25">
      <c r="B2406" s="23"/>
      <c r="E2406" s="23"/>
      <c r="G2406" s="23"/>
      <c r="H2406" s="23"/>
      <c r="J2406" s="23"/>
      <c r="K2406" s="23"/>
      <c r="M2406" s="23"/>
      <c r="N2406" s="23"/>
      <c r="P2406" s="23"/>
    </row>
    <row r="2407" spans="2:16" x14ac:dyDescent="0.25">
      <c r="B2407" s="23"/>
      <c r="E2407" s="23"/>
      <c r="G2407" s="23"/>
      <c r="H2407" s="23"/>
      <c r="J2407" s="23"/>
      <c r="K2407" s="23"/>
      <c r="M2407" s="23"/>
      <c r="N2407" s="23"/>
      <c r="P2407" s="23"/>
    </row>
    <row r="2408" spans="2:16" x14ac:dyDescent="0.25">
      <c r="B2408" s="23"/>
      <c r="E2408" s="23"/>
      <c r="G2408" s="23"/>
      <c r="H2408" s="23"/>
      <c r="J2408" s="23"/>
      <c r="K2408" s="23"/>
      <c r="M2408" s="23"/>
      <c r="N2408" s="23"/>
      <c r="P2408" s="23"/>
    </row>
    <row r="2409" spans="2:16" x14ac:dyDescent="0.25">
      <c r="B2409" s="23"/>
      <c r="E2409" s="23"/>
      <c r="G2409" s="23"/>
      <c r="H2409" s="23"/>
      <c r="J2409" s="23"/>
      <c r="K2409" s="23"/>
      <c r="M2409" s="23"/>
      <c r="N2409" s="23"/>
      <c r="P2409" s="23"/>
    </row>
    <row r="2410" spans="2:16" x14ac:dyDescent="0.25">
      <c r="B2410" s="23"/>
      <c r="E2410" s="23"/>
      <c r="G2410" s="23"/>
      <c r="H2410" s="23"/>
      <c r="J2410" s="23"/>
      <c r="K2410" s="23"/>
      <c r="M2410" s="23"/>
      <c r="N2410" s="23"/>
      <c r="P2410" s="23"/>
    </row>
    <row r="2411" spans="2:16" x14ac:dyDescent="0.25">
      <c r="B2411" s="23"/>
      <c r="E2411" s="23"/>
      <c r="G2411" s="23"/>
      <c r="H2411" s="23"/>
      <c r="J2411" s="23"/>
      <c r="K2411" s="23"/>
      <c r="M2411" s="23"/>
      <c r="N2411" s="23"/>
      <c r="P2411" s="23"/>
    </row>
    <row r="2412" spans="2:16" x14ac:dyDescent="0.25">
      <c r="B2412" s="23"/>
      <c r="E2412" s="23"/>
      <c r="G2412" s="23"/>
      <c r="H2412" s="23"/>
      <c r="J2412" s="23"/>
      <c r="K2412" s="23"/>
      <c r="M2412" s="23"/>
      <c r="N2412" s="23"/>
      <c r="P2412" s="23"/>
    </row>
    <row r="2413" spans="2:16" x14ac:dyDescent="0.25">
      <c r="B2413" s="23"/>
      <c r="E2413" s="23"/>
      <c r="G2413" s="23"/>
      <c r="H2413" s="23"/>
      <c r="J2413" s="23"/>
      <c r="K2413" s="23"/>
      <c r="M2413" s="23"/>
      <c r="N2413" s="23"/>
      <c r="P2413" s="23"/>
    </row>
    <row r="2414" spans="2:16" x14ac:dyDescent="0.25">
      <c r="B2414" s="23"/>
      <c r="E2414" s="23"/>
      <c r="G2414" s="23"/>
      <c r="H2414" s="23"/>
      <c r="J2414" s="23"/>
      <c r="K2414" s="23"/>
      <c r="M2414" s="23"/>
      <c r="N2414" s="23"/>
      <c r="P2414" s="23"/>
    </row>
    <row r="2415" spans="2:16" x14ac:dyDescent="0.25">
      <c r="B2415" s="23"/>
      <c r="E2415" s="23"/>
      <c r="G2415" s="23"/>
      <c r="H2415" s="23"/>
      <c r="J2415" s="23"/>
      <c r="K2415" s="23"/>
      <c r="M2415" s="23"/>
      <c r="N2415" s="23"/>
      <c r="P2415" s="23"/>
    </row>
    <row r="2416" spans="2:16" x14ac:dyDescent="0.25">
      <c r="B2416" s="23"/>
      <c r="E2416" s="23"/>
      <c r="G2416" s="23"/>
      <c r="H2416" s="23"/>
      <c r="J2416" s="23"/>
      <c r="K2416" s="23"/>
      <c r="M2416" s="23"/>
      <c r="N2416" s="23"/>
      <c r="P2416" s="23"/>
    </row>
    <row r="2417" spans="2:16" x14ac:dyDescent="0.25">
      <c r="B2417" s="23"/>
      <c r="E2417" s="23"/>
      <c r="G2417" s="23"/>
      <c r="H2417" s="23"/>
      <c r="J2417" s="23"/>
      <c r="K2417" s="23"/>
      <c r="M2417" s="23"/>
      <c r="N2417" s="23"/>
      <c r="P2417" s="23"/>
    </row>
    <row r="2418" spans="2:16" x14ac:dyDescent="0.25">
      <c r="B2418" s="23"/>
      <c r="E2418" s="23"/>
      <c r="G2418" s="23"/>
      <c r="H2418" s="23"/>
      <c r="J2418" s="23"/>
      <c r="K2418" s="23"/>
      <c r="M2418" s="23"/>
      <c r="N2418" s="23"/>
      <c r="P2418" s="23"/>
    </row>
    <row r="2419" spans="2:16" x14ac:dyDescent="0.25">
      <c r="B2419" s="23"/>
      <c r="E2419" s="23"/>
      <c r="G2419" s="23"/>
      <c r="H2419" s="23"/>
      <c r="J2419" s="23"/>
      <c r="K2419" s="23"/>
      <c r="M2419" s="23"/>
      <c r="N2419" s="23"/>
      <c r="P2419" s="23"/>
    </row>
    <row r="2420" spans="2:16" x14ac:dyDescent="0.25">
      <c r="B2420" s="23"/>
      <c r="E2420" s="23"/>
      <c r="G2420" s="23"/>
      <c r="H2420" s="23"/>
      <c r="J2420" s="23"/>
      <c r="K2420" s="23"/>
      <c r="M2420" s="23"/>
      <c r="N2420" s="23"/>
      <c r="P2420" s="23"/>
    </row>
    <row r="2421" spans="2:16" x14ac:dyDescent="0.25">
      <c r="B2421" s="23"/>
      <c r="E2421" s="23"/>
      <c r="G2421" s="23"/>
      <c r="H2421" s="23"/>
      <c r="J2421" s="23"/>
      <c r="K2421" s="23"/>
      <c r="M2421" s="23"/>
      <c r="N2421" s="23"/>
      <c r="P2421" s="23"/>
    </row>
    <row r="2422" spans="2:16" x14ac:dyDescent="0.25">
      <c r="B2422" s="23"/>
      <c r="E2422" s="23"/>
      <c r="G2422" s="23"/>
      <c r="H2422" s="23"/>
      <c r="J2422" s="23"/>
      <c r="K2422" s="23"/>
      <c r="M2422" s="23"/>
      <c r="N2422" s="23"/>
      <c r="P2422" s="23"/>
    </row>
    <row r="2423" spans="2:16" x14ac:dyDescent="0.25">
      <c r="B2423" s="23"/>
      <c r="E2423" s="23"/>
      <c r="G2423" s="23"/>
      <c r="H2423" s="23"/>
      <c r="J2423" s="23"/>
      <c r="K2423" s="23"/>
      <c r="M2423" s="23"/>
      <c r="N2423" s="23"/>
      <c r="P2423" s="23"/>
    </row>
    <row r="2424" spans="2:16" x14ac:dyDescent="0.25">
      <c r="B2424" s="23"/>
      <c r="E2424" s="23"/>
      <c r="G2424" s="23"/>
      <c r="H2424" s="23"/>
      <c r="J2424" s="23"/>
      <c r="K2424" s="23"/>
      <c r="M2424" s="23"/>
      <c r="N2424" s="23"/>
      <c r="P2424" s="23"/>
    </row>
    <row r="2425" spans="2:16" x14ac:dyDescent="0.25">
      <c r="B2425" s="23"/>
      <c r="E2425" s="23"/>
      <c r="G2425" s="23"/>
      <c r="H2425" s="23"/>
      <c r="J2425" s="23"/>
      <c r="K2425" s="23"/>
      <c r="M2425" s="23"/>
      <c r="N2425" s="23"/>
      <c r="P2425" s="23"/>
    </row>
    <row r="2426" spans="2:16" x14ac:dyDescent="0.25">
      <c r="B2426" s="23"/>
      <c r="E2426" s="23"/>
      <c r="G2426" s="23"/>
      <c r="H2426" s="23"/>
      <c r="J2426" s="23"/>
      <c r="K2426" s="23"/>
      <c r="M2426" s="23"/>
      <c r="N2426" s="23"/>
      <c r="P2426" s="23"/>
    </row>
    <row r="2427" spans="2:16" x14ac:dyDescent="0.25">
      <c r="B2427" s="23"/>
      <c r="E2427" s="23"/>
      <c r="G2427" s="23"/>
      <c r="H2427" s="23"/>
      <c r="J2427" s="23"/>
      <c r="K2427" s="23"/>
      <c r="M2427" s="23"/>
      <c r="N2427" s="23"/>
      <c r="P2427" s="23"/>
    </row>
    <row r="2428" spans="2:16" x14ac:dyDescent="0.25">
      <c r="B2428" s="23"/>
      <c r="E2428" s="23"/>
      <c r="G2428" s="23"/>
      <c r="H2428" s="23"/>
      <c r="J2428" s="23"/>
      <c r="K2428" s="23"/>
      <c r="M2428" s="23"/>
      <c r="N2428" s="23"/>
      <c r="P2428" s="23"/>
    </row>
    <row r="2429" spans="2:16" x14ac:dyDescent="0.25">
      <c r="B2429" s="23"/>
      <c r="E2429" s="23"/>
      <c r="G2429" s="23"/>
      <c r="H2429" s="23"/>
      <c r="J2429" s="23"/>
      <c r="K2429" s="23"/>
      <c r="M2429" s="23"/>
      <c r="N2429" s="23"/>
      <c r="P2429" s="23"/>
    </row>
    <row r="2430" spans="2:16" x14ac:dyDescent="0.25">
      <c r="B2430" s="23"/>
      <c r="E2430" s="23"/>
      <c r="G2430" s="23"/>
      <c r="H2430" s="23"/>
      <c r="J2430" s="23"/>
      <c r="K2430" s="23"/>
      <c r="M2430" s="23"/>
      <c r="N2430" s="23"/>
      <c r="P2430" s="23"/>
    </row>
    <row r="2431" spans="2:16" x14ac:dyDescent="0.25">
      <c r="B2431" s="23"/>
      <c r="E2431" s="23"/>
      <c r="G2431" s="23"/>
      <c r="H2431" s="23"/>
      <c r="J2431" s="23"/>
      <c r="K2431" s="23"/>
      <c r="M2431" s="23"/>
      <c r="N2431" s="23"/>
      <c r="P2431" s="23"/>
    </row>
    <row r="2432" spans="2:16" x14ac:dyDescent="0.25">
      <c r="B2432" s="23"/>
      <c r="E2432" s="23"/>
      <c r="G2432" s="23"/>
      <c r="H2432" s="23"/>
      <c r="J2432" s="23"/>
      <c r="K2432" s="23"/>
      <c r="M2432" s="23"/>
      <c r="N2432" s="23"/>
      <c r="P2432" s="23"/>
    </row>
    <row r="2433" spans="2:16" x14ac:dyDescent="0.25">
      <c r="B2433" s="23"/>
      <c r="E2433" s="23"/>
      <c r="G2433" s="23"/>
      <c r="H2433" s="23"/>
      <c r="J2433" s="23"/>
      <c r="K2433" s="23"/>
      <c r="M2433" s="23"/>
      <c r="N2433" s="23"/>
      <c r="P2433" s="23"/>
    </row>
    <row r="2434" spans="2:16" x14ac:dyDescent="0.25">
      <c r="B2434" s="23"/>
      <c r="E2434" s="23"/>
      <c r="G2434" s="23"/>
      <c r="H2434" s="23"/>
      <c r="J2434" s="23"/>
      <c r="K2434" s="23"/>
      <c r="M2434" s="23"/>
      <c r="N2434" s="23"/>
      <c r="P2434" s="23"/>
    </row>
    <row r="2435" spans="2:16" x14ac:dyDescent="0.25">
      <c r="B2435" s="23"/>
      <c r="E2435" s="23"/>
      <c r="G2435" s="23"/>
      <c r="H2435" s="23"/>
      <c r="J2435" s="23"/>
      <c r="K2435" s="23"/>
      <c r="M2435" s="23"/>
      <c r="N2435" s="23"/>
      <c r="P2435" s="23"/>
    </row>
    <row r="2436" spans="2:16" x14ac:dyDescent="0.25">
      <c r="B2436" s="23"/>
      <c r="E2436" s="23"/>
      <c r="G2436" s="23"/>
      <c r="H2436" s="23"/>
      <c r="J2436" s="23"/>
      <c r="K2436" s="23"/>
      <c r="M2436" s="23"/>
      <c r="N2436" s="23"/>
      <c r="P2436" s="23"/>
    </row>
    <row r="2437" spans="2:16" x14ac:dyDescent="0.25">
      <c r="B2437" s="23"/>
      <c r="E2437" s="23"/>
      <c r="G2437" s="23"/>
      <c r="H2437" s="23"/>
      <c r="J2437" s="23"/>
      <c r="K2437" s="23"/>
      <c r="M2437" s="23"/>
      <c r="N2437" s="23"/>
      <c r="P2437" s="23"/>
    </row>
    <row r="2438" spans="2:16" x14ac:dyDescent="0.25">
      <c r="B2438" s="23"/>
      <c r="E2438" s="23"/>
      <c r="G2438" s="23"/>
      <c r="H2438" s="23"/>
      <c r="J2438" s="23"/>
      <c r="K2438" s="23"/>
      <c r="M2438" s="23"/>
      <c r="N2438" s="23"/>
      <c r="P2438" s="23"/>
    </row>
    <row r="2439" spans="2:16" x14ac:dyDescent="0.25">
      <c r="B2439" s="23"/>
      <c r="E2439" s="23"/>
      <c r="G2439" s="23"/>
      <c r="H2439" s="23"/>
      <c r="J2439" s="23"/>
      <c r="K2439" s="23"/>
      <c r="M2439" s="23"/>
      <c r="N2439" s="23"/>
      <c r="P2439" s="23"/>
    </row>
    <row r="2440" spans="2:16" x14ac:dyDescent="0.25">
      <c r="B2440" s="23"/>
      <c r="E2440" s="23"/>
      <c r="G2440" s="23"/>
      <c r="H2440" s="23"/>
      <c r="J2440" s="23"/>
      <c r="K2440" s="23"/>
      <c r="M2440" s="23"/>
      <c r="N2440" s="23"/>
      <c r="P2440" s="23"/>
    </row>
    <row r="2441" spans="2:16" x14ac:dyDescent="0.25">
      <c r="B2441" s="23"/>
      <c r="E2441" s="23"/>
      <c r="G2441" s="23"/>
      <c r="H2441" s="23"/>
      <c r="J2441" s="23"/>
      <c r="K2441" s="23"/>
      <c r="M2441" s="23"/>
      <c r="N2441" s="23"/>
      <c r="P2441" s="23"/>
    </row>
    <row r="2442" spans="2:16" x14ac:dyDescent="0.25">
      <c r="B2442" s="23"/>
      <c r="E2442" s="23"/>
      <c r="G2442" s="23"/>
      <c r="H2442" s="23"/>
      <c r="J2442" s="23"/>
      <c r="K2442" s="23"/>
      <c r="M2442" s="23"/>
      <c r="N2442" s="23"/>
      <c r="P2442" s="23"/>
    </row>
    <row r="2443" spans="2:16" x14ac:dyDescent="0.25">
      <c r="B2443" s="23"/>
      <c r="E2443" s="23"/>
      <c r="G2443" s="23"/>
      <c r="H2443" s="23"/>
      <c r="J2443" s="23"/>
      <c r="K2443" s="23"/>
      <c r="M2443" s="23"/>
      <c r="N2443" s="23"/>
      <c r="P2443" s="23"/>
    </row>
    <row r="2444" spans="2:16" x14ac:dyDescent="0.25">
      <c r="B2444" s="23"/>
      <c r="E2444" s="23"/>
      <c r="G2444" s="23"/>
      <c r="H2444" s="23"/>
      <c r="J2444" s="23"/>
      <c r="K2444" s="23"/>
      <c r="M2444" s="23"/>
      <c r="N2444" s="23"/>
      <c r="P2444" s="23"/>
    </row>
    <row r="2445" spans="2:16" x14ac:dyDescent="0.25">
      <c r="B2445" s="23"/>
      <c r="E2445" s="23"/>
      <c r="G2445" s="23"/>
      <c r="H2445" s="23"/>
      <c r="J2445" s="23"/>
      <c r="K2445" s="23"/>
      <c r="M2445" s="23"/>
      <c r="N2445" s="23"/>
      <c r="P2445" s="23"/>
    </row>
    <row r="2446" spans="2:16" x14ac:dyDescent="0.25">
      <c r="B2446" s="23"/>
      <c r="E2446" s="23"/>
      <c r="G2446" s="23"/>
      <c r="H2446" s="23"/>
      <c r="J2446" s="23"/>
      <c r="K2446" s="23"/>
      <c r="M2446" s="23"/>
      <c r="N2446" s="23"/>
      <c r="P2446" s="23"/>
    </row>
    <row r="2447" spans="2:16" x14ac:dyDescent="0.25">
      <c r="B2447" s="23"/>
      <c r="E2447" s="23"/>
      <c r="G2447" s="23"/>
      <c r="H2447" s="23"/>
      <c r="J2447" s="23"/>
      <c r="K2447" s="23"/>
      <c r="M2447" s="23"/>
      <c r="N2447" s="23"/>
      <c r="P2447" s="23"/>
    </row>
    <row r="2448" spans="2:16" x14ac:dyDescent="0.25">
      <c r="B2448" s="23"/>
      <c r="E2448" s="23"/>
      <c r="G2448" s="23"/>
      <c r="H2448" s="23"/>
      <c r="J2448" s="23"/>
      <c r="K2448" s="23"/>
      <c r="M2448" s="23"/>
      <c r="N2448" s="23"/>
      <c r="P2448" s="23"/>
    </row>
    <row r="2449" spans="2:16" x14ac:dyDescent="0.25">
      <c r="B2449" s="23"/>
      <c r="E2449" s="23"/>
      <c r="G2449" s="23"/>
      <c r="H2449" s="23"/>
      <c r="J2449" s="23"/>
      <c r="K2449" s="23"/>
      <c r="M2449" s="23"/>
      <c r="N2449" s="23"/>
      <c r="P2449" s="23"/>
    </row>
    <row r="2450" spans="2:16" x14ac:dyDescent="0.25">
      <c r="B2450" s="23"/>
      <c r="E2450" s="23"/>
      <c r="G2450" s="23"/>
      <c r="H2450" s="23"/>
      <c r="J2450" s="23"/>
      <c r="K2450" s="23"/>
      <c r="M2450" s="23"/>
      <c r="N2450" s="23"/>
      <c r="P2450" s="23"/>
    </row>
    <row r="2451" spans="2:16" x14ac:dyDescent="0.25">
      <c r="B2451" s="23"/>
      <c r="E2451" s="23"/>
      <c r="G2451" s="23"/>
      <c r="H2451" s="23"/>
      <c r="J2451" s="23"/>
      <c r="K2451" s="23"/>
      <c r="M2451" s="23"/>
      <c r="N2451" s="23"/>
      <c r="P2451" s="23"/>
    </row>
    <row r="2452" spans="2:16" x14ac:dyDescent="0.25">
      <c r="B2452" s="23"/>
      <c r="E2452" s="23"/>
      <c r="G2452" s="23"/>
      <c r="H2452" s="23"/>
      <c r="J2452" s="23"/>
      <c r="K2452" s="23"/>
      <c r="M2452" s="23"/>
      <c r="N2452" s="23"/>
      <c r="P2452" s="23"/>
    </row>
    <row r="2453" spans="2:16" x14ac:dyDescent="0.25">
      <c r="B2453" s="23"/>
      <c r="E2453" s="23"/>
      <c r="G2453" s="23"/>
      <c r="H2453" s="23"/>
      <c r="J2453" s="23"/>
      <c r="K2453" s="23"/>
      <c r="M2453" s="23"/>
      <c r="N2453" s="23"/>
      <c r="P2453" s="23"/>
    </row>
    <row r="2454" spans="2:16" x14ac:dyDescent="0.25">
      <c r="B2454" s="23"/>
      <c r="E2454" s="23"/>
      <c r="G2454" s="23"/>
      <c r="H2454" s="23"/>
      <c r="J2454" s="23"/>
      <c r="K2454" s="23"/>
      <c r="M2454" s="23"/>
      <c r="N2454" s="23"/>
      <c r="P2454" s="23"/>
    </row>
    <row r="2455" spans="2:16" x14ac:dyDescent="0.25">
      <c r="B2455" s="23"/>
      <c r="E2455" s="23"/>
      <c r="G2455" s="23"/>
      <c r="H2455" s="23"/>
      <c r="J2455" s="23"/>
      <c r="K2455" s="23"/>
      <c r="M2455" s="23"/>
      <c r="N2455" s="23"/>
      <c r="P2455" s="23"/>
    </row>
    <row r="2456" spans="2:16" x14ac:dyDescent="0.25">
      <c r="B2456" s="23"/>
      <c r="E2456" s="23"/>
      <c r="G2456" s="23"/>
      <c r="H2456" s="23"/>
      <c r="J2456" s="23"/>
      <c r="K2456" s="23"/>
      <c r="M2456" s="23"/>
      <c r="N2456" s="23"/>
      <c r="P2456" s="23"/>
    </row>
    <row r="2457" spans="2:16" x14ac:dyDescent="0.25">
      <c r="B2457" s="23"/>
      <c r="E2457" s="23"/>
      <c r="G2457" s="23"/>
      <c r="H2457" s="23"/>
      <c r="J2457" s="23"/>
      <c r="K2457" s="23"/>
      <c r="M2457" s="23"/>
      <c r="N2457" s="23"/>
      <c r="P2457" s="23"/>
    </row>
    <row r="2458" spans="2:16" x14ac:dyDescent="0.25">
      <c r="B2458" s="23"/>
      <c r="E2458" s="23"/>
      <c r="G2458" s="23"/>
      <c r="H2458" s="23"/>
      <c r="J2458" s="23"/>
      <c r="K2458" s="23"/>
      <c r="M2458" s="23"/>
      <c r="N2458" s="23"/>
      <c r="P2458" s="23"/>
    </row>
    <row r="2459" spans="2:16" x14ac:dyDescent="0.25">
      <c r="B2459" s="23"/>
      <c r="E2459" s="23"/>
      <c r="G2459" s="23"/>
      <c r="H2459" s="23"/>
      <c r="J2459" s="23"/>
      <c r="K2459" s="23"/>
      <c r="M2459" s="23"/>
      <c r="N2459" s="23"/>
      <c r="P2459" s="23"/>
    </row>
    <row r="2460" spans="2:16" x14ac:dyDescent="0.25">
      <c r="B2460" s="23"/>
      <c r="E2460" s="23"/>
      <c r="G2460" s="23"/>
      <c r="H2460" s="23"/>
      <c r="J2460" s="23"/>
      <c r="K2460" s="23"/>
      <c r="M2460" s="23"/>
      <c r="N2460" s="23"/>
      <c r="P2460" s="23"/>
    </row>
    <row r="2461" spans="2:16" x14ac:dyDescent="0.25">
      <c r="B2461" s="23"/>
      <c r="E2461" s="23"/>
      <c r="G2461" s="23"/>
      <c r="H2461" s="23"/>
      <c r="J2461" s="23"/>
      <c r="K2461" s="23"/>
      <c r="M2461" s="23"/>
      <c r="N2461" s="23"/>
      <c r="P2461" s="23"/>
    </row>
    <row r="2462" spans="2:16" x14ac:dyDescent="0.25">
      <c r="B2462" s="23"/>
      <c r="E2462" s="23"/>
      <c r="G2462" s="23"/>
      <c r="H2462" s="23"/>
      <c r="J2462" s="23"/>
      <c r="K2462" s="23"/>
      <c r="M2462" s="23"/>
      <c r="N2462" s="23"/>
      <c r="P2462" s="23"/>
    </row>
    <row r="2463" spans="2:16" x14ac:dyDescent="0.25">
      <c r="B2463" s="23"/>
      <c r="E2463" s="23"/>
      <c r="G2463" s="23"/>
      <c r="H2463" s="23"/>
      <c r="J2463" s="23"/>
      <c r="K2463" s="23"/>
      <c r="M2463" s="23"/>
      <c r="N2463" s="23"/>
      <c r="P2463" s="23"/>
    </row>
    <row r="2464" spans="2:16" x14ac:dyDescent="0.25">
      <c r="B2464" s="23"/>
      <c r="E2464" s="23"/>
      <c r="G2464" s="23"/>
      <c r="H2464" s="23"/>
      <c r="J2464" s="23"/>
      <c r="K2464" s="23"/>
      <c r="M2464" s="23"/>
      <c r="N2464" s="23"/>
      <c r="P2464" s="23"/>
    </row>
    <row r="2465" spans="2:16" x14ac:dyDescent="0.25">
      <c r="B2465" s="23"/>
      <c r="E2465" s="23"/>
      <c r="G2465" s="23"/>
      <c r="H2465" s="23"/>
      <c r="J2465" s="23"/>
      <c r="K2465" s="23"/>
      <c r="M2465" s="23"/>
      <c r="N2465" s="23"/>
      <c r="P2465" s="23"/>
    </row>
    <row r="2466" spans="2:16" x14ac:dyDescent="0.25">
      <c r="B2466" s="23"/>
      <c r="E2466" s="23"/>
      <c r="G2466" s="23"/>
      <c r="H2466" s="23"/>
      <c r="J2466" s="23"/>
      <c r="K2466" s="23"/>
      <c r="M2466" s="23"/>
      <c r="N2466" s="23"/>
      <c r="P2466" s="23"/>
    </row>
    <row r="2467" spans="2:16" x14ac:dyDescent="0.25">
      <c r="B2467" s="23"/>
      <c r="E2467" s="23"/>
      <c r="G2467" s="23"/>
      <c r="H2467" s="23"/>
      <c r="J2467" s="23"/>
      <c r="K2467" s="23"/>
      <c r="M2467" s="23"/>
      <c r="N2467" s="23"/>
      <c r="P2467" s="23"/>
    </row>
    <row r="2468" spans="2:16" x14ac:dyDescent="0.25">
      <c r="B2468" s="23"/>
      <c r="E2468" s="23"/>
      <c r="G2468" s="23"/>
      <c r="H2468" s="23"/>
      <c r="J2468" s="23"/>
      <c r="K2468" s="23"/>
      <c r="M2468" s="23"/>
      <c r="N2468" s="23"/>
      <c r="P2468" s="23"/>
    </row>
    <row r="2469" spans="2:16" x14ac:dyDescent="0.25">
      <c r="B2469" s="23"/>
      <c r="E2469" s="23"/>
      <c r="G2469" s="23"/>
      <c r="H2469" s="23"/>
      <c r="J2469" s="23"/>
      <c r="K2469" s="23"/>
      <c r="M2469" s="23"/>
      <c r="N2469" s="23"/>
      <c r="P2469" s="23"/>
    </row>
    <row r="2470" spans="2:16" x14ac:dyDescent="0.25">
      <c r="B2470" s="23"/>
      <c r="E2470" s="23"/>
      <c r="G2470" s="23"/>
      <c r="H2470" s="23"/>
      <c r="J2470" s="23"/>
      <c r="K2470" s="23"/>
      <c r="M2470" s="23"/>
      <c r="N2470" s="23"/>
      <c r="P2470" s="23"/>
    </row>
    <row r="2471" spans="2:16" x14ac:dyDescent="0.25">
      <c r="B2471" s="23"/>
      <c r="E2471" s="23"/>
      <c r="G2471" s="23"/>
      <c r="H2471" s="23"/>
      <c r="J2471" s="23"/>
      <c r="K2471" s="23"/>
      <c r="M2471" s="23"/>
      <c r="N2471" s="23"/>
      <c r="P2471" s="23"/>
    </row>
    <row r="2472" spans="2:16" x14ac:dyDescent="0.25">
      <c r="B2472" s="23"/>
      <c r="E2472" s="23"/>
      <c r="G2472" s="23"/>
      <c r="H2472" s="23"/>
      <c r="J2472" s="23"/>
      <c r="K2472" s="23"/>
      <c r="M2472" s="23"/>
      <c r="N2472" s="23"/>
      <c r="P2472" s="23"/>
    </row>
    <row r="2473" spans="2:16" x14ac:dyDescent="0.25">
      <c r="B2473" s="23"/>
      <c r="E2473" s="23"/>
      <c r="G2473" s="23"/>
      <c r="H2473" s="23"/>
      <c r="J2473" s="23"/>
      <c r="K2473" s="23"/>
      <c r="M2473" s="23"/>
      <c r="N2473" s="23"/>
      <c r="P2473" s="23"/>
    </row>
    <row r="2474" spans="2:16" x14ac:dyDescent="0.25">
      <c r="B2474" s="23"/>
      <c r="E2474" s="23"/>
      <c r="G2474" s="23"/>
      <c r="H2474" s="23"/>
      <c r="J2474" s="23"/>
      <c r="K2474" s="23"/>
      <c r="M2474" s="23"/>
      <c r="N2474" s="23"/>
      <c r="P2474" s="23"/>
    </row>
    <row r="2475" spans="2:16" x14ac:dyDescent="0.25">
      <c r="B2475" s="23"/>
      <c r="E2475" s="23"/>
      <c r="G2475" s="23"/>
      <c r="H2475" s="23"/>
      <c r="J2475" s="23"/>
      <c r="K2475" s="23"/>
      <c r="M2475" s="23"/>
      <c r="N2475" s="23"/>
      <c r="P2475" s="23"/>
    </row>
    <row r="2476" spans="2:16" x14ac:dyDescent="0.25">
      <c r="B2476" s="23"/>
      <c r="E2476" s="23"/>
      <c r="G2476" s="23"/>
      <c r="H2476" s="23"/>
      <c r="J2476" s="23"/>
      <c r="K2476" s="23"/>
      <c r="M2476" s="23"/>
      <c r="N2476" s="23"/>
      <c r="P2476" s="23"/>
    </row>
    <row r="2477" spans="2:16" x14ac:dyDescent="0.25">
      <c r="B2477" s="23"/>
      <c r="E2477" s="23"/>
      <c r="G2477" s="23"/>
      <c r="H2477" s="23"/>
      <c r="J2477" s="23"/>
      <c r="K2477" s="23"/>
      <c r="M2477" s="23"/>
      <c r="N2477" s="23"/>
      <c r="P2477" s="23"/>
    </row>
    <row r="2478" spans="2:16" x14ac:dyDescent="0.25">
      <c r="B2478" s="23"/>
      <c r="E2478" s="23"/>
      <c r="G2478" s="23"/>
      <c r="H2478" s="23"/>
      <c r="J2478" s="23"/>
      <c r="K2478" s="23"/>
      <c r="M2478" s="23"/>
      <c r="N2478" s="23"/>
      <c r="P2478" s="23"/>
    </row>
    <row r="2479" spans="2:16" x14ac:dyDescent="0.25">
      <c r="B2479" s="23"/>
      <c r="E2479" s="23"/>
      <c r="G2479" s="23"/>
      <c r="H2479" s="23"/>
      <c r="J2479" s="23"/>
      <c r="K2479" s="23"/>
      <c r="M2479" s="23"/>
      <c r="N2479" s="23"/>
      <c r="P2479" s="23"/>
    </row>
    <row r="2480" spans="2:16" x14ac:dyDescent="0.25">
      <c r="B2480" s="23"/>
      <c r="E2480" s="23"/>
      <c r="G2480" s="23"/>
      <c r="H2480" s="23"/>
      <c r="J2480" s="23"/>
      <c r="K2480" s="23"/>
      <c r="M2480" s="23"/>
      <c r="N2480" s="23"/>
      <c r="P2480" s="23"/>
    </row>
    <row r="2481" spans="2:16" x14ac:dyDescent="0.25">
      <c r="B2481" s="23"/>
      <c r="E2481" s="23"/>
      <c r="G2481" s="23"/>
      <c r="H2481" s="23"/>
      <c r="J2481" s="23"/>
      <c r="K2481" s="23"/>
      <c r="M2481" s="23"/>
      <c r="N2481" s="23"/>
      <c r="P2481" s="23"/>
    </row>
    <row r="2482" spans="2:16" x14ac:dyDescent="0.25">
      <c r="B2482" s="23"/>
      <c r="E2482" s="23"/>
      <c r="G2482" s="23"/>
      <c r="H2482" s="23"/>
      <c r="J2482" s="23"/>
      <c r="K2482" s="23"/>
      <c r="M2482" s="23"/>
      <c r="N2482" s="23"/>
      <c r="P2482" s="23"/>
    </row>
    <row r="2483" spans="2:16" x14ac:dyDescent="0.25">
      <c r="B2483" s="23"/>
      <c r="E2483" s="23"/>
      <c r="G2483" s="23"/>
      <c r="H2483" s="23"/>
      <c r="J2483" s="23"/>
      <c r="K2483" s="23"/>
      <c r="M2483" s="23"/>
      <c r="N2483" s="23"/>
      <c r="P2483" s="23"/>
    </row>
    <row r="2484" spans="2:16" x14ac:dyDescent="0.25">
      <c r="B2484" s="23"/>
      <c r="E2484" s="23"/>
      <c r="G2484" s="23"/>
      <c r="H2484" s="23"/>
      <c r="J2484" s="23"/>
      <c r="K2484" s="23"/>
      <c r="M2484" s="23"/>
      <c r="N2484" s="23"/>
      <c r="P2484" s="23"/>
    </row>
    <row r="2485" spans="2:16" x14ac:dyDescent="0.25">
      <c r="B2485" s="23"/>
      <c r="E2485" s="23"/>
      <c r="G2485" s="23"/>
      <c r="H2485" s="23"/>
      <c r="J2485" s="23"/>
      <c r="K2485" s="23"/>
      <c r="M2485" s="23"/>
      <c r="N2485" s="23"/>
      <c r="P2485" s="23"/>
    </row>
    <row r="2486" spans="2:16" x14ac:dyDescent="0.25">
      <c r="B2486" s="23"/>
      <c r="E2486" s="23"/>
      <c r="G2486" s="23"/>
      <c r="H2486" s="23"/>
      <c r="J2486" s="23"/>
      <c r="K2486" s="23"/>
      <c r="M2486" s="23"/>
      <c r="N2486" s="23"/>
      <c r="P2486" s="23"/>
    </row>
    <row r="2487" spans="2:16" x14ac:dyDescent="0.25">
      <c r="B2487" s="23"/>
      <c r="E2487" s="23"/>
      <c r="G2487" s="23"/>
      <c r="H2487" s="23"/>
      <c r="J2487" s="23"/>
      <c r="K2487" s="23"/>
      <c r="M2487" s="23"/>
      <c r="N2487" s="23"/>
      <c r="P2487" s="23"/>
    </row>
    <row r="2488" spans="2:16" x14ac:dyDescent="0.25">
      <c r="B2488" s="23"/>
      <c r="E2488" s="23"/>
      <c r="G2488" s="23"/>
      <c r="H2488" s="23"/>
      <c r="J2488" s="23"/>
      <c r="K2488" s="23"/>
      <c r="M2488" s="23"/>
      <c r="N2488" s="23"/>
      <c r="P2488" s="23"/>
    </row>
    <row r="2489" spans="2:16" x14ac:dyDescent="0.25">
      <c r="B2489" s="23"/>
      <c r="E2489" s="23"/>
      <c r="G2489" s="23"/>
      <c r="H2489" s="23"/>
      <c r="J2489" s="23"/>
      <c r="K2489" s="23"/>
      <c r="M2489" s="23"/>
      <c r="N2489" s="23"/>
      <c r="P2489" s="23"/>
    </row>
    <row r="2490" spans="2:16" x14ac:dyDescent="0.25">
      <c r="B2490" s="23"/>
      <c r="E2490" s="23"/>
      <c r="G2490" s="23"/>
      <c r="H2490" s="23"/>
      <c r="J2490" s="23"/>
      <c r="K2490" s="23"/>
      <c r="M2490" s="23"/>
      <c r="N2490" s="23"/>
      <c r="P2490" s="23"/>
    </row>
    <row r="2491" spans="2:16" x14ac:dyDescent="0.25">
      <c r="B2491" s="23"/>
      <c r="E2491" s="23"/>
      <c r="G2491" s="23"/>
      <c r="H2491" s="23"/>
      <c r="J2491" s="23"/>
      <c r="K2491" s="23"/>
      <c r="M2491" s="23"/>
      <c r="N2491" s="23"/>
      <c r="P2491" s="23"/>
    </row>
    <row r="2492" spans="2:16" x14ac:dyDescent="0.25">
      <c r="B2492" s="23"/>
      <c r="E2492" s="23"/>
      <c r="G2492" s="23"/>
      <c r="H2492" s="23"/>
      <c r="J2492" s="23"/>
      <c r="K2492" s="23"/>
      <c r="M2492" s="23"/>
      <c r="N2492" s="23"/>
      <c r="P2492" s="23"/>
    </row>
    <row r="2493" spans="2:16" x14ac:dyDescent="0.25">
      <c r="B2493" s="23"/>
      <c r="E2493" s="23"/>
      <c r="G2493" s="23"/>
      <c r="H2493" s="23"/>
      <c r="J2493" s="23"/>
      <c r="K2493" s="23"/>
      <c r="M2493" s="23"/>
      <c r="N2493" s="23"/>
      <c r="P2493" s="23"/>
    </row>
    <row r="2494" spans="2:16" x14ac:dyDescent="0.25">
      <c r="B2494" s="23"/>
      <c r="E2494" s="23"/>
      <c r="G2494" s="23"/>
      <c r="H2494" s="23"/>
      <c r="J2494" s="23"/>
      <c r="K2494" s="23"/>
      <c r="M2494" s="23"/>
      <c r="N2494" s="23"/>
      <c r="P2494" s="23"/>
    </row>
    <row r="2495" spans="2:16" x14ac:dyDescent="0.25">
      <c r="B2495" s="23"/>
      <c r="E2495" s="23"/>
      <c r="G2495" s="23"/>
      <c r="H2495" s="23"/>
      <c r="J2495" s="23"/>
      <c r="K2495" s="23"/>
      <c r="M2495" s="23"/>
      <c r="N2495" s="23"/>
      <c r="P2495" s="23"/>
    </row>
    <row r="2496" spans="2:16" x14ac:dyDescent="0.25">
      <c r="B2496" s="23"/>
      <c r="E2496" s="23"/>
      <c r="G2496" s="23"/>
      <c r="H2496" s="23"/>
      <c r="J2496" s="23"/>
      <c r="K2496" s="23"/>
      <c r="M2496" s="23"/>
      <c r="N2496" s="23"/>
      <c r="P2496" s="23"/>
    </row>
    <row r="2497" spans="2:16" x14ac:dyDescent="0.25">
      <c r="B2497" s="23"/>
      <c r="E2497" s="23"/>
      <c r="G2497" s="23"/>
      <c r="H2497" s="23"/>
      <c r="J2497" s="23"/>
      <c r="K2497" s="23"/>
      <c r="M2497" s="23"/>
      <c r="N2497" s="23"/>
      <c r="P2497" s="23"/>
    </row>
    <row r="2498" spans="2:16" x14ac:dyDescent="0.25">
      <c r="B2498" s="23"/>
      <c r="E2498" s="23"/>
      <c r="G2498" s="23"/>
      <c r="H2498" s="23"/>
      <c r="J2498" s="23"/>
      <c r="K2498" s="23"/>
      <c r="M2498" s="23"/>
      <c r="N2498" s="23"/>
      <c r="P2498" s="23"/>
    </row>
    <row r="2499" spans="2:16" x14ac:dyDescent="0.25">
      <c r="B2499" s="23"/>
      <c r="E2499" s="23"/>
      <c r="G2499" s="23"/>
      <c r="H2499" s="23"/>
      <c r="J2499" s="23"/>
      <c r="K2499" s="23"/>
      <c r="M2499" s="23"/>
      <c r="N2499" s="23"/>
      <c r="P2499" s="23"/>
    </row>
    <row r="2500" spans="2:16" x14ac:dyDescent="0.25">
      <c r="B2500" s="23"/>
      <c r="E2500" s="23"/>
      <c r="G2500" s="23"/>
      <c r="H2500" s="23"/>
      <c r="J2500" s="23"/>
      <c r="K2500" s="23"/>
      <c r="M2500" s="23"/>
      <c r="N2500" s="23"/>
      <c r="P2500" s="23"/>
    </row>
    <row r="2501" spans="2:16" x14ac:dyDescent="0.25">
      <c r="B2501" s="23"/>
      <c r="E2501" s="23"/>
      <c r="G2501" s="23"/>
      <c r="H2501" s="23"/>
      <c r="J2501" s="23"/>
      <c r="K2501" s="23"/>
      <c r="M2501" s="23"/>
      <c r="N2501" s="23"/>
      <c r="P2501" s="23"/>
    </row>
    <row r="2502" spans="2:16" x14ac:dyDescent="0.25">
      <c r="B2502" s="23"/>
      <c r="E2502" s="23"/>
      <c r="G2502" s="23"/>
      <c r="H2502" s="23"/>
      <c r="J2502" s="23"/>
      <c r="K2502" s="23"/>
      <c r="M2502" s="23"/>
      <c r="N2502" s="23"/>
      <c r="P2502" s="23"/>
    </row>
    <row r="2503" spans="2:16" x14ac:dyDescent="0.25">
      <c r="B2503" s="23"/>
      <c r="E2503" s="23"/>
      <c r="G2503" s="23"/>
      <c r="H2503" s="23"/>
      <c r="J2503" s="23"/>
      <c r="K2503" s="23"/>
      <c r="M2503" s="23"/>
      <c r="N2503" s="23"/>
      <c r="P2503" s="23"/>
    </row>
    <row r="2504" spans="2:16" x14ac:dyDescent="0.25">
      <c r="B2504" s="23"/>
      <c r="E2504" s="23"/>
      <c r="G2504" s="23"/>
      <c r="H2504" s="23"/>
      <c r="J2504" s="23"/>
      <c r="K2504" s="23"/>
      <c r="M2504" s="23"/>
      <c r="N2504" s="23"/>
      <c r="P2504" s="23"/>
    </row>
    <row r="2505" spans="2:16" x14ac:dyDescent="0.25">
      <c r="B2505" s="23"/>
      <c r="E2505" s="23"/>
      <c r="G2505" s="23"/>
      <c r="H2505" s="23"/>
      <c r="J2505" s="23"/>
      <c r="K2505" s="23"/>
      <c r="M2505" s="23"/>
      <c r="N2505" s="23"/>
      <c r="P2505" s="23"/>
    </row>
    <row r="2506" spans="2:16" x14ac:dyDescent="0.25">
      <c r="B2506" s="23"/>
      <c r="E2506" s="23"/>
      <c r="G2506" s="23"/>
      <c r="H2506" s="23"/>
      <c r="J2506" s="23"/>
      <c r="K2506" s="23"/>
      <c r="M2506" s="23"/>
      <c r="N2506" s="23"/>
      <c r="P2506" s="23"/>
    </row>
    <row r="2507" spans="2:16" x14ac:dyDescent="0.25">
      <c r="B2507" s="23"/>
      <c r="E2507" s="23"/>
      <c r="G2507" s="23"/>
      <c r="H2507" s="23"/>
      <c r="J2507" s="23"/>
      <c r="K2507" s="23"/>
      <c r="M2507" s="23"/>
      <c r="N2507" s="23"/>
      <c r="P2507" s="23"/>
    </row>
    <row r="2508" spans="2:16" x14ac:dyDescent="0.25">
      <c r="B2508" s="23"/>
      <c r="E2508" s="23"/>
      <c r="G2508" s="23"/>
      <c r="H2508" s="23"/>
      <c r="J2508" s="23"/>
      <c r="K2508" s="23"/>
      <c r="M2508" s="23"/>
      <c r="N2508" s="23"/>
      <c r="P2508" s="23"/>
    </row>
    <row r="2509" spans="2:16" x14ac:dyDescent="0.25">
      <c r="B2509" s="23"/>
      <c r="E2509" s="23"/>
      <c r="G2509" s="23"/>
      <c r="H2509" s="23"/>
      <c r="J2509" s="23"/>
      <c r="K2509" s="23"/>
      <c r="M2509" s="23"/>
      <c r="N2509" s="23"/>
      <c r="P2509" s="23"/>
    </row>
    <row r="2510" spans="2:16" x14ac:dyDescent="0.25">
      <c r="B2510" s="23"/>
      <c r="E2510" s="23"/>
      <c r="G2510" s="23"/>
      <c r="H2510" s="23"/>
      <c r="J2510" s="23"/>
      <c r="K2510" s="23"/>
      <c r="M2510" s="23"/>
      <c r="N2510" s="23"/>
      <c r="P2510" s="23"/>
    </row>
    <row r="2511" spans="2:16" x14ac:dyDescent="0.25">
      <c r="B2511" s="23"/>
      <c r="E2511" s="23"/>
      <c r="G2511" s="23"/>
      <c r="H2511" s="23"/>
      <c r="J2511" s="23"/>
      <c r="K2511" s="23"/>
      <c r="M2511" s="23"/>
      <c r="N2511" s="23"/>
      <c r="P2511" s="23"/>
    </row>
    <row r="2512" spans="2:16" x14ac:dyDescent="0.25">
      <c r="B2512" s="23"/>
      <c r="E2512" s="23"/>
      <c r="G2512" s="23"/>
      <c r="H2512" s="23"/>
      <c r="J2512" s="23"/>
      <c r="K2512" s="23"/>
      <c r="M2512" s="23"/>
      <c r="N2512" s="23"/>
      <c r="P2512" s="23"/>
    </row>
    <row r="2513" spans="2:16" x14ac:dyDescent="0.25">
      <c r="B2513" s="23"/>
      <c r="E2513" s="23"/>
      <c r="G2513" s="23"/>
      <c r="H2513" s="23"/>
      <c r="J2513" s="23"/>
      <c r="K2513" s="23"/>
      <c r="M2513" s="23"/>
      <c r="N2513" s="23"/>
      <c r="P2513" s="23"/>
    </row>
    <row r="2514" spans="2:16" x14ac:dyDescent="0.25">
      <c r="B2514" s="23"/>
      <c r="E2514" s="23"/>
      <c r="G2514" s="23"/>
      <c r="H2514" s="23"/>
      <c r="J2514" s="23"/>
      <c r="K2514" s="23"/>
      <c r="M2514" s="23"/>
      <c r="N2514" s="23"/>
      <c r="P2514" s="23"/>
    </row>
    <row r="2515" spans="2:16" x14ac:dyDescent="0.25">
      <c r="B2515" s="23"/>
      <c r="E2515" s="23"/>
      <c r="G2515" s="23"/>
      <c r="H2515" s="23"/>
      <c r="J2515" s="23"/>
      <c r="K2515" s="23"/>
      <c r="M2515" s="23"/>
      <c r="N2515" s="23"/>
      <c r="P2515" s="23"/>
    </row>
    <row r="2516" spans="2:16" x14ac:dyDescent="0.25">
      <c r="B2516" s="23"/>
      <c r="E2516" s="23"/>
      <c r="G2516" s="23"/>
      <c r="H2516" s="23"/>
      <c r="J2516" s="23"/>
      <c r="K2516" s="23"/>
      <c r="M2516" s="23"/>
      <c r="N2516" s="23"/>
      <c r="P2516" s="23"/>
    </row>
    <row r="2517" spans="2:16" x14ac:dyDescent="0.25">
      <c r="B2517" s="23"/>
      <c r="E2517" s="23"/>
      <c r="G2517" s="23"/>
      <c r="H2517" s="23"/>
      <c r="J2517" s="23"/>
      <c r="K2517" s="23"/>
      <c r="M2517" s="23"/>
      <c r="N2517" s="23"/>
      <c r="P2517" s="23"/>
    </row>
    <row r="2518" spans="2:16" x14ac:dyDescent="0.25">
      <c r="B2518" s="23"/>
      <c r="E2518" s="23"/>
      <c r="G2518" s="23"/>
      <c r="H2518" s="23"/>
      <c r="J2518" s="23"/>
      <c r="K2518" s="23"/>
      <c r="M2518" s="23"/>
      <c r="N2518" s="23"/>
      <c r="P2518" s="23"/>
    </row>
    <row r="2519" spans="2:16" x14ac:dyDescent="0.25">
      <c r="B2519" s="23"/>
      <c r="E2519" s="23"/>
      <c r="G2519" s="23"/>
      <c r="H2519" s="23"/>
      <c r="J2519" s="23"/>
      <c r="K2519" s="23"/>
      <c r="M2519" s="23"/>
      <c r="N2519" s="23"/>
      <c r="P2519" s="23"/>
    </row>
    <row r="2520" spans="2:16" x14ac:dyDescent="0.25">
      <c r="B2520" s="23"/>
      <c r="E2520" s="23"/>
      <c r="G2520" s="23"/>
      <c r="H2520" s="23"/>
      <c r="J2520" s="23"/>
      <c r="K2520" s="23"/>
      <c r="M2520" s="23"/>
      <c r="N2520" s="23"/>
      <c r="P2520" s="23"/>
    </row>
    <row r="2521" spans="2:16" x14ac:dyDescent="0.25">
      <c r="B2521" s="23"/>
      <c r="E2521" s="23"/>
      <c r="G2521" s="23"/>
      <c r="H2521" s="23"/>
      <c r="J2521" s="23"/>
      <c r="K2521" s="23"/>
      <c r="M2521" s="23"/>
      <c r="N2521" s="23"/>
      <c r="P2521" s="23"/>
    </row>
    <row r="2522" spans="2:16" x14ac:dyDescent="0.25">
      <c r="B2522" s="23"/>
      <c r="E2522" s="23"/>
      <c r="G2522" s="23"/>
      <c r="H2522" s="23"/>
      <c r="J2522" s="23"/>
      <c r="K2522" s="23"/>
      <c r="M2522" s="23"/>
      <c r="N2522" s="23"/>
      <c r="P2522" s="23"/>
    </row>
    <row r="2523" spans="2:16" x14ac:dyDescent="0.25">
      <c r="B2523" s="23"/>
      <c r="E2523" s="23"/>
      <c r="G2523" s="23"/>
      <c r="H2523" s="23"/>
      <c r="J2523" s="23"/>
      <c r="K2523" s="23"/>
      <c r="M2523" s="23"/>
      <c r="N2523" s="23"/>
      <c r="P2523" s="23"/>
    </row>
    <row r="2524" spans="2:16" x14ac:dyDescent="0.25">
      <c r="B2524" s="23"/>
      <c r="E2524" s="23"/>
      <c r="G2524" s="23"/>
      <c r="H2524" s="23"/>
      <c r="J2524" s="23"/>
      <c r="K2524" s="23"/>
      <c r="M2524" s="23"/>
      <c r="N2524" s="23"/>
      <c r="P2524" s="23"/>
    </row>
    <row r="2525" spans="2:16" x14ac:dyDescent="0.25">
      <c r="B2525" s="23"/>
      <c r="E2525" s="23"/>
      <c r="G2525" s="23"/>
      <c r="H2525" s="23"/>
      <c r="J2525" s="23"/>
      <c r="K2525" s="23"/>
      <c r="M2525" s="23"/>
      <c r="N2525" s="23"/>
      <c r="P2525" s="23"/>
    </row>
    <row r="2526" spans="2:16" x14ac:dyDescent="0.25">
      <c r="B2526" s="23"/>
      <c r="E2526" s="23"/>
      <c r="G2526" s="23"/>
      <c r="H2526" s="23"/>
      <c r="J2526" s="23"/>
      <c r="K2526" s="23"/>
      <c r="M2526" s="23"/>
      <c r="N2526" s="23"/>
      <c r="P2526" s="23"/>
    </row>
    <row r="2527" spans="2:16" x14ac:dyDescent="0.25">
      <c r="B2527" s="23"/>
      <c r="E2527" s="23"/>
      <c r="G2527" s="23"/>
      <c r="H2527" s="23"/>
      <c r="J2527" s="23"/>
      <c r="K2527" s="23"/>
      <c r="M2527" s="23"/>
      <c r="N2527" s="23"/>
      <c r="P2527" s="23"/>
    </row>
    <row r="2528" spans="2:16" x14ac:dyDescent="0.25">
      <c r="B2528" s="23"/>
      <c r="E2528" s="23"/>
      <c r="G2528" s="23"/>
      <c r="H2528" s="23"/>
      <c r="J2528" s="23"/>
      <c r="K2528" s="23"/>
      <c r="M2528" s="23"/>
      <c r="N2528" s="23"/>
      <c r="P2528" s="23"/>
    </row>
    <row r="2529" spans="2:16" x14ac:dyDescent="0.25">
      <c r="B2529" s="23"/>
      <c r="E2529" s="23"/>
      <c r="G2529" s="23"/>
      <c r="H2529" s="23"/>
      <c r="J2529" s="23"/>
      <c r="K2529" s="23"/>
      <c r="M2529" s="23"/>
      <c r="N2529" s="23"/>
      <c r="P2529" s="23"/>
    </row>
    <row r="2530" spans="2:16" x14ac:dyDescent="0.25">
      <c r="B2530" s="23"/>
      <c r="E2530" s="23"/>
      <c r="G2530" s="23"/>
      <c r="H2530" s="23"/>
      <c r="J2530" s="23"/>
      <c r="K2530" s="23"/>
      <c r="M2530" s="23"/>
      <c r="N2530" s="23"/>
      <c r="P2530" s="23"/>
    </row>
    <row r="2531" spans="2:16" x14ac:dyDescent="0.25">
      <c r="B2531" s="23"/>
      <c r="E2531" s="23"/>
      <c r="G2531" s="23"/>
      <c r="H2531" s="23"/>
      <c r="J2531" s="23"/>
      <c r="K2531" s="23"/>
      <c r="M2531" s="23"/>
      <c r="N2531" s="23"/>
      <c r="P2531" s="23"/>
    </row>
    <row r="2532" spans="2:16" x14ac:dyDescent="0.25">
      <c r="B2532" s="23"/>
      <c r="E2532" s="23"/>
      <c r="G2532" s="23"/>
      <c r="H2532" s="23"/>
      <c r="J2532" s="23"/>
      <c r="K2532" s="23"/>
      <c r="M2532" s="23"/>
      <c r="N2532" s="23"/>
      <c r="P2532" s="23"/>
    </row>
    <row r="2533" spans="2:16" x14ac:dyDescent="0.25">
      <c r="B2533" s="23"/>
      <c r="E2533" s="23"/>
      <c r="G2533" s="23"/>
      <c r="H2533" s="23"/>
      <c r="J2533" s="23"/>
      <c r="K2533" s="23"/>
      <c r="M2533" s="23"/>
      <c r="N2533" s="23"/>
      <c r="P2533" s="23"/>
    </row>
    <row r="2534" spans="2:16" x14ac:dyDescent="0.25">
      <c r="B2534" s="23"/>
      <c r="E2534" s="23"/>
      <c r="G2534" s="23"/>
      <c r="H2534" s="23"/>
      <c r="J2534" s="23"/>
      <c r="K2534" s="23"/>
      <c r="M2534" s="23"/>
      <c r="N2534" s="23"/>
      <c r="P2534" s="23"/>
    </row>
    <row r="2535" spans="2:16" x14ac:dyDescent="0.25">
      <c r="B2535" s="23"/>
      <c r="E2535" s="23"/>
      <c r="G2535" s="23"/>
      <c r="H2535" s="23"/>
      <c r="J2535" s="23"/>
      <c r="K2535" s="23"/>
      <c r="M2535" s="23"/>
      <c r="N2535" s="23"/>
      <c r="P2535" s="23"/>
    </row>
    <row r="2536" spans="2:16" x14ac:dyDescent="0.25">
      <c r="B2536" s="23"/>
      <c r="E2536" s="23"/>
      <c r="G2536" s="23"/>
      <c r="H2536" s="23"/>
      <c r="J2536" s="23"/>
      <c r="K2536" s="23"/>
      <c r="M2536" s="23"/>
      <c r="N2536" s="23"/>
      <c r="P2536" s="23"/>
    </row>
    <row r="2537" spans="2:16" x14ac:dyDescent="0.25">
      <c r="B2537" s="23"/>
      <c r="E2537" s="23"/>
      <c r="G2537" s="23"/>
      <c r="H2537" s="23"/>
      <c r="J2537" s="23"/>
      <c r="K2537" s="23"/>
      <c r="M2537" s="23"/>
      <c r="N2537" s="23"/>
      <c r="P2537" s="23"/>
    </row>
    <row r="2538" spans="2:16" x14ac:dyDescent="0.25">
      <c r="B2538" s="23"/>
      <c r="E2538" s="23"/>
      <c r="G2538" s="23"/>
      <c r="H2538" s="23"/>
      <c r="J2538" s="23"/>
      <c r="K2538" s="23"/>
      <c r="M2538" s="23"/>
      <c r="N2538" s="23"/>
      <c r="P2538" s="23"/>
    </row>
    <row r="2539" spans="2:16" x14ac:dyDescent="0.25">
      <c r="B2539" s="23"/>
      <c r="E2539" s="23"/>
      <c r="G2539" s="23"/>
      <c r="H2539" s="23"/>
      <c r="J2539" s="23"/>
      <c r="K2539" s="23"/>
      <c r="M2539" s="23"/>
      <c r="N2539" s="23"/>
      <c r="P2539" s="23"/>
    </row>
    <row r="2540" spans="2:16" x14ac:dyDescent="0.25">
      <c r="B2540" s="23"/>
      <c r="E2540" s="23"/>
      <c r="G2540" s="23"/>
      <c r="H2540" s="23"/>
      <c r="J2540" s="23"/>
      <c r="K2540" s="23"/>
      <c r="M2540" s="23"/>
      <c r="N2540" s="23"/>
      <c r="P2540" s="23"/>
    </row>
    <row r="2541" spans="2:16" x14ac:dyDescent="0.25">
      <c r="B2541" s="23"/>
      <c r="E2541" s="23"/>
      <c r="G2541" s="23"/>
      <c r="H2541" s="23"/>
      <c r="J2541" s="23"/>
      <c r="K2541" s="23"/>
      <c r="M2541" s="23"/>
      <c r="N2541" s="23"/>
      <c r="P2541" s="23"/>
    </row>
    <row r="2542" spans="2:16" x14ac:dyDescent="0.25">
      <c r="B2542" s="23"/>
      <c r="E2542" s="23"/>
      <c r="G2542" s="23"/>
      <c r="H2542" s="23"/>
      <c r="J2542" s="23"/>
      <c r="K2542" s="23"/>
      <c r="M2542" s="23"/>
      <c r="N2542" s="23"/>
      <c r="P2542" s="23"/>
    </row>
    <row r="2543" spans="2:16" x14ac:dyDescent="0.25">
      <c r="B2543" s="23"/>
      <c r="E2543" s="23"/>
      <c r="G2543" s="23"/>
      <c r="H2543" s="23"/>
      <c r="J2543" s="23"/>
      <c r="K2543" s="23"/>
      <c r="M2543" s="23"/>
      <c r="N2543" s="23"/>
      <c r="P2543" s="23"/>
    </row>
    <row r="2544" spans="2:16" x14ac:dyDescent="0.25">
      <c r="B2544" s="23"/>
      <c r="E2544" s="23"/>
      <c r="G2544" s="23"/>
      <c r="H2544" s="23"/>
      <c r="J2544" s="23"/>
      <c r="K2544" s="23"/>
      <c r="M2544" s="23"/>
      <c r="N2544" s="23"/>
      <c r="P2544" s="23"/>
    </row>
    <row r="2545" spans="2:16" x14ac:dyDescent="0.25">
      <c r="B2545" s="23"/>
      <c r="E2545" s="23"/>
      <c r="G2545" s="23"/>
      <c r="H2545" s="23"/>
      <c r="J2545" s="23"/>
      <c r="K2545" s="23"/>
      <c r="M2545" s="23"/>
      <c r="N2545" s="23"/>
      <c r="P2545" s="23"/>
    </row>
    <row r="2546" spans="2:16" x14ac:dyDescent="0.25">
      <c r="B2546" s="23"/>
      <c r="E2546" s="23"/>
      <c r="G2546" s="23"/>
      <c r="H2546" s="23"/>
      <c r="J2546" s="23"/>
      <c r="K2546" s="23"/>
      <c r="M2546" s="23"/>
      <c r="N2546" s="23"/>
      <c r="P2546" s="23"/>
    </row>
    <row r="2547" spans="2:16" x14ac:dyDescent="0.25">
      <c r="B2547" s="23"/>
      <c r="E2547" s="23"/>
      <c r="G2547" s="23"/>
      <c r="H2547" s="23"/>
      <c r="J2547" s="23"/>
      <c r="K2547" s="23"/>
      <c r="M2547" s="23"/>
      <c r="N2547" s="23"/>
      <c r="P2547" s="23"/>
    </row>
    <row r="2548" spans="2:16" x14ac:dyDescent="0.25">
      <c r="B2548" s="23"/>
      <c r="E2548" s="23"/>
      <c r="G2548" s="23"/>
      <c r="H2548" s="23"/>
      <c r="J2548" s="23"/>
      <c r="K2548" s="23"/>
      <c r="M2548" s="23"/>
      <c r="N2548" s="23"/>
      <c r="P2548" s="23"/>
    </row>
    <row r="2549" spans="2:16" x14ac:dyDescent="0.25">
      <c r="B2549" s="23"/>
      <c r="E2549" s="23"/>
      <c r="G2549" s="23"/>
      <c r="H2549" s="23"/>
      <c r="J2549" s="23"/>
      <c r="K2549" s="23"/>
      <c r="M2549" s="23"/>
      <c r="N2549" s="23"/>
      <c r="P2549" s="23"/>
    </row>
    <row r="2550" spans="2:16" x14ac:dyDescent="0.25">
      <c r="B2550" s="23"/>
      <c r="E2550" s="23"/>
      <c r="G2550" s="23"/>
      <c r="H2550" s="23"/>
      <c r="J2550" s="23"/>
      <c r="K2550" s="23"/>
      <c r="M2550" s="23"/>
      <c r="N2550" s="23"/>
      <c r="P2550" s="23"/>
    </row>
    <row r="2551" spans="2:16" x14ac:dyDescent="0.25">
      <c r="B2551" s="23"/>
      <c r="E2551" s="23"/>
      <c r="G2551" s="23"/>
      <c r="H2551" s="23"/>
      <c r="J2551" s="23"/>
      <c r="K2551" s="23"/>
      <c r="M2551" s="23"/>
      <c r="N2551" s="23"/>
      <c r="P2551" s="23"/>
    </row>
    <row r="2552" spans="2:16" x14ac:dyDescent="0.25">
      <c r="B2552" s="23"/>
      <c r="E2552" s="23"/>
      <c r="G2552" s="23"/>
      <c r="H2552" s="23"/>
      <c r="J2552" s="23"/>
      <c r="K2552" s="23"/>
      <c r="M2552" s="23"/>
      <c r="N2552" s="23"/>
      <c r="P2552" s="23"/>
    </row>
    <row r="2553" spans="2:16" x14ac:dyDescent="0.25">
      <c r="B2553" s="23"/>
      <c r="E2553" s="23"/>
      <c r="G2553" s="23"/>
      <c r="H2553" s="23"/>
      <c r="J2553" s="23"/>
      <c r="K2553" s="23"/>
      <c r="M2553" s="23"/>
      <c r="N2553" s="23"/>
      <c r="P2553" s="23"/>
    </row>
    <row r="2554" spans="2:16" x14ac:dyDescent="0.25">
      <c r="B2554" s="23"/>
      <c r="E2554" s="23"/>
      <c r="G2554" s="23"/>
      <c r="H2554" s="23"/>
      <c r="J2554" s="23"/>
      <c r="K2554" s="23"/>
      <c r="M2554" s="23"/>
      <c r="N2554" s="23"/>
      <c r="P2554" s="23"/>
    </row>
    <row r="2555" spans="2:16" x14ac:dyDescent="0.25">
      <c r="B2555" s="23"/>
      <c r="E2555" s="23"/>
      <c r="G2555" s="23"/>
      <c r="H2555" s="23"/>
      <c r="J2555" s="23"/>
      <c r="K2555" s="23"/>
      <c r="M2555" s="23"/>
      <c r="N2555" s="23"/>
      <c r="P2555" s="23"/>
    </row>
    <row r="2556" spans="2:16" x14ac:dyDescent="0.25">
      <c r="B2556" s="23"/>
      <c r="E2556" s="23"/>
      <c r="G2556" s="23"/>
      <c r="H2556" s="23"/>
      <c r="J2556" s="23"/>
      <c r="K2556" s="23"/>
      <c r="M2556" s="23"/>
      <c r="N2556" s="23"/>
      <c r="P2556" s="23"/>
    </row>
    <row r="2557" spans="2:16" x14ac:dyDescent="0.25">
      <c r="B2557" s="23"/>
      <c r="E2557" s="23"/>
      <c r="G2557" s="23"/>
      <c r="H2557" s="23"/>
      <c r="J2557" s="23"/>
      <c r="K2557" s="23"/>
      <c r="M2557" s="23"/>
      <c r="N2557" s="23"/>
      <c r="P2557" s="23"/>
    </row>
    <row r="2558" spans="2:16" x14ac:dyDescent="0.25">
      <c r="B2558" s="23"/>
      <c r="E2558" s="23"/>
      <c r="G2558" s="23"/>
      <c r="H2558" s="23"/>
      <c r="J2558" s="23"/>
      <c r="K2558" s="23"/>
      <c r="M2558" s="23"/>
      <c r="N2558" s="23"/>
      <c r="P2558" s="23"/>
    </row>
    <row r="2559" spans="2:16" x14ac:dyDescent="0.25">
      <c r="B2559" s="23"/>
      <c r="E2559" s="23"/>
      <c r="G2559" s="23"/>
      <c r="H2559" s="23"/>
      <c r="J2559" s="23"/>
      <c r="K2559" s="23"/>
      <c r="M2559" s="23"/>
      <c r="N2559" s="23"/>
      <c r="P2559" s="23"/>
    </row>
    <row r="2560" spans="2:16" x14ac:dyDescent="0.25">
      <c r="B2560" s="23"/>
      <c r="E2560" s="23"/>
      <c r="G2560" s="23"/>
      <c r="H2560" s="23"/>
      <c r="J2560" s="23"/>
      <c r="K2560" s="23"/>
      <c r="M2560" s="23"/>
      <c r="N2560" s="23"/>
      <c r="P2560" s="23"/>
    </row>
    <row r="2561" spans="2:16" x14ac:dyDescent="0.25">
      <c r="B2561" s="23"/>
      <c r="E2561" s="23"/>
      <c r="G2561" s="23"/>
      <c r="H2561" s="23"/>
      <c r="J2561" s="23"/>
      <c r="K2561" s="23"/>
      <c r="M2561" s="23"/>
      <c r="N2561" s="23"/>
      <c r="P2561" s="23"/>
    </row>
    <row r="2562" spans="2:16" x14ac:dyDescent="0.25">
      <c r="B2562" s="23"/>
      <c r="E2562" s="23"/>
      <c r="G2562" s="23"/>
      <c r="H2562" s="23"/>
      <c r="J2562" s="23"/>
      <c r="K2562" s="23"/>
      <c r="M2562" s="23"/>
      <c r="N2562" s="23"/>
      <c r="P2562" s="23"/>
    </row>
    <row r="2563" spans="2:16" x14ac:dyDescent="0.25">
      <c r="B2563" s="23"/>
      <c r="E2563" s="23"/>
      <c r="G2563" s="23"/>
      <c r="H2563" s="23"/>
      <c r="J2563" s="23"/>
      <c r="K2563" s="23"/>
      <c r="M2563" s="23"/>
      <c r="N2563" s="23"/>
      <c r="P2563" s="23"/>
    </row>
    <row r="2564" spans="2:16" x14ac:dyDescent="0.25">
      <c r="B2564" s="23"/>
      <c r="E2564" s="23"/>
      <c r="G2564" s="23"/>
      <c r="H2564" s="23"/>
      <c r="J2564" s="23"/>
      <c r="K2564" s="23"/>
      <c r="M2564" s="23"/>
      <c r="N2564" s="23"/>
      <c r="P2564" s="23"/>
    </row>
    <row r="2565" spans="2:16" x14ac:dyDescent="0.25">
      <c r="B2565" s="23"/>
      <c r="E2565" s="23"/>
      <c r="G2565" s="23"/>
      <c r="H2565" s="23"/>
      <c r="J2565" s="23"/>
      <c r="K2565" s="23"/>
      <c r="M2565" s="23"/>
      <c r="N2565" s="23"/>
      <c r="P2565" s="23"/>
    </row>
    <row r="2566" spans="2:16" x14ac:dyDescent="0.25">
      <c r="B2566" s="23"/>
      <c r="E2566" s="23"/>
      <c r="G2566" s="23"/>
      <c r="H2566" s="23"/>
      <c r="J2566" s="23"/>
      <c r="K2566" s="23"/>
      <c r="M2566" s="23"/>
      <c r="N2566" s="23"/>
      <c r="P2566" s="23"/>
    </row>
    <row r="2567" spans="2:16" x14ac:dyDescent="0.25">
      <c r="B2567" s="23"/>
      <c r="E2567" s="23"/>
      <c r="G2567" s="23"/>
      <c r="H2567" s="23"/>
      <c r="J2567" s="23"/>
      <c r="K2567" s="23"/>
      <c r="M2567" s="23"/>
      <c r="N2567" s="23"/>
      <c r="P2567" s="23"/>
    </row>
    <row r="2568" spans="2:16" x14ac:dyDescent="0.25">
      <c r="B2568" s="23"/>
      <c r="E2568" s="23"/>
      <c r="G2568" s="23"/>
      <c r="H2568" s="23"/>
      <c r="J2568" s="23"/>
      <c r="K2568" s="23"/>
      <c r="M2568" s="23"/>
      <c r="N2568" s="23"/>
      <c r="P2568" s="23"/>
    </row>
    <row r="2569" spans="2:16" x14ac:dyDescent="0.25">
      <c r="B2569" s="23"/>
      <c r="E2569" s="23"/>
      <c r="G2569" s="23"/>
      <c r="H2569" s="23"/>
      <c r="J2569" s="23"/>
      <c r="K2569" s="23"/>
      <c r="M2569" s="23"/>
      <c r="N2569" s="23"/>
      <c r="P2569" s="23"/>
    </row>
    <row r="2570" spans="2:16" x14ac:dyDescent="0.25">
      <c r="B2570" s="23"/>
      <c r="E2570" s="23"/>
      <c r="G2570" s="23"/>
      <c r="H2570" s="23"/>
      <c r="J2570" s="23"/>
      <c r="K2570" s="23"/>
      <c r="M2570" s="23"/>
      <c r="N2570" s="23"/>
      <c r="P2570" s="23"/>
    </row>
    <row r="2571" spans="2:16" x14ac:dyDescent="0.25">
      <c r="B2571" s="23"/>
      <c r="E2571" s="23"/>
      <c r="G2571" s="23"/>
      <c r="H2571" s="23"/>
      <c r="J2571" s="23"/>
      <c r="K2571" s="23"/>
      <c r="M2571" s="23"/>
      <c r="N2571" s="23"/>
      <c r="P2571" s="23"/>
    </row>
    <row r="2572" spans="2:16" x14ac:dyDescent="0.25">
      <c r="B2572" s="23"/>
      <c r="E2572" s="23"/>
      <c r="G2572" s="23"/>
      <c r="H2572" s="23"/>
      <c r="J2572" s="23"/>
      <c r="K2572" s="23"/>
      <c r="M2572" s="23"/>
      <c r="N2572" s="23"/>
      <c r="P2572" s="23"/>
    </row>
    <row r="2573" spans="2:16" x14ac:dyDescent="0.25">
      <c r="B2573" s="23"/>
      <c r="E2573" s="23"/>
      <c r="G2573" s="23"/>
      <c r="H2573" s="23"/>
      <c r="J2573" s="23"/>
      <c r="K2573" s="23"/>
      <c r="M2573" s="23"/>
      <c r="N2573" s="23"/>
      <c r="P2573" s="23"/>
    </row>
    <row r="2574" spans="2:16" x14ac:dyDescent="0.25">
      <c r="B2574" s="23"/>
      <c r="E2574" s="23"/>
      <c r="G2574" s="23"/>
      <c r="H2574" s="23"/>
      <c r="J2574" s="23"/>
      <c r="K2574" s="23"/>
      <c r="M2574" s="23"/>
      <c r="N2574" s="23"/>
      <c r="P2574" s="23"/>
    </row>
    <row r="2575" spans="2:16" x14ac:dyDescent="0.25">
      <c r="B2575" s="23"/>
      <c r="E2575" s="23"/>
      <c r="G2575" s="23"/>
      <c r="H2575" s="23"/>
      <c r="J2575" s="23"/>
      <c r="K2575" s="23"/>
      <c r="M2575" s="23"/>
      <c r="N2575" s="23"/>
      <c r="P2575" s="23"/>
    </row>
    <row r="2576" spans="2:16" x14ac:dyDescent="0.25">
      <c r="B2576" s="23"/>
      <c r="E2576" s="23"/>
      <c r="G2576" s="23"/>
      <c r="H2576" s="23"/>
      <c r="J2576" s="23"/>
      <c r="K2576" s="23"/>
      <c r="M2576" s="23"/>
      <c r="N2576" s="23"/>
      <c r="P2576" s="23"/>
    </row>
    <row r="2577" spans="2:16" x14ac:dyDescent="0.25">
      <c r="B2577" s="23"/>
      <c r="E2577" s="23"/>
      <c r="G2577" s="23"/>
      <c r="H2577" s="23"/>
      <c r="J2577" s="23"/>
      <c r="K2577" s="23"/>
      <c r="M2577" s="23"/>
      <c r="N2577" s="23"/>
      <c r="P2577" s="23"/>
    </row>
    <row r="2578" spans="2:16" x14ac:dyDescent="0.25">
      <c r="B2578" s="23"/>
      <c r="E2578" s="23"/>
      <c r="G2578" s="23"/>
      <c r="H2578" s="23"/>
      <c r="J2578" s="23"/>
      <c r="K2578" s="23"/>
      <c r="M2578" s="23"/>
      <c r="N2578" s="23"/>
      <c r="P2578" s="23"/>
    </row>
    <row r="2579" spans="2:16" x14ac:dyDescent="0.25">
      <c r="B2579" s="23"/>
      <c r="E2579" s="23"/>
      <c r="G2579" s="23"/>
      <c r="H2579" s="23"/>
      <c r="J2579" s="23"/>
      <c r="K2579" s="23"/>
      <c r="M2579" s="23"/>
      <c r="N2579" s="23"/>
      <c r="P2579" s="23"/>
    </row>
    <row r="2580" spans="2:16" x14ac:dyDescent="0.25">
      <c r="B2580" s="23"/>
      <c r="E2580" s="23"/>
      <c r="G2580" s="23"/>
      <c r="H2580" s="23"/>
      <c r="J2580" s="23"/>
      <c r="K2580" s="23"/>
      <c r="M2580" s="23"/>
      <c r="N2580" s="23"/>
      <c r="P2580" s="23"/>
    </row>
    <row r="2581" spans="2:16" x14ac:dyDescent="0.25">
      <c r="B2581" s="23"/>
      <c r="E2581" s="23"/>
      <c r="G2581" s="23"/>
      <c r="H2581" s="23"/>
      <c r="J2581" s="23"/>
      <c r="K2581" s="23"/>
      <c r="M2581" s="23"/>
      <c r="N2581" s="23"/>
      <c r="P2581" s="23"/>
    </row>
    <row r="2582" spans="2:16" x14ac:dyDescent="0.25">
      <c r="B2582" s="23"/>
      <c r="E2582" s="23"/>
      <c r="G2582" s="23"/>
      <c r="H2582" s="23"/>
      <c r="J2582" s="23"/>
      <c r="K2582" s="23"/>
      <c r="M2582" s="23"/>
      <c r="N2582" s="23"/>
      <c r="P2582" s="23"/>
    </row>
    <row r="2583" spans="2:16" x14ac:dyDescent="0.25">
      <c r="B2583" s="23"/>
      <c r="E2583" s="23"/>
      <c r="G2583" s="23"/>
      <c r="H2583" s="23"/>
      <c r="J2583" s="23"/>
      <c r="K2583" s="23"/>
      <c r="M2583" s="23"/>
      <c r="N2583" s="23"/>
      <c r="P2583" s="23"/>
    </row>
    <row r="2584" spans="2:16" x14ac:dyDescent="0.25">
      <c r="B2584" s="23"/>
      <c r="E2584" s="23"/>
      <c r="G2584" s="23"/>
      <c r="H2584" s="23"/>
      <c r="J2584" s="23"/>
      <c r="K2584" s="23"/>
      <c r="M2584" s="23"/>
      <c r="N2584" s="23"/>
      <c r="P2584" s="23"/>
    </row>
    <row r="2585" spans="2:16" x14ac:dyDescent="0.25">
      <c r="B2585" s="23"/>
      <c r="E2585" s="23"/>
      <c r="G2585" s="23"/>
      <c r="H2585" s="23"/>
      <c r="J2585" s="23"/>
      <c r="K2585" s="23"/>
      <c r="M2585" s="23"/>
      <c r="N2585" s="23"/>
      <c r="P2585" s="23"/>
    </row>
    <row r="2586" spans="2:16" x14ac:dyDescent="0.25">
      <c r="B2586" s="23"/>
      <c r="E2586" s="23"/>
      <c r="G2586" s="23"/>
      <c r="H2586" s="23"/>
      <c r="J2586" s="23"/>
      <c r="K2586" s="23"/>
      <c r="M2586" s="23"/>
      <c r="N2586" s="23"/>
      <c r="P2586" s="23"/>
    </row>
    <row r="2587" spans="2:16" x14ac:dyDescent="0.25">
      <c r="B2587" s="23"/>
      <c r="E2587" s="23"/>
      <c r="G2587" s="23"/>
      <c r="H2587" s="23"/>
      <c r="J2587" s="23"/>
      <c r="K2587" s="23"/>
      <c r="M2587" s="23"/>
      <c r="N2587" s="23"/>
      <c r="P2587" s="23"/>
    </row>
    <row r="2588" spans="2:16" x14ac:dyDescent="0.25">
      <c r="B2588" s="23"/>
      <c r="E2588" s="23"/>
      <c r="G2588" s="23"/>
      <c r="H2588" s="23"/>
      <c r="J2588" s="23"/>
      <c r="K2588" s="23"/>
      <c r="M2588" s="23"/>
      <c r="N2588" s="23"/>
      <c r="P2588" s="23"/>
    </row>
    <row r="2589" spans="2:16" x14ac:dyDescent="0.25">
      <c r="B2589" s="23"/>
      <c r="E2589" s="23"/>
      <c r="G2589" s="23"/>
      <c r="H2589" s="23"/>
      <c r="J2589" s="23"/>
      <c r="K2589" s="23"/>
      <c r="M2589" s="23"/>
      <c r="N2589" s="23"/>
      <c r="P2589" s="23"/>
    </row>
    <row r="2590" spans="2:16" x14ac:dyDescent="0.25">
      <c r="B2590" s="23"/>
      <c r="E2590" s="23"/>
      <c r="G2590" s="23"/>
      <c r="H2590" s="23"/>
      <c r="J2590" s="23"/>
      <c r="K2590" s="23"/>
      <c r="M2590" s="23"/>
      <c r="N2590" s="23"/>
      <c r="P2590" s="23"/>
    </row>
    <row r="2591" spans="2:16" x14ac:dyDescent="0.25">
      <c r="B2591" s="23"/>
      <c r="E2591" s="23"/>
      <c r="G2591" s="23"/>
      <c r="H2591" s="23"/>
      <c r="J2591" s="23"/>
      <c r="K2591" s="23"/>
      <c r="M2591" s="23"/>
      <c r="N2591" s="23"/>
      <c r="P2591" s="23"/>
    </row>
    <row r="2592" spans="2:16" x14ac:dyDescent="0.25">
      <c r="B2592" s="23"/>
      <c r="E2592" s="23"/>
      <c r="G2592" s="23"/>
      <c r="H2592" s="23"/>
      <c r="J2592" s="23"/>
      <c r="K2592" s="23"/>
      <c r="M2592" s="23"/>
      <c r="N2592" s="23"/>
      <c r="P2592" s="23"/>
    </row>
    <row r="2593" spans="2:16" x14ac:dyDescent="0.25">
      <c r="B2593" s="23"/>
      <c r="E2593" s="23"/>
      <c r="G2593" s="23"/>
      <c r="H2593" s="23"/>
      <c r="J2593" s="23"/>
      <c r="K2593" s="23"/>
      <c r="M2593" s="23"/>
      <c r="N2593" s="23"/>
      <c r="P2593" s="23"/>
    </row>
    <row r="2594" spans="2:16" x14ac:dyDescent="0.25">
      <c r="B2594" s="23"/>
      <c r="E2594" s="23"/>
      <c r="G2594" s="23"/>
      <c r="H2594" s="23"/>
      <c r="J2594" s="23"/>
      <c r="K2594" s="23"/>
      <c r="M2594" s="23"/>
      <c r="N2594" s="23"/>
      <c r="P2594" s="23"/>
    </row>
    <row r="2595" spans="2:16" x14ac:dyDescent="0.25">
      <c r="B2595" s="23"/>
      <c r="E2595" s="23"/>
      <c r="G2595" s="23"/>
      <c r="H2595" s="23"/>
      <c r="J2595" s="23"/>
      <c r="K2595" s="23"/>
      <c r="M2595" s="23"/>
      <c r="N2595" s="23"/>
      <c r="P2595" s="23"/>
    </row>
    <row r="2596" spans="2:16" x14ac:dyDescent="0.25">
      <c r="B2596" s="23"/>
      <c r="E2596" s="23"/>
      <c r="G2596" s="23"/>
      <c r="H2596" s="23"/>
      <c r="J2596" s="23"/>
      <c r="K2596" s="23"/>
      <c r="M2596" s="23"/>
      <c r="N2596" s="23"/>
      <c r="P2596" s="23"/>
    </row>
    <row r="2597" spans="2:16" x14ac:dyDescent="0.25">
      <c r="B2597" s="23"/>
      <c r="E2597" s="23"/>
      <c r="G2597" s="23"/>
      <c r="H2597" s="23"/>
      <c r="J2597" s="23"/>
      <c r="K2597" s="23"/>
      <c r="M2597" s="23"/>
      <c r="N2597" s="23"/>
      <c r="P2597" s="23"/>
    </row>
    <row r="2598" spans="2:16" x14ac:dyDescent="0.25">
      <c r="B2598" s="23"/>
      <c r="E2598" s="23"/>
      <c r="G2598" s="23"/>
      <c r="H2598" s="23"/>
      <c r="J2598" s="23"/>
      <c r="K2598" s="23"/>
      <c r="M2598" s="23"/>
      <c r="N2598" s="23"/>
      <c r="P2598" s="23"/>
    </row>
    <row r="2599" spans="2:16" x14ac:dyDescent="0.25">
      <c r="B2599" s="23"/>
      <c r="E2599" s="23"/>
      <c r="G2599" s="23"/>
      <c r="H2599" s="23"/>
      <c r="J2599" s="23"/>
      <c r="K2599" s="23"/>
      <c r="M2599" s="23"/>
      <c r="N2599" s="23"/>
      <c r="P2599" s="23"/>
    </row>
    <row r="2600" spans="2:16" x14ac:dyDescent="0.25">
      <c r="B2600" s="23"/>
      <c r="E2600" s="23"/>
      <c r="G2600" s="23"/>
      <c r="H2600" s="23"/>
      <c r="J2600" s="23"/>
      <c r="K2600" s="23"/>
      <c r="M2600" s="23"/>
      <c r="N2600" s="23"/>
      <c r="P2600" s="23"/>
    </row>
    <row r="2601" spans="2:16" x14ac:dyDescent="0.25">
      <c r="B2601" s="23"/>
      <c r="E2601" s="23"/>
      <c r="G2601" s="23"/>
      <c r="H2601" s="23"/>
      <c r="J2601" s="23"/>
      <c r="K2601" s="23"/>
      <c r="M2601" s="23"/>
      <c r="N2601" s="23"/>
      <c r="P2601" s="23"/>
    </row>
    <row r="2602" spans="2:16" x14ac:dyDescent="0.25">
      <c r="B2602" s="23"/>
      <c r="E2602" s="23"/>
      <c r="G2602" s="23"/>
      <c r="H2602" s="23"/>
      <c r="J2602" s="23"/>
      <c r="K2602" s="23"/>
      <c r="M2602" s="23"/>
      <c r="N2602" s="23"/>
      <c r="P2602" s="23"/>
    </row>
    <row r="2603" spans="2:16" x14ac:dyDescent="0.25">
      <c r="B2603" s="23"/>
      <c r="E2603" s="23"/>
      <c r="G2603" s="23"/>
      <c r="H2603" s="23"/>
      <c r="J2603" s="23"/>
      <c r="K2603" s="23"/>
      <c r="M2603" s="23"/>
      <c r="N2603" s="23"/>
      <c r="P2603" s="23"/>
    </row>
    <row r="2604" spans="2:16" x14ac:dyDescent="0.25">
      <c r="B2604" s="23"/>
      <c r="E2604" s="23"/>
      <c r="G2604" s="23"/>
      <c r="H2604" s="23"/>
      <c r="J2604" s="23"/>
      <c r="K2604" s="23"/>
      <c r="M2604" s="23"/>
      <c r="N2604" s="23"/>
      <c r="P2604" s="23"/>
    </row>
    <row r="2605" spans="2:16" x14ac:dyDescent="0.25">
      <c r="B2605" s="23"/>
      <c r="E2605" s="23"/>
      <c r="G2605" s="23"/>
      <c r="H2605" s="23"/>
      <c r="J2605" s="23"/>
      <c r="K2605" s="23"/>
      <c r="M2605" s="23"/>
      <c r="N2605" s="23"/>
      <c r="P2605" s="23"/>
    </row>
    <row r="2606" spans="2:16" x14ac:dyDescent="0.25">
      <c r="B2606" s="23"/>
      <c r="E2606" s="23"/>
      <c r="G2606" s="23"/>
      <c r="H2606" s="23"/>
      <c r="J2606" s="23"/>
      <c r="K2606" s="23"/>
      <c r="M2606" s="23"/>
      <c r="N2606" s="23"/>
      <c r="P2606" s="23"/>
    </row>
    <row r="2607" spans="2:16" x14ac:dyDescent="0.25">
      <c r="B2607" s="23"/>
      <c r="E2607" s="23"/>
      <c r="G2607" s="23"/>
      <c r="H2607" s="23"/>
      <c r="J2607" s="23"/>
      <c r="K2607" s="23"/>
      <c r="M2607" s="23"/>
      <c r="N2607" s="23"/>
      <c r="P2607" s="23"/>
    </row>
    <row r="2608" spans="2:16" x14ac:dyDescent="0.25">
      <c r="B2608" s="23"/>
      <c r="E2608" s="23"/>
      <c r="G2608" s="23"/>
      <c r="H2608" s="23"/>
      <c r="J2608" s="23"/>
      <c r="K2608" s="23"/>
      <c r="M2608" s="23"/>
      <c r="N2608" s="23"/>
      <c r="P2608" s="23"/>
    </row>
    <row r="2609" spans="2:16" x14ac:dyDescent="0.25">
      <c r="B2609" s="23"/>
      <c r="E2609" s="23"/>
      <c r="G2609" s="23"/>
      <c r="H2609" s="23"/>
      <c r="J2609" s="23"/>
      <c r="K2609" s="23"/>
      <c r="M2609" s="23"/>
      <c r="N2609" s="23"/>
      <c r="P2609" s="23"/>
    </row>
    <row r="2610" spans="2:16" x14ac:dyDescent="0.25">
      <c r="B2610" s="23"/>
      <c r="E2610" s="23"/>
      <c r="G2610" s="23"/>
      <c r="H2610" s="23"/>
      <c r="J2610" s="23"/>
      <c r="K2610" s="23"/>
      <c r="M2610" s="23"/>
      <c r="N2610" s="23"/>
      <c r="P2610" s="23"/>
    </row>
    <row r="2611" spans="2:16" x14ac:dyDescent="0.25">
      <c r="B2611" s="23"/>
      <c r="E2611" s="23"/>
      <c r="G2611" s="23"/>
      <c r="H2611" s="23"/>
      <c r="J2611" s="23"/>
      <c r="K2611" s="23"/>
      <c r="M2611" s="23"/>
      <c r="N2611" s="23"/>
      <c r="P2611" s="23"/>
    </row>
    <row r="2612" spans="2:16" x14ac:dyDescent="0.25">
      <c r="B2612" s="23"/>
      <c r="E2612" s="23"/>
      <c r="G2612" s="23"/>
      <c r="H2612" s="23"/>
      <c r="J2612" s="23"/>
      <c r="K2612" s="23"/>
      <c r="M2612" s="23"/>
      <c r="N2612" s="23"/>
      <c r="P2612" s="23"/>
    </row>
    <row r="2613" spans="2:16" x14ac:dyDescent="0.25">
      <c r="B2613" s="23"/>
      <c r="E2613" s="23"/>
      <c r="G2613" s="23"/>
      <c r="H2613" s="23"/>
      <c r="J2613" s="23"/>
      <c r="K2613" s="23"/>
      <c r="M2613" s="23"/>
      <c r="N2613" s="23"/>
      <c r="P2613" s="23"/>
    </row>
    <row r="2614" spans="2:16" x14ac:dyDescent="0.25">
      <c r="B2614" s="23"/>
      <c r="E2614" s="23"/>
      <c r="G2614" s="23"/>
      <c r="H2614" s="23"/>
      <c r="J2614" s="23"/>
      <c r="K2614" s="23"/>
      <c r="M2614" s="23"/>
      <c r="N2614" s="23"/>
      <c r="P2614" s="23"/>
    </row>
    <row r="2615" spans="2:16" x14ac:dyDescent="0.25">
      <c r="B2615" s="23"/>
      <c r="E2615" s="23"/>
      <c r="G2615" s="23"/>
      <c r="H2615" s="23"/>
      <c r="J2615" s="23"/>
      <c r="K2615" s="23"/>
      <c r="M2615" s="23"/>
      <c r="N2615" s="23"/>
      <c r="P2615" s="23"/>
    </row>
    <row r="2616" spans="2:16" x14ac:dyDescent="0.25">
      <c r="B2616" s="23"/>
      <c r="E2616" s="23"/>
      <c r="G2616" s="23"/>
      <c r="H2616" s="23"/>
      <c r="J2616" s="23"/>
      <c r="K2616" s="23"/>
      <c r="M2616" s="23"/>
      <c r="N2616" s="23"/>
      <c r="P2616" s="23"/>
    </row>
    <row r="2617" spans="2:16" x14ac:dyDescent="0.25">
      <c r="B2617" s="23"/>
      <c r="E2617" s="23"/>
      <c r="G2617" s="23"/>
      <c r="H2617" s="23"/>
      <c r="J2617" s="23"/>
      <c r="K2617" s="23"/>
      <c r="M2617" s="23"/>
      <c r="N2617" s="23"/>
      <c r="P2617" s="23"/>
    </row>
    <row r="2618" spans="2:16" x14ac:dyDescent="0.25">
      <c r="B2618" s="23"/>
      <c r="E2618" s="23"/>
      <c r="G2618" s="23"/>
      <c r="H2618" s="23"/>
      <c r="J2618" s="23"/>
      <c r="K2618" s="23"/>
      <c r="M2618" s="23"/>
      <c r="N2618" s="23"/>
      <c r="P2618" s="23"/>
    </row>
    <row r="2619" spans="2:16" x14ac:dyDescent="0.25">
      <c r="B2619" s="23"/>
      <c r="E2619" s="23"/>
      <c r="G2619" s="23"/>
      <c r="H2619" s="23"/>
      <c r="J2619" s="23"/>
      <c r="K2619" s="23"/>
      <c r="M2619" s="23"/>
      <c r="N2619" s="23"/>
      <c r="P2619" s="23"/>
    </row>
    <row r="2620" spans="2:16" x14ac:dyDescent="0.25">
      <c r="B2620" s="23"/>
      <c r="E2620" s="23"/>
      <c r="G2620" s="23"/>
      <c r="H2620" s="23"/>
      <c r="J2620" s="23"/>
      <c r="K2620" s="23"/>
      <c r="M2620" s="23"/>
      <c r="N2620" s="23"/>
      <c r="P2620" s="23"/>
    </row>
    <row r="2621" spans="2:16" x14ac:dyDescent="0.25">
      <c r="B2621" s="23"/>
      <c r="E2621" s="23"/>
      <c r="G2621" s="23"/>
      <c r="H2621" s="23"/>
      <c r="J2621" s="23"/>
      <c r="K2621" s="23"/>
      <c r="M2621" s="23"/>
      <c r="N2621" s="23"/>
      <c r="P2621" s="23"/>
    </row>
    <row r="2622" spans="2:16" x14ac:dyDescent="0.25">
      <c r="B2622" s="23"/>
      <c r="E2622" s="23"/>
      <c r="G2622" s="23"/>
      <c r="H2622" s="23"/>
      <c r="J2622" s="23"/>
      <c r="K2622" s="23"/>
      <c r="M2622" s="23"/>
      <c r="N2622" s="23"/>
      <c r="P2622" s="23"/>
    </row>
    <row r="2623" spans="2:16" x14ac:dyDescent="0.25">
      <c r="B2623" s="23"/>
      <c r="E2623" s="23"/>
      <c r="G2623" s="23"/>
      <c r="H2623" s="23"/>
      <c r="J2623" s="23"/>
      <c r="K2623" s="23"/>
      <c r="M2623" s="23"/>
      <c r="N2623" s="23"/>
      <c r="P2623" s="23"/>
    </row>
    <row r="2624" spans="2:16" x14ac:dyDescent="0.25">
      <c r="B2624" s="23"/>
      <c r="E2624" s="23"/>
      <c r="G2624" s="23"/>
      <c r="H2624" s="23"/>
      <c r="J2624" s="23"/>
      <c r="K2624" s="23"/>
      <c r="M2624" s="23"/>
      <c r="N2624" s="23"/>
      <c r="P2624" s="23"/>
    </row>
    <row r="2625" spans="2:16" x14ac:dyDescent="0.25">
      <c r="B2625" s="23"/>
      <c r="E2625" s="23"/>
      <c r="G2625" s="23"/>
      <c r="H2625" s="23"/>
      <c r="J2625" s="23"/>
      <c r="K2625" s="23"/>
      <c r="M2625" s="23"/>
      <c r="N2625" s="23"/>
      <c r="P2625" s="23"/>
    </row>
    <row r="2626" spans="2:16" x14ac:dyDescent="0.25">
      <c r="B2626" s="23"/>
      <c r="E2626" s="23"/>
      <c r="G2626" s="23"/>
      <c r="H2626" s="23"/>
      <c r="J2626" s="23"/>
      <c r="K2626" s="23"/>
      <c r="M2626" s="23"/>
      <c r="N2626" s="23"/>
      <c r="P2626" s="23"/>
    </row>
    <row r="2627" spans="2:16" x14ac:dyDescent="0.25">
      <c r="B2627" s="23"/>
      <c r="E2627" s="23"/>
      <c r="G2627" s="23"/>
      <c r="H2627" s="23"/>
      <c r="J2627" s="23"/>
      <c r="K2627" s="23"/>
      <c r="M2627" s="23"/>
      <c r="N2627" s="23"/>
      <c r="P2627" s="23"/>
    </row>
    <row r="2628" spans="2:16" x14ac:dyDescent="0.25">
      <c r="B2628" s="23"/>
      <c r="E2628" s="23"/>
      <c r="G2628" s="23"/>
      <c r="H2628" s="23"/>
      <c r="J2628" s="23"/>
      <c r="K2628" s="23"/>
      <c r="M2628" s="23"/>
      <c r="N2628" s="23"/>
      <c r="P2628" s="23"/>
    </row>
    <row r="2629" spans="2:16" x14ac:dyDescent="0.25">
      <c r="B2629" s="23"/>
      <c r="E2629" s="23"/>
      <c r="G2629" s="23"/>
      <c r="H2629" s="23"/>
      <c r="J2629" s="23"/>
      <c r="K2629" s="23"/>
      <c r="M2629" s="23"/>
      <c r="N2629" s="23"/>
      <c r="P2629" s="23"/>
    </row>
    <row r="2630" spans="2:16" x14ac:dyDescent="0.25">
      <c r="B2630" s="23"/>
      <c r="E2630" s="23"/>
      <c r="G2630" s="23"/>
      <c r="H2630" s="23"/>
      <c r="J2630" s="23"/>
      <c r="K2630" s="23"/>
      <c r="M2630" s="23"/>
      <c r="N2630" s="23"/>
      <c r="P2630" s="23"/>
    </row>
    <row r="2631" spans="2:16" x14ac:dyDescent="0.25">
      <c r="B2631" s="23"/>
      <c r="E2631" s="23"/>
      <c r="G2631" s="23"/>
      <c r="H2631" s="23"/>
      <c r="J2631" s="23"/>
      <c r="K2631" s="23"/>
      <c r="M2631" s="23"/>
      <c r="N2631" s="23"/>
      <c r="P2631" s="23"/>
    </row>
    <row r="2632" spans="2:16" x14ac:dyDescent="0.25">
      <c r="B2632" s="23"/>
      <c r="E2632" s="23"/>
      <c r="G2632" s="23"/>
      <c r="H2632" s="23"/>
      <c r="J2632" s="23"/>
      <c r="K2632" s="23"/>
      <c r="M2632" s="23"/>
      <c r="N2632" s="23"/>
      <c r="P2632" s="23"/>
    </row>
    <row r="2633" spans="2:16" x14ac:dyDescent="0.25">
      <c r="B2633" s="23"/>
      <c r="E2633" s="23"/>
      <c r="G2633" s="23"/>
      <c r="H2633" s="23"/>
      <c r="J2633" s="23"/>
      <c r="K2633" s="23"/>
      <c r="M2633" s="23"/>
      <c r="N2633" s="23"/>
      <c r="P2633" s="23"/>
    </row>
    <row r="2634" spans="2:16" x14ac:dyDescent="0.25">
      <c r="B2634" s="23"/>
      <c r="E2634" s="23"/>
      <c r="G2634" s="23"/>
      <c r="H2634" s="23"/>
      <c r="J2634" s="23"/>
      <c r="K2634" s="23"/>
      <c r="M2634" s="23"/>
      <c r="N2634" s="23"/>
      <c r="P2634" s="23"/>
    </row>
    <row r="2635" spans="2:16" x14ac:dyDescent="0.25">
      <c r="B2635" s="23"/>
      <c r="E2635" s="23"/>
      <c r="G2635" s="23"/>
      <c r="H2635" s="23"/>
      <c r="J2635" s="23"/>
      <c r="K2635" s="23"/>
      <c r="M2635" s="23"/>
      <c r="N2635" s="23"/>
      <c r="P2635" s="23"/>
    </row>
    <row r="2636" spans="2:16" x14ac:dyDescent="0.25">
      <c r="B2636" s="23"/>
      <c r="E2636" s="23"/>
      <c r="G2636" s="23"/>
      <c r="H2636" s="23"/>
      <c r="J2636" s="23"/>
      <c r="K2636" s="23"/>
      <c r="M2636" s="23"/>
      <c r="N2636" s="23"/>
      <c r="P2636" s="23"/>
    </row>
    <row r="2637" spans="2:16" x14ac:dyDescent="0.25">
      <c r="B2637" s="23"/>
      <c r="E2637" s="23"/>
      <c r="G2637" s="23"/>
      <c r="H2637" s="23"/>
      <c r="J2637" s="23"/>
      <c r="K2637" s="23"/>
      <c r="M2637" s="23"/>
      <c r="N2637" s="23"/>
      <c r="P2637" s="23"/>
    </row>
    <row r="2638" spans="2:16" x14ac:dyDescent="0.25">
      <c r="B2638" s="23"/>
      <c r="E2638" s="23"/>
      <c r="G2638" s="23"/>
      <c r="H2638" s="23"/>
      <c r="J2638" s="23"/>
      <c r="K2638" s="23"/>
      <c r="M2638" s="23"/>
      <c r="N2638" s="23"/>
      <c r="P2638" s="23"/>
    </row>
    <row r="2639" spans="2:16" x14ac:dyDescent="0.25">
      <c r="B2639" s="23"/>
      <c r="E2639" s="23"/>
      <c r="G2639" s="23"/>
      <c r="H2639" s="23"/>
      <c r="J2639" s="23"/>
      <c r="K2639" s="23"/>
      <c r="M2639" s="23"/>
      <c r="N2639" s="23"/>
      <c r="P2639" s="23"/>
    </row>
    <row r="2640" spans="2:16" x14ac:dyDescent="0.25">
      <c r="B2640" s="23"/>
      <c r="E2640" s="23"/>
      <c r="G2640" s="23"/>
      <c r="H2640" s="23"/>
      <c r="J2640" s="23"/>
      <c r="K2640" s="23"/>
      <c r="M2640" s="23"/>
      <c r="N2640" s="23"/>
      <c r="P2640" s="23"/>
    </row>
    <row r="2641" spans="2:16" x14ac:dyDescent="0.25">
      <c r="B2641" s="23"/>
      <c r="E2641" s="23"/>
      <c r="G2641" s="23"/>
      <c r="H2641" s="23"/>
      <c r="J2641" s="23"/>
      <c r="K2641" s="23"/>
      <c r="M2641" s="23"/>
      <c r="N2641" s="23"/>
      <c r="P2641" s="23"/>
    </row>
    <row r="2642" spans="2:16" x14ac:dyDescent="0.25">
      <c r="B2642" s="23"/>
      <c r="E2642" s="23"/>
      <c r="G2642" s="23"/>
      <c r="H2642" s="23"/>
      <c r="J2642" s="23"/>
      <c r="K2642" s="23"/>
      <c r="M2642" s="23"/>
      <c r="N2642" s="23"/>
      <c r="P2642" s="23"/>
    </row>
    <row r="2643" spans="2:16" x14ac:dyDescent="0.25">
      <c r="B2643" s="23"/>
      <c r="E2643" s="23"/>
      <c r="G2643" s="23"/>
      <c r="H2643" s="23"/>
      <c r="J2643" s="23"/>
      <c r="K2643" s="23"/>
      <c r="M2643" s="23"/>
      <c r="N2643" s="23"/>
      <c r="P2643" s="23"/>
    </row>
    <row r="2644" spans="2:16" x14ac:dyDescent="0.25">
      <c r="B2644" s="23"/>
      <c r="E2644" s="23"/>
      <c r="G2644" s="23"/>
      <c r="H2644" s="23"/>
      <c r="J2644" s="23"/>
      <c r="K2644" s="23"/>
      <c r="M2644" s="23"/>
      <c r="N2644" s="23"/>
      <c r="P2644" s="23"/>
    </row>
    <row r="2645" spans="2:16" x14ac:dyDescent="0.25">
      <c r="B2645" s="23"/>
      <c r="E2645" s="23"/>
      <c r="G2645" s="23"/>
      <c r="H2645" s="23"/>
      <c r="J2645" s="23"/>
      <c r="K2645" s="23"/>
      <c r="M2645" s="23"/>
      <c r="N2645" s="23"/>
      <c r="P2645" s="23"/>
    </row>
    <row r="2646" spans="2:16" x14ac:dyDescent="0.25">
      <c r="B2646" s="23"/>
      <c r="E2646" s="23"/>
      <c r="G2646" s="23"/>
      <c r="H2646" s="23"/>
      <c r="J2646" s="23"/>
      <c r="K2646" s="23"/>
      <c r="M2646" s="23"/>
      <c r="N2646" s="23"/>
      <c r="P2646" s="23"/>
    </row>
    <row r="2647" spans="2:16" x14ac:dyDescent="0.25">
      <c r="B2647" s="23"/>
      <c r="E2647" s="23"/>
      <c r="G2647" s="23"/>
      <c r="H2647" s="23"/>
      <c r="J2647" s="23"/>
      <c r="K2647" s="23"/>
      <c r="M2647" s="23"/>
      <c r="N2647" s="23"/>
      <c r="P2647" s="23"/>
    </row>
    <row r="2648" spans="2:16" x14ac:dyDescent="0.25">
      <c r="B2648" s="23"/>
      <c r="E2648" s="23"/>
      <c r="G2648" s="23"/>
      <c r="H2648" s="23"/>
      <c r="J2648" s="23"/>
      <c r="K2648" s="23"/>
      <c r="M2648" s="23"/>
      <c r="N2648" s="23"/>
      <c r="P2648" s="23"/>
    </row>
    <row r="2649" spans="2:16" x14ac:dyDescent="0.25">
      <c r="B2649" s="23"/>
      <c r="E2649" s="23"/>
      <c r="G2649" s="23"/>
      <c r="H2649" s="23"/>
      <c r="J2649" s="23"/>
      <c r="K2649" s="23"/>
      <c r="M2649" s="23"/>
      <c r="N2649" s="23"/>
      <c r="P2649" s="23"/>
    </row>
    <row r="2650" spans="2:16" x14ac:dyDescent="0.25">
      <c r="B2650" s="23"/>
      <c r="E2650" s="23"/>
      <c r="G2650" s="23"/>
      <c r="H2650" s="23"/>
      <c r="J2650" s="23"/>
      <c r="K2650" s="23"/>
      <c r="M2650" s="23"/>
      <c r="N2650" s="23"/>
      <c r="P2650" s="23"/>
    </row>
    <row r="2651" spans="2:16" x14ac:dyDescent="0.25">
      <c r="B2651" s="23"/>
      <c r="E2651" s="23"/>
      <c r="G2651" s="23"/>
      <c r="H2651" s="23"/>
      <c r="J2651" s="23"/>
      <c r="K2651" s="23"/>
      <c r="M2651" s="23"/>
      <c r="N2651" s="23"/>
      <c r="P2651" s="23"/>
    </row>
    <row r="2652" spans="2:16" x14ac:dyDescent="0.25">
      <c r="B2652" s="23"/>
      <c r="E2652" s="23"/>
      <c r="G2652" s="23"/>
      <c r="H2652" s="23"/>
      <c r="J2652" s="23"/>
      <c r="K2652" s="23"/>
      <c r="M2652" s="23"/>
      <c r="N2652" s="23"/>
      <c r="P2652" s="23"/>
    </row>
    <row r="2653" spans="2:16" x14ac:dyDescent="0.25">
      <c r="B2653" s="23"/>
      <c r="E2653" s="23"/>
      <c r="G2653" s="23"/>
      <c r="H2653" s="23"/>
      <c r="J2653" s="23"/>
      <c r="K2653" s="23"/>
      <c r="M2653" s="23"/>
      <c r="N2653" s="23"/>
      <c r="P2653" s="23"/>
    </row>
    <row r="2654" spans="2:16" x14ac:dyDescent="0.25">
      <c r="B2654" s="23"/>
      <c r="E2654" s="23"/>
      <c r="G2654" s="23"/>
      <c r="H2654" s="23"/>
      <c r="J2654" s="23"/>
      <c r="K2654" s="23"/>
      <c r="M2654" s="23"/>
      <c r="N2654" s="23"/>
      <c r="P2654" s="23"/>
    </row>
    <row r="2655" spans="2:16" x14ac:dyDescent="0.25">
      <c r="B2655" s="23"/>
      <c r="E2655" s="23"/>
      <c r="G2655" s="23"/>
      <c r="H2655" s="23"/>
      <c r="J2655" s="23"/>
      <c r="K2655" s="23"/>
      <c r="M2655" s="23"/>
      <c r="N2655" s="23"/>
      <c r="P2655" s="23"/>
    </row>
    <row r="2656" spans="2:16" x14ac:dyDescent="0.25">
      <c r="B2656" s="23"/>
      <c r="E2656" s="23"/>
      <c r="G2656" s="23"/>
      <c r="H2656" s="23"/>
      <c r="J2656" s="23"/>
      <c r="K2656" s="23"/>
      <c r="M2656" s="23"/>
      <c r="N2656" s="23"/>
      <c r="P2656" s="23"/>
    </row>
    <row r="2657" spans="2:16" x14ac:dyDescent="0.25">
      <c r="B2657" s="23"/>
      <c r="E2657" s="23"/>
      <c r="G2657" s="23"/>
      <c r="H2657" s="23"/>
      <c r="J2657" s="23"/>
      <c r="K2657" s="23"/>
      <c r="M2657" s="23"/>
      <c r="N2657" s="23"/>
      <c r="P2657" s="23"/>
    </row>
    <row r="2658" spans="2:16" x14ac:dyDescent="0.25">
      <c r="B2658" s="23"/>
      <c r="E2658" s="23"/>
      <c r="G2658" s="23"/>
      <c r="H2658" s="23"/>
      <c r="J2658" s="23"/>
      <c r="K2658" s="23"/>
      <c r="M2658" s="23"/>
      <c r="N2658" s="23"/>
      <c r="P2658" s="23"/>
    </row>
    <row r="2659" spans="2:16" x14ac:dyDescent="0.25">
      <c r="B2659" s="23"/>
      <c r="E2659" s="23"/>
      <c r="G2659" s="23"/>
      <c r="H2659" s="23"/>
      <c r="J2659" s="23"/>
      <c r="K2659" s="23"/>
      <c r="M2659" s="23"/>
      <c r="N2659" s="23"/>
      <c r="P2659" s="23"/>
    </row>
    <row r="2660" spans="2:16" x14ac:dyDescent="0.25">
      <c r="B2660" s="23"/>
      <c r="E2660" s="23"/>
      <c r="G2660" s="23"/>
      <c r="H2660" s="23"/>
      <c r="J2660" s="23"/>
      <c r="K2660" s="23"/>
      <c r="M2660" s="23"/>
      <c r="N2660" s="23"/>
      <c r="P2660" s="23"/>
    </row>
    <row r="2661" spans="2:16" x14ac:dyDescent="0.25">
      <c r="B2661" s="23"/>
      <c r="E2661" s="23"/>
      <c r="G2661" s="23"/>
      <c r="H2661" s="23"/>
      <c r="J2661" s="23"/>
      <c r="K2661" s="23"/>
      <c r="M2661" s="23"/>
      <c r="N2661" s="23"/>
      <c r="P2661" s="23"/>
    </row>
    <row r="2662" spans="2:16" x14ac:dyDescent="0.25">
      <c r="B2662" s="23"/>
      <c r="E2662" s="23"/>
      <c r="G2662" s="23"/>
      <c r="H2662" s="23"/>
      <c r="J2662" s="23"/>
      <c r="K2662" s="23"/>
      <c r="M2662" s="23"/>
      <c r="N2662" s="23"/>
      <c r="P2662" s="23"/>
    </row>
    <row r="2663" spans="2:16" x14ac:dyDescent="0.25">
      <c r="B2663" s="23"/>
      <c r="E2663" s="23"/>
      <c r="G2663" s="23"/>
      <c r="H2663" s="23"/>
      <c r="J2663" s="23"/>
      <c r="K2663" s="23"/>
      <c r="M2663" s="23"/>
      <c r="N2663" s="23"/>
      <c r="P2663" s="23"/>
    </row>
    <row r="2664" spans="2:16" x14ac:dyDescent="0.25">
      <c r="B2664" s="23"/>
      <c r="E2664" s="23"/>
      <c r="G2664" s="23"/>
      <c r="H2664" s="23"/>
      <c r="J2664" s="23"/>
      <c r="K2664" s="23"/>
      <c r="M2664" s="23"/>
      <c r="N2664" s="23"/>
      <c r="P2664" s="23"/>
    </row>
    <row r="2665" spans="2:16" x14ac:dyDescent="0.25">
      <c r="B2665" s="23"/>
      <c r="E2665" s="23"/>
      <c r="G2665" s="23"/>
      <c r="H2665" s="23"/>
      <c r="J2665" s="23"/>
      <c r="K2665" s="23"/>
      <c r="M2665" s="23"/>
      <c r="N2665" s="23"/>
      <c r="P2665" s="23"/>
    </row>
    <row r="2666" spans="2:16" x14ac:dyDescent="0.25">
      <c r="B2666" s="23"/>
      <c r="E2666" s="23"/>
      <c r="G2666" s="23"/>
      <c r="H2666" s="23"/>
      <c r="J2666" s="23"/>
      <c r="K2666" s="23"/>
      <c r="M2666" s="23"/>
      <c r="N2666" s="23"/>
      <c r="P2666" s="23"/>
    </row>
    <row r="2667" spans="2:16" x14ac:dyDescent="0.25">
      <c r="B2667" s="23"/>
      <c r="E2667" s="23"/>
      <c r="G2667" s="23"/>
      <c r="H2667" s="23"/>
      <c r="J2667" s="23"/>
      <c r="K2667" s="23"/>
      <c r="M2667" s="23"/>
      <c r="N2667" s="23"/>
      <c r="P2667" s="23"/>
    </row>
    <row r="2668" spans="2:16" x14ac:dyDescent="0.25">
      <c r="B2668" s="23"/>
      <c r="E2668" s="23"/>
      <c r="G2668" s="23"/>
      <c r="H2668" s="23"/>
      <c r="J2668" s="23"/>
      <c r="K2668" s="23"/>
      <c r="M2668" s="23"/>
      <c r="N2668" s="23"/>
      <c r="P2668" s="23"/>
    </row>
    <row r="2669" spans="2:16" x14ac:dyDescent="0.25">
      <c r="B2669" s="23"/>
      <c r="E2669" s="23"/>
      <c r="G2669" s="23"/>
      <c r="H2669" s="23"/>
      <c r="J2669" s="23"/>
      <c r="K2669" s="23"/>
      <c r="M2669" s="23"/>
      <c r="N2669" s="23"/>
      <c r="P2669" s="23"/>
    </row>
    <row r="2670" spans="2:16" x14ac:dyDescent="0.25">
      <c r="B2670" s="23"/>
      <c r="E2670" s="23"/>
      <c r="G2670" s="23"/>
      <c r="H2670" s="23"/>
      <c r="J2670" s="23"/>
      <c r="K2670" s="23"/>
      <c r="M2670" s="23"/>
      <c r="N2670" s="23"/>
      <c r="P2670" s="23"/>
    </row>
    <row r="2671" spans="2:16" x14ac:dyDescent="0.25">
      <c r="B2671" s="23"/>
      <c r="E2671" s="23"/>
      <c r="G2671" s="23"/>
      <c r="H2671" s="23"/>
      <c r="J2671" s="23"/>
      <c r="K2671" s="23"/>
      <c r="M2671" s="23"/>
      <c r="N2671" s="23"/>
      <c r="P2671" s="23"/>
    </row>
    <row r="2672" spans="2:16" x14ac:dyDescent="0.25">
      <c r="B2672" s="23"/>
      <c r="E2672" s="23"/>
      <c r="G2672" s="23"/>
      <c r="H2672" s="23"/>
      <c r="J2672" s="23"/>
      <c r="K2672" s="23"/>
      <c r="M2672" s="23"/>
      <c r="N2672" s="23"/>
      <c r="P2672" s="23"/>
    </row>
    <row r="2673" spans="2:16" x14ac:dyDescent="0.25">
      <c r="B2673" s="23"/>
      <c r="E2673" s="23"/>
      <c r="G2673" s="23"/>
      <c r="H2673" s="23"/>
      <c r="J2673" s="23"/>
      <c r="K2673" s="23"/>
      <c r="M2673" s="23"/>
      <c r="N2673" s="23"/>
      <c r="P2673" s="23"/>
    </row>
    <row r="2674" spans="2:16" x14ac:dyDescent="0.25">
      <c r="B2674" s="23"/>
      <c r="E2674" s="23"/>
      <c r="G2674" s="23"/>
      <c r="H2674" s="23"/>
      <c r="J2674" s="23"/>
      <c r="K2674" s="23"/>
      <c r="M2674" s="23"/>
      <c r="N2674" s="23"/>
      <c r="P2674" s="23"/>
    </row>
    <row r="2675" spans="2:16" x14ac:dyDescent="0.25">
      <c r="B2675" s="23"/>
      <c r="E2675" s="23"/>
      <c r="G2675" s="23"/>
      <c r="H2675" s="23"/>
      <c r="J2675" s="23"/>
      <c r="K2675" s="23"/>
      <c r="M2675" s="23"/>
      <c r="N2675" s="23"/>
      <c r="P2675" s="23"/>
    </row>
    <row r="2676" spans="2:16" x14ac:dyDescent="0.25">
      <c r="B2676" s="23"/>
      <c r="E2676" s="23"/>
      <c r="G2676" s="23"/>
      <c r="H2676" s="23"/>
      <c r="J2676" s="23"/>
      <c r="K2676" s="23"/>
      <c r="M2676" s="23"/>
      <c r="N2676" s="23"/>
      <c r="P2676" s="23"/>
    </row>
    <row r="2677" spans="2:16" x14ac:dyDescent="0.25">
      <c r="B2677" s="23"/>
      <c r="E2677" s="23"/>
      <c r="G2677" s="23"/>
      <c r="H2677" s="23"/>
      <c r="J2677" s="23"/>
      <c r="K2677" s="23"/>
      <c r="M2677" s="23"/>
      <c r="N2677" s="23"/>
      <c r="P2677" s="23"/>
    </row>
    <row r="2678" spans="2:16" x14ac:dyDescent="0.25">
      <c r="B2678" s="23"/>
      <c r="E2678" s="23"/>
      <c r="G2678" s="23"/>
      <c r="H2678" s="23"/>
      <c r="J2678" s="23"/>
      <c r="K2678" s="23"/>
      <c r="M2678" s="23"/>
      <c r="N2678" s="23"/>
      <c r="P2678" s="23"/>
    </row>
    <row r="2679" spans="2:16" x14ac:dyDescent="0.25">
      <c r="B2679" s="23"/>
      <c r="E2679" s="23"/>
      <c r="G2679" s="23"/>
      <c r="H2679" s="23"/>
      <c r="J2679" s="23"/>
      <c r="K2679" s="23"/>
      <c r="M2679" s="23"/>
      <c r="N2679" s="23"/>
      <c r="P2679" s="23"/>
    </row>
    <row r="2680" spans="2:16" x14ac:dyDescent="0.25">
      <c r="B2680" s="23"/>
      <c r="E2680" s="23"/>
      <c r="G2680" s="23"/>
      <c r="H2680" s="23"/>
      <c r="J2680" s="23"/>
      <c r="K2680" s="23"/>
      <c r="M2680" s="23"/>
      <c r="N2680" s="23"/>
      <c r="P2680" s="23"/>
    </row>
    <row r="2681" spans="2:16" x14ac:dyDescent="0.25">
      <c r="B2681" s="23"/>
      <c r="E2681" s="23"/>
      <c r="G2681" s="23"/>
      <c r="H2681" s="23"/>
      <c r="J2681" s="23"/>
      <c r="K2681" s="23"/>
      <c r="M2681" s="23"/>
      <c r="N2681" s="23"/>
      <c r="P2681" s="23"/>
    </row>
    <row r="2682" spans="2:16" x14ac:dyDescent="0.25">
      <c r="B2682" s="23"/>
      <c r="E2682" s="23"/>
      <c r="G2682" s="23"/>
      <c r="H2682" s="23"/>
      <c r="J2682" s="23"/>
      <c r="K2682" s="23"/>
      <c r="M2682" s="23"/>
      <c r="N2682" s="23"/>
      <c r="P2682" s="23"/>
    </row>
    <row r="2683" spans="2:16" x14ac:dyDescent="0.25">
      <c r="B2683" s="23"/>
      <c r="E2683" s="23"/>
      <c r="G2683" s="23"/>
      <c r="H2683" s="23"/>
      <c r="J2683" s="23"/>
      <c r="K2683" s="23"/>
      <c r="M2683" s="23"/>
      <c r="N2683" s="23"/>
      <c r="P2683" s="23"/>
    </row>
    <row r="2684" spans="2:16" x14ac:dyDescent="0.25">
      <c r="B2684" s="23"/>
      <c r="E2684" s="23"/>
      <c r="G2684" s="23"/>
      <c r="H2684" s="23"/>
      <c r="J2684" s="23"/>
      <c r="K2684" s="23"/>
      <c r="M2684" s="23"/>
      <c r="N2684" s="23"/>
      <c r="P2684" s="23"/>
    </row>
    <row r="2685" spans="2:16" x14ac:dyDescent="0.25">
      <c r="B2685" s="23"/>
      <c r="E2685" s="23"/>
      <c r="G2685" s="23"/>
      <c r="H2685" s="23"/>
      <c r="J2685" s="23"/>
      <c r="K2685" s="23"/>
      <c r="M2685" s="23"/>
      <c r="N2685" s="23"/>
      <c r="P2685" s="23"/>
    </row>
    <row r="2686" spans="2:16" x14ac:dyDescent="0.25">
      <c r="B2686" s="23"/>
      <c r="E2686" s="23"/>
      <c r="G2686" s="23"/>
      <c r="H2686" s="23"/>
      <c r="J2686" s="23"/>
      <c r="K2686" s="23"/>
      <c r="M2686" s="23"/>
      <c r="N2686" s="23"/>
      <c r="P2686" s="23"/>
    </row>
    <row r="2687" spans="2:16" x14ac:dyDescent="0.25">
      <c r="B2687" s="23"/>
      <c r="E2687" s="23"/>
      <c r="G2687" s="23"/>
      <c r="H2687" s="23"/>
      <c r="J2687" s="23"/>
      <c r="K2687" s="23"/>
      <c r="M2687" s="23"/>
      <c r="N2687" s="23"/>
      <c r="P2687" s="23"/>
    </row>
    <row r="2688" spans="2:16" x14ac:dyDescent="0.25">
      <c r="B2688" s="23"/>
      <c r="E2688" s="23"/>
      <c r="G2688" s="23"/>
      <c r="H2688" s="23"/>
      <c r="J2688" s="23"/>
      <c r="K2688" s="23"/>
      <c r="M2688" s="23"/>
      <c r="N2688" s="23"/>
      <c r="P2688" s="23"/>
    </row>
    <row r="2689" spans="2:16" x14ac:dyDescent="0.25">
      <c r="B2689" s="23"/>
      <c r="E2689" s="23"/>
      <c r="G2689" s="23"/>
      <c r="H2689" s="23"/>
      <c r="J2689" s="23"/>
      <c r="K2689" s="23"/>
      <c r="M2689" s="23"/>
      <c r="N2689" s="23"/>
      <c r="P2689" s="23"/>
    </row>
    <row r="2690" spans="2:16" x14ac:dyDescent="0.25">
      <c r="B2690" s="23"/>
      <c r="E2690" s="23"/>
      <c r="G2690" s="23"/>
      <c r="H2690" s="23"/>
      <c r="J2690" s="23"/>
      <c r="K2690" s="23"/>
      <c r="M2690" s="23"/>
      <c r="N2690" s="23"/>
      <c r="P2690" s="23"/>
    </row>
    <row r="2691" spans="2:16" x14ac:dyDescent="0.25">
      <c r="B2691" s="23"/>
      <c r="E2691" s="23"/>
      <c r="G2691" s="23"/>
      <c r="H2691" s="23"/>
      <c r="J2691" s="23"/>
      <c r="K2691" s="23"/>
      <c r="M2691" s="23"/>
      <c r="N2691" s="23"/>
      <c r="P2691" s="23"/>
    </row>
    <row r="2692" spans="2:16" x14ac:dyDescent="0.25">
      <c r="B2692" s="23"/>
      <c r="E2692" s="23"/>
      <c r="G2692" s="23"/>
      <c r="H2692" s="23"/>
      <c r="J2692" s="23"/>
      <c r="K2692" s="23"/>
      <c r="M2692" s="23"/>
      <c r="N2692" s="23"/>
      <c r="P2692" s="23"/>
    </row>
    <row r="2693" spans="2:16" x14ac:dyDescent="0.25">
      <c r="B2693" s="23"/>
      <c r="E2693" s="23"/>
      <c r="G2693" s="23"/>
      <c r="H2693" s="23"/>
      <c r="J2693" s="23"/>
      <c r="K2693" s="23"/>
      <c r="M2693" s="23"/>
      <c r="N2693" s="23"/>
      <c r="P2693" s="23"/>
    </row>
    <row r="2694" spans="2:16" x14ac:dyDescent="0.25">
      <c r="B2694" s="23"/>
      <c r="E2694" s="23"/>
      <c r="G2694" s="23"/>
      <c r="H2694" s="23"/>
      <c r="J2694" s="23"/>
      <c r="K2694" s="23"/>
      <c r="M2694" s="23"/>
      <c r="N2694" s="23"/>
      <c r="P2694" s="23"/>
    </row>
    <row r="2695" spans="2:16" x14ac:dyDescent="0.25">
      <c r="B2695" s="23"/>
      <c r="E2695" s="23"/>
      <c r="G2695" s="23"/>
      <c r="H2695" s="23"/>
      <c r="J2695" s="23"/>
      <c r="K2695" s="23"/>
      <c r="M2695" s="23"/>
      <c r="N2695" s="23"/>
      <c r="P2695" s="23"/>
    </row>
    <row r="2696" spans="2:16" x14ac:dyDescent="0.25">
      <c r="B2696" s="23"/>
      <c r="E2696" s="23"/>
      <c r="G2696" s="23"/>
      <c r="H2696" s="23"/>
      <c r="J2696" s="23"/>
      <c r="K2696" s="23"/>
      <c r="M2696" s="23"/>
      <c r="N2696" s="23"/>
      <c r="P2696" s="23"/>
    </row>
    <row r="2697" spans="2:16" x14ac:dyDescent="0.25">
      <c r="B2697" s="23"/>
      <c r="E2697" s="23"/>
      <c r="G2697" s="23"/>
      <c r="H2697" s="23"/>
      <c r="J2697" s="23"/>
      <c r="K2697" s="23"/>
      <c r="M2697" s="23"/>
      <c r="N2697" s="23"/>
      <c r="P2697" s="23"/>
    </row>
    <row r="2698" spans="2:16" x14ac:dyDescent="0.25">
      <c r="B2698" s="23"/>
      <c r="E2698" s="23"/>
      <c r="G2698" s="23"/>
      <c r="H2698" s="23"/>
      <c r="J2698" s="23"/>
      <c r="K2698" s="23"/>
      <c r="M2698" s="23"/>
      <c r="N2698" s="23"/>
      <c r="P2698" s="23"/>
    </row>
    <row r="2699" spans="2:16" x14ac:dyDescent="0.25">
      <c r="B2699" s="23"/>
      <c r="E2699" s="23"/>
      <c r="G2699" s="23"/>
      <c r="H2699" s="23"/>
      <c r="J2699" s="23"/>
      <c r="K2699" s="23"/>
      <c r="M2699" s="23"/>
      <c r="N2699" s="23"/>
      <c r="P2699" s="23"/>
    </row>
    <row r="2700" spans="2:16" x14ac:dyDescent="0.25">
      <c r="B2700" s="23"/>
      <c r="E2700" s="23"/>
      <c r="G2700" s="23"/>
      <c r="H2700" s="23"/>
      <c r="J2700" s="23"/>
      <c r="K2700" s="23"/>
      <c r="M2700" s="23"/>
      <c r="N2700" s="23"/>
      <c r="P2700" s="23"/>
    </row>
    <row r="2701" spans="2:16" x14ac:dyDescent="0.25">
      <c r="B2701" s="23"/>
      <c r="E2701" s="23"/>
      <c r="G2701" s="23"/>
      <c r="H2701" s="23"/>
      <c r="J2701" s="23"/>
      <c r="K2701" s="23"/>
      <c r="M2701" s="23"/>
      <c r="N2701" s="23"/>
      <c r="P2701" s="23"/>
    </row>
    <row r="2702" spans="2:16" x14ac:dyDescent="0.25">
      <c r="B2702" s="23"/>
      <c r="E2702" s="23"/>
      <c r="G2702" s="23"/>
      <c r="H2702" s="23"/>
      <c r="J2702" s="23"/>
      <c r="K2702" s="23"/>
      <c r="M2702" s="23"/>
      <c r="N2702" s="23"/>
      <c r="P2702" s="23"/>
    </row>
    <row r="2703" spans="2:16" x14ac:dyDescent="0.25">
      <c r="B2703" s="23"/>
      <c r="E2703" s="23"/>
      <c r="G2703" s="23"/>
      <c r="H2703" s="23"/>
      <c r="J2703" s="23"/>
      <c r="K2703" s="23"/>
      <c r="M2703" s="23"/>
      <c r="N2703" s="23"/>
      <c r="P2703" s="23"/>
    </row>
    <row r="2704" spans="2:16" x14ac:dyDescent="0.25">
      <c r="B2704" s="23"/>
      <c r="E2704" s="23"/>
      <c r="G2704" s="23"/>
      <c r="H2704" s="23"/>
      <c r="J2704" s="23"/>
      <c r="K2704" s="23"/>
      <c r="M2704" s="23"/>
      <c r="N2704" s="23"/>
      <c r="P2704" s="23"/>
    </row>
    <row r="2705" spans="2:16" x14ac:dyDescent="0.25">
      <c r="B2705" s="23"/>
      <c r="E2705" s="23"/>
      <c r="G2705" s="23"/>
      <c r="H2705" s="23"/>
      <c r="J2705" s="23"/>
      <c r="K2705" s="23"/>
      <c r="M2705" s="23"/>
      <c r="N2705" s="23"/>
      <c r="P2705" s="23"/>
    </row>
    <row r="2706" spans="2:16" x14ac:dyDescent="0.25">
      <c r="B2706" s="23"/>
      <c r="E2706" s="23"/>
      <c r="G2706" s="23"/>
      <c r="H2706" s="23"/>
      <c r="J2706" s="23"/>
      <c r="K2706" s="23"/>
      <c r="M2706" s="23"/>
      <c r="N2706" s="23"/>
      <c r="P2706" s="23"/>
    </row>
    <row r="2707" spans="2:16" x14ac:dyDescent="0.25">
      <c r="B2707" s="23"/>
      <c r="E2707" s="23"/>
      <c r="G2707" s="23"/>
      <c r="H2707" s="23"/>
      <c r="J2707" s="23"/>
      <c r="K2707" s="23"/>
      <c r="M2707" s="23"/>
      <c r="N2707" s="23"/>
      <c r="P2707" s="23"/>
    </row>
    <row r="2708" spans="2:16" x14ac:dyDescent="0.25">
      <c r="B2708" s="23"/>
      <c r="E2708" s="23"/>
      <c r="G2708" s="23"/>
      <c r="H2708" s="23"/>
      <c r="J2708" s="23"/>
      <c r="K2708" s="23"/>
      <c r="M2708" s="23"/>
      <c r="N2708" s="23"/>
      <c r="P2708" s="23"/>
    </row>
    <row r="2709" spans="2:16" x14ac:dyDescent="0.25">
      <c r="B2709" s="23"/>
      <c r="E2709" s="23"/>
      <c r="G2709" s="23"/>
      <c r="H2709" s="23"/>
      <c r="J2709" s="23"/>
      <c r="K2709" s="23"/>
      <c r="M2709" s="23"/>
      <c r="N2709" s="23"/>
      <c r="P2709" s="23"/>
    </row>
    <row r="2710" spans="2:16" x14ac:dyDescent="0.25">
      <c r="B2710" s="23"/>
      <c r="E2710" s="23"/>
      <c r="G2710" s="23"/>
      <c r="H2710" s="23"/>
      <c r="J2710" s="23"/>
      <c r="K2710" s="23"/>
      <c r="M2710" s="23"/>
      <c r="N2710" s="23"/>
      <c r="P2710" s="23"/>
    </row>
    <row r="2711" spans="2:16" x14ac:dyDescent="0.25">
      <c r="B2711" s="23"/>
      <c r="E2711" s="23"/>
      <c r="G2711" s="23"/>
      <c r="H2711" s="23"/>
      <c r="J2711" s="23"/>
      <c r="K2711" s="23"/>
      <c r="M2711" s="23"/>
      <c r="N2711" s="23"/>
      <c r="P2711" s="23"/>
    </row>
    <row r="2712" spans="2:16" x14ac:dyDescent="0.25">
      <c r="B2712" s="23"/>
      <c r="E2712" s="23"/>
      <c r="G2712" s="23"/>
      <c r="H2712" s="23"/>
      <c r="J2712" s="23"/>
      <c r="K2712" s="23"/>
      <c r="M2712" s="23"/>
      <c r="N2712" s="23"/>
      <c r="P2712" s="23"/>
    </row>
    <row r="2713" spans="2:16" x14ac:dyDescent="0.25">
      <c r="B2713" s="23"/>
      <c r="E2713" s="23"/>
      <c r="G2713" s="23"/>
      <c r="H2713" s="23"/>
      <c r="J2713" s="23"/>
      <c r="K2713" s="23"/>
      <c r="M2713" s="23"/>
      <c r="N2713" s="23"/>
      <c r="P2713" s="23"/>
    </row>
    <row r="2714" spans="2:16" x14ac:dyDescent="0.25">
      <c r="B2714" s="23"/>
      <c r="E2714" s="23"/>
      <c r="G2714" s="23"/>
      <c r="H2714" s="23"/>
      <c r="J2714" s="23"/>
      <c r="K2714" s="23"/>
      <c r="M2714" s="23"/>
      <c r="N2714" s="23"/>
      <c r="P2714" s="23"/>
    </row>
    <row r="2715" spans="2:16" x14ac:dyDescent="0.25">
      <c r="B2715" s="23"/>
      <c r="E2715" s="23"/>
      <c r="G2715" s="23"/>
      <c r="H2715" s="23"/>
      <c r="J2715" s="23"/>
      <c r="K2715" s="23"/>
      <c r="M2715" s="23"/>
      <c r="N2715" s="23"/>
      <c r="P2715" s="23"/>
    </row>
    <row r="2716" spans="2:16" x14ac:dyDescent="0.25">
      <c r="B2716" s="23"/>
      <c r="E2716" s="23"/>
      <c r="G2716" s="23"/>
      <c r="H2716" s="23"/>
      <c r="J2716" s="23"/>
      <c r="K2716" s="23"/>
      <c r="M2716" s="23"/>
      <c r="N2716" s="23"/>
      <c r="P2716" s="23"/>
    </row>
    <row r="2717" spans="2:16" x14ac:dyDescent="0.25">
      <c r="B2717" s="23"/>
      <c r="E2717" s="23"/>
      <c r="G2717" s="23"/>
      <c r="H2717" s="23"/>
      <c r="J2717" s="23"/>
      <c r="K2717" s="23"/>
      <c r="M2717" s="23"/>
      <c r="N2717" s="23"/>
      <c r="P2717" s="23"/>
    </row>
    <row r="2718" spans="2:16" x14ac:dyDescent="0.25">
      <c r="B2718" s="23"/>
      <c r="E2718" s="23"/>
      <c r="G2718" s="23"/>
      <c r="H2718" s="23"/>
      <c r="J2718" s="23"/>
      <c r="K2718" s="23"/>
      <c r="M2718" s="23"/>
      <c r="N2718" s="23"/>
      <c r="P2718" s="23"/>
    </row>
    <row r="2719" spans="2:16" x14ac:dyDescent="0.25">
      <c r="B2719" s="23"/>
      <c r="E2719" s="23"/>
      <c r="G2719" s="23"/>
      <c r="H2719" s="23"/>
      <c r="J2719" s="23"/>
      <c r="K2719" s="23"/>
      <c r="M2719" s="23"/>
      <c r="N2719" s="23"/>
      <c r="P2719" s="23"/>
    </row>
    <row r="2720" spans="2:16" x14ac:dyDescent="0.25">
      <c r="B2720" s="23"/>
      <c r="E2720" s="23"/>
      <c r="G2720" s="23"/>
      <c r="H2720" s="23"/>
      <c r="J2720" s="23"/>
      <c r="K2720" s="23"/>
      <c r="M2720" s="23"/>
      <c r="N2720" s="23"/>
      <c r="P2720" s="23"/>
    </row>
    <row r="2721" spans="2:16" x14ac:dyDescent="0.25">
      <c r="B2721" s="23"/>
      <c r="E2721" s="23"/>
      <c r="G2721" s="23"/>
      <c r="H2721" s="23"/>
      <c r="J2721" s="23"/>
      <c r="K2721" s="23"/>
      <c r="M2721" s="23"/>
      <c r="N2721" s="23"/>
      <c r="P2721" s="23"/>
    </row>
    <row r="2722" spans="2:16" x14ac:dyDescent="0.25">
      <c r="B2722" s="23"/>
      <c r="E2722" s="23"/>
      <c r="G2722" s="23"/>
      <c r="H2722" s="23"/>
      <c r="J2722" s="23"/>
      <c r="K2722" s="23"/>
      <c r="M2722" s="23"/>
      <c r="N2722" s="23"/>
      <c r="P2722" s="23"/>
    </row>
    <row r="2723" spans="2:16" x14ac:dyDescent="0.25">
      <c r="B2723" s="23"/>
      <c r="E2723" s="23"/>
      <c r="G2723" s="23"/>
      <c r="H2723" s="23"/>
      <c r="J2723" s="23"/>
      <c r="K2723" s="23"/>
      <c r="M2723" s="23"/>
      <c r="N2723" s="23"/>
      <c r="P2723" s="23"/>
    </row>
    <row r="2724" spans="2:16" x14ac:dyDescent="0.25">
      <c r="B2724" s="23"/>
      <c r="E2724" s="23"/>
      <c r="G2724" s="23"/>
      <c r="H2724" s="23"/>
      <c r="J2724" s="23"/>
      <c r="K2724" s="23"/>
      <c r="M2724" s="23"/>
      <c r="N2724" s="23"/>
      <c r="P2724" s="23"/>
    </row>
    <row r="2725" spans="2:16" x14ac:dyDescent="0.25">
      <c r="B2725" s="23"/>
      <c r="E2725" s="23"/>
      <c r="G2725" s="23"/>
      <c r="H2725" s="23"/>
      <c r="J2725" s="23"/>
      <c r="K2725" s="23"/>
      <c r="M2725" s="23"/>
      <c r="N2725" s="23"/>
      <c r="P2725" s="23"/>
    </row>
    <row r="2726" spans="2:16" x14ac:dyDescent="0.25">
      <c r="B2726" s="23"/>
      <c r="E2726" s="23"/>
      <c r="G2726" s="23"/>
      <c r="H2726" s="23"/>
      <c r="J2726" s="23"/>
      <c r="K2726" s="23"/>
      <c r="M2726" s="23"/>
      <c r="N2726" s="23"/>
      <c r="P2726" s="23"/>
    </row>
    <row r="2727" spans="2:16" x14ac:dyDescent="0.25">
      <c r="B2727" s="23"/>
      <c r="E2727" s="23"/>
      <c r="G2727" s="23"/>
      <c r="H2727" s="23"/>
      <c r="J2727" s="23"/>
      <c r="K2727" s="23"/>
      <c r="M2727" s="23"/>
      <c r="N2727" s="23"/>
      <c r="P2727" s="23"/>
    </row>
    <row r="2728" spans="2:16" x14ac:dyDescent="0.25">
      <c r="B2728" s="23"/>
      <c r="E2728" s="23"/>
      <c r="G2728" s="23"/>
      <c r="H2728" s="23"/>
      <c r="J2728" s="23"/>
      <c r="K2728" s="23"/>
      <c r="M2728" s="23"/>
      <c r="N2728" s="23"/>
      <c r="P2728" s="23"/>
    </row>
    <row r="2729" spans="2:16" x14ac:dyDescent="0.25">
      <c r="B2729" s="23"/>
      <c r="E2729" s="23"/>
      <c r="G2729" s="23"/>
      <c r="H2729" s="23"/>
      <c r="J2729" s="23"/>
      <c r="K2729" s="23"/>
      <c r="M2729" s="23"/>
      <c r="N2729" s="23"/>
      <c r="P2729" s="23"/>
    </row>
    <row r="2730" spans="2:16" x14ac:dyDescent="0.25">
      <c r="B2730" s="23"/>
      <c r="E2730" s="23"/>
      <c r="G2730" s="23"/>
      <c r="H2730" s="23"/>
      <c r="J2730" s="23"/>
      <c r="K2730" s="23"/>
      <c r="M2730" s="23"/>
      <c r="N2730" s="23"/>
      <c r="P2730" s="23"/>
    </row>
    <row r="2731" spans="2:16" x14ac:dyDescent="0.25">
      <c r="B2731" s="23"/>
      <c r="E2731" s="23"/>
      <c r="G2731" s="23"/>
      <c r="H2731" s="23"/>
      <c r="J2731" s="23"/>
      <c r="K2731" s="23"/>
      <c r="M2731" s="23"/>
      <c r="N2731" s="23"/>
      <c r="P2731" s="23"/>
    </row>
    <row r="2732" spans="2:16" x14ac:dyDescent="0.25">
      <c r="B2732" s="23"/>
      <c r="E2732" s="23"/>
      <c r="G2732" s="23"/>
      <c r="H2732" s="23"/>
      <c r="J2732" s="23"/>
      <c r="K2732" s="23"/>
      <c r="M2732" s="23"/>
      <c r="N2732" s="23"/>
      <c r="P2732" s="23"/>
    </row>
    <row r="2733" spans="2:16" x14ac:dyDescent="0.25">
      <c r="B2733" s="23"/>
      <c r="E2733" s="23"/>
      <c r="G2733" s="23"/>
      <c r="H2733" s="23"/>
      <c r="J2733" s="23"/>
      <c r="K2733" s="23"/>
      <c r="M2733" s="23"/>
      <c r="N2733" s="23"/>
      <c r="P2733" s="23"/>
    </row>
    <row r="2734" spans="2:16" x14ac:dyDescent="0.25">
      <c r="B2734" s="23"/>
      <c r="E2734" s="23"/>
      <c r="G2734" s="23"/>
      <c r="H2734" s="23"/>
      <c r="J2734" s="23"/>
      <c r="K2734" s="23"/>
      <c r="M2734" s="23"/>
      <c r="N2734" s="23"/>
      <c r="P2734" s="23"/>
    </row>
    <row r="2735" spans="2:16" x14ac:dyDescent="0.25">
      <c r="B2735" s="23"/>
      <c r="E2735" s="23"/>
      <c r="G2735" s="23"/>
      <c r="H2735" s="23"/>
      <c r="J2735" s="23"/>
      <c r="K2735" s="23"/>
      <c r="M2735" s="23"/>
      <c r="N2735" s="23"/>
      <c r="P2735" s="23"/>
    </row>
    <row r="2736" spans="2:16" x14ac:dyDescent="0.25">
      <c r="B2736" s="23"/>
      <c r="E2736" s="23"/>
      <c r="G2736" s="23"/>
      <c r="H2736" s="23"/>
      <c r="J2736" s="23"/>
      <c r="K2736" s="23"/>
      <c r="M2736" s="23"/>
      <c r="N2736" s="23"/>
      <c r="P2736" s="23"/>
    </row>
    <row r="2737" spans="2:16" x14ac:dyDescent="0.25">
      <c r="B2737" s="23"/>
      <c r="E2737" s="23"/>
      <c r="G2737" s="23"/>
      <c r="H2737" s="23"/>
      <c r="J2737" s="23"/>
      <c r="K2737" s="23"/>
      <c r="M2737" s="23"/>
      <c r="N2737" s="23"/>
      <c r="P2737" s="23"/>
    </row>
    <row r="2738" spans="2:16" x14ac:dyDescent="0.25">
      <c r="B2738" s="23"/>
      <c r="E2738" s="23"/>
      <c r="G2738" s="23"/>
      <c r="H2738" s="23"/>
      <c r="J2738" s="23"/>
      <c r="K2738" s="23"/>
      <c r="M2738" s="23"/>
      <c r="N2738" s="23"/>
      <c r="P2738" s="23"/>
    </row>
    <row r="2739" spans="2:16" x14ac:dyDescent="0.25">
      <c r="B2739" s="23"/>
      <c r="E2739" s="23"/>
      <c r="G2739" s="23"/>
      <c r="H2739" s="23"/>
      <c r="J2739" s="23"/>
      <c r="K2739" s="23"/>
      <c r="M2739" s="23"/>
      <c r="N2739" s="23"/>
      <c r="P2739" s="23"/>
    </row>
    <row r="2740" spans="2:16" x14ac:dyDescent="0.25">
      <c r="B2740" s="23"/>
      <c r="E2740" s="23"/>
      <c r="G2740" s="23"/>
      <c r="H2740" s="23"/>
      <c r="J2740" s="23"/>
      <c r="K2740" s="23"/>
      <c r="M2740" s="23"/>
      <c r="N2740" s="23"/>
      <c r="P2740" s="23"/>
    </row>
    <row r="2741" spans="2:16" x14ac:dyDescent="0.25">
      <c r="B2741" s="23"/>
      <c r="E2741" s="23"/>
      <c r="G2741" s="23"/>
      <c r="H2741" s="23"/>
      <c r="J2741" s="23"/>
      <c r="K2741" s="23"/>
      <c r="M2741" s="23"/>
      <c r="N2741" s="23"/>
      <c r="P2741" s="23"/>
    </row>
    <row r="2742" spans="2:16" x14ac:dyDescent="0.25">
      <c r="B2742" s="23"/>
      <c r="E2742" s="23"/>
      <c r="G2742" s="23"/>
      <c r="H2742" s="23"/>
      <c r="J2742" s="23"/>
      <c r="K2742" s="23"/>
      <c r="M2742" s="23"/>
      <c r="N2742" s="23"/>
      <c r="P2742" s="23"/>
    </row>
    <row r="2743" spans="2:16" x14ac:dyDescent="0.25">
      <c r="B2743" s="23"/>
      <c r="E2743" s="23"/>
      <c r="G2743" s="23"/>
      <c r="H2743" s="23"/>
      <c r="J2743" s="23"/>
      <c r="K2743" s="23"/>
      <c r="M2743" s="23"/>
      <c r="N2743" s="23"/>
      <c r="P2743" s="23"/>
    </row>
    <row r="2744" spans="2:16" x14ac:dyDescent="0.25">
      <c r="B2744" s="23"/>
      <c r="E2744" s="23"/>
      <c r="G2744" s="23"/>
      <c r="H2744" s="23"/>
      <c r="J2744" s="23"/>
      <c r="K2744" s="23"/>
      <c r="M2744" s="23"/>
      <c r="N2744" s="23"/>
      <c r="P2744" s="23"/>
    </row>
    <row r="2745" spans="2:16" x14ac:dyDescent="0.25">
      <c r="B2745" s="23"/>
      <c r="E2745" s="23"/>
      <c r="G2745" s="23"/>
      <c r="H2745" s="23"/>
      <c r="J2745" s="23"/>
      <c r="K2745" s="23"/>
      <c r="M2745" s="23"/>
      <c r="N2745" s="23"/>
      <c r="P2745" s="23"/>
    </row>
    <row r="2746" spans="2:16" x14ac:dyDescent="0.25">
      <c r="B2746" s="23"/>
      <c r="E2746" s="23"/>
      <c r="G2746" s="23"/>
      <c r="H2746" s="23"/>
      <c r="J2746" s="23"/>
      <c r="K2746" s="23"/>
      <c r="M2746" s="23"/>
      <c r="N2746" s="23"/>
      <c r="P2746" s="23"/>
    </row>
    <row r="2747" spans="2:16" x14ac:dyDescent="0.25">
      <c r="B2747" s="23"/>
      <c r="E2747" s="23"/>
      <c r="G2747" s="23"/>
      <c r="H2747" s="23"/>
      <c r="J2747" s="23"/>
      <c r="K2747" s="23"/>
      <c r="M2747" s="23"/>
      <c r="N2747" s="23"/>
      <c r="P2747" s="23"/>
    </row>
    <row r="2748" spans="2:16" x14ac:dyDescent="0.25">
      <c r="B2748" s="23"/>
      <c r="E2748" s="23"/>
      <c r="G2748" s="23"/>
      <c r="H2748" s="23"/>
      <c r="J2748" s="23"/>
      <c r="K2748" s="23"/>
      <c r="M2748" s="23"/>
      <c r="N2748" s="23"/>
      <c r="P2748" s="23"/>
    </row>
    <row r="2749" spans="2:16" x14ac:dyDescent="0.25">
      <c r="B2749" s="23"/>
      <c r="E2749" s="23"/>
      <c r="G2749" s="23"/>
      <c r="H2749" s="23"/>
      <c r="J2749" s="23"/>
      <c r="K2749" s="23"/>
      <c r="M2749" s="23"/>
      <c r="N2749" s="23"/>
      <c r="P2749" s="23"/>
    </row>
    <row r="2750" spans="2:16" x14ac:dyDescent="0.25">
      <c r="B2750" s="23"/>
      <c r="E2750" s="23"/>
      <c r="G2750" s="23"/>
      <c r="H2750" s="23"/>
      <c r="J2750" s="23"/>
      <c r="K2750" s="23"/>
      <c r="M2750" s="23"/>
      <c r="N2750" s="23"/>
      <c r="P2750" s="23"/>
    </row>
    <row r="2751" spans="2:16" x14ac:dyDescent="0.25">
      <c r="B2751" s="23"/>
      <c r="E2751" s="23"/>
      <c r="G2751" s="23"/>
      <c r="H2751" s="23"/>
      <c r="J2751" s="23"/>
      <c r="K2751" s="23"/>
      <c r="M2751" s="23"/>
      <c r="N2751" s="23"/>
      <c r="P2751" s="23"/>
    </row>
    <row r="2752" spans="2:16" x14ac:dyDescent="0.25">
      <c r="B2752" s="23"/>
      <c r="E2752" s="23"/>
      <c r="G2752" s="23"/>
      <c r="H2752" s="23"/>
      <c r="J2752" s="23"/>
      <c r="K2752" s="23"/>
      <c r="M2752" s="23"/>
      <c r="N2752" s="23"/>
      <c r="P2752" s="23"/>
    </row>
    <row r="2753" spans="2:16" x14ac:dyDescent="0.25">
      <c r="B2753" s="23"/>
      <c r="E2753" s="23"/>
      <c r="G2753" s="23"/>
      <c r="H2753" s="23"/>
      <c r="J2753" s="23"/>
      <c r="K2753" s="23"/>
      <c r="M2753" s="23"/>
      <c r="N2753" s="23"/>
      <c r="P2753" s="23"/>
    </row>
    <row r="2754" spans="2:16" x14ac:dyDescent="0.25">
      <c r="B2754" s="23"/>
      <c r="E2754" s="23"/>
      <c r="G2754" s="23"/>
      <c r="H2754" s="23"/>
      <c r="J2754" s="23"/>
      <c r="K2754" s="23"/>
      <c r="M2754" s="23"/>
      <c r="N2754" s="23"/>
      <c r="P2754" s="23"/>
    </row>
    <row r="2755" spans="2:16" x14ac:dyDescent="0.25">
      <c r="B2755" s="23"/>
      <c r="E2755" s="23"/>
      <c r="G2755" s="23"/>
      <c r="H2755" s="23"/>
      <c r="J2755" s="23"/>
      <c r="K2755" s="23"/>
      <c r="M2755" s="23"/>
      <c r="N2755" s="23"/>
      <c r="P2755" s="23"/>
    </row>
    <row r="2756" spans="2:16" x14ac:dyDescent="0.25">
      <c r="B2756" s="23"/>
      <c r="E2756" s="23"/>
      <c r="G2756" s="23"/>
      <c r="H2756" s="23"/>
      <c r="J2756" s="23"/>
      <c r="K2756" s="23"/>
      <c r="M2756" s="23"/>
      <c r="N2756" s="23"/>
      <c r="P2756" s="23"/>
    </row>
    <row r="2757" spans="2:16" x14ac:dyDescent="0.25">
      <c r="B2757" s="23"/>
      <c r="E2757" s="23"/>
      <c r="G2757" s="23"/>
      <c r="H2757" s="23"/>
      <c r="J2757" s="23"/>
      <c r="K2757" s="23"/>
      <c r="M2757" s="23"/>
      <c r="N2757" s="23"/>
      <c r="P2757" s="23"/>
    </row>
    <row r="2758" spans="2:16" x14ac:dyDescent="0.25">
      <c r="B2758" s="23"/>
      <c r="E2758" s="23"/>
      <c r="G2758" s="23"/>
      <c r="H2758" s="23"/>
      <c r="J2758" s="23"/>
      <c r="K2758" s="23"/>
      <c r="M2758" s="23"/>
      <c r="N2758" s="23"/>
      <c r="P2758" s="23"/>
    </row>
    <row r="2759" spans="2:16" x14ac:dyDescent="0.25">
      <c r="B2759" s="23"/>
      <c r="E2759" s="23"/>
      <c r="G2759" s="23"/>
      <c r="H2759" s="23"/>
      <c r="J2759" s="23"/>
      <c r="K2759" s="23"/>
      <c r="M2759" s="23"/>
      <c r="N2759" s="23"/>
      <c r="P2759" s="23"/>
    </row>
    <row r="2760" spans="2:16" x14ac:dyDescent="0.25">
      <c r="B2760" s="23"/>
      <c r="E2760" s="23"/>
      <c r="G2760" s="23"/>
      <c r="H2760" s="23"/>
      <c r="J2760" s="23"/>
      <c r="K2760" s="23"/>
      <c r="M2760" s="23"/>
      <c r="N2760" s="23"/>
      <c r="P2760" s="23"/>
    </row>
    <row r="2761" spans="2:16" x14ac:dyDescent="0.25">
      <c r="B2761" s="23"/>
      <c r="E2761" s="23"/>
      <c r="G2761" s="23"/>
      <c r="H2761" s="23"/>
      <c r="J2761" s="23"/>
      <c r="K2761" s="23"/>
      <c r="M2761" s="23"/>
      <c r="N2761" s="23"/>
      <c r="P2761" s="23"/>
    </row>
    <row r="2762" spans="2:16" x14ac:dyDescent="0.25">
      <c r="B2762" s="23"/>
      <c r="E2762" s="23"/>
      <c r="G2762" s="23"/>
      <c r="H2762" s="23"/>
      <c r="J2762" s="23"/>
      <c r="K2762" s="23"/>
      <c r="M2762" s="23"/>
      <c r="N2762" s="23"/>
      <c r="P2762" s="23"/>
    </row>
    <row r="2763" spans="2:16" x14ac:dyDescent="0.25">
      <c r="B2763" s="23"/>
      <c r="E2763" s="23"/>
      <c r="G2763" s="23"/>
      <c r="H2763" s="23"/>
      <c r="J2763" s="23"/>
      <c r="K2763" s="23"/>
      <c r="M2763" s="23"/>
      <c r="N2763" s="23"/>
      <c r="P2763" s="23"/>
    </row>
    <row r="2764" spans="2:16" x14ac:dyDescent="0.25">
      <c r="B2764" s="23"/>
      <c r="E2764" s="23"/>
      <c r="G2764" s="23"/>
      <c r="H2764" s="23"/>
      <c r="J2764" s="23"/>
      <c r="K2764" s="23"/>
      <c r="M2764" s="23"/>
      <c r="N2764" s="23"/>
      <c r="P2764" s="23"/>
    </row>
    <row r="2765" spans="2:16" x14ac:dyDescent="0.25">
      <c r="B2765" s="23"/>
      <c r="E2765" s="23"/>
      <c r="G2765" s="23"/>
      <c r="H2765" s="23"/>
      <c r="J2765" s="23"/>
      <c r="K2765" s="23"/>
      <c r="M2765" s="23"/>
      <c r="N2765" s="23"/>
      <c r="P2765" s="23"/>
    </row>
    <row r="2766" spans="2:16" x14ac:dyDescent="0.25">
      <c r="B2766" s="23"/>
      <c r="E2766" s="23"/>
      <c r="G2766" s="23"/>
      <c r="H2766" s="23"/>
      <c r="J2766" s="23"/>
      <c r="K2766" s="23"/>
      <c r="M2766" s="23"/>
      <c r="N2766" s="23"/>
      <c r="P2766" s="23"/>
    </row>
    <row r="2767" spans="2:16" x14ac:dyDescent="0.25">
      <c r="B2767" s="23"/>
      <c r="E2767" s="23"/>
      <c r="G2767" s="23"/>
      <c r="H2767" s="23"/>
      <c r="J2767" s="23"/>
      <c r="K2767" s="23"/>
      <c r="M2767" s="23"/>
      <c r="N2767" s="23"/>
      <c r="P2767" s="23"/>
    </row>
    <row r="2768" spans="2:16" x14ac:dyDescent="0.25">
      <c r="B2768" s="23"/>
      <c r="E2768" s="23"/>
      <c r="G2768" s="23"/>
      <c r="H2768" s="23"/>
      <c r="J2768" s="23"/>
      <c r="K2768" s="23"/>
      <c r="M2768" s="23"/>
      <c r="N2768" s="23"/>
      <c r="P2768" s="23"/>
    </row>
    <row r="2769" spans="2:16" x14ac:dyDescent="0.25">
      <c r="B2769" s="23"/>
      <c r="E2769" s="23"/>
      <c r="G2769" s="23"/>
      <c r="H2769" s="23"/>
      <c r="J2769" s="23"/>
      <c r="K2769" s="23"/>
      <c r="M2769" s="23"/>
      <c r="N2769" s="23"/>
      <c r="P2769" s="23"/>
    </row>
    <row r="2770" spans="2:16" x14ac:dyDescent="0.25">
      <c r="B2770" s="23"/>
      <c r="E2770" s="23"/>
      <c r="G2770" s="23"/>
      <c r="H2770" s="23"/>
      <c r="J2770" s="23"/>
      <c r="K2770" s="23"/>
      <c r="M2770" s="23"/>
      <c r="N2770" s="23"/>
      <c r="P2770" s="23"/>
    </row>
    <row r="2771" spans="2:16" x14ac:dyDescent="0.25">
      <c r="B2771" s="23"/>
      <c r="E2771" s="23"/>
      <c r="G2771" s="23"/>
      <c r="H2771" s="23"/>
      <c r="J2771" s="23"/>
      <c r="K2771" s="23"/>
      <c r="M2771" s="23"/>
      <c r="N2771" s="23"/>
      <c r="P2771" s="23"/>
    </row>
    <row r="2772" spans="2:16" x14ac:dyDescent="0.25">
      <c r="B2772" s="23"/>
      <c r="E2772" s="23"/>
      <c r="G2772" s="23"/>
      <c r="H2772" s="23"/>
      <c r="J2772" s="23"/>
      <c r="K2772" s="23"/>
      <c r="M2772" s="23"/>
      <c r="N2772" s="23"/>
      <c r="P2772" s="23"/>
    </row>
    <row r="2773" spans="2:16" x14ac:dyDescent="0.25">
      <c r="B2773" s="23"/>
      <c r="E2773" s="23"/>
      <c r="G2773" s="23"/>
      <c r="H2773" s="23"/>
      <c r="J2773" s="23"/>
      <c r="K2773" s="23"/>
      <c r="M2773" s="23"/>
      <c r="N2773" s="23"/>
      <c r="P2773" s="23"/>
    </row>
    <row r="2774" spans="2:16" x14ac:dyDescent="0.25">
      <c r="B2774" s="23"/>
      <c r="E2774" s="23"/>
      <c r="G2774" s="23"/>
      <c r="H2774" s="23"/>
      <c r="J2774" s="23"/>
      <c r="K2774" s="23"/>
      <c r="M2774" s="23"/>
      <c r="N2774" s="23"/>
      <c r="P2774" s="23"/>
    </row>
    <row r="2775" spans="2:16" x14ac:dyDescent="0.25">
      <c r="B2775" s="23"/>
      <c r="E2775" s="23"/>
      <c r="G2775" s="23"/>
      <c r="H2775" s="23"/>
      <c r="J2775" s="23"/>
      <c r="K2775" s="23"/>
      <c r="M2775" s="23"/>
      <c r="N2775" s="23"/>
      <c r="P2775" s="23"/>
    </row>
    <row r="2776" spans="2:16" x14ac:dyDescent="0.25">
      <c r="B2776" s="23"/>
      <c r="E2776" s="23"/>
      <c r="G2776" s="23"/>
      <c r="H2776" s="23"/>
      <c r="J2776" s="23"/>
      <c r="K2776" s="23"/>
      <c r="M2776" s="23"/>
      <c r="N2776" s="23"/>
      <c r="P2776" s="23"/>
    </row>
    <row r="2777" spans="2:16" x14ac:dyDescent="0.25">
      <c r="B2777" s="23"/>
      <c r="E2777" s="23"/>
      <c r="G2777" s="23"/>
      <c r="H2777" s="23"/>
      <c r="J2777" s="23"/>
      <c r="K2777" s="23"/>
      <c r="M2777" s="23"/>
      <c r="N2777" s="23"/>
      <c r="P2777" s="23"/>
    </row>
    <row r="2778" spans="2:16" x14ac:dyDescent="0.25">
      <c r="B2778" s="23"/>
      <c r="E2778" s="23"/>
      <c r="G2778" s="23"/>
      <c r="H2778" s="23"/>
      <c r="J2778" s="23"/>
      <c r="K2778" s="23"/>
      <c r="M2778" s="23"/>
      <c r="N2778" s="23"/>
      <c r="P2778" s="23"/>
    </row>
    <row r="2779" spans="2:16" x14ac:dyDescent="0.25">
      <c r="B2779" s="23"/>
      <c r="E2779" s="23"/>
      <c r="G2779" s="23"/>
      <c r="H2779" s="23"/>
      <c r="J2779" s="23"/>
      <c r="K2779" s="23"/>
      <c r="M2779" s="23"/>
      <c r="N2779" s="23"/>
      <c r="P2779" s="23"/>
    </row>
    <row r="2780" spans="2:16" x14ac:dyDescent="0.25">
      <c r="B2780" s="23"/>
      <c r="E2780" s="23"/>
      <c r="G2780" s="23"/>
      <c r="H2780" s="23"/>
      <c r="J2780" s="23"/>
      <c r="K2780" s="23"/>
      <c r="M2780" s="23"/>
      <c r="N2780" s="23"/>
      <c r="P2780" s="23"/>
    </row>
    <row r="2781" spans="2:16" x14ac:dyDescent="0.25">
      <c r="B2781" s="23"/>
      <c r="E2781" s="23"/>
      <c r="G2781" s="23"/>
      <c r="H2781" s="23"/>
      <c r="J2781" s="23"/>
      <c r="K2781" s="23"/>
      <c r="M2781" s="23"/>
      <c r="N2781" s="23"/>
      <c r="P2781" s="23"/>
    </row>
    <row r="2782" spans="2:16" x14ac:dyDescent="0.25">
      <c r="B2782" s="23"/>
      <c r="E2782" s="23"/>
      <c r="G2782" s="23"/>
      <c r="H2782" s="23"/>
      <c r="J2782" s="23"/>
      <c r="K2782" s="23"/>
      <c r="M2782" s="23"/>
      <c r="N2782" s="23"/>
      <c r="P2782" s="23"/>
    </row>
    <row r="2783" spans="2:16" x14ac:dyDescent="0.25">
      <c r="B2783" s="23"/>
      <c r="E2783" s="23"/>
      <c r="G2783" s="23"/>
      <c r="H2783" s="23"/>
      <c r="J2783" s="23"/>
      <c r="K2783" s="23"/>
      <c r="M2783" s="23"/>
      <c r="N2783" s="23"/>
      <c r="P2783" s="23"/>
    </row>
    <row r="2784" spans="2:16" x14ac:dyDescent="0.25">
      <c r="B2784" s="23"/>
      <c r="E2784" s="23"/>
      <c r="G2784" s="23"/>
      <c r="H2784" s="23"/>
      <c r="J2784" s="23"/>
      <c r="K2784" s="23"/>
      <c r="M2784" s="23"/>
      <c r="N2784" s="23"/>
      <c r="P2784" s="23"/>
    </row>
    <row r="2785" spans="2:16" x14ac:dyDescent="0.25">
      <c r="B2785" s="23"/>
      <c r="E2785" s="23"/>
      <c r="G2785" s="23"/>
      <c r="H2785" s="23"/>
      <c r="J2785" s="23"/>
      <c r="K2785" s="23"/>
      <c r="M2785" s="23"/>
      <c r="N2785" s="23"/>
      <c r="P2785" s="23"/>
    </row>
    <row r="2786" spans="2:16" x14ac:dyDescent="0.25">
      <c r="B2786" s="23"/>
      <c r="E2786" s="23"/>
      <c r="G2786" s="23"/>
      <c r="H2786" s="23"/>
      <c r="J2786" s="23"/>
      <c r="K2786" s="23"/>
      <c r="M2786" s="23"/>
      <c r="N2786" s="23"/>
      <c r="P2786" s="23"/>
    </row>
    <row r="2787" spans="2:16" x14ac:dyDescent="0.25">
      <c r="B2787" s="23"/>
      <c r="E2787" s="23"/>
      <c r="G2787" s="23"/>
      <c r="H2787" s="23"/>
      <c r="J2787" s="23"/>
      <c r="K2787" s="23"/>
      <c r="M2787" s="23"/>
      <c r="N2787" s="23"/>
      <c r="P2787" s="23"/>
    </row>
    <row r="2788" spans="2:16" x14ac:dyDescent="0.25">
      <c r="B2788" s="23"/>
      <c r="E2788" s="23"/>
      <c r="G2788" s="23"/>
      <c r="H2788" s="23"/>
      <c r="J2788" s="23"/>
      <c r="K2788" s="23"/>
      <c r="M2788" s="23"/>
      <c r="N2788" s="23"/>
      <c r="P2788" s="23"/>
    </row>
    <row r="2789" spans="2:16" x14ac:dyDescent="0.25">
      <c r="B2789" s="23"/>
      <c r="E2789" s="23"/>
      <c r="G2789" s="23"/>
      <c r="H2789" s="23"/>
      <c r="J2789" s="23"/>
      <c r="K2789" s="23"/>
      <c r="M2789" s="23"/>
      <c r="N2789" s="23"/>
      <c r="P2789" s="23"/>
    </row>
    <row r="2790" spans="2:16" x14ac:dyDescent="0.25">
      <c r="B2790" s="23"/>
      <c r="E2790" s="23"/>
      <c r="G2790" s="23"/>
      <c r="H2790" s="23"/>
      <c r="J2790" s="23"/>
      <c r="K2790" s="23"/>
      <c r="M2790" s="23"/>
      <c r="N2790" s="23"/>
      <c r="P2790" s="23"/>
    </row>
    <row r="2791" spans="2:16" x14ac:dyDescent="0.25">
      <c r="B2791" s="23"/>
      <c r="E2791" s="23"/>
      <c r="G2791" s="23"/>
      <c r="H2791" s="23"/>
      <c r="J2791" s="23"/>
      <c r="K2791" s="23"/>
      <c r="M2791" s="23"/>
      <c r="N2791" s="23"/>
      <c r="P2791" s="23"/>
    </row>
    <row r="2792" spans="2:16" x14ac:dyDescent="0.25">
      <c r="B2792" s="23"/>
      <c r="E2792" s="23"/>
      <c r="G2792" s="23"/>
      <c r="H2792" s="23"/>
      <c r="J2792" s="23"/>
      <c r="K2792" s="23"/>
      <c r="M2792" s="23"/>
      <c r="N2792" s="23"/>
      <c r="P2792" s="23"/>
    </row>
    <row r="2793" spans="2:16" x14ac:dyDescent="0.25">
      <c r="B2793" s="23"/>
      <c r="E2793" s="23"/>
      <c r="G2793" s="23"/>
      <c r="H2793" s="23"/>
      <c r="J2793" s="23"/>
      <c r="K2793" s="23"/>
      <c r="M2793" s="23"/>
      <c r="N2793" s="23"/>
      <c r="P2793" s="23"/>
    </row>
    <row r="2794" spans="2:16" x14ac:dyDescent="0.25">
      <c r="B2794" s="23"/>
      <c r="E2794" s="23"/>
      <c r="G2794" s="23"/>
      <c r="H2794" s="23"/>
      <c r="J2794" s="23"/>
      <c r="K2794" s="23"/>
      <c r="M2794" s="23"/>
      <c r="N2794" s="23"/>
      <c r="P2794" s="23"/>
    </row>
    <row r="2795" spans="2:16" x14ac:dyDescent="0.25">
      <c r="B2795" s="23"/>
      <c r="E2795" s="23"/>
      <c r="G2795" s="23"/>
      <c r="H2795" s="23"/>
      <c r="J2795" s="23"/>
      <c r="K2795" s="23"/>
      <c r="M2795" s="23"/>
      <c r="N2795" s="23"/>
      <c r="P2795" s="23"/>
    </row>
    <row r="2796" spans="2:16" x14ac:dyDescent="0.25">
      <c r="B2796" s="23"/>
      <c r="E2796" s="23"/>
      <c r="G2796" s="23"/>
      <c r="H2796" s="23"/>
      <c r="J2796" s="23"/>
      <c r="K2796" s="23"/>
      <c r="M2796" s="23"/>
      <c r="N2796" s="23"/>
      <c r="P2796" s="23"/>
    </row>
    <row r="2797" spans="2:16" x14ac:dyDescent="0.25">
      <c r="B2797" s="23"/>
      <c r="E2797" s="23"/>
      <c r="G2797" s="23"/>
      <c r="H2797" s="23"/>
      <c r="J2797" s="23"/>
      <c r="K2797" s="23"/>
      <c r="M2797" s="23"/>
      <c r="N2797" s="23"/>
      <c r="P2797" s="23"/>
    </row>
    <row r="2798" spans="2:16" x14ac:dyDescent="0.25">
      <c r="B2798" s="23"/>
      <c r="E2798" s="23"/>
      <c r="G2798" s="23"/>
      <c r="H2798" s="23"/>
      <c r="J2798" s="23"/>
      <c r="K2798" s="23"/>
      <c r="M2798" s="23"/>
      <c r="N2798" s="23"/>
      <c r="P2798" s="23"/>
    </row>
    <row r="2799" spans="2:16" x14ac:dyDescent="0.25">
      <c r="B2799" s="23"/>
      <c r="E2799" s="23"/>
      <c r="G2799" s="23"/>
      <c r="H2799" s="23"/>
      <c r="J2799" s="23"/>
      <c r="K2799" s="23"/>
      <c r="M2799" s="23"/>
      <c r="N2799" s="23"/>
      <c r="P2799" s="23"/>
    </row>
    <row r="2800" spans="2:16" x14ac:dyDescent="0.25">
      <c r="B2800" s="23"/>
      <c r="E2800" s="23"/>
      <c r="G2800" s="23"/>
      <c r="H2800" s="23"/>
      <c r="J2800" s="23"/>
      <c r="K2800" s="23"/>
      <c r="M2800" s="23"/>
      <c r="N2800" s="23"/>
      <c r="P2800" s="23"/>
    </row>
    <row r="2801" spans="2:16" x14ac:dyDescent="0.25">
      <c r="B2801" s="23"/>
      <c r="E2801" s="23"/>
      <c r="G2801" s="23"/>
      <c r="H2801" s="23"/>
      <c r="J2801" s="23"/>
      <c r="K2801" s="23"/>
      <c r="M2801" s="23"/>
      <c r="N2801" s="23"/>
      <c r="P2801" s="23"/>
    </row>
    <row r="2802" spans="2:16" x14ac:dyDescent="0.25">
      <c r="B2802" s="23"/>
      <c r="E2802" s="23"/>
      <c r="G2802" s="23"/>
      <c r="H2802" s="23"/>
      <c r="J2802" s="23"/>
      <c r="K2802" s="23"/>
      <c r="M2802" s="23"/>
      <c r="N2802" s="23"/>
      <c r="P2802" s="23"/>
    </row>
    <row r="2803" spans="2:16" x14ac:dyDescent="0.25">
      <c r="B2803" s="23"/>
      <c r="E2803" s="23"/>
      <c r="G2803" s="23"/>
      <c r="H2803" s="23"/>
      <c r="J2803" s="23"/>
      <c r="K2803" s="23"/>
      <c r="M2803" s="23"/>
      <c r="N2803" s="23"/>
      <c r="P2803" s="23"/>
    </row>
    <row r="2804" spans="2:16" x14ac:dyDescent="0.25">
      <c r="B2804" s="23"/>
      <c r="E2804" s="23"/>
      <c r="G2804" s="23"/>
      <c r="H2804" s="23"/>
      <c r="J2804" s="23"/>
      <c r="K2804" s="23"/>
      <c r="M2804" s="23"/>
      <c r="N2804" s="23"/>
      <c r="P2804" s="23"/>
    </row>
    <row r="2805" spans="2:16" x14ac:dyDescent="0.25">
      <c r="B2805" s="23"/>
      <c r="E2805" s="23"/>
      <c r="G2805" s="23"/>
      <c r="H2805" s="23"/>
      <c r="J2805" s="23"/>
      <c r="K2805" s="23"/>
      <c r="M2805" s="23"/>
      <c r="N2805" s="23"/>
      <c r="P2805" s="23"/>
    </row>
    <row r="2806" spans="2:16" x14ac:dyDescent="0.25">
      <c r="B2806" s="23"/>
      <c r="E2806" s="23"/>
      <c r="G2806" s="23"/>
      <c r="H2806" s="23"/>
      <c r="J2806" s="23"/>
      <c r="K2806" s="23"/>
      <c r="M2806" s="23"/>
      <c r="N2806" s="23"/>
      <c r="P2806" s="23"/>
    </row>
    <row r="2807" spans="2:16" x14ac:dyDescent="0.25">
      <c r="B2807" s="23"/>
      <c r="E2807" s="23"/>
      <c r="G2807" s="23"/>
      <c r="H2807" s="23"/>
      <c r="J2807" s="23"/>
      <c r="K2807" s="23"/>
      <c r="M2807" s="23"/>
      <c r="N2807" s="23"/>
      <c r="P2807" s="23"/>
    </row>
    <row r="2808" spans="2:16" x14ac:dyDescent="0.25">
      <c r="B2808" s="23"/>
      <c r="E2808" s="23"/>
      <c r="G2808" s="23"/>
      <c r="H2808" s="23"/>
      <c r="J2808" s="23"/>
      <c r="K2808" s="23"/>
      <c r="M2808" s="23"/>
      <c r="N2808" s="23"/>
      <c r="P2808" s="23"/>
    </row>
    <row r="2809" spans="2:16" x14ac:dyDescent="0.25">
      <c r="B2809" s="23"/>
      <c r="E2809" s="23"/>
      <c r="G2809" s="23"/>
      <c r="H2809" s="23"/>
      <c r="J2809" s="23"/>
      <c r="K2809" s="23"/>
      <c r="M2809" s="23"/>
      <c r="N2809" s="23"/>
      <c r="P2809" s="23"/>
    </row>
    <row r="2810" spans="2:16" x14ac:dyDescent="0.25">
      <c r="B2810" s="23"/>
      <c r="E2810" s="23"/>
      <c r="G2810" s="23"/>
      <c r="H2810" s="23"/>
      <c r="J2810" s="23"/>
      <c r="K2810" s="23"/>
      <c r="M2810" s="23"/>
      <c r="N2810" s="23"/>
      <c r="P2810" s="23"/>
    </row>
    <row r="2811" spans="2:16" x14ac:dyDescent="0.25">
      <c r="B2811" s="23"/>
      <c r="E2811" s="23"/>
      <c r="G2811" s="23"/>
      <c r="H2811" s="23"/>
      <c r="J2811" s="23"/>
      <c r="K2811" s="23"/>
      <c r="M2811" s="23"/>
      <c r="N2811" s="23"/>
      <c r="P2811" s="23"/>
    </row>
    <row r="2812" spans="2:16" x14ac:dyDescent="0.25">
      <c r="B2812" s="23"/>
      <c r="E2812" s="23"/>
      <c r="G2812" s="23"/>
      <c r="H2812" s="23"/>
      <c r="J2812" s="23"/>
      <c r="K2812" s="23"/>
      <c r="M2812" s="23"/>
      <c r="N2812" s="23"/>
      <c r="P2812" s="23"/>
    </row>
    <row r="2813" spans="2:16" x14ac:dyDescent="0.25">
      <c r="B2813" s="23"/>
      <c r="E2813" s="23"/>
      <c r="G2813" s="23"/>
      <c r="H2813" s="23"/>
      <c r="J2813" s="23"/>
      <c r="K2813" s="23"/>
      <c r="M2813" s="23"/>
      <c r="N2813" s="23"/>
      <c r="P2813" s="23"/>
    </row>
    <row r="2814" spans="2:16" x14ac:dyDescent="0.25">
      <c r="B2814" s="23"/>
      <c r="E2814" s="23"/>
      <c r="G2814" s="23"/>
      <c r="H2814" s="23"/>
      <c r="J2814" s="23"/>
      <c r="K2814" s="23"/>
      <c r="M2814" s="23"/>
      <c r="N2814" s="23"/>
      <c r="P2814" s="23"/>
    </row>
    <row r="2815" spans="2:16" x14ac:dyDescent="0.25">
      <c r="B2815" s="23"/>
      <c r="E2815" s="23"/>
      <c r="G2815" s="23"/>
      <c r="H2815" s="23"/>
      <c r="J2815" s="23"/>
      <c r="K2815" s="23"/>
      <c r="M2815" s="23"/>
      <c r="N2815" s="23"/>
      <c r="P2815" s="23"/>
    </row>
    <row r="2816" spans="2:16" x14ac:dyDescent="0.25">
      <c r="B2816" s="23"/>
      <c r="E2816" s="23"/>
      <c r="G2816" s="23"/>
      <c r="H2816" s="23"/>
      <c r="J2816" s="23"/>
      <c r="K2816" s="23"/>
      <c r="M2816" s="23"/>
      <c r="N2816" s="23"/>
      <c r="P2816" s="23"/>
    </row>
    <row r="2817" spans="2:16" x14ac:dyDescent="0.25">
      <c r="B2817" s="23"/>
      <c r="E2817" s="23"/>
      <c r="G2817" s="23"/>
      <c r="H2817" s="23"/>
      <c r="J2817" s="23"/>
      <c r="K2817" s="23"/>
      <c r="M2817" s="23"/>
      <c r="N2817" s="23"/>
      <c r="P2817" s="23"/>
    </row>
    <row r="2818" spans="2:16" x14ac:dyDescent="0.25">
      <c r="B2818" s="23"/>
      <c r="E2818" s="23"/>
      <c r="G2818" s="23"/>
      <c r="H2818" s="23"/>
      <c r="J2818" s="23"/>
      <c r="K2818" s="23"/>
      <c r="M2818" s="23"/>
      <c r="N2818" s="23"/>
      <c r="P2818" s="23"/>
    </row>
    <row r="2819" spans="2:16" x14ac:dyDescent="0.25">
      <c r="B2819" s="23"/>
      <c r="E2819" s="23"/>
      <c r="G2819" s="23"/>
      <c r="H2819" s="23"/>
      <c r="J2819" s="23"/>
      <c r="K2819" s="23"/>
      <c r="M2819" s="23"/>
      <c r="N2819" s="23"/>
      <c r="P2819" s="23"/>
    </row>
    <row r="2820" spans="2:16" x14ac:dyDescent="0.25">
      <c r="B2820" s="23"/>
      <c r="E2820" s="23"/>
      <c r="G2820" s="23"/>
      <c r="H2820" s="23"/>
      <c r="J2820" s="23"/>
      <c r="K2820" s="23"/>
      <c r="M2820" s="23"/>
      <c r="N2820" s="23"/>
      <c r="P2820" s="23"/>
    </row>
    <row r="2821" spans="2:16" x14ac:dyDescent="0.25">
      <c r="B2821" s="23"/>
      <c r="E2821" s="23"/>
      <c r="G2821" s="23"/>
      <c r="H2821" s="23"/>
      <c r="J2821" s="23"/>
      <c r="K2821" s="23"/>
      <c r="M2821" s="23"/>
      <c r="N2821" s="23"/>
      <c r="P2821" s="23"/>
    </row>
    <row r="2822" spans="2:16" x14ac:dyDescent="0.25">
      <c r="B2822" s="23"/>
      <c r="E2822" s="23"/>
      <c r="G2822" s="23"/>
      <c r="H2822" s="23"/>
      <c r="J2822" s="23"/>
      <c r="K2822" s="23"/>
      <c r="M2822" s="23"/>
      <c r="N2822" s="23"/>
      <c r="P2822" s="23"/>
    </row>
    <row r="2823" spans="2:16" x14ac:dyDescent="0.25">
      <c r="B2823" s="23"/>
      <c r="E2823" s="23"/>
      <c r="G2823" s="23"/>
      <c r="H2823" s="23"/>
      <c r="J2823" s="23"/>
      <c r="K2823" s="23"/>
      <c r="M2823" s="23"/>
      <c r="N2823" s="23"/>
      <c r="P2823" s="23"/>
    </row>
    <row r="2824" spans="2:16" x14ac:dyDescent="0.25">
      <c r="B2824" s="23"/>
      <c r="E2824" s="23"/>
      <c r="G2824" s="23"/>
      <c r="H2824" s="23"/>
      <c r="J2824" s="23"/>
      <c r="K2824" s="23"/>
      <c r="M2824" s="23"/>
      <c r="N2824" s="23"/>
      <c r="P2824" s="23"/>
    </row>
    <row r="2825" spans="2:16" x14ac:dyDescent="0.25">
      <c r="B2825" s="23"/>
      <c r="E2825" s="23"/>
      <c r="G2825" s="23"/>
      <c r="H2825" s="23"/>
      <c r="J2825" s="23"/>
      <c r="K2825" s="23"/>
      <c r="M2825" s="23"/>
      <c r="N2825" s="23"/>
      <c r="P2825" s="23"/>
    </row>
    <row r="2826" spans="2:16" x14ac:dyDescent="0.25">
      <c r="B2826" s="23"/>
      <c r="E2826" s="23"/>
      <c r="G2826" s="23"/>
      <c r="H2826" s="23"/>
      <c r="J2826" s="23"/>
      <c r="K2826" s="23"/>
      <c r="M2826" s="23"/>
      <c r="N2826" s="23"/>
      <c r="P2826" s="23"/>
    </row>
    <row r="2827" spans="2:16" x14ac:dyDescent="0.25">
      <c r="B2827" s="23"/>
      <c r="E2827" s="23"/>
      <c r="G2827" s="23"/>
      <c r="H2827" s="23"/>
      <c r="J2827" s="23"/>
      <c r="K2827" s="23"/>
      <c r="M2827" s="23"/>
      <c r="N2827" s="23"/>
      <c r="P2827" s="23"/>
    </row>
    <row r="2828" spans="2:16" x14ac:dyDescent="0.25">
      <c r="B2828" s="23"/>
      <c r="E2828" s="23"/>
      <c r="G2828" s="23"/>
      <c r="H2828" s="23"/>
      <c r="J2828" s="23"/>
      <c r="K2828" s="23"/>
      <c r="M2828" s="23"/>
      <c r="N2828" s="23"/>
      <c r="P2828" s="23"/>
    </row>
    <row r="2829" spans="2:16" x14ac:dyDescent="0.25">
      <c r="B2829" s="23"/>
      <c r="E2829" s="23"/>
      <c r="G2829" s="23"/>
      <c r="H2829" s="23"/>
      <c r="J2829" s="23"/>
      <c r="K2829" s="23"/>
      <c r="M2829" s="23"/>
      <c r="N2829" s="23"/>
      <c r="P2829" s="23"/>
    </row>
    <row r="2830" spans="2:16" x14ac:dyDescent="0.25">
      <c r="B2830" s="23"/>
      <c r="E2830" s="23"/>
      <c r="G2830" s="23"/>
      <c r="H2830" s="23"/>
      <c r="J2830" s="23"/>
      <c r="K2830" s="23"/>
      <c r="M2830" s="23"/>
      <c r="N2830" s="23"/>
      <c r="P2830" s="23"/>
    </row>
    <row r="2831" spans="2:16" x14ac:dyDescent="0.25">
      <c r="B2831" s="23"/>
      <c r="E2831" s="23"/>
      <c r="G2831" s="23"/>
      <c r="H2831" s="23"/>
      <c r="J2831" s="23"/>
      <c r="K2831" s="23"/>
      <c r="M2831" s="23"/>
      <c r="N2831" s="23"/>
      <c r="P2831" s="23"/>
    </row>
    <row r="2832" spans="2:16" x14ac:dyDescent="0.25">
      <c r="B2832" s="23"/>
      <c r="E2832" s="23"/>
      <c r="G2832" s="23"/>
      <c r="H2832" s="23"/>
      <c r="J2832" s="23"/>
      <c r="K2832" s="23"/>
      <c r="M2832" s="23"/>
      <c r="N2832" s="23"/>
      <c r="P2832" s="23"/>
    </row>
    <row r="2833" spans="2:16" x14ac:dyDescent="0.25">
      <c r="B2833" s="23"/>
      <c r="E2833" s="23"/>
      <c r="G2833" s="23"/>
      <c r="H2833" s="23"/>
      <c r="J2833" s="23"/>
      <c r="K2833" s="23"/>
      <c r="M2833" s="23"/>
      <c r="N2833" s="23"/>
      <c r="P2833" s="23"/>
    </row>
    <row r="2834" spans="2:16" x14ac:dyDescent="0.25">
      <c r="B2834" s="23"/>
      <c r="E2834" s="23"/>
      <c r="G2834" s="23"/>
      <c r="H2834" s="23"/>
      <c r="J2834" s="23"/>
      <c r="K2834" s="23"/>
      <c r="M2834" s="23"/>
      <c r="N2834" s="23"/>
      <c r="P2834" s="23"/>
    </row>
    <row r="2835" spans="2:16" x14ac:dyDescent="0.25">
      <c r="B2835" s="23"/>
      <c r="E2835" s="23"/>
      <c r="G2835" s="23"/>
      <c r="H2835" s="23"/>
      <c r="J2835" s="23"/>
      <c r="K2835" s="23"/>
      <c r="M2835" s="23"/>
      <c r="N2835" s="23"/>
      <c r="P2835" s="23"/>
    </row>
    <row r="2836" spans="2:16" x14ac:dyDescent="0.25">
      <c r="B2836" s="23"/>
      <c r="E2836" s="23"/>
      <c r="G2836" s="23"/>
      <c r="H2836" s="23"/>
      <c r="J2836" s="23"/>
      <c r="K2836" s="23"/>
      <c r="M2836" s="23"/>
      <c r="N2836" s="23"/>
      <c r="P2836" s="23"/>
    </row>
    <row r="2837" spans="2:16" x14ac:dyDescent="0.25">
      <c r="B2837" s="23"/>
      <c r="E2837" s="23"/>
      <c r="G2837" s="23"/>
      <c r="H2837" s="23"/>
      <c r="J2837" s="23"/>
      <c r="K2837" s="23"/>
      <c r="M2837" s="23"/>
      <c r="N2837" s="23"/>
      <c r="P2837" s="23"/>
    </row>
    <row r="2838" spans="2:16" x14ac:dyDescent="0.25">
      <c r="B2838" s="23"/>
      <c r="E2838" s="23"/>
      <c r="G2838" s="23"/>
      <c r="H2838" s="23"/>
      <c r="J2838" s="23"/>
      <c r="K2838" s="23"/>
      <c r="M2838" s="23"/>
      <c r="N2838" s="23"/>
      <c r="P2838" s="23"/>
    </row>
    <row r="2839" spans="2:16" x14ac:dyDescent="0.25">
      <c r="B2839" s="23"/>
      <c r="E2839" s="23"/>
      <c r="G2839" s="23"/>
      <c r="H2839" s="23"/>
      <c r="J2839" s="23"/>
      <c r="K2839" s="23"/>
      <c r="M2839" s="23"/>
      <c r="N2839" s="23"/>
      <c r="P2839" s="23"/>
    </row>
    <row r="2840" spans="2:16" x14ac:dyDescent="0.25">
      <c r="B2840" s="23"/>
      <c r="E2840" s="23"/>
      <c r="G2840" s="23"/>
      <c r="H2840" s="23"/>
      <c r="J2840" s="23"/>
      <c r="K2840" s="23"/>
      <c r="M2840" s="23"/>
      <c r="N2840" s="23"/>
      <c r="P2840" s="23"/>
    </row>
    <row r="2841" spans="2:16" x14ac:dyDescent="0.25">
      <c r="B2841" s="23"/>
      <c r="E2841" s="23"/>
      <c r="G2841" s="23"/>
      <c r="H2841" s="23"/>
      <c r="J2841" s="23"/>
      <c r="K2841" s="23"/>
      <c r="M2841" s="23"/>
      <c r="N2841" s="23"/>
      <c r="P2841" s="23"/>
    </row>
    <row r="2842" spans="2:16" x14ac:dyDescent="0.25">
      <c r="B2842" s="23"/>
      <c r="E2842" s="23"/>
      <c r="G2842" s="23"/>
      <c r="H2842" s="23"/>
      <c r="J2842" s="23"/>
      <c r="K2842" s="23"/>
      <c r="M2842" s="23"/>
      <c r="N2842" s="23"/>
      <c r="P2842" s="23"/>
    </row>
    <row r="2843" spans="2:16" x14ac:dyDescent="0.25">
      <c r="B2843" s="23"/>
      <c r="E2843" s="23"/>
      <c r="G2843" s="23"/>
      <c r="H2843" s="23"/>
      <c r="J2843" s="23"/>
      <c r="K2843" s="23"/>
      <c r="M2843" s="23"/>
      <c r="N2843" s="23"/>
      <c r="P2843" s="23"/>
    </row>
    <row r="2844" spans="2:16" x14ac:dyDescent="0.25">
      <c r="B2844" s="23"/>
      <c r="E2844" s="23"/>
      <c r="G2844" s="23"/>
      <c r="H2844" s="23"/>
      <c r="J2844" s="23"/>
      <c r="K2844" s="23"/>
      <c r="M2844" s="23"/>
      <c r="N2844" s="23"/>
      <c r="P2844" s="23"/>
    </row>
    <row r="2845" spans="2:16" x14ac:dyDescent="0.25">
      <c r="B2845" s="23"/>
      <c r="E2845" s="23"/>
      <c r="G2845" s="23"/>
      <c r="H2845" s="23"/>
      <c r="J2845" s="23"/>
      <c r="K2845" s="23"/>
      <c r="M2845" s="23"/>
      <c r="N2845" s="23"/>
      <c r="P2845" s="23"/>
    </row>
    <row r="2846" spans="2:16" x14ac:dyDescent="0.25">
      <c r="B2846" s="23"/>
      <c r="E2846" s="23"/>
      <c r="G2846" s="23"/>
      <c r="H2846" s="23"/>
      <c r="J2846" s="23"/>
      <c r="K2846" s="23"/>
      <c r="M2846" s="23"/>
      <c r="N2846" s="23"/>
      <c r="P2846" s="23"/>
    </row>
    <row r="2847" spans="2:16" x14ac:dyDescent="0.25">
      <c r="B2847" s="23"/>
      <c r="E2847" s="23"/>
      <c r="G2847" s="23"/>
      <c r="H2847" s="23"/>
      <c r="J2847" s="23"/>
      <c r="K2847" s="23"/>
      <c r="M2847" s="23"/>
      <c r="N2847" s="23"/>
      <c r="P2847" s="23"/>
    </row>
    <row r="2848" spans="2:16" x14ac:dyDescent="0.25">
      <c r="B2848" s="23"/>
      <c r="E2848" s="23"/>
      <c r="G2848" s="23"/>
      <c r="H2848" s="23"/>
      <c r="J2848" s="23"/>
      <c r="K2848" s="23"/>
      <c r="M2848" s="23"/>
      <c r="N2848" s="23"/>
      <c r="P2848" s="23"/>
    </row>
    <row r="2849" spans="2:16" x14ac:dyDescent="0.25">
      <c r="B2849" s="23"/>
      <c r="E2849" s="23"/>
      <c r="G2849" s="23"/>
      <c r="H2849" s="23"/>
      <c r="J2849" s="23"/>
      <c r="K2849" s="23"/>
      <c r="M2849" s="23"/>
      <c r="N2849" s="23"/>
      <c r="P2849" s="23"/>
    </row>
    <row r="2850" spans="2:16" x14ac:dyDescent="0.25">
      <c r="B2850" s="23"/>
      <c r="E2850" s="23"/>
      <c r="G2850" s="23"/>
      <c r="H2850" s="23"/>
      <c r="J2850" s="23"/>
      <c r="K2850" s="23"/>
      <c r="M2850" s="23"/>
      <c r="N2850" s="23"/>
      <c r="P2850" s="23"/>
    </row>
    <row r="2851" spans="2:16" x14ac:dyDescent="0.25">
      <c r="B2851" s="23"/>
      <c r="E2851" s="23"/>
      <c r="G2851" s="23"/>
      <c r="H2851" s="23"/>
      <c r="J2851" s="23"/>
      <c r="K2851" s="23"/>
      <c r="M2851" s="23"/>
      <c r="N2851" s="23"/>
      <c r="P2851" s="23"/>
    </row>
    <row r="2852" spans="2:16" x14ac:dyDescent="0.25">
      <c r="B2852" s="23"/>
      <c r="E2852" s="23"/>
      <c r="G2852" s="23"/>
      <c r="H2852" s="23"/>
      <c r="J2852" s="23"/>
      <c r="K2852" s="23"/>
      <c r="M2852" s="23"/>
      <c r="N2852" s="23"/>
      <c r="P2852" s="23"/>
    </row>
    <row r="2853" spans="2:16" x14ac:dyDescent="0.25">
      <c r="B2853" s="23"/>
      <c r="E2853" s="23"/>
      <c r="G2853" s="23"/>
      <c r="H2853" s="23"/>
      <c r="J2853" s="23"/>
      <c r="K2853" s="23"/>
      <c r="M2853" s="23"/>
      <c r="N2853" s="23"/>
      <c r="P2853" s="23"/>
    </row>
    <row r="2854" spans="2:16" x14ac:dyDescent="0.25">
      <c r="B2854" s="23"/>
      <c r="E2854" s="23"/>
      <c r="G2854" s="23"/>
      <c r="H2854" s="23"/>
      <c r="J2854" s="23"/>
      <c r="K2854" s="23"/>
      <c r="M2854" s="23"/>
      <c r="N2854" s="23"/>
      <c r="P2854" s="23"/>
    </row>
    <row r="2855" spans="2:16" x14ac:dyDescent="0.25">
      <c r="B2855" s="23"/>
      <c r="E2855" s="23"/>
      <c r="G2855" s="23"/>
      <c r="H2855" s="23"/>
      <c r="J2855" s="23"/>
      <c r="K2855" s="23"/>
      <c r="M2855" s="23"/>
      <c r="N2855" s="23"/>
      <c r="P2855" s="23"/>
    </row>
    <row r="2856" spans="2:16" x14ac:dyDescent="0.25">
      <c r="B2856" s="23"/>
      <c r="E2856" s="23"/>
      <c r="G2856" s="23"/>
      <c r="H2856" s="23"/>
      <c r="J2856" s="23"/>
      <c r="K2856" s="23"/>
      <c r="M2856" s="23"/>
      <c r="N2856" s="23"/>
      <c r="P2856" s="23"/>
    </row>
    <row r="2857" spans="2:16" x14ac:dyDescent="0.25">
      <c r="B2857" s="23"/>
      <c r="E2857" s="23"/>
      <c r="G2857" s="23"/>
      <c r="H2857" s="23"/>
      <c r="J2857" s="23"/>
      <c r="K2857" s="23"/>
      <c r="M2857" s="23"/>
      <c r="N2857" s="23"/>
      <c r="P2857" s="23"/>
    </row>
    <row r="2858" spans="2:16" x14ac:dyDescent="0.25">
      <c r="B2858" s="23"/>
      <c r="E2858" s="23"/>
      <c r="G2858" s="23"/>
      <c r="H2858" s="23"/>
      <c r="J2858" s="23"/>
      <c r="K2858" s="23"/>
      <c r="M2858" s="23"/>
      <c r="N2858" s="23"/>
      <c r="P2858" s="23"/>
    </row>
    <row r="2859" spans="2:16" x14ac:dyDescent="0.25">
      <c r="B2859" s="23"/>
      <c r="E2859" s="23"/>
      <c r="G2859" s="23"/>
      <c r="H2859" s="23"/>
      <c r="J2859" s="23"/>
      <c r="K2859" s="23"/>
      <c r="M2859" s="23"/>
      <c r="N2859" s="23"/>
      <c r="P2859" s="23"/>
    </row>
    <row r="2860" spans="2:16" x14ac:dyDescent="0.25">
      <c r="B2860" s="23"/>
      <c r="E2860" s="23"/>
      <c r="G2860" s="23"/>
      <c r="H2860" s="23"/>
      <c r="J2860" s="23"/>
      <c r="K2860" s="23"/>
      <c r="M2860" s="23"/>
      <c r="N2860" s="23"/>
      <c r="P2860" s="23"/>
    </row>
    <row r="2861" spans="2:16" x14ac:dyDescent="0.25">
      <c r="B2861" s="23"/>
      <c r="E2861" s="23"/>
      <c r="G2861" s="23"/>
      <c r="H2861" s="23"/>
      <c r="J2861" s="23"/>
      <c r="K2861" s="23"/>
      <c r="M2861" s="23"/>
      <c r="N2861" s="23"/>
      <c r="P2861" s="23"/>
    </row>
    <row r="2862" spans="2:16" x14ac:dyDescent="0.25">
      <c r="B2862" s="23"/>
      <c r="E2862" s="23"/>
      <c r="G2862" s="23"/>
      <c r="H2862" s="23"/>
      <c r="J2862" s="23"/>
      <c r="K2862" s="23"/>
      <c r="M2862" s="23"/>
      <c r="N2862" s="23"/>
      <c r="P2862" s="23"/>
    </row>
    <row r="2863" spans="2:16" x14ac:dyDescent="0.25">
      <c r="B2863" s="23"/>
      <c r="E2863" s="23"/>
      <c r="G2863" s="23"/>
      <c r="H2863" s="23"/>
      <c r="J2863" s="23"/>
      <c r="K2863" s="23"/>
      <c r="M2863" s="23"/>
      <c r="N2863" s="23"/>
      <c r="P2863" s="23"/>
    </row>
    <row r="2864" spans="2:16" x14ac:dyDescent="0.25">
      <c r="B2864" s="23"/>
      <c r="E2864" s="23"/>
      <c r="G2864" s="23"/>
      <c r="H2864" s="23"/>
      <c r="J2864" s="23"/>
      <c r="K2864" s="23"/>
      <c r="M2864" s="23"/>
      <c r="N2864" s="23"/>
      <c r="P2864" s="23"/>
    </row>
    <row r="2865" spans="2:16" x14ac:dyDescent="0.25">
      <c r="B2865" s="23"/>
      <c r="E2865" s="23"/>
      <c r="G2865" s="23"/>
      <c r="H2865" s="23"/>
      <c r="J2865" s="23"/>
      <c r="K2865" s="23"/>
      <c r="M2865" s="23"/>
      <c r="N2865" s="23"/>
      <c r="P2865" s="23"/>
    </row>
    <row r="2866" spans="2:16" x14ac:dyDescent="0.25">
      <c r="B2866" s="23"/>
      <c r="E2866" s="23"/>
      <c r="G2866" s="23"/>
      <c r="H2866" s="23"/>
      <c r="J2866" s="23"/>
      <c r="K2866" s="23"/>
      <c r="M2866" s="23"/>
      <c r="N2866" s="23"/>
      <c r="P2866" s="23"/>
    </row>
    <row r="2867" spans="2:16" x14ac:dyDescent="0.25">
      <c r="B2867" s="23"/>
      <c r="E2867" s="23"/>
      <c r="G2867" s="23"/>
      <c r="H2867" s="23"/>
      <c r="J2867" s="23"/>
      <c r="K2867" s="23"/>
      <c r="M2867" s="23"/>
      <c r="N2867" s="23"/>
      <c r="P2867" s="23"/>
    </row>
    <row r="2868" spans="2:16" x14ac:dyDescent="0.25">
      <c r="B2868" s="23"/>
      <c r="E2868" s="23"/>
      <c r="G2868" s="23"/>
      <c r="H2868" s="23"/>
      <c r="J2868" s="23"/>
      <c r="K2868" s="23"/>
      <c r="M2868" s="23"/>
      <c r="N2868" s="23"/>
      <c r="P2868" s="23"/>
    </row>
    <row r="2869" spans="2:16" x14ac:dyDescent="0.25">
      <c r="B2869" s="23"/>
      <c r="E2869" s="23"/>
      <c r="G2869" s="23"/>
      <c r="H2869" s="23"/>
      <c r="J2869" s="23"/>
      <c r="K2869" s="23"/>
      <c r="M2869" s="23"/>
      <c r="N2869" s="23"/>
      <c r="P2869" s="23"/>
    </row>
    <row r="2870" spans="2:16" x14ac:dyDescent="0.25">
      <c r="B2870" s="23"/>
      <c r="E2870" s="23"/>
      <c r="G2870" s="23"/>
      <c r="H2870" s="23"/>
      <c r="J2870" s="23"/>
      <c r="K2870" s="23"/>
      <c r="M2870" s="23"/>
      <c r="N2870" s="23"/>
      <c r="P2870" s="23"/>
    </row>
    <row r="2871" spans="2:16" x14ac:dyDescent="0.25">
      <c r="B2871" s="23"/>
      <c r="E2871" s="23"/>
      <c r="G2871" s="23"/>
      <c r="H2871" s="23"/>
      <c r="J2871" s="23"/>
      <c r="K2871" s="23"/>
      <c r="M2871" s="23"/>
      <c r="N2871" s="23"/>
      <c r="P2871" s="23"/>
    </row>
    <row r="2872" spans="2:16" x14ac:dyDescent="0.25">
      <c r="B2872" s="23"/>
      <c r="E2872" s="23"/>
      <c r="G2872" s="23"/>
      <c r="H2872" s="23"/>
      <c r="J2872" s="23"/>
      <c r="K2872" s="23"/>
      <c r="M2872" s="23"/>
      <c r="N2872" s="23"/>
      <c r="P2872" s="23"/>
    </row>
    <row r="2873" spans="2:16" x14ac:dyDescent="0.25">
      <c r="B2873" s="23"/>
      <c r="E2873" s="23"/>
      <c r="G2873" s="23"/>
      <c r="H2873" s="23"/>
      <c r="J2873" s="23"/>
      <c r="K2873" s="23"/>
      <c r="M2873" s="23"/>
      <c r="N2873" s="23"/>
      <c r="P2873" s="23"/>
    </row>
    <row r="2874" spans="2:16" x14ac:dyDescent="0.25">
      <c r="B2874" s="23"/>
      <c r="E2874" s="23"/>
      <c r="G2874" s="23"/>
      <c r="H2874" s="23"/>
      <c r="J2874" s="23"/>
      <c r="K2874" s="23"/>
      <c r="M2874" s="23"/>
      <c r="N2874" s="23"/>
      <c r="P2874" s="23"/>
    </row>
    <row r="2875" spans="2:16" x14ac:dyDescent="0.25">
      <c r="B2875" s="23"/>
      <c r="E2875" s="23"/>
      <c r="G2875" s="23"/>
      <c r="H2875" s="23"/>
      <c r="J2875" s="23"/>
      <c r="K2875" s="23"/>
      <c r="M2875" s="23"/>
      <c r="N2875" s="23"/>
      <c r="P2875" s="23"/>
    </row>
    <row r="2876" spans="2:16" x14ac:dyDescent="0.25">
      <c r="B2876" s="23"/>
      <c r="E2876" s="23"/>
      <c r="G2876" s="23"/>
      <c r="H2876" s="23"/>
      <c r="J2876" s="23"/>
      <c r="K2876" s="23"/>
      <c r="M2876" s="23"/>
      <c r="N2876" s="23"/>
      <c r="P2876" s="23"/>
    </row>
    <row r="2877" spans="2:16" x14ac:dyDescent="0.25">
      <c r="B2877" s="23"/>
      <c r="E2877" s="23"/>
      <c r="G2877" s="23"/>
      <c r="H2877" s="23"/>
      <c r="J2877" s="23"/>
      <c r="K2877" s="23"/>
      <c r="M2877" s="23"/>
      <c r="N2877" s="23"/>
      <c r="P2877" s="23"/>
    </row>
    <row r="2878" spans="2:16" x14ac:dyDescent="0.25">
      <c r="B2878" s="23"/>
      <c r="E2878" s="23"/>
      <c r="G2878" s="23"/>
      <c r="H2878" s="23"/>
      <c r="J2878" s="23"/>
      <c r="K2878" s="23"/>
      <c r="M2878" s="23"/>
      <c r="N2878" s="23"/>
      <c r="P2878" s="23"/>
    </row>
    <row r="2879" spans="2:16" x14ac:dyDescent="0.25">
      <c r="B2879" s="23"/>
      <c r="E2879" s="23"/>
      <c r="G2879" s="23"/>
      <c r="H2879" s="23"/>
      <c r="J2879" s="23"/>
      <c r="K2879" s="23"/>
      <c r="M2879" s="23"/>
      <c r="N2879" s="23"/>
      <c r="P2879" s="23"/>
    </row>
    <row r="2880" spans="2:16" x14ac:dyDescent="0.25">
      <c r="B2880" s="23"/>
      <c r="E2880" s="23"/>
      <c r="G2880" s="23"/>
      <c r="H2880" s="23"/>
      <c r="J2880" s="23"/>
      <c r="K2880" s="23"/>
      <c r="M2880" s="23"/>
      <c r="N2880" s="23"/>
      <c r="P2880" s="23"/>
    </row>
    <row r="2881" spans="2:16" x14ac:dyDescent="0.25">
      <c r="B2881" s="23"/>
      <c r="E2881" s="23"/>
      <c r="G2881" s="23"/>
      <c r="H2881" s="23"/>
      <c r="J2881" s="23"/>
      <c r="K2881" s="23"/>
      <c r="M2881" s="23"/>
      <c r="N2881" s="23"/>
      <c r="P2881" s="23"/>
    </row>
    <row r="2882" spans="2:16" x14ac:dyDescent="0.25">
      <c r="B2882" s="23"/>
      <c r="E2882" s="23"/>
      <c r="G2882" s="23"/>
      <c r="H2882" s="23"/>
      <c r="J2882" s="23"/>
      <c r="K2882" s="23"/>
      <c r="M2882" s="23"/>
      <c r="N2882" s="23"/>
      <c r="P2882" s="23"/>
    </row>
    <row r="2883" spans="2:16" x14ac:dyDescent="0.25">
      <c r="B2883" s="23"/>
      <c r="E2883" s="23"/>
      <c r="G2883" s="23"/>
      <c r="H2883" s="23"/>
      <c r="J2883" s="23"/>
      <c r="K2883" s="23"/>
      <c r="M2883" s="23"/>
      <c r="N2883" s="23"/>
      <c r="P2883" s="23"/>
    </row>
    <row r="2884" spans="2:16" x14ac:dyDescent="0.25">
      <c r="B2884" s="23"/>
      <c r="E2884" s="23"/>
      <c r="G2884" s="23"/>
      <c r="H2884" s="23"/>
      <c r="J2884" s="23"/>
      <c r="K2884" s="23"/>
      <c r="M2884" s="23"/>
      <c r="N2884" s="23"/>
      <c r="P2884" s="23"/>
    </row>
    <row r="2885" spans="2:16" x14ac:dyDescent="0.25">
      <c r="B2885" s="23"/>
      <c r="E2885" s="23"/>
      <c r="G2885" s="23"/>
      <c r="H2885" s="23"/>
      <c r="J2885" s="23"/>
      <c r="K2885" s="23"/>
      <c r="M2885" s="23"/>
      <c r="N2885" s="23"/>
      <c r="P2885" s="23"/>
    </row>
    <row r="2886" spans="2:16" x14ac:dyDescent="0.25">
      <c r="B2886" s="23"/>
      <c r="E2886" s="23"/>
      <c r="G2886" s="23"/>
      <c r="H2886" s="23"/>
      <c r="J2886" s="23"/>
      <c r="K2886" s="23"/>
      <c r="M2886" s="23"/>
      <c r="N2886" s="23"/>
      <c r="P2886" s="23"/>
    </row>
    <row r="2887" spans="2:16" x14ac:dyDescent="0.25">
      <c r="B2887" s="23"/>
      <c r="E2887" s="23"/>
      <c r="G2887" s="23"/>
      <c r="H2887" s="23"/>
      <c r="J2887" s="23"/>
      <c r="K2887" s="23"/>
      <c r="M2887" s="23"/>
      <c r="N2887" s="23"/>
      <c r="P2887" s="23"/>
    </row>
    <row r="2888" spans="2:16" x14ac:dyDescent="0.25">
      <c r="B2888" s="23"/>
      <c r="E2888" s="23"/>
      <c r="G2888" s="23"/>
      <c r="H2888" s="23"/>
      <c r="J2888" s="23"/>
      <c r="K2888" s="23"/>
      <c r="M2888" s="23"/>
      <c r="N2888" s="23"/>
      <c r="P2888" s="23"/>
    </row>
    <row r="2889" spans="2:16" x14ac:dyDescent="0.25">
      <c r="B2889" s="23"/>
      <c r="E2889" s="23"/>
      <c r="G2889" s="23"/>
      <c r="H2889" s="23"/>
      <c r="J2889" s="23"/>
      <c r="K2889" s="23"/>
      <c r="M2889" s="23"/>
      <c r="N2889" s="23"/>
      <c r="P2889" s="23"/>
    </row>
    <row r="2890" spans="2:16" x14ac:dyDescent="0.25">
      <c r="B2890" s="23"/>
      <c r="E2890" s="23"/>
      <c r="G2890" s="23"/>
      <c r="H2890" s="23"/>
      <c r="J2890" s="23"/>
      <c r="K2890" s="23"/>
      <c r="M2890" s="23"/>
      <c r="N2890" s="23"/>
      <c r="P2890" s="23"/>
    </row>
    <row r="2891" spans="2:16" x14ac:dyDescent="0.25">
      <c r="B2891" s="23"/>
      <c r="E2891" s="23"/>
      <c r="G2891" s="23"/>
      <c r="H2891" s="23"/>
      <c r="J2891" s="23"/>
      <c r="K2891" s="23"/>
      <c r="M2891" s="23"/>
      <c r="N2891" s="23"/>
      <c r="P2891" s="23"/>
    </row>
    <row r="2892" spans="2:16" x14ac:dyDescent="0.25">
      <c r="B2892" s="23"/>
      <c r="E2892" s="23"/>
      <c r="G2892" s="23"/>
      <c r="H2892" s="23"/>
      <c r="J2892" s="23"/>
      <c r="K2892" s="23"/>
      <c r="M2892" s="23"/>
      <c r="N2892" s="23"/>
      <c r="P2892" s="23"/>
    </row>
    <row r="2893" spans="2:16" x14ac:dyDescent="0.25">
      <c r="B2893" s="23"/>
      <c r="E2893" s="23"/>
      <c r="G2893" s="23"/>
      <c r="H2893" s="23"/>
      <c r="J2893" s="23"/>
      <c r="K2893" s="23"/>
      <c r="M2893" s="23"/>
      <c r="N2893" s="23"/>
      <c r="P2893" s="23"/>
    </row>
    <row r="2894" spans="2:16" x14ac:dyDescent="0.25">
      <c r="B2894" s="23"/>
      <c r="E2894" s="23"/>
      <c r="G2894" s="23"/>
      <c r="H2894" s="23"/>
      <c r="J2894" s="23"/>
      <c r="K2894" s="23"/>
      <c r="M2894" s="23"/>
      <c r="N2894" s="23"/>
      <c r="P2894" s="23"/>
    </row>
    <row r="2895" spans="2:16" x14ac:dyDescent="0.25">
      <c r="B2895" s="23"/>
      <c r="E2895" s="23"/>
      <c r="G2895" s="23"/>
      <c r="H2895" s="23"/>
      <c r="J2895" s="23"/>
      <c r="K2895" s="23"/>
      <c r="M2895" s="23"/>
      <c r="N2895" s="23"/>
      <c r="P2895" s="23"/>
    </row>
    <row r="2896" spans="2:16" x14ac:dyDescent="0.25">
      <c r="B2896" s="23"/>
      <c r="E2896" s="23"/>
      <c r="G2896" s="23"/>
      <c r="H2896" s="23"/>
      <c r="J2896" s="23"/>
      <c r="K2896" s="23"/>
      <c r="M2896" s="23"/>
      <c r="N2896" s="23"/>
      <c r="P2896" s="23"/>
    </row>
    <row r="2897" spans="2:16" x14ac:dyDescent="0.25">
      <c r="B2897" s="23"/>
      <c r="E2897" s="23"/>
      <c r="G2897" s="23"/>
      <c r="H2897" s="23"/>
      <c r="J2897" s="23"/>
      <c r="K2897" s="23"/>
      <c r="M2897" s="23"/>
      <c r="N2897" s="23"/>
      <c r="P2897" s="23"/>
    </row>
    <row r="2898" spans="2:16" x14ac:dyDescent="0.25">
      <c r="B2898" s="23"/>
      <c r="E2898" s="23"/>
      <c r="G2898" s="23"/>
      <c r="H2898" s="23"/>
      <c r="J2898" s="23"/>
      <c r="K2898" s="23"/>
      <c r="M2898" s="23"/>
      <c r="N2898" s="23"/>
      <c r="P2898" s="23"/>
    </row>
    <row r="2899" spans="2:16" x14ac:dyDescent="0.25">
      <c r="B2899" s="23"/>
      <c r="E2899" s="23"/>
      <c r="G2899" s="23"/>
      <c r="H2899" s="23"/>
      <c r="J2899" s="23"/>
      <c r="K2899" s="23"/>
      <c r="M2899" s="23"/>
      <c r="N2899" s="23"/>
      <c r="P2899" s="23"/>
    </row>
    <row r="2900" spans="2:16" x14ac:dyDescent="0.25">
      <c r="B2900" s="23"/>
      <c r="E2900" s="23"/>
      <c r="G2900" s="23"/>
      <c r="H2900" s="23"/>
      <c r="J2900" s="23"/>
      <c r="K2900" s="23"/>
      <c r="M2900" s="23"/>
      <c r="N2900" s="23"/>
      <c r="P2900" s="23"/>
    </row>
    <row r="2901" spans="2:16" x14ac:dyDescent="0.25">
      <c r="B2901" s="23"/>
      <c r="E2901" s="23"/>
      <c r="G2901" s="23"/>
      <c r="H2901" s="23"/>
      <c r="J2901" s="23"/>
      <c r="K2901" s="23"/>
      <c r="M2901" s="23"/>
      <c r="N2901" s="23"/>
      <c r="P2901" s="23"/>
    </row>
    <row r="2902" spans="2:16" x14ac:dyDescent="0.25">
      <c r="B2902" s="23"/>
      <c r="E2902" s="23"/>
      <c r="G2902" s="23"/>
      <c r="H2902" s="23"/>
      <c r="J2902" s="23"/>
      <c r="K2902" s="23"/>
      <c r="M2902" s="23"/>
      <c r="N2902" s="23"/>
      <c r="P2902" s="23"/>
    </row>
    <row r="2903" spans="2:16" x14ac:dyDescent="0.25">
      <c r="B2903" s="23"/>
      <c r="E2903" s="23"/>
      <c r="G2903" s="23"/>
      <c r="H2903" s="23"/>
      <c r="J2903" s="23"/>
      <c r="K2903" s="23"/>
      <c r="M2903" s="23"/>
      <c r="N2903" s="23"/>
      <c r="P2903" s="23"/>
    </row>
    <row r="2904" spans="2:16" x14ac:dyDescent="0.25">
      <c r="B2904" s="23"/>
      <c r="E2904" s="23"/>
      <c r="G2904" s="23"/>
      <c r="H2904" s="23"/>
      <c r="J2904" s="23"/>
      <c r="K2904" s="23"/>
      <c r="M2904" s="23"/>
      <c r="N2904" s="23"/>
      <c r="P2904" s="23"/>
    </row>
    <row r="2905" spans="2:16" x14ac:dyDescent="0.25">
      <c r="B2905" s="23"/>
      <c r="E2905" s="23"/>
      <c r="G2905" s="23"/>
      <c r="H2905" s="23"/>
      <c r="J2905" s="23"/>
      <c r="K2905" s="23"/>
      <c r="M2905" s="23"/>
      <c r="N2905" s="23"/>
      <c r="P2905" s="23"/>
    </row>
    <row r="2906" spans="2:16" x14ac:dyDescent="0.25">
      <c r="B2906" s="23"/>
      <c r="E2906" s="23"/>
      <c r="G2906" s="23"/>
      <c r="H2906" s="23"/>
      <c r="J2906" s="23"/>
      <c r="K2906" s="23"/>
      <c r="M2906" s="23"/>
      <c r="N2906" s="23"/>
      <c r="P2906" s="23"/>
    </row>
    <row r="2907" spans="2:16" x14ac:dyDescent="0.25">
      <c r="B2907" s="23"/>
      <c r="E2907" s="23"/>
      <c r="G2907" s="23"/>
      <c r="H2907" s="23"/>
      <c r="J2907" s="23"/>
      <c r="K2907" s="23"/>
      <c r="M2907" s="23"/>
      <c r="N2907" s="23"/>
      <c r="P2907" s="23"/>
    </row>
    <row r="2908" spans="2:16" x14ac:dyDescent="0.25">
      <c r="B2908" s="23"/>
      <c r="E2908" s="23"/>
      <c r="G2908" s="23"/>
      <c r="H2908" s="23"/>
      <c r="J2908" s="23"/>
      <c r="K2908" s="23"/>
      <c r="M2908" s="23"/>
      <c r="N2908" s="23"/>
      <c r="P2908" s="23"/>
    </row>
    <row r="2909" spans="2:16" x14ac:dyDescent="0.25">
      <c r="B2909" s="23"/>
      <c r="E2909" s="23"/>
      <c r="G2909" s="23"/>
      <c r="H2909" s="23"/>
      <c r="J2909" s="23"/>
      <c r="K2909" s="23"/>
      <c r="M2909" s="23"/>
      <c r="N2909" s="23"/>
      <c r="P2909" s="23"/>
    </row>
    <row r="2910" spans="2:16" x14ac:dyDescent="0.25">
      <c r="B2910" s="23"/>
      <c r="E2910" s="23"/>
      <c r="G2910" s="23"/>
      <c r="H2910" s="23"/>
      <c r="J2910" s="23"/>
      <c r="K2910" s="23"/>
      <c r="M2910" s="23"/>
      <c r="N2910" s="23"/>
      <c r="P2910" s="23"/>
    </row>
    <row r="2911" spans="2:16" x14ac:dyDescent="0.25">
      <c r="B2911" s="23"/>
      <c r="E2911" s="23"/>
      <c r="G2911" s="23"/>
      <c r="H2911" s="23"/>
      <c r="J2911" s="23"/>
      <c r="K2911" s="23"/>
      <c r="M2911" s="23"/>
      <c r="N2911" s="23"/>
      <c r="P2911" s="23"/>
    </row>
    <row r="2912" spans="2:16" x14ac:dyDescent="0.25">
      <c r="B2912" s="23"/>
      <c r="E2912" s="23"/>
      <c r="G2912" s="23"/>
      <c r="H2912" s="23"/>
      <c r="J2912" s="23"/>
      <c r="K2912" s="23"/>
      <c r="M2912" s="23"/>
      <c r="N2912" s="23"/>
      <c r="P2912" s="23"/>
    </row>
    <row r="2913" spans="2:16" x14ac:dyDescent="0.25">
      <c r="B2913" s="23"/>
      <c r="E2913" s="23"/>
      <c r="G2913" s="23"/>
      <c r="H2913" s="23"/>
      <c r="J2913" s="23"/>
      <c r="K2913" s="23"/>
      <c r="M2913" s="23"/>
      <c r="N2913" s="23"/>
      <c r="P2913" s="23"/>
    </row>
    <row r="2914" spans="2:16" x14ac:dyDescent="0.25">
      <c r="B2914" s="23"/>
      <c r="E2914" s="23"/>
      <c r="G2914" s="23"/>
      <c r="H2914" s="23"/>
      <c r="J2914" s="23"/>
      <c r="K2914" s="23"/>
      <c r="M2914" s="23"/>
      <c r="N2914" s="23"/>
      <c r="P2914" s="23"/>
    </row>
    <row r="2915" spans="2:16" x14ac:dyDescent="0.25">
      <c r="B2915" s="23"/>
      <c r="E2915" s="23"/>
      <c r="G2915" s="23"/>
      <c r="H2915" s="23"/>
      <c r="J2915" s="23"/>
      <c r="K2915" s="23"/>
      <c r="M2915" s="23"/>
      <c r="N2915" s="23"/>
      <c r="P2915" s="23"/>
    </row>
    <row r="2916" spans="2:16" x14ac:dyDescent="0.25">
      <c r="B2916" s="23"/>
      <c r="E2916" s="23"/>
      <c r="G2916" s="23"/>
      <c r="H2916" s="23"/>
      <c r="J2916" s="23"/>
      <c r="K2916" s="23"/>
      <c r="M2916" s="23"/>
      <c r="N2916" s="23"/>
      <c r="P2916" s="23"/>
    </row>
    <row r="2917" spans="2:16" x14ac:dyDescent="0.25">
      <c r="B2917" s="23"/>
      <c r="E2917" s="23"/>
      <c r="G2917" s="23"/>
      <c r="H2917" s="23"/>
      <c r="J2917" s="23"/>
      <c r="K2917" s="23"/>
      <c r="M2917" s="23"/>
      <c r="N2917" s="23"/>
      <c r="P2917" s="23"/>
    </row>
    <row r="2918" spans="2:16" x14ac:dyDescent="0.25">
      <c r="B2918" s="23"/>
      <c r="E2918" s="23"/>
      <c r="G2918" s="23"/>
      <c r="H2918" s="23"/>
      <c r="J2918" s="23"/>
      <c r="K2918" s="23"/>
      <c r="M2918" s="23"/>
      <c r="N2918" s="23"/>
      <c r="P2918" s="23"/>
    </row>
    <row r="2919" spans="2:16" x14ac:dyDescent="0.25">
      <c r="B2919" s="23"/>
      <c r="E2919" s="23"/>
      <c r="G2919" s="23"/>
      <c r="H2919" s="23"/>
      <c r="J2919" s="23"/>
      <c r="K2919" s="23"/>
      <c r="M2919" s="23"/>
      <c r="N2919" s="23"/>
      <c r="P2919" s="23"/>
    </row>
    <row r="2920" spans="2:16" x14ac:dyDescent="0.25">
      <c r="B2920" s="23"/>
      <c r="E2920" s="23"/>
      <c r="G2920" s="23"/>
      <c r="H2920" s="23"/>
      <c r="J2920" s="23"/>
      <c r="K2920" s="23"/>
      <c r="M2920" s="23"/>
      <c r="N2920" s="23"/>
      <c r="P2920" s="23"/>
    </row>
    <row r="2921" spans="2:16" x14ac:dyDescent="0.25">
      <c r="B2921" s="23"/>
      <c r="E2921" s="23"/>
      <c r="G2921" s="23"/>
      <c r="H2921" s="23"/>
      <c r="J2921" s="23"/>
      <c r="K2921" s="23"/>
      <c r="M2921" s="23"/>
      <c r="N2921" s="23"/>
      <c r="P2921" s="23"/>
    </row>
    <row r="2922" spans="2:16" x14ac:dyDescent="0.25">
      <c r="B2922" s="23"/>
      <c r="E2922" s="23"/>
      <c r="G2922" s="23"/>
      <c r="H2922" s="23"/>
      <c r="J2922" s="23"/>
      <c r="K2922" s="23"/>
      <c r="M2922" s="23"/>
      <c r="N2922" s="23"/>
      <c r="P2922" s="23"/>
    </row>
    <row r="2923" spans="2:16" x14ac:dyDescent="0.25">
      <c r="B2923" s="23"/>
      <c r="E2923" s="23"/>
      <c r="G2923" s="23"/>
      <c r="H2923" s="23"/>
      <c r="J2923" s="23"/>
      <c r="K2923" s="23"/>
      <c r="M2923" s="23"/>
      <c r="N2923" s="23"/>
      <c r="P2923" s="23"/>
    </row>
    <row r="2924" spans="2:16" x14ac:dyDescent="0.25">
      <c r="B2924" s="23"/>
      <c r="E2924" s="23"/>
      <c r="G2924" s="23"/>
      <c r="H2924" s="23"/>
      <c r="J2924" s="23"/>
      <c r="K2924" s="23"/>
      <c r="M2924" s="23"/>
      <c r="N2924" s="23"/>
      <c r="P2924" s="23"/>
    </row>
    <row r="2925" spans="2:16" x14ac:dyDescent="0.25">
      <c r="B2925" s="23"/>
      <c r="E2925" s="23"/>
      <c r="G2925" s="23"/>
      <c r="H2925" s="23"/>
      <c r="J2925" s="23"/>
      <c r="K2925" s="23"/>
      <c r="M2925" s="23"/>
      <c r="N2925" s="23"/>
      <c r="P2925" s="23"/>
    </row>
    <row r="2926" spans="2:16" x14ac:dyDescent="0.25">
      <c r="B2926" s="23"/>
      <c r="E2926" s="23"/>
      <c r="G2926" s="23"/>
      <c r="H2926" s="23"/>
      <c r="J2926" s="23"/>
      <c r="K2926" s="23"/>
      <c r="M2926" s="23"/>
      <c r="N2926" s="23"/>
      <c r="P2926" s="23"/>
    </row>
    <row r="2927" spans="2:16" x14ac:dyDescent="0.25">
      <c r="B2927" s="23"/>
      <c r="E2927" s="23"/>
      <c r="G2927" s="23"/>
      <c r="H2927" s="23"/>
      <c r="J2927" s="23"/>
      <c r="K2927" s="23"/>
      <c r="M2927" s="23"/>
      <c r="N2927" s="23"/>
      <c r="P2927" s="23"/>
    </row>
    <row r="2928" spans="2:16" x14ac:dyDescent="0.25">
      <c r="B2928" s="23"/>
      <c r="E2928" s="23"/>
      <c r="G2928" s="23"/>
      <c r="H2928" s="23"/>
      <c r="J2928" s="23"/>
      <c r="K2928" s="23"/>
      <c r="M2928" s="23"/>
      <c r="N2928" s="23"/>
      <c r="P2928" s="23"/>
    </row>
    <row r="2929" spans="2:16" x14ac:dyDescent="0.25">
      <c r="B2929" s="23"/>
      <c r="E2929" s="23"/>
      <c r="G2929" s="23"/>
      <c r="H2929" s="23"/>
      <c r="J2929" s="23"/>
      <c r="K2929" s="23"/>
      <c r="M2929" s="23"/>
      <c r="N2929" s="23"/>
      <c r="P2929" s="23"/>
    </row>
    <row r="2930" spans="2:16" x14ac:dyDescent="0.25">
      <c r="B2930" s="23"/>
      <c r="E2930" s="23"/>
      <c r="G2930" s="23"/>
      <c r="H2930" s="23"/>
      <c r="J2930" s="23"/>
      <c r="K2930" s="23"/>
      <c r="M2930" s="23"/>
      <c r="N2930" s="23"/>
      <c r="P2930" s="23"/>
    </row>
    <row r="2931" spans="2:16" x14ac:dyDescent="0.25">
      <c r="B2931" s="23"/>
      <c r="E2931" s="23"/>
      <c r="G2931" s="23"/>
      <c r="H2931" s="23"/>
      <c r="J2931" s="23"/>
      <c r="K2931" s="23"/>
      <c r="M2931" s="23"/>
      <c r="N2931" s="23"/>
      <c r="P2931" s="23"/>
    </row>
    <row r="2932" spans="2:16" x14ac:dyDescent="0.25">
      <c r="B2932" s="23"/>
      <c r="E2932" s="23"/>
      <c r="G2932" s="23"/>
      <c r="H2932" s="23"/>
      <c r="J2932" s="23"/>
      <c r="K2932" s="23"/>
      <c r="M2932" s="23"/>
      <c r="N2932" s="23"/>
      <c r="P2932" s="23"/>
    </row>
    <row r="2933" spans="2:16" x14ac:dyDescent="0.25">
      <c r="B2933" s="23"/>
      <c r="E2933" s="23"/>
      <c r="G2933" s="23"/>
      <c r="H2933" s="23"/>
      <c r="J2933" s="23"/>
      <c r="K2933" s="23"/>
      <c r="M2933" s="23"/>
      <c r="N2933" s="23"/>
      <c r="P2933" s="23"/>
    </row>
    <row r="2934" spans="2:16" x14ac:dyDescent="0.25">
      <c r="B2934" s="23"/>
      <c r="E2934" s="23"/>
      <c r="G2934" s="23"/>
      <c r="H2934" s="23"/>
      <c r="J2934" s="23"/>
      <c r="K2934" s="23"/>
      <c r="M2934" s="23"/>
      <c r="N2934" s="23"/>
      <c r="P2934" s="23"/>
    </row>
    <row r="2935" spans="2:16" x14ac:dyDescent="0.25">
      <c r="B2935" s="23"/>
      <c r="E2935" s="23"/>
      <c r="G2935" s="23"/>
      <c r="H2935" s="23"/>
      <c r="J2935" s="23"/>
      <c r="K2935" s="23"/>
      <c r="M2935" s="23"/>
      <c r="N2935" s="23"/>
      <c r="P2935" s="23"/>
    </row>
    <row r="2936" spans="2:16" x14ac:dyDescent="0.25">
      <c r="B2936" s="23"/>
      <c r="E2936" s="23"/>
      <c r="G2936" s="23"/>
      <c r="H2936" s="23"/>
      <c r="J2936" s="23"/>
      <c r="K2936" s="23"/>
      <c r="M2936" s="23"/>
      <c r="N2936" s="23"/>
      <c r="P2936" s="23"/>
    </row>
    <row r="2937" spans="2:16" x14ac:dyDescent="0.25">
      <c r="B2937" s="23"/>
      <c r="E2937" s="23"/>
      <c r="G2937" s="23"/>
      <c r="H2937" s="23"/>
      <c r="J2937" s="23"/>
      <c r="K2937" s="23"/>
      <c r="M2937" s="23"/>
      <c r="N2937" s="23"/>
      <c r="P2937" s="23"/>
    </row>
    <row r="2938" spans="2:16" x14ac:dyDescent="0.25">
      <c r="B2938" s="23"/>
      <c r="E2938" s="23"/>
      <c r="G2938" s="23"/>
      <c r="H2938" s="23"/>
      <c r="J2938" s="23"/>
      <c r="K2938" s="23"/>
      <c r="M2938" s="23"/>
      <c r="N2938" s="23"/>
      <c r="P2938" s="23"/>
    </row>
    <row r="2939" spans="2:16" x14ac:dyDescent="0.25">
      <c r="B2939" s="23"/>
      <c r="E2939" s="23"/>
      <c r="G2939" s="23"/>
      <c r="H2939" s="23"/>
      <c r="J2939" s="23"/>
      <c r="K2939" s="23"/>
      <c r="M2939" s="23"/>
      <c r="N2939" s="23"/>
      <c r="P2939" s="23"/>
    </row>
    <row r="2940" spans="2:16" x14ac:dyDescent="0.25">
      <c r="B2940" s="23"/>
      <c r="E2940" s="23"/>
      <c r="G2940" s="23"/>
      <c r="H2940" s="23"/>
      <c r="J2940" s="23"/>
      <c r="K2940" s="23"/>
      <c r="M2940" s="23"/>
      <c r="N2940" s="23"/>
      <c r="P2940" s="23"/>
    </row>
    <row r="2941" spans="2:16" x14ac:dyDescent="0.25">
      <c r="B2941" s="23"/>
      <c r="E2941" s="23"/>
      <c r="G2941" s="23"/>
      <c r="H2941" s="23"/>
      <c r="J2941" s="23"/>
      <c r="K2941" s="23"/>
      <c r="M2941" s="23"/>
      <c r="N2941" s="23"/>
      <c r="P2941" s="23"/>
    </row>
    <row r="2942" spans="2:16" x14ac:dyDescent="0.25">
      <c r="B2942" s="23"/>
      <c r="E2942" s="23"/>
      <c r="G2942" s="23"/>
      <c r="H2942" s="23"/>
      <c r="J2942" s="23"/>
      <c r="K2942" s="23"/>
      <c r="M2942" s="23"/>
      <c r="N2942" s="23"/>
      <c r="P2942" s="23"/>
    </row>
    <row r="2943" spans="2:16" x14ac:dyDescent="0.25">
      <c r="B2943" s="23"/>
      <c r="E2943" s="23"/>
      <c r="G2943" s="23"/>
      <c r="H2943" s="23"/>
      <c r="J2943" s="23"/>
      <c r="K2943" s="23"/>
      <c r="M2943" s="23"/>
      <c r="N2943" s="23"/>
      <c r="P2943" s="23"/>
    </row>
    <row r="2944" spans="2:16" x14ac:dyDescent="0.25">
      <c r="B2944" s="23"/>
      <c r="E2944" s="23"/>
      <c r="G2944" s="23"/>
      <c r="H2944" s="23"/>
      <c r="J2944" s="23"/>
      <c r="K2944" s="23"/>
      <c r="M2944" s="23"/>
      <c r="N2944" s="23"/>
      <c r="P2944" s="23"/>
    </row>
    <row r="2945" spans="2:16" x14ac:dyDescent="0.25">
      <c r="B2945" s="23"/>
      <c r="E2945" s="23"/>
      <c r="G2945" s="23"/>
      <c r="H2945" s="23"/>
      <c r="J2945" s="23"/>
      <c r="K2945" s="23"/>
      <c r="M2945" s="23"/>
      <c r="N2945" s="23"/>
      <c r="P2945" s="23"/>
    </row>
    <row r="2946" spans="2:16" x14ac:dyDescent="0.25">
      <c r="B2946" s="23"/>
      <c r="E2946" s="23"/>
      <c r="G2946" s="23"/>
      <c r="H2946" s="23"/>
      <c r="J2946" s="23"/>
      <c r="K2946" s="23"/>
      <c r="M2946" s="23"/>
      <c r="N2946" s="23"/>
      <c r="P2946" s="23"/>
    </row>
    <row r="2947" spans="2:16" x14ac:dyDescent="0.25">
      <c r="B2947" s="23"/>
      <c r="E2947" s="23"/>
      <c r="G2947" s="23"/>
      <c r="H2947" s="23"/>
      <c r="J2947" s="23"/>
      <c r="K2947" s="23"/>
      <c r="M2947" s="23"/>
      <c r="N2947" s="23"/>
      <c r="P2947" s="23"/>
    </row>
    <row r="2948" spans="2:16" x14ac:dyDescent="0.25">
      <c r="B2948" s="23"/>
      <c r="E2948" s="23"/>
      <c r="G2948" s="23"/>
      <c r="H2948" s="23"/>
      <c r="J2948" s="23"/>
      <c r="K2948" s="23"/>
      <c r="M2948" s="23"/>
      <c r="N2948" s="23"/>
      <c r="P2948" s="23"/>
    </row>
    <row r="2949" spans="2:16" x14ac:dyDescent="0.25">
      <c r="B2949" s="23"/>
      <c r="E2949" s="23"/>
      <c r="G2949" s="23"/>
      <c r="H2949" s="23"/>
      <c r="J2949" s="23"/>
      <c r="K2949" s="23"/>
      <c r="M2949" s="23"/>
      <c r="N2949" s="23"/>
      <c r="P2949" s="23"/>
    </row>
    <row r="2950" spans="2:16" x14ac:dyDescent="0.25">
      <c r="B2950" s="23"/>
      <c r="E2950" s="23"/>
      <c r="G2950" s="23"/>
      <c r="H2950" s="23"/>
      <c r="J2950" s="23"/>
      <c r="K2950" s="23"/>
      <c r="M2950" s="23"/>
      <c r="N2950" s="23"/>
      <c r="P2950" s="23"/>
    </row>
    <row r="2951" spans="2:16" x14ac:dyDescent="0.25">
      <c r="B2951" s="23"/>
      <c r="E2951" s="23"/>
      <c r="G2951" s="23"/>
      <c r="H2951" s="23"/>
      <c r="J2951" s="23"/>
      <c r="K2951" s="23"/>
      <c r="M2951" s="23"/>
      <c r="N2951" s="23"/>
      <c r="P2951" s="23"/>
    </row>
    <row r="2952" spans="2:16" x14ac:dyDescent="0.25">
      <c r="B2952" s="23"/>
      <c r="E2952" s="23"/>
      <c r="G2952" s="23"/>
      <c r="H2952" s="23"/>
      <c r="J2952" s="23"/>
      <c r="K2952" s="23"/>
      <c r="M2952" s="23"/>
      <c r="N2952" s="23"/>
      <c r="P2952" s="23"/>
    </row>
    <row r="2953" spans="2:16" x14ac:dyDescent="0.25">
      <c r="B2953" s="23"/>
      <c r="E2953" s="23"/>
      <c r="G2953" s="23"/>
      <c r="H2953" s="23"/>
      <c r="J2953" s="23"/>
      <c r="K2953" s="23"/>
      <c r="M2953" s="23"/>
      <c r="N2953" s="23"/>
      <c r="P2953" s="23"/>
    </row>
    <row r="2954" spans="2:16" x14ac:dyDescent="0.25">
      <c r="B2954" s="23"/>
      <c r="E2954" s="23"/>
      <c r="G2954" s="23"/>
      <c r="H2954" s="23"/>
      <c r="J2954" s="23"/>
      <c r="K2954" s="23"/>
      <c r="M2954" s="23"/>
      <c r="N2954" s="23"/>
      <c r="P2954" s="23"/>
    </row>
    <row r="2955" spans="2:16" x14ac:dyDescent="0.25">
      <c r="B2955" s="23"/>
      <c r="E2955" s="23"/>
      <c r="G2955" s="23"/>
      <c r="H2955" s="23"/>
      <c r="J2955" s="23"/>
      <c r="K2955" s="23"/>
      <c r="M2955" s="23"/>
      <c r="N2955" s="23"/>
      <c r="P2955" s="23"/>
    </row>
    <row r="2956" spans="2:16" x14ac:dyDescent="0.25">
      <c r="B2956" s="23"/>
      <c r="E2956" s="23"/>
      <c r="G2956" s="23"/>
      <c r="H2956" s="23"/>
      <c r="J2956" s="23"/>
      <c r="K2956" s="23"/>
      <c r="M2956" s="23"/>
      <c r="N2956" s="23"/>
      <c r="P2956" s="23"/>
    </row>
    <row r="2957" spans="2:16" x14ac:dyDescent="0.25">
      <c r="B2957" s="23"/>
      <c r="E2957" s="23"/>
      <c r="G2957" s="23"/>
      <c r="H2957" s="23"/>
      <c r="J2957" s="23"/>
      <c r="K2957" s="23"/>
      <c r="M2957" s="23"/>
      <c r="N2957" s="23"/>
      <c r="P2957" s="23"/>
    </row>
    <row r="2958" spans="2:16" x14ac:dyDescent="0.25">
      <c r="B2958" s="23"/>
      <c r="E2958" s="23"/>
      <c r="G2958" s="23"/>
      <c r="H2958" s="23"/>
      <c r="J2958" s="23"/>
      <c r="K2958" s="23"/>
      <c r="M2958" s="23"/>
      <c r="N2958" s="23"/>
      <c r="P2958" s="23"/>
    </row>
    <row r="2959" spans="2:16" x14ac:dyDescent="0.25">
      <c r="B2959" s="23"/>
      <c r="E2959" s="23"/>
      <c r="G2959" s="23"/>
      <c r="H2959" s="23"/>
      <c r="J2959" s="23"/>
      <c r="K2959" s="23"/>
      <c r="M2959" s="23"/>
      <c r="N2959" s="23"/>
      <c r="P2959" s="23"/>
    </row>
    <row r="2960" spans="2:16" x14ac:dyDescent="0.25">
      <c r="B2960" s="23"/>
      <c r="E2960" s="23"/>
      <c r="G2960" s="23"/>
      <c r="H2960" s="23"/>
      <c r="J2960" s="23"/>
      <c r="K2960" s="23"/>
      <c r="M2960" s="23"/>
      <c r="N2960" s="23"/>
      <c r="P2960" s="23"/>
    </row>
    <row r="2961" spans="2:16" x14ac:dyDescent="0.25">
      <c r="B2961" s="23"/>
      <c r="E2961" s="23"/>
      <c r="G2961" s="23"/>
      <c r="H2961" s="23"/>
      <c r="J2961" s="23"/>
      <c r="K2961" s="23"/>
      <c r="M2961" s="23"/>
      <c r="N2961" s="23"/>
      <c r="P2961" s="23"/>
    </row>
    <row r="2962" spans="2:16" x14ac:dyDescent="0.25">
      <c r="B2962" s="23"/>
      <c r="E2962" s="23"/>
      <c r="G2962" s="23"/>
      <c r="H2962" s="23"/>
      <c r="J2962" s="23"/>
      <c r="K2962" s="23"/>
      <c r="M2962" s="23"/>
      <c r="N2962" s="23"/>
      <c r="P2962" s="23"/>
    </row>
    <row r="2963" spans="2:16" x14ac:dyDescent="0.25">
      <c r="B2963" s="23"/>
      <c r="E2963" s="23"/>
      <c r="G2963" s="23"/>
      <c r="H2963" s="23"/>
      <c r="J2963" s="23"/>
      <c r="K2963" s="23"/>
      <c r="M2963" s="23"/>
      <c r="N2963" s="23"/>
      <c r="P2963" s="23"/>
    </row>
    <row r="2964" spans="2:16" x14ac:dyDescent="0.25">
      <c r="B2964" s="23"/>
      <c r="E2964" s="23"/>
      <c r="G2964" s="23"/>
      <c r="H2964" s="23"/>
      <c r="J2964" s="23"/>
      <c r="K2964" s="23"/>
      <c r="M2964" s="23"/>
      <c r="N2964" s="23"/>
      <c r="P2964" s="23"/>
    </row>
    <row r="2965" spans="2:16" x14ac:dyDescent="0.25">
      <c r="B2965" s="23"/>
      <c r="E2965" s="23"/>
      <c r="G2965" s="23"/>
      <c r="H2965" s="23"/>
      <c r="J2965" s="23"/>
      <c r="K2965" s="23"/>
      <c r="M2965" s="23"/>
      <c r="N2965" s="23"/>
      <c r="P2965" s="23"/>
    </row>
    <row r="2966" spans="2:16" x14ac:dyDescent="0.25">
      <c r="B2966" s="23"/>
      <c r="E2966" s="23"/>
      <c r="G2966" s="23"/>
      <c r="H2966" s="23"/>
      <c r="J2966" s="23"/>
      <c r="K2966" s="23"/>
      <c r="M2966" s="23"/>
      <c r="N2966" s="23"/>
      <c r="P2966" s="23"/>
    </row>
    <row r="2967" spans="2:16" x14ac:dyDescent="0.25">
      <c r="B2967" s="23"/>
      <c r="E2967" s="23"/>
      <c r="G2967" s="23"/>
      <c r="H2967" s="23"/>
      <c r="J2967" s="23"/>
      <c r="K2967" s="23"/>
      <c r="M2967" s="23"/>
      <c r="N2967" s="23"/>
      <c r="P2967" s="23"/>
    </row>
    <row r="2968" spans="2:16" x14ac:dyDescent="0.25">
      <c r="B2968" s="23"/>
      <c r="E2968" s="23"/>
      <c r="G2968" s="23"/>
      <c r="H2968" s="23"/>
      <c r="J2968" s="23"/>
      <c r="K2968" s="23"/>
      <c r="M2968" s="23"/>
      <c r="N2968" s="23"/>
      <c r="P2968" s="23"/>
    </row>
    <row r="2969" spans="2:16" x14ac:dyDescent="0.25">
      <c r="B2969" s="23"/>
      <c r="E2969" s="23"/>
      <c r="G2969" s="23"/>
      <c r="H2969" s="23"/>
      <c r="J2969" s="23"/>
      <c r="K2969" s="23"/>
      <c r="M2969" s="23"/>
      <c r="N2969" s="23"/>
      <c r="P2969" s="23"/>
    </row>
    <row r="2970" spans="2:16" x14ac:dyDescent="0.25">
      <c r="B2970" s="23"/>
      <c r="E2970" s="23"/>
      <c r="G2970" s="23"/>
      <c r="H2970" s="23"/>
      <c r="J2970" s="23"/>
      <c r="K2970" s="23"/>
      <c r="M2970" s="23"/>
      <c r="N2970" s="23"/>
      <c r="P2970" s="23"/>
    </row>
    <row r="2971" spans="2:16" x14ac:dyDescent="0.25">
      <c r="B2971" s="23"/>
      <c r="E2971" s="23"/>
      <c r="G2971" s="23"/>
      <c r="H2971" s="23"/>
      <c r="J2971" s="23"/>
      <c r="K2971" s="23"/>
      <c r="M2971" s="23"/>
      <c r="N2971" s="23"/>
      <c r="P2971" s="23"/>
    </row>
    <row r="2972" spans="2:16" x14ac:dyDescent="0.25">
      <c r="B2972" s="23"/>
      <c r="E2972" s="23"/>
      <c r="G2972" s="23"/>
      <c r="H2972" s="23"/>
      <c r="J2972" s="23"/>
      <c r="K2972" s="23"/>
      <c r="M2972" s="23"/>
      <c r="N2972" s="23"/>
      <c r="P2972" s="23"/>
    </row>
    <row r="2973" spans="2:16" x14ac:dyDescent="0.25">
      <c r="B2973" s="23"/>
      <c r="E2973" s="23"/>
      <c r="G2973" s="23"/>
      <c r="H2973" s="23"/>
      <c r="J2973" s="23"/>
      <c r="K2973" s="23"/>
      <c r="M2973" s="23"/>
      <c r="N2973" s="23"/>
      <c r="P2973" s="23"/>
    </row>
    <row r="2974" spans="2:16" x14ac:dyDescent="0.25">
      <c r="B2974" s="23"/>
      <c r="E2974" s="23"/>
      <c r="G2974" s="23"/>
      <c r="H2974" s="23"/>
      <c r="J2974" s="23"/>
      <c r="K2974" s="23"/>
      <c r="M2974" s="23"/>
      <c r="N2974" s="23"/>
      <c r="P2974" s="23"/>
    </row>
    <row r="2975" spans="2:16" x14ac:dyDescent="0.25">
      <c r="B2975" s="23"/>
      <c r="E2975" s="23"/>
      <c r="G2975" s="23"/>
      <c r="H2975" s="23"/>
      <c r="J2975" s="23"/>
      <c r="K2975" s="23"/>
      <c r="M2975" s="23"/>
      <c r="N2975" s="23"/>
      <c r="P2975" s="23"/>
    </row>
    <row r="2976" spans="2:16" x14ac:dyDescent="0.25">
      <c r="B2976" s="23"/>
      <c r="E2976" s="23"/>
      <c r="G2976" s="23"/>
      <c r="H2976" s="23"/>
      <c r="J2976" s="23"/>
      <c r="K2976" s="23"/>
      <c r="M2976" s="23"/>
      <c r="N2976" s="23"/>
      <c r="P2976" s="23"/>
    </row>
    <row r="2977" spans="2:16" x14ac:dyDescent="0.25">
      <c r="B2977" s="23"/>
      <c r="E2977" s="23"/>
      <c r="G2977" s="23"/>
      <c r="H2977" s="23"/>
      <c r="J2977" s="23"/>
      <c r="K2977" s="23"/>
      <c r="M2977" s="23"/>
      <c r="N2977" s="23"/>
      <c r="P2977" s="23"/>
    </row>
    <row r="2978" spans="2:16" x14ac:dyDescent="0.25">
      <c r="B2978" s="23"/>
      <c r="E2978" s="23"/>
      <c r="G2978" s="23"/>
      <c r="H2978" s="23"/>
      <c r="J2978" s="23"/>
      <c r="K2978" s="23"/>
      <c r="M2978" s="23"/>
      <c r="N2978" s="23"/>
      <c r="P2978" s="23"/>
    </row>
    <row r="2979" spans="2:16" x14ac:dyDescent="0.25">
      <c r="B2979" s="23"/>
      <c r="E2979" s="23"/>
      <c r="G2979" s="23"/>
      <c r="H2979" s="23"/>
      <c r="J2979" s="23"/>
      <c r="K2979" s="23"/>
      <c r="M2979" s="23"/>
      <c r="N2979" s="23"/>
      <c r="P2979" s="23"/>
    </row>
    <row r="2980" spans="2:16" x14ac:dyDescent="0.25">
      <c r="B2980" s="23"/>
      <c r="E2980" s="23"/>
      <c r="G2980" s="23"/>
      <c r="H2980" s="23"/>
      <c r="J2980" s="23"/>
      <c r="K2980" s="23"/>
      <c r="M2980" s="23"/>
      <c r="N2980" s="23"/>
      <c r="P2980" s="23"/>
    </row>
    <row r="2981" spans="2:16" x14ac:dyDescent="0.25">
      <c r="B2981" s="23"/>
      <c r="E2981" s="23"/>
      <c r="G2981" s="23"/>
      <c r="H2981" s="23"/>
      <c r="J2981" s="23"/>
      <c r="K2981" s="23"/>
      <c r="M2981" s="23"/>
      <c r="N2981" s="23"/>
      <c r="P2981" s="23"/>
    </row>
    <row r="2982" spans="2:16" x14ac:dyDescent="0.25">
      <c r="B2982" s="23"/>
      <c r="E2982" s="23"/>
      <c r="G2982" s="23"/>
      <c r="H2982" s="23"/>
      <c r="J2982" s="23"/>
      <c r="K2982" s="23"/>
      <c r="M2982" s="23"/>
      <c r="N2982" s="23"/>
      <c r="P2982" s="23"/>
    </row>
    <row r="2983" spans="2:16" x14ac:dyDescent="0.25">
      <c r="B2983" s="23"/>
      <c r="E2983" s="23"/>
      <c r="G2983" s="23"/>
      <c r="H2983" s="23"/>
      <c r="J2983" s="23"/>
      <c r="K2983" s="23"/>
      <c r="M2983" s="23"/>
      <c r="N2983" s="23"/>
      <c r="P2983" s="23"/>
    </row>
    <row r="2984" spans="2:16" x14ac:dyDescent="0.25">
      <c r="B2984" s="23"/>
      <c r="E2984" s="23"/>
      <c r="G2984" s="23"/>
      <c r="H2984" s="23"/>
      <c r="J2984" s="23"/>
      <c r="K2984" s="23"/>
      <c r="M2984" s="23"/>
      <c r="N2984" s="23"/>
      <c r="P2984" s="23"/>
    </row>
    <row r="2985" spans="2:16" x14ac:dyDescent="0.25">
      <c r="B2985" s="23"/>
      <c r="E2985" s="23"/>
      <c r="G2985" s="23"/>
      <c r="H2985" s="23"/>
      <c r="J2985" s="23"/>
      <c r="K2985" s="23"/>
      <c r="M2985" s="23"/>
      <c r="N2985" s="23"/>
      <c r="P2985" s="23"/>
    </row>
    <row r="2986" spans="2:16" x14ac:dyDescent="0.25">
      <c r="B2986" s="23"/>
      <c r="E2986" s="23"/>
      <c r="G2986" s="23"/>
      <c r="H2986" s="23"/>
      <c r="J2986" s="23"/>
      <c r="K2986" s="23"/>
      <c r="M2986" s="23"/>
      <c r="N2986" s="23"/>
      <c r="P2986" s="23"/>
    </row>
    <row r="2987" spans="2:16" x14ac:dyDescent="0.25">
      <c r="B2987" s="23"/>
      <c r="E2987" s="23"/>
      <c r="G2987" s="23"/>
      <c r="H2987" s="23"/>
      <c r="J2987" s="23"/>
      <c r="K2987" s="23"/>
      <c r="M2987" s="23"/>
      <c r="N2987" s="23"/>
      <c r="P2987" s="23"/>
    </row>
    <row r="2988" spans="2:16" x14ac:dyDescent="0.25">
      <c r="B2988" s="23"/>
      <c r="E2988" s="23"/>
      <c r="G2988" s="23"/>
      <c r="H2988" s="23"/>
      <c r="J2988" s="23"/>
      <c r="K2988" s="23"/>
      <c r="M2988" s="23"/>
      <c r="N2988" s="23"/>
      <c r="P2988" s="23"/>
    </row>
    <row r="2989" spans="2:16" x14ac:dyDescent="0.25">
      <c r="B2989" s="23"/>
      <c r="E2989" s="23"/>
      <c r="G2989" s="23"/>
      <c r="H2989" s="23"/>
      <c r="J2989" s="23"/>
      <c r="K2989" s="23"/>
      <c r="M2989" s="23"/>
      <c r="N2989" s="23"/>
      <c r="P2989" s="23"/>
    </row>
    <row r="2990" spans="2:16" x14ac:dyDescent="0.25">
      <c r="B2990" s="23"/>
      <c r="E2990" s="23"/>
      <c r="G2990" s="23"/>
      <c r="H2990" s="23"/>
      <c r="J2990" s="23"/>
      <c r="K2990" s="23"/>
      <c r="M2990" s="23"/>
      <c r="N2990" s="23"/>
      <c r="P2990" s="23"/>
    </row>
    <row r="2991" spans="2:16" x14ac:dyDescent="0.25">
      <c r="B2991" s="23"/>
      <c r="E2991" s="23"/>
      <c r="G2991" s="23"/>
      <c r="H2991" s="23"/>
      <c r="J2991" s="23"/>
      <c r="K2991" s="23"/>
      <c r="M2991" s="23"/>
      <c r="N2991" s="23"/>
      <c r="P2991" s="23"/>
    </row>
    <row r="2992" spans="2:16" x14ac:dyDescent="0.25">
      <c r="B2992" s="23"/>
      <c r="E2992" s="23"/>
      <c r="G2992" s="23"/>
      <c r="H2992" s="23"/>
      <c r="J2992" s="23"/>
      <c r="K2992" s="23"/>
      <c r="M2992" s="23"/>
      <c r="N2992" s="23"/>
      <c r="P2992" s="23"/>
    </row>
    <row r="2993" spans="2:16" x14ac:dyDescent="0.25">
      <c r="B2993" s="23"/>
      <c r="E2993" s="23"/>
      <c r="G2993" s="23"/>
      <c r="H2993" s="23"/>
      <c r="J2993" s="23"/>
      <c r="K2993" s="23"/>
      <c r="M2993" s="23"/>
      <c r="N2993" s="23"/>
      <c r="P2993" s="23"/>
    </row>
    <row r="2994" spans="2:16" x14ac:dyDescent="0.25">
      <c r="B2994" s="23"/>
      <c r="E2994" s="23"/>
      <c r="G2994" s="23"/>
      <c r="H2994" s="23"/>
      <c r="J2994" s="23"/>
      <c r="K2994" s="23"/>
      <c r="M2994" s="23"/>
      <c r="N2994" s="23"/>
      <c r="P2994" s="23"/>
    </row>
    <row r="2995" spans="2:16" x14ac:dyDescent="0.25">
      <c r="B2995" s="23"/>
      <c r="E2995" s="23"/>
      <c r="G2995" s="23"/>
      <c r="H2995" s="23"/>
      <c r="J2995" s="23"/>
      <c r="K2995" s="23"/>
      <c r="M2995" s="23"/>
      <c r="N2995" s="23"/>
      <c r="P2995" s="23"/>
    </row>
    <row r="2996" spans="2:16" x14ac:dyDescent="0.25">
      <c r="B2996" s="23"/>
      <c r="E2996" s="23"/>
      <c r="G2996" s="23"/>
      <c r="H2996" s="23"/>
      <c r="J2996" s="23"/>
      <c r="K2996" s="23"/>
      <c r="M2996" s="23"/>
      <c r="N2996" s="23"/>
      <c r="P2996" s="23"/>
    </row>
    <row r="2997" spans="2:16" x14ac:dyDescent="0.25">
      <c r="B2997" s="23"/>
      <c r="E2997" s="23"/>
      <c r="G2997" s="23"/>
      <c r="H2997" s="23"/>
      <c r="J2997" s="23"/>
      <c r="K2997" s="23"/>
      <c r="M2997" s="23"/>
      <c r="N2997" s="23"/>
      <c r="P2997" s="23"/>
    </row>
    <row r="2998" spans="2:16" x14ac:dyDescent="0.25">
      <c r="B2998" s="23"/>
      <c r="E2998" s="23"/>
      <c r="G2998" s="23"/>
      <c r="H2998" s="23"/>
      <c r="J2998" s="23"/>
      <c r="K2998" s="23"/>
      <c r="M2998" s="23"/>
      <c r="N2998" s="23"/>
      <c r="P2998" s="23"/>
    </row>
    <row r="2999" spans="2:16" x14ac:dyDescent="0.25">
      <c r="B2999" s="23"/>
      <c r="E2999" s="23"/>
      <c r="G2999" s="23"/>
      <c r="H2999" s="23"/>
      <c r="J2999" s="23"/>
      <c r="K2999" s="23"/>
      <c r="M2999" s="23"/>
      <c r="N2999" s="23"/>
      <c r="P2999" s="23"/>
    </row>
    <row r="3000" spans="2:16" x14ac:dyDescent="0.25">
      <c r="B3000" s="23"/>
      <c r="E3000" s="23"/>
      <c r="G3000" s="23"/>
      <c r="H3000" s="23"/>
      <c r="J3000" s="23"/>
      <c r="K3000" s="23"/>
      <c r="M3000" s="23"/>
      <c r="N3000" s="23"/>
      <c r="P3000" s="23"/>
    </row>
    <row r="3001" spans="2:16" x14ac:dyDescent="0.25">
      <c r="B3001" s="23"/>
      <c r="E3001" s="23"/>
      <c r="G3001" s="23"/>
      <c r="H3001" s="23"/>
      <c r="J3001" s="23"/>
      <c r="K3001" s="23"/>
      <c r="M3001" s="23"/>
      <c r="N3001" s="23"/>
      <c r="P3001" s="23"/>
    </row>
    <row r="3002" spans="2:16" x14ac:dyDescent="0.25">
      <c r="B3002" s="23"/>
      <c r="E3002" s="23"/>
      <c r="G3002" s="23"/>
      <c r="H3002" s="23"/>
      <c r="J3002" s="23"/>
      <c r="K3002" s="23"/>
      <c r="M3002" s="23"/>
      <c r="N3002" s="23"/>
      <c r="P3002" s="23"/>
    </row>
    <row r="3003" spans="2:16" x14ac:dyDescent="0.25">
      <c r="B3003" s="23"/>
      <c r="E3003" s="23"/>
      <c r="G3003" s="23"/>
      <c r="H3003" s="23"/>
      <c r="J3003" s="23"/>
      <c r="K3003" s="23"/>
      <c r="M3003" s="23"/>
      <c r="N3003" s="23"/>
      <c r="P3003" s="23"/>
    </row>
    <row r="3004" spans="2:16" x14ac:dyDescent="0.25">
      <c r="B3004" s="23"/>
      <c r="E3004" s="23"/>
      <c r="G3004" s="23"/>
      <c r="H3004" s="23"/>
      <c r="J3004" s="23"/>
      <c r="K3004" s="23"/>
      <c r="M3004" s="23"/>
      <c r="N3004" s="23"/>
      <c r="P3004" s="23"/>
    </row>
    <row r="3005" spans="2:16" x14ac:dyDescent="0.25">
      <c r="B3005" s="23"/>
      <c r="E3005" s="23"/>
      <c r="G3005" s="23"/>
      <c r="H3005" s="23"/>
      <c r="J3005" s="23"/>
      <c r="K3005" s="23"/>
      <c r="M3005" s="23"/>
      <c r="N3005" s="23"/>
      <c r="P3005" s="23"/>
    </row>
    <row r="3006" spans="2:16" x14ac:dyDescent="0.25">
      <c r="B3006" s="23"/>
      <c r="E3006" s="23"/>
      <c r="G3006" s="23"/>
      <c r="H3006" s="23"/>
      <c r="J3006" s="23"/>
      <c r="K3006" s="23"/>
      <c r="M3006" s="23"/>
      <c r="N3006" s="23"/>
      <c r="P3006" s="23"/>
    </row>
    <row r="3007" spans="2:16" x14ac:dyDescent="0.25">
      <c r="B3007" s="23"/>
      <c r="E3007" s="23"/>
      <c r="G3007" s="23"/>
      <c r="H3007" s="23"/>
      <c r="J3007" s="23"/>
      <c r="K3007" s="23"/>
      <c r="M3007" s="23"/>
      <c r="N3007" s="23"/>
      <c r="P3007" s="23"/>
    </row>
    <row r="3008" spans="2:16" x14ac:dyDescent="0.25">
      <c r="B3008" s="23"/>
      <c r="E3008" s="23"/>
      <c r="G3008" s="23"/>
      <c r="H3008" s="23"/>
      <c r="J3008" s="23"/>
      <c r="K3008" s="23"/>
      <c r="M3008" s="23"/>
      <c r="N3008" s="23"/>
      <c r="P3008" s="23"/>
    </row>
    <row r="3009" spans="2:16" x14ac:dyDescent="0.25">
      <c r="B3009" s="23"/>
      <c r="E3009" s="23"/>
      <c r="G3009" s="23"/>
      <c r="H3009" s="23"/>
      <c r="J3009" s="23"/>
      <c r="K3009" s="23"/>
      <c r="M3009" s="23"/>
      <c r="N3009" s="23"/>
      <c r="P3009" s="23"/>
    </row>
    <row r="3010" spans="2:16" x14ac:dyDescent="0.25">
      <c r="B3010" s="23"/>
      <c r="E3010" s="23"/>
      <c r="G3010" s="23"/>
      <c r="H3010" s="23"/>
      <c r="J3010" s="23"/>
      <c r="K3010" s="23"/>
      <c r="M3010" s="23"/>
      <c r="N3010" s="23"/>
      <c r="P3010" s="23"/>
    </row>
    <row r="3011" spans="2:16" x14ac:dyDescent="0.25">
      <c r="B3011" s="23"/>
      <c r="E3011" s="23"/>
      <c r="G3011" s="23"/>
      <c r="H3011" s="23"/>
      <c r="J3011" s="23"/>
      <c r="K3011" s="23"/>
      <c r="M3011" s="23"/>
      <c r="N3011" s="23"/>
      <c r="P3011" s="23"/>
    </row>
    <row r="3012" spans="2:16" x14ac:dyDescent="0.25">
      <c r="B3012" s="23"/>
      <c r="E3012" s="23"/>
      <c r="G3012" s="23"/>
      <c r="H3012" s="23"/>
      <c r="J3012" s="23"/>
      <c r="K3012" s="23"/>
      <c r="M3012" s="23"/>
      <c r="N3012" s="23"/>
      <c r="P3012" s="23"/>
    </row>
    <row r="3013" spans="2:16" x14ac:dyDescent="0.25">
      <c r="B3013" s="23"/>
      <c r="E3013" s="23"/>
      <c r="G3013" s="23"/>
      <c r="H3013" s="23"/>
      <c r="J3013" s="23"/>
      <c r="K3013" s="23"/>
      <c r="M3013" s="23"/>
      <c r="N3013" s="23"/>
      <c r="P3013" s="23"/>
    </row>
    <row r="3014" spans="2:16" x14ac:dyDescent="0.25">
      <c r="B3014" s="23"/>
      <c r="E3014" s="23"/>
      <c r="G3014" s="23"/>
      <c r="H3014" s="23"/>
      <c r="J3014" s="23"/>
      <c r="K3014" s="23"/>
      <c r="M3014" s="23"/>
      <c r="N3014" s="23"/>
      <c r="P3014" s="23"/>
    </row>
    <row r="3015" spans="2:16" x14ac:dyDescent="0.25">
      <c r="B3015" s="23"/>
      <c r="E3015" s="23"/>
      <c r="G3015" s="23"/>
      <c r="H3015" s="23"/>
      <c r="J3015" s="23"/>
      <c r="K3015" s="23"/>
      <c r="M3015" s="23"/>
      <c r="N3015" s="23"/>
      <c r="P3015" s="23"/>
    </row>
    <row r="3016" spans="2:16" x14ac:dyDescent="0.25">
      <c r="B3016" s="23"/>
      <c r="E3016" s="23"/>
      <c r="G3016" s="23"/>
      <c r="H3016" s="23"/>
      <c r="J3016" s="23"/>
      <c r="K3016" s="23"/>
      <c r="M3016" s="23"/>
      <c r="N3016" s="23"/>
      <c r="P3016" s="23"/>
    </row>
    <row r="3017" spans="2:16" x14ac:dyDescent="0.25">
      <c r="B3017" s="23"/>
      <c r="E3017" s="23"/>
      <c r="G3017" s="23"/>
      <c r="H3017" s="23"/>
      <c r="J3017" s="23"/>
      <c r="K3017" s="23"/>
      <c r="M3017" s="23"/>
      <c r="N3017" s="23"/>
      <c r="P3017" s="23"/>
    </row>
    <row r="3018" spans="2:16" x14ac:dyDescent="0.25">
      <c r="B3018" s="23"/>
      <c r="E3018" s="23"/>
      <c r="G3018" s="23"/>
      <c r="H3018" s="23"/>
      <c r="J3018" s="23"/>
      <c r="K3018" s="23"/>
      <c r="M3018" s="23"/>
      <c r="N3018" s="23"/>
      <c r="P3018" s="23"/>
    </row>
    <row r="3019" spans="2:16" x14ac:dyDescent="0.25">
      <c r="B3019" s="23"/>
      <c r="E3019" s="23"/>
      <c r="G3019" s="23"/>
      <c r="H3019" s="23"/>
      <c r="J3019" s="23"/>
      <c r="K3019" s="23"/>
      <c r="M3019" s="23"/>
      <c r="N3019" s="23"/>
      <c r="P3019" s="23"/>
    </row>
    <row r="3020" spans="2:16" x14ac:dyDescent="0.25">
      <c r="B3020" s="23"/>
      <c r="E3020" s="23"/>
      <c r="G3020" s="23"/>
      <c r="H3020" s="23"/>
      <c r="J3020" s="23"/>
      <c r="K3020" s="23"/>
      <c r="M3020" s="23"/>
      <c r="N3020" s="23"/>
      <c r="P3020" s="23"/>
    </row>
    <row r="3021" spans="2:16" x14ac:dyDescent="0.25">
      <c r="B3021" s="23"/>
      <c r="E3021" s="23"/>
      <c r="G3021" s="23"/>
      <c r="H3021" s="23"/>
      <c r="J3021" s="23"/>
      <c r="K3021" s="23"/>
      <c r="M3021" s="23"/>
      <c r="N3021" s="23"/>
      <c r="P3021" s="23"/>
    </row>
    <row r="3022" spans="2:16" x14ac:dyDescent="0.25">
      <c r="B3022" s="23"/>
      <c r="E3022" s="23"/>
      <c r="G3022" s="23"/>
      <c r="H3022" s="23"/>
      <c r="J3022" s="23"/>
      <c r="K3022" s="23"/>
      <c r="M3022" s="23"/>
      <c r="N3022" s="23"/>
      <c r="P3022" s="23"/>
    </row>
    <row r="3023" spans="2:16" x14ac:dyDescent="0.25">
      <c r="B3023" s="23"/>
      <c r="E3023" s="23"/>
      <c r="G3023" s="23"/>
      <c r="H3023" s="23"/>
      <c r="J3023" s="23"/>
      <c r="K3023" s="23"/>
      <c r="M3023" s="23"/>
      <c r="N3023" s="23"/>
      <c r="P3023" s="23"/>
    </row>
    <row r="3024" spans="2:16" x14ac:dyDescent="0.25">
      <c r="B3024" s="23"/>
      <c r="E3024" s="23"/>
      <c r="G3024" s="23"/>
      <c r="H3024" s="23"/>
      <c r="J3024" s="23"/>
      <c r="K3024" s="23"/>
      <c r="M3024" s="23"/>
      <c r="N3024" s="23"/>
      <c r="P3024" s="23"/>
    </row>
    <row r="3025" spans="2:16" x14ac:dyDescent="0.25">
      <c r="B3025" s="23"/>
      <c r="E3025" s="23"/>
      <c r="G3025" s="23"/>
      <c r="H3025" s="23"/>
      <c r="J3025" s="23"/>
      <c r="K3025" s="23"/>
      <c r="M3025" s="23"/>
      <c r="N3025" s="23"/>
      <c r="P3025" s="23"/>
    </row>
    <row r="3026" spans="2:16" x14ac:dyDescent="0.25">
      <c r="B3026" s="23"/>
      <c r="E3026" s="23"/>
      <c r="G3026" s="23"/>
      <c r="H3026" s="23"/>
      <c r="J3026" s="23"/>
      <c r="K3026" s="23"/>
      <c r="M3026" s="23"/>
      <c r="N3026" s="23"/>
      <c r="P3026" s="23"/>
    </row>
    <row r="3027" spans="2:16" x14ac:dyDescent="0.25">
      <c r="B3027" s="23"/>
      <c r="E3027" s="23"/>
      <c r="G3027" s="23"/>
      <c r="H3027" s="23"/>
      <c r="J3027" s="23"/>
      <c r="K3027" s="23"/>
      <c r="M3027" s="23"/>
      <c r="N3027" s="23"/>
      <c r="P3027" s="23"/>
    </row>
    <row r="3028" spans="2:16" x14ac:dyDescent="0.25">
      <c r="B3028" s="23"/>
      <c r="E3028" s="23"/>
      <c r="G3028" s="23"/>
      <c r="H3028" s="23"/>
      <c r="J3028" s="23"/>
      <c r="K3028" s="23"/>
      <c r="M3028" s="23"/>
      <c r="N3028" s="23"/>
      <c r="P3028" s="23"/>
    </row>
    <row r="3029" spans="2:16" x14ac:dyDescent="0.25">
      <c r="B3029" s="23"/>
      <c r="E3029" s="23"/>
      <c r="G3029" s="23"/>
      <c r="H3029" s="23"/>
      <c r="J3029" s="23"/>
      <c r="K3029" s="23"/>
      <c r="M3029" s="23"/>
      <c r="N3029" s="23"/>
      <c r="P3029" s="23"/>
    </row>
    <row r="3030" spans="2:16" x14ac:dyDescent="0.25">
      <c r="B3030" s="23"/>
      <c r="E3030" s="23"/>
      <c r="G3030" s="23"/>
      <c r="H3030" s="23"/>
      <c r="J3030" s="23"/>
      <c r="K3030" s="23"/>
      <c r="M3030" s="23"/>
      <c r="N3030" s="23"/>
      <c r="P3030" s="23"/>
    </row>
    <row r="3031" spans="2:16" x14ac:dyDescent="0.25">
      <c r="B3031" s="23"/>
      <c r="E3031" s="23"/>
      <c r="G3031" s="23"/>
      <c r="H3031" s="23"/>
      <c r="J3031" s="23"/>
      <c r="K3031" s="23"/>
      <c r="M3031" s="23"/>
      <c r="N3031" s="23"/>
      <c r="P3031" s="23"/>
    </row>
    <row r="3032" spans="2:16" x14ac:dyDescent="0.25">
      <c r="B3032" s="23"/>
      <c r="E3032" s="23"/>
      <c r="G3032" s="23"/>
      <c r="H3032" s="23"/>
      <c r="J3032" s="23"/>
      <c r="K3032" s="23"/>
      <c r="M3032" s="23"/>
      <c r="N3032" s="23"/>
      <c r="P3032" s="23"/>
    </row>
    <row r="3033" spans="2:16" x14ac:dyDescent="0.25">
      <c r="B3033" s="23"/>
      <c r="E3033" s="23"/>
      <c r="G3033" s="23"/>
      <c r="H3033" s="23"/>
      <c r="J3033" s="23"/>
      <c r="K3033" s="23"/>
      <c r="M3033" s="23"/>
      <c r="N3033" s="23"/>
      <c r="P3033" s="23"/>
    </row>
    <row r="3034" spans="2:16" x14ac:dyDescent="0.25">
      <c r="B3034" s="23"/>
      <c r="E3034" s="23"/>
      <c r="G3034" s="23"/>
      <c r="H3034" s="23"/>
      <c r="J3034" s="23"/>
      <c r="K3034" s="23"/>
      <c r="M3034" s="23"/>
      <c r="N3034" s="23"/>
      <c r="P3034" s="23"/>
    </row>
    <row r="3035" spans="2:16" x14ac:dyDescent="0.25">
      <c r="B3035" s="23"/>
      <c r="E3035" s="23"/>
      <c r="G3035" s="23"/>
      <c r="H3035" s="23"/>
      <c r="J3035" s="23"/>
      <c r="K3035" s="23"/>
      <c r="M3035" s="23"/>
      <c r="N3035" s="23"/>
      <c r="P3035" s="23"/>
    </row>
    <row r="3036" spans="2:16" x14ac:dyDescent="0.25">
      <c r="B3036" s="23"/>
      <c r="E3036" s="23"/>
      <c r="G3036" s="23"/>
      <c r="H3036" s="23"/>
      <c r="J3036" s="23"/>
      <c r="K3036" s="23"/>
      <c r="M3036" s="23"/>
      <c r="N3036" s="23"/>
      <c r="P3036" s="23"/>
    </row>
    <row r="3037" spans="2:16" x14ac:dyDescent="0.25">
      <c r="B3037" s="23"/>
      <c r="E3037" s="23"/>
      <c r="G3037" s="23"/>
      <c r="H3037" s="23"/>
      <c r="J3037" s="23"/>
      <c r="K3037" s="23"/>
      <c r="M3037" s="23"/>
      <c r="N3037" s="23"/>
      <c r="P3037" s="23"/>
    </row>
    <row r="3038" spans="2:16" x14ac:dyDescent="0.25">
      <c r="B3038" s="23"/>
      <c r="E3038" s="23"/>
      <c r="G3038" s="23"/>
      <c r="H3038" s="23"/>
      <c r="J3038" s="23"/>
      <c r="K3038" s="23"/>
      <c r="M3038" s="23"/>
      <c r="N3038" s="23"/>
      <c r="P3038" s="23"/>
    </row>
    <row r="3039" spans="2:16" x14ac:dyDescent="0.25">
      <c r="B3039" s="23"/>
      <c r="E3039" s="23"/>
      <c r="G3039" s="23"/>
      <c r="H3039" s="23"/>
      <c r="J3039" s="23"/>
      <c r="K3039" s="23"/>
      <c r="M3039" s="23"/>
      <c r="N3039" s="23"/>
      <c r="P3039" s="23"/>
    </row>
    <row r="3040" spans="2:16" x14ac:dyDescent="0.25">
      <c r="B3040" s="23"/>
      <c r="E3040" s="23"/>
      <c r="G3040" s="23"/>
      <c r="H3040" s="23"/>
      <c r="J3040" s="23"/>
      <c r="K3040" s="23"/>
      <c r="M3040" s="23"/>
      <c r="N3040" s="23"/>
      <c r="P3040" s="23"/>
    </row>
    <row r="3041" spans="2:16" x14ac:dyDescent="0.25">
      <c r="B3041" s="23"/>
      <c r="E3041" s="23"/>
      <c r="G3041" s="23"/>
      <c r="H3041" s="23"/>
      <c r="J3041" s="23"/>
      <c r="K3041" s="23"/>
      <c r="M3041" s="23"/>
      <c r="N3041" s="23"/>
      <c r="P3041" s="23"/>
    </row>
    <row r="3042" spans="2:16" x14ac:dyDescent="0.25">
      <c r="B3042" s="23"/>
      <c r="E3042" s="23"/>
      <c r="G3042" s="23"/>
      <c r="H3042" s="23"/>
      <c r="J3042" s="23"/>
      <c r="K3042" s="23"/>
      <c r="M3042" s="23"/>
      <c r="N3042" s="23"/>
      <c r="P3042" s="23"/>
    </row>
    <row r="3043" spans="2:16" x14ac:dyDescent="0.25">
      <c r="B3043" s="23"/>
      <c r="E3043" s="23"/>
      <c r="G3043" s="23"/>
      <c r="H3043" s="23"/>
      <c r="J3043" s="23"/>
      <c r="K3043" s="23"/>
      <c r="M3043" s="23"/>
      <c r="N3043" s="23"/>
      <c r="P3043" s="23"/>
    </row>
    <row r="3044" spans="2:16" x14ac:dyDescent="0.25">
      <c r="B3044" s="23"/>
      <c r="E3044" s="23"/>
      <c r="G3044" s="23"/>
      <c r="H3044" s="23"/>
      <c r="J3044" s="23"/>
      <c r="K3044" s="23"/>
      <c r="M3044" s="23"/>
      <c r="N3044" s="23"/>
      <c r="P3044" s="23"/>
    </row>
    <row r="3045" spans="2:16" x14ac:dyDescent="0.25">
      <c r="B3045" s="23"/>
      <c r="E3045" s="23"/>
      <c r="G3045" s="23"/>
      <c r="H3045" s="23"/>
      <c r="J3045" s="23"/>
      <c r="K3045" s="23"/>
      <c r="M3045" s="23"/>
      <c r="N3045" s="23"/>
      <c r="P3045" s="23"/>
    </row>
    <row r="3046" spans="2:16" x14ac:dyDescent="0.25">
      <c r="B3046" s="23"/>
      <c r="E3046" s="23"/>
      <c r="G3046" s="23"/>
      <c r="H3046" s="23"/>
      <c r="J3046" s="23"/>
      <c r="K3046" s="23"/>
      <c r="M3046" s="23"/>
      <c r="N3046" s="23"/>
      <c r="P3046" s="23"/>
    </row>
    <row r="3047" spans="2:16" x14ac:dyDescent="0.25">
      <c r="B3047" s="23"/>
      <c r="E3047" s="23"/>
      <c r="G3047" s="23"/>
      <c r="H3047" s="23"/>
      <c r="J3047" s="23"/>
      <c r="K3047" s="23"/>
      <c r="M3047" s="23"/>
      <c r="N3047" s="23"/>
      <c r="P3047" s="23"/>
    </row>
    <row r="3048" spans="2:16" x14ac:dyDescent="0.25">
      <c r="B3048" s="23"/>
      <c r="E3048" s="23"/>
      <c r="G3048" s="23"/>
      <c r="H3048" s="23"/>
      <c r="J3048" s="23"/>
      <c r="K3048" s="23"/>
      <c r="M3048" s="23"/>
      <c r="N3048" s="23"/>
      <c r="P3048" s="23"/>
    </row>
    <row r="3049" spans="2:16" x14ac:dyDescent="0.25">
      <c r="B3049" s="23"/>
      <c r="E3049" s="23"/>
      <c r="G3049" s="23"/>
      <c r="H3049" s="23"/>
      <c r="J3049" s="23"/>
      <c r="K3049" s="23"/>
      <c r="M3049" s="23"/>
      <c r="N3049" s="23"/>
      <c r="P3049" s="23"/>
    </row>
    <row r="3050" spans="2:16" x14ac:dyDescent="0.25">
      <c r="B3050" s="23"/>
      <c r="E3050" s="23"/>
      <c r="G3050" s="23"/>
      <c r="H3050" s="23"/>
      <c r="J3050" s="23"/>
      <c r="K3050" s="23"/>
      <c r="M3050" s="23"/>
      <c r="N3050" s="23"/>
      <c r="P3050" s="23"/>
    </row>
    <row r="3051" spans="2:16" x14ac:dyDescent="0.25">
      <c r="B3051" s="23"/>
      <c r="E3051" s="23"/>
      <c r="G3051" s="23"/>
      <c r="H3051" s="23"/>
      <c r="J3051" s="23"/>
      <c r="K3051" s="23"/>
      <c r="M3051" s="23"/>
      <c r="N3051" s="23"/>
      <c r="P3051" s="23"/>
    </row>
    <row r="3052" spans="2:16" x14ac:dyDescent="0.25">
      <c r="B3052" s="23"/>
      <c r="E3052" s="23"/>
      <c r="G3052" s="23"/>
      <c r="H3052" s="23"/>
      <c r="J3052" s="23"/>
      <c r="K3052" s="23"/>
      <c r="M3052" s="23"/>
      <c r="N3052" s="23"/>
      <c r="P3052" s="23"/>
    </row>
    <row r="3053" spans="2:16" x14ac:dyDescent="0.25">
      <c r="B3053" s="23"/>
      <c r="E3053" s="23"/>
      <c r="G3053" s="23"/>
      <c r="H3053" s="23"/>
      <c r="J3053" s="23"/>
      <c r="K3053" s="23"/>
      <c r="M3053" s="23"/>
      <c r="N3053" s="23"/>
      <c r="P3053" s="23"/>
    </row>
    <row r="3054" spans="2:16" x14ac:dyDescent="0.25">
      <c r="B3054" s="23"/>
      <c r="E3054" s="23"/>
      <c r="G3054" s="23"/>
      <c r="H3054" s="23"/>
      <c r="J3054" s="23"/>
      <c r="K3054" s="23"/>
      <c r="M3054" s="23"/>
      <c r="N3054" s="23"/>
      <c r="P3054" s="23"/>
    </row>
    <row r="3055" spans="2:16" x14ac:dyDescent="0.25">
      <c r="B3055" s="23"/>
      <c r="E3055" s="23"/>
      <c r="G3055" s="23"/>
      <c r="H3055" s="23"/>
      <c r="J3055" s="23"/>
      <c r="K3055" s="23"/>
      <c r="M3055" s="23"/>
      <c r="N3055" s="23"/>
      <c r="P3055" s="23"/>
    </row>
    <row r="3056" spans="2:16" x14ac:dyDescent="0.25">
      <c r="B3056" s="23"/>
      <c r="E3056" s="23"/>
      <c r="G3056" s="23"/>
      <c r="H3056" s="23"/>
      <c r="J3056" s="23"/>
      <c r="K3056" s="23"/>
      <c r="M3056" s="23"/>
      <c r="N3056" s="23"/>
      <c r="P3056" s="23"/>
    </row>
    <row r="3057" spans="2:16" x14ac:dyDescent="0.25">
      <c r="B3057" s="23"/>
      <c r="E3057" s="23"/>
      <c r="G3057" s="23"/>
      <c r="H3057" s="23"/>
      <c r="J3057" s="23"/>
      <c r="K3057" s="23"/>
      <c r="M3057" s="23"/>
      <c r="N3057" s="23"/>
      <c r="P3057" s="23"/>
    </row>
    <row r="3058" spans="2:16" x14ac:dyDescent="0.25">
      <c r="B3058" s="23"/>
      <c r="E3058" s="23"/>
      <c r="G3058" s="23"/>
      <c r="H3058" s="23"/>
      <c r="J3058" s="23"/>
      <c r="K3058" s="23"/>
      <c r="M3058" s="23"/>
      <c r="N3058" s="23"/>
      <c r="P3058" s="23"/>
    </row>
    <row r="3059" spans="2:16" x14ac:dyDescent="0.25">
      <c r="B3059" s="23"/>
      <c r="E3059" s="23"/>
      <c r="G3059" s="23"/>
      <c r="H3059" s="23"/>
      <c r="J3059" s="23"/>
      <c r="K3059" s="23"/>
      <c r="M3059" s="23"/>
      <c r="N3059" s="23"/>
      <c r="P3059" s="23"/>
    </row>
    <row r="3060" spans="2:16" x14ac:dyDescent="0.25">
      <c r="B3060" s="23"/>
      <c r="E3060" s="23"/>
      <c r="G3060" s="23"/>
      <c r="H3060" s="23"/>
      <c r="J3060" s="23"/>
      <c r="K3060" s="23"/>
      <c r="M3060" s="23"/>
      <c r="N3060" s="23"/>
      <c r="P3060" s="23"/>
    </row>
    <row r="3061" spans="2:16" x14ac:dyDescent="0.25">
      <c r="B3061" s="23"/>
      <c r="E3061" s="23"/>
      <c r="G3061" s="23"/>
      <c r="H3061" s="23"/>
      <c r="J3061" s="23"/>
      <c r="K3061" s="23"/>
      <c r="M3061" s="23"/>
      <c r="N3061" s="23"/>
      <c r="P3061" s="23"/>
    </row>
    <row r="3062" spans="2:16" x14ac:dyDescent="0.25">
      <c r="B3062" s="23"/>
      <c r="E3062" s="23"/>
      <c r="G3062" s="23"/>
      <c r="H3062" s="23"/>
      <c r="J3062" s="23"/>
      <c r="K3062" s="23"/>
      <c r="M3062" s="23"/>
      <c r="N3062" s="23"/>
      <c r="P3062" s="23"/>
    </row>
    <row r="3063" spans="2:16" x14ac:dyDescent="0.25">
      <c r="B3063" s="23"/>
      <c r="E3063" s="23"/>
      <c r="G3063" s="23"/>
      <c r="H3063" s="23"/>
      <c r="J3063" s="23"/>
      <c r="K3063" s="23"/>
      <c r="M3063" s="23"/>
      <c r="N3063" s="23"/>
      <c r="P3063" s="23"/>
    </row>
    <row r="3064" spans="2:16" x14ac:dyDescent="0.25">
      <c r="B3064" s="23"/>
      <c r="E3064" s="23"/>
      <c r="G3064" s="23"/>
      <c r="H3064" s="23"/>
      <c r="J3064" s="23"/>
      <c r="K3064" s="23"/>
      <c r="M3064" s="23"/>
      <c r="N3064" s="23"/>
      <c r="P3064" s="23"/>
    </row>
    <row r="3065" spans="2:16" x14ac:dyDescent="0.25">
      <c r="B3065" s="23"/>
      <c r="E3065" s="23"/>
      <c r="G3065" s="23"/>
      <c r="H3065" s="23"/>
      <c r="J3065" s="23"/>
      <c r="K3065" s="23"/>
      <c r="M3065" s="23"/>
      <c r="N3065" s="23"/>
      <c r="P3065" s="23"/>
    </row>
    <row r="3066" spans="2:16" x14ac:dyDescent="0.25">
      <c r="B3066" s="23"/>
      <c r="E3066" s="23"/>
      <c r="G3066" s="23"/>
      <c r="H3066" s="23"/>
      <c r="J3066" s="23"/>
      <c r="K3066" s="23"/>
      <c r="M3066" s="23"/>
      <c r="N3066" s="23"/>
      <c r="P3066" s="23"/>
    </row>
    <row r="3067" spans="2:16" x14ac:dyDescent="0.25">
      <c r="B3067" s="23"/>
      <c r="E3067" s="23"/>
      <c r="G3067" s="23"/>
      <c r="H3067" s="23"/>
      <c r="J3067" s="23"/>
      <c r="K3067" s="23"/>
      <c r="M3067" s="23"/>
      <c r="N3067" s="23"/>
      <c r="P3067" s="23"/>
    </row>
    <row r="3068" spans="2:16" x14ac:dyDescent="0.25">
      <c r="B3068" s="23"/>
      <c r="E3068" s="23"/>
      <c r="G3068" s="23"/>
      <c r="H3068" s="23"/>
      <c r="J3068" s="23"/>
      <c r="K3068" s="23"/>
      <c r="M3068" s="23"/>
      <c r="N3068" s="23"/>
      <c r="P3068" s="23"/>
    </row>
    <row r="3069" spans="2:16" x14ac:dyDescent="0.25">
      <c r="B3069" s="23"/>
      <c r="E3069" s="23"/>
      <c r="G3069" s="23"/>
      <c r="H3069" s="23"/>
      <c r="J3069" s="23"/>
      <c r="K3069" s="23"/>
      <c r="M3069" s="23"/>
      <c r="N3069" s="23"/>
      <c r="P3069" s="23"/>
    </row>
    <row r="3070" spans="2:16" x14ac:dyDescent="0.25">
      <c r="B3070" s="23"/>
      <c r="E3070" s="23"/>
      <c r="G3070" s="23"/>
      <c r="H3070" s="23"/>
      <c r="J3070" s="23"/>
      <c r="K3070" s="23"/>
      <c r="M3070" s="23"/>
      <c r="N3070" s="23"/>
      <c r="P3070" s="23"/>
    </row>
    <row r="3071" spans="2:16" x14ac:dyDescent="0.25">
      <c r="B3071" s="23"/>
      <c r="E3071" s="23"/>
      <c r="G3071" s="23"/>
      <c r="H3071" s="23"/>
      <c r="J3071" s="23"/>
      <c r="K3071" s="23"/>
      <c r="M3071" s="23"/>
      <c r="N3071" s="23"/>
      <c r="P3071" s="23"/>
    </row>
    <row r="3072" spans="2:16" x14ac:dyDescent="0.25">
      <c r="B3072" s="23"/>
      <c r="E3072" s="23"/>
      <c r="G3072" s="23"/>
      <c r="H3072" s="23"/>
      <c r="J3072" s="23"/>
      <c r="K3072" s="23"/>
      <c r="M3072" s="23"/>
      <c r="N3072" s="23"/>
      <c r="P3072" s="23"/>
    </row>
    <row r="3073" spans="2:16" x14ac:dyDescent="0.25">
      <c r="B3073" s="23"/>
      <c r="E3073" s="23"/>
      <c r="G3073" s="23"/>
      <c r="H3073" s="23"/>
      <c r="J3073" s="23"/>
      <c r="K3073" s="23"/>
      <c r="M3073" s="23"/>
      <c r="N3073" s="23"/>
      <c r="P3073" s="23"/>
    </row>
    <row r="3074" spans="2:16" x14ac:dyDescent="0.25">
      <c r="B3074" s="23"/>
      <c r="E3074" s="23"/>
      <c r="G3074" s="23"/>
      <c r="H3074" s="23"/>
      <c r="J3074" s="23"/>
      <c r="K3074" s="23"/>
      <c r="M3074" s="23"/>
      <c r="N3074" s="23"/>
      <c r="P3074" s="23"/>
    </row>
    <row r="3075" spans="2:16" x14ac:dyDescent="0.25">
      <c r="B3075" s="23"/>
      <c r="E3075" s="23"/>
      <c r="G3075" s="23"/>
      <c r="H3075" s="23"/>
      <c r="J3075" s="23"/>
      <c r="K3075" s="23"/>
      <c r="M3075" s="23"/>
      <c r="N3075" s="23"/>
      <c r="P3075" s="23"/>
    </row>
    <row r="3076" spans="2:16" x14ac:dyDescent="0.25">
      <c r="B3076" s="23"/>
      <c r="E3076" s="23"/>
      <c r="G3076" s="23"/>
      <c r="H3076" s="23"/>
      <c r="J3076" s="23"/>
      <c r="K3076" s="23"/>
      <c r="M3076" s="23"/>
      <c r="N3076" s="23"/>
      <c r="P3076" s="23"/>
    </row>
    <row r="3077" spans="2:16" x14ac:dyDescent="0.25">
      <c r="B3077" s="23"/>
      <c r="E3077" s="23"/>
      <c r="G3077" s="23"/>
      <c r="H3077" s="23"/>
      <c r="J3077" s="23"/>
      <c r="K3077" s="23"/>
      <c r="M3077" s="23"/>
      <c r="N3077" s="23"/>
      <c r="P3077" s="23"/>
    </row>
    <row r="3078" spans="2:16" x14ac:dyDescent="0.25">
      <c r="B3078" s="23"/>
      <c r="E3078" s="23"/>
      <c r="G3078" s="23"/>
      <c r="H3078" s="23"/>
      <c r="J3078" s="23"/>
      <c r="K3078" s="23"/>
      <c r="M3078" s="23"/>
      <c r="N3078" s="23"/>
      <c r="P3078" s="23"/>
    </row>
    <row r="3079" spans="2:16" x14ac:dyDescent="0.25">
      <c r="B3079" s="23"/>
      <c r="E3079" s="23"/>
      <c r="G3079" s="23"/>
      <c r="H3079" s="23"/>
      <c r="J3079" s="23"/>
      <c r="K3079" s="23"/>
      <c r="M3079" s="23"/>
      <c r="N3079" s="23"/>
      <c r="P3079" s="23"/>
    </row>
    <row r="3080" spans="2:16" x14ac:dyDescent="0.25">
      <c r="B3080" s="23"/>
      <c r="E3080" s="23"/>
      <c r="G3080" s="23"/>
      <c r="H3080" s="23"/>
      <c r="J3080" s="23"/>
      <c r="K3080" s="23"/>
      <c r="M3080" s="23"/>
      <c r="N3080" s="23"/>
      <c r="P3080" s="23"/>
    </row>
    <row r="3081" spans="2:16" x14ac:dyDescent="0.25">
      <c r="B3081" s="23"/>
      <c r="E3081" s="23"/>
      <c r="G3081" s="23"/>
      <c r="H3081" s="23"/>
      <c r="J3081" s="23"/>
      <c r="K3081" s="23"/>
      <c r="M3081" s="23"/>
      <c r="N3081" s="23"/>
      <c r="P3081" s="23"/>
    </row>
    <row r="3082" spans="2:16" x14ac:dyDescent="0.25">
      <c r="B3082" s="23"/>
      <c r="E3082" s="23"/>
      <c r="G3082" s="23"/>
      <c r="H3082" s="23"/>
      <c r="J3082" s="23"/>
      <c r="K3082" s="23"/>
      <c r="M3082" s="23"/>
      <c r="N3082" s="23"/>
      <c r="P3082" s="23"/>
    </row>
    <row r="3083" spans="2:16" x14ac:dyDescent="0.25">
      <c r="B3083" s="23"/>
      <c r="E3083" s="23"/>
      <c r="G3083" s="23"/>
      <c r="H3083" s="23"/>
      <c r="J3083" s="23"/>
      <c r="K3083" s="23"/>
      <c r="M3083" s="23"/>
      <c r="N3083" s="23"/>
      <c r="P3083" s="23"/>
    </row>
    <row r="3084" spans="2:16" x14ac:dyDescent="0.25">
      <c r="B3084" s="23"/>
      <c r="E3084" s="23"/>
      <c r="G3084" s="23"/>
      <c r="H3084" s="23"/>
      <c r="J3084" s="23"/>
      <c r="K3084" s="23"/>
      <c r="M3084" s="23"/>
      <c r="N3084" s="23"/>
      <c r="P3084" s="23"/>
    </row>
    <row r="3085" spans="2:16" x14ac:dyDescent="0.25">
      <c r="B3085" s="23"/>
      <c r="E3085" s="23"/>
      <c r="G3085" s="23"/>
      <c r="H3085" s="23"/>
      <c r="J3085" s="23"/>
      <c r="K3085" s="23"/>
      <c r="M3085" s="23"/>
      <c r="N3085" s="23"/>
      <c r="P3085" s="23"/>
    </row>
    <row r="3086" spans="2:16" x14ac:dyDescent="0.25">
      <c r="B3086" s="23"/>
      <c r="E3086" s="23"/>
      <c r="G3086" s="23"/>
      <c r="H3086" s="23"/>
      <c r="J3086" s="23"/>
      <c r="K3086" s="23"/>
      <c r="M3086" s="23"/>
      <c r="N3086" s="23"/>
      <c r="P3086" s="23"/>
    </row>
    <row r="3087" spans="2:16" x14ac:dyDescent="0.25">
      <c r="B3087" s="23"/>
      <c r="E3087" s="23"/>
      <c r="G3087" s="23"/>
      <c r="H3087" s="23"/>
      <c r="J3087" s="23"/>
      <c r="K3087" s="23"/>
      <c r="M3087" s="23"/>
      <c r="N3087" s="23"/>
      <c r="P3087" s="23"/>
    </row>
    <row r="3088" spans="2:16" x14ac:dyDescent="0.25">
      <c r="B3088" s="23"/>
      <c r="E3088" s="23"/>
      <c r="G3088" s="23"/>
      <c r="H3088" s="23"/>
      <c r="J3088" s="23"/>
      <c r="K3088" s="23"/>
      <c r="M3088" s="23"/>
      <c r="N3088" s="23"/>
      <c r="P3088" s="23"/>
    </row>
    <row r="3089" spans="2:16" x14ac:dyDescent="0.25">
      <c r="B3089" s="23"/>
      <c r="E3089" s="23"/>
      <c r="G3089" s="23"/>
      <c r="H3089" s="23"/>
      <c r="J3089" s="23"/>
      <c r="K3089" s="23"/>
      <c r="M3089" s="23"/>
      <c r="N3089" s="23"/>
      <c r="P3089" s="23"/>
    </row>
    <row r="3090" spans="2:16" x14ac:dyDescent="0.25">
      <c r="B3090" s="23"/>
      <c r="E3090" s="23"/>
      <c r="G3090" s="23"/>
      <c r="H3090" s="23"/>
      <c r="J3090" s="23"/>
      <c r="K3090" s="23"/>
      <c r="M3090" s="23"/>
      <c r="N3090" s="23"/>
      <c r="P3090" s="23"/>
    </row>
    <row r="3091" spans="2:16" x14ac:dyDescent="0.25">
      <c r="B3091" s="23"/>
      <c r="E3091" s="23"/>
      <c r="G3091" s="23"/>
      <c r="H3091" s="23"/>
      <c r="J3091" s="23"/>
      <c r="K3091" s="23"/>
      <c r="M3091" s="23"/>
      <c r="N3091" s="23"/>
      <c r="P3091" s="23"/>
    </row>
    <row r="3092" spans="2:16" x14ac:dyDescent="0.25">
      <c r="B3092" s="23"/>
      <c r="E3092" s="23"/>
      <c r="G3092" s="23"/>
      <c r="H3092" s="23"/>
      <c r="J3092" s="23"/>
      <c r="K3092" s="23"/>
      <c r="M3092" s="23"/>
      <c r="N3092" s="23"/>
      <c r="P3092" s="23"/>
    </row>
    <row r="3093" spans="2:16" x14ac:dyDescent="0.25">
      <c r="B3093" s="23"/>
      <c r="E3093" s="23"/>
      <c r="G3093" s="23"/>
      <c r="H3093" s="23"/>
      <c r="J3093" s="23"/>
      <c r="K3093" s="23"/>
      <c r="M3093" s="23"/>
      <c r="N3093" s="23"/>
      <c r="P3093" s="23"/>
    </row>
    <row r="3094" spans="2:16" x14ac:dyDescent="0.25">
      <c r="B3094" s="23"/>
      <c r="E3094" s="23"/>
      <c r="G3094" s="23"/>
      <c r="H3094" s="23"/>
      <c r="J3094" s="23"/>
      <c r="K3094" s="23"/>
      <c r="M3094" s="23"/>
      <c r="N3094" s="23"/>
      <c r="P3094" s="23"/>
    </row>
    <row r="3095" spans="2:16" x14ac:dyDescent="0.25">
      <c r="B3095" s="23"/>
      <c r="E3095" s="23"/>
      <c r="G3095" s="23"/>
      <c r="H3095" s="23"/>
      <c r="J3095" s="23"/>
      <c r="K3095" s="23"/>
      <c r="M3095" s="23"/>
      <c r="N3095" s="23"/>
      <c r="P3095" s="23"/>
    </row>
    <row r="3096" spans="2:16" x14ac:dyDescent="0.25">
      <c r="B3096" s="23"/>
      <c r="E3096" s="23"/>
      <c r="G3096" s="23"/>
      <c r="H3096" s="23"/>
      <c r="J3096" s="23"/>
      <c r="K3096" s="23"/>
      <c r="M3096" s="23"/>
      <c r="N3096" s="23"/>
      <c r="P3096" s="23"/>
    </row>
    <row r="3097" spans="2:16" x14ac:dyDescent="0.25">
      <c r="B3097" s="23"/>
      <c r="E3097" s="23"/>
      <c r="G3097" s="23"/>
      <c r="H3097" s="23"/>
      <c r="J3097" s="23"/>
      <c r="K3097" s="23"/>
      <c r="M3097" s="23"/>
      <c r="N3097" s="23"/>
      <c r="P3097" s="23"/>
    </row>
    <row r="3098" spans="2:16" x14ac:dyDescent="0.25">
      <c r="B3098" s="23"/>
      <c r="E3098" s="23"/>
      <c r="G3098" s="23"/>
      <c r="H3098" s="23"/>
      <c r="J3098" s="23"/>
      <c r="K3098" s="23"/>
      <c r="M3098" s="23"/>
      <c r="N3098" s="23"/>
      <c r="P3098" s="23"/>
    </row>
    <row r="3099" spans="2:16" x14ac:dyDescent="0.25">
      <c r="B3099" s="23"/>
      <c r="E3099" s="23"/>
      <c r="G3099" s="23"/>
      <c r="H3099" s="23"/>
      <c r="J3099" s="23"/>
      <c r="K3099" s="23"/>
      <c r="M3099" s="23"/>
      <c r="N3099" s="23"/>
      <c r="P3099" s="23"/>
    </row>
    <row r="3100" spans="2:16" x14ac:dyDescent="0.25">
      <c r="B3100" s="23"/>
      <c r="E3100" s="23"/>
      <c r="G3100" s="23"/>
      <c r="H3100" s="23"/>
      <c r="J3100" s="23"/>
      <c r="K3100" s="23"/>
      <c r="M3100" s="23"/>
      <c r="N3100" s="23"/>
      <c r="P3100" s="23"/>
    </row>
    <row r="3101" spans="2:16" x14ac:dyDescent="0.25">
      <c r="B3101" s="23"/>
      <c r="E3101" s="23"/>
      <c r="G3101" s="23"/>
      <c r="H3101" s="23"/>
      <c r="J3101" s="23"/>
      <c r="K3101" s="23"/>
      <c r="M3101" s="23"/>
      <c r="N3101" s="23"/>
      <c r="P3101" s="23"/>
    </row>
    <row r="3102" spans="2:16" x14ac:dyDescent="0.25">
      <c r="B3102" s="23"/>
      <c r="E3102" s="23"/>
      <c r="G3102" s="23"/>
      <c r="H3102" s="23"/>
      <c r="J3102" s="23"/>
      <c r="K3102" s="23"/>
      <c r="M3102" s="23"/>
      <c r="N3102" s="23"/>
      <c r="P3102" s="23"/>
    </row>
    <row r="3103" spans="2:16" x14ac:dyDescent="0.25">
      <c r="B3103" s="23"/>
      <c r="E3103" s="23"/>
      <c r="G3103" s="23"/>
      <c r="H3103" s="23"/>
      <c r="J3103" s="23"/>
      <c r="K3103" s="23"/>
      <c r="M3103" s="23"/>
      <c r="N3103" s="23"/>
      <c r="P3103" s="23"/>
    </row>
    <row r="3104" spans="2:16" x14ac:dyDescent="0.25">
      <c r="B3104" s="23"/>
      <c r="E3104" s="23"/>
      <c r="G3104" s="23"/>
      <c r="H3104" s="23"/>
      <c r="J3104" s="23"/>
      <c r="K3104" s="23"/>
      <c r="M3104" s="23"/>
      <c r="N3104" s="23"/>
      <c r="P3104" s="23"/>
    </row>
    <row r="3105" spans="2:16" x14ac:dyDescent="0.25">
      <c r="B3105" s="23"/>
      <c r="E3105" s="23"/>
      <c r="G3105" s="23"/>
      <c r="H3105" s="23"/>
      <c r="J3105" s="23"/>
      <c r="K3105" s="23"/>
      <c r="M3105" s="23"/>
      <c r="N3105" s="23"/>
      <c r="P3105" s="23"/>
    </row>
    <row r="3106" spans="2:16" x14ac:dyDescent="0.25">
      <c r="B3106" s="23"/>
      <c r="E3106" s="23"/>
      <c r="G3106" s="23"/>
      <c r="H3106" s="23"/>
      <c r="J3106" s="23"/>
      <c r="K3106" s="23"/>
      <c r="M3106" s="23"/>
      <c r="N3106" s="23"/>
      <c r="P3106" s="23"/>
    </row>
    <row r="3107" spans="2:16" x14ac:dyDescent="0.25">
      <c r="B3107" s="23"/>
      <c r="E3107" s="23"/>
      <c r="G3107" s="23"/>
      <c r="H3107" s="23"/>
      <c r="J3107" s="23"/>
      <c r="K3107" s="23"/>
      <c r="M3107" s="23"/>
      <c r="N3107" s="23"/>
      <c r="P3107" s="23"/>
    </row>
    <row r="3108" spans="2:16" x14ac:dyDescent="0.25">
      <c r="B3108" s="23"/>
      <c r="E3108" s="23"/>
      <c r="G3108" s="23"/>
      <c r="H3108" s="23"/>
      <c r="J3108" s="23"/>
      <c r="K3108" s="23"/>
      <c r="M3108" s="23"/>
      <c r="N3108" s="23"/>
      <c r="P3108" s="23"/>
    </row>
    <row r="3109" spans="2:16" x14ac:dyDescent="0.25">
      <c r="B3109" s="23"/>
      <c r="E3109" s="23"/>
      <c r="G3109" s="23"/>
      <c r="H3109" s="23"/>
      <c r="J3109" s="23"/>
      <c r="K3109" s="23"/>
      <c r="M3109" s="23"/>
      <c r="N3109" s="23"/>
      <c r="P3109" s="23"/>
    </row>
    <row r="3110" spans="2:16" x14ac:dyDescent="0.25">
      <c r="B3110" s="23"/>
      <c r="E3110" s="23"/>
      <c r="G3110" s="23"/>
      <c r="H3110" s="23"/>
      <c r="J3110" s="23"/>
      <c r="K3110" s="23"/>
      <c r="M3110" s="23"/>
      <c r="N3110" s="23"/>
      <c r="P3110" s="23"/>
    </row>
    <row r="3111" spans="2:16" x14ac:dyDescent="0.25">
      <c r="B3111" s="23"/>
      <c r="E3111" s="23"/>
      <c r="G3111" s="23"/>
      <c r="H3111" s="23"/>
      <c r="J3111" s="23"/>
      <c r="K3111" s="23"/>
      <c r="M3111" s="23"/>
      <c r="N3111" s="23"/>
      <c r="P3111" s="23"/>
    </row>
    <row r="3112" spans="2:16" x14ac:dyDescent="0.25">
      <c r="B3112" s="23"/>
      <c r="E3112" s="23"/>
      <c r="G3112" s="23"/>
      <c r="H3112" s="23"/>
      <c r="J3112" s="23"/>
      <c r="K3112" s="23"/>
      <c r="M3112" s="23"/>
      <c r="N3112" s="23"/>
      <c r="P3112" s="23"/>
    </row>
    <row r="3113" spans="2:16" x14ac:dyDescent="0.25">
      <c r="B3113" s="23"/>
      <c r="E3113" s="23"/>
      <c r="G3113" s="23"/>
      <c r="H3113" s="23"/>
      <c r="J3113" s="23"/>
      <c r="K3113" s="23"/>
      <c r="M3113" s="23"/>
      <c r="N3113" s="23"/>
      <c r="P3113" s="23"/>
    </row>
    <row r="3114" spans="2:16" x14ac:dyDescent="0.25">
      <c r="B3114" s="23"/>
      <c r="E3114" s="23"/>
      <c r="G3114" s="23"/>
      <c r="H3114" s="23"/>
      <c r="J3114" s="23"/>
      <c r="K3114" s="23"/>
      <c r="M3114" s="23"/>
      <c r="N3114" s="23"/>
      <c r="P3114" s="23"/>
    </row>
    <row r="3115" spans="2:16" x14ac:dyDescent="0.25">
      <c r="B3115" s="23"/>
      <c r="E3115" s="23"/>
      <c r="G3115" s="23"/>
      <c r="H3115" s="23"/>
      <c r="J3115" s="23"/>
      <c r="K3115" s="23"/>
      <c r="M3115" s="23"/>
      <c r="N3115" s="23"/>
      <c r="P3115" s="23"/>
    </row>
    <row r="3116" spans="2:16" x14ac:dyDescent="0.25">
      <c r="B3116" s="23"/>
      <c r="E3116" s="23"/>
      <c r="G3116" s="23"/>
      <c r="H3116" s="23"/>
      <c r="J3116" s="23"/>
      <c r="K3116" s="23"/>
      <c r="M3116" s="23"/>
      <c r="N3116" s="23"/>
      <c r="P3116" s="23"/>
    </row>
    <row r="3117" spans="2:16" x14ac:dyDescent="0.25">
      <c r="B3117" s="23"/>
      <c r="E3117" s="23"/>
      <c r="G3117" s="23"/>
      <c r="H3117" s="23"/>
      <c r="J3117" s="23"/>
      <c r="K3117" s="23"/>
      <c r="M3117" s="23"/>
      <c r="N3117" s="23"/>
      <c r="P3117" s="23"/>
    </row>
    <row r="3118" spans="2:16" x14ac:dyDescent="0.25">
      <c r="B3118" s="23"/>
      <c r="E3118" s="23"/>
      <c r="G3118" s="23"/>
      <c r="H3118" s="23"/>
      <c r="J3118" s="23"/>
      <c r="K3118" s="23"/>
      <c r="M3118" s="23"/>
      <c r="N3118" s="23"/>
      <c r="P3118" s="23"/>
    </row>
    <row r="3119" spans="2:16" x14ac:dyDescent="0.25">
      <c r="B3119" s="23"/>
      <c r="E3119" s="23"/>
      <c r="G3119" s="23"/>
      <c r="H3119" s="23"/>
      <c r="J3119" s="23"/>
      <c r="K3119" s="23"/>
      <c r="M3119" s="23"/>
      <c r="N3119" s="23"/>
      <c r="P3119" s="23"/>
    </row>
    <row r="3120" spans="2:16" x14ac:dyDescent="0.25">
      <c r="B3120" s="23"/>
      <c r="E3120" s="23"/>
      <c r="G3120" s="23"/>
      <c r="H3120" s="23"/>
      <c r="J3120" s="23"/>
      <c r="K3120" s="23"/>
      <c r="M3120" s="23"/>
      <c r="N3120" s="23"/>
      <c r="P3120" s="23"/>
    </row>
    <row r="3121" spans="2:16" x14ac:dyDescent="0.25">
      <c r="B3121" s="23"/>
      <c r="E3121" s="23"/>
      <c r="G3121" s="23"/>
      <c r="H3121" s="23"/>
      <c r="J3121" s="23"/>
      <c r="K3121" s="23"/>
      <c r="M3121" s="23"/>
      <c r="N3121" s="23"/>
      <c r="P3121" s="23"/>
    </row>
    <row r="3122" spans="2:16" x14ac:dyDescent="0.25">
      <c r="B3122" s="23"/>
      <c r="E3122" s="23"/>
      <c r="G3122" s="23"/>
      <c r="H3122" s="23"/>
      <c r="J3122" s="23"/>
      <c r="K3122" s="23"/>
      <c r="M3122" s="23"/>
      <c r="N3122" s="23"/>
      <c r="P3122" s="23"/>
    </row>
    <row r="3123" spans="2:16" x14ac:dyDescent="0.25">
      <c r="B3123" s="23"/>
      <c r="E3123" s="23"/>
      <c r="G3123" s="23"/>
      <c r="H3123" s="23"/>
      <c r="J3123" s="23"/>
      <c r="K3123" s="23"/>
      <c r="M3123" s="23"/>
      <c r="N3123" s="23"/>
      <c r="P3123" s="23"/>
    </row>
    <row r="3124" spans="2:16" x14ac:dyDescent="0.25">
      <c r="B3124" s="23"/>
      <c r="E3124" s="23"/>
      <c r="G3124" s="23"/>
      <c r="H3124" s="23"/>
      <c r="J3124" s="23"/>
      <c r="K3124" s="23"/>
      <c r="M3124" s="23"/>
      <c r="N3124" s="23"/>
      <c r="P3124" s="23"/>
    </row>
    <row r="3125" spans="2:16" x14ac:dyDescent="0.25">
      <c r="B3125" s="23"/>
      <c r="E3125" s="23"/>
      <c r="G3125" s="23"/>
      <c r="H3125" s="23"/>
      <c r="J3125" s="23"/>
      <c r="K3125" s="23"/>
      <c r="M3125" s="23"/>
      <c r="N3125" s="23"/>
      <c r="P3125" s="23"/>
    </row>
    <row r="3126" spans="2:16" x14ac:dyDescent="0.25">
      <c r="B3126" s="23"/>
      <c r="E3126" s="23"/>
      <c r="G3126" s="23"/>
      <c r="H3126" s="23"/>
      <c r="J3126" s="23"/>
      <c r="K3126" s="23"/>
      <c r="M3126" s="23"/>
      <c r="N3126" s="23"/>
      <c r="P3126" s="23"/>
    </row>
    <row r="3127" spans="2:16" x14ac:dyDescent="0.25">
      <c r="B3127" s="23"/>
      <c r="E3127" s="23"/>
      <c r="G3127" s="23"/>
      <c r="H3127" s="23"/>
      <c r="J3127" s="23"/>
      <c r="K3127" s="23"/>
      <c r="M3127" s="23"/>
      <c r="N3127" s="23"/>
      <c r="P3127" s="23"/>
    </row>
    <row r="3128" spans="2:16" x14ac:dyDescent="0.25">
      <c r="B3128" s="23"/>
      <c r="E3128" s="23"/>
      <c r="G3128" s="23"/>
      <c r="H3128" s="23"/>
      <c r="J3128" s="23"/>
      <c r="K3128" s="23"/>
      <c r="M3128" s="23"/>
      <c r="N3128" s="23"/>
      <c r="P3128" s="23"/>
    </row>
    <row r="3129" spans="2:16" x14ac:dyDescent="0.25">
      <c r="B3129" s="23"/>
      <c r="E3129" s="23"/>
      <c r="G3129" s="23"/>
      <c r="H3129" s="23"/>
      <c r="J3129" s="23"/>
      <c r="K3129" s="23"/>
      <c r="M3129" s="23"/>
      <c r="N3129" s="23"/>
      <c r="P3129" s="23"/>
    </row>
    <row r="3130" spans="2:16" x14ac:dyDescent="0.25">
      <c r="B3130" s="23"/>
      <c r="E3130" s="23"/>
      <c r="G3130" s="23"/>
      <c r="H3130" s="23"/>
      <c r="J3130" s="23"/>
      <c r="K3130" s="23"/>
      <c r="M3130" s="23"/>
      <c r="N3130" s="23"/>
      <c r="P3130" s="23"/>
    </row>
    <row r="3131" spans="2:16" x14ac:dyDescent="0.25">
      <c r="B3131" s="23"/>
      <c r="E3131" s="23"/>
      <c r="G3131" s="23"/>
      <c r="H3131" s="23"/>
      <c r="J3131" s="23"/>
      <c r="K3131" s="23"/>
      <c r="M3131" s="23"/>
      <c r="N3131" s="23"/>
      <c r="P3131" s="23"/>
    </row>
    <row r="3132" spans="2:16" x14ac:dyDescent="0.25">
      <c r="B3132" s="23"/>
      <c r="E3132" s="23"/>
      <c r="G3132" s="23"/>
      <c r="H3132" s="23"/>
      <c r="J3132" s="23"/>
      <c r="K3132" s="23"/>
      <c r="M3132" s="23"/>
      <c r="N3132" s="23"/>
      <c r="P3132" s="23"/>
    </row>
    <row r="3133" spans="2:16" x14ac:dyDescent="0.25">
      <c r="B3133" s="23"/>
      <c r="E3133" s="23"/>
      <c r="G3133" s="23"/>
      <c r="H3133" s="23"/>
      <c r="J3133" s="23"/>
      <c r="K3133" s="23"/>
      <c r="M3133" s="23"/>
      <c r="N3133" s="23"/>
      <c r="P3133" s="23"/>
    </row>
    <row r="3134" spans="2:16" x14ac:dyDescent="0.25">
      <c r="B3134" s="23"/>
      <c r="E3134" s="23"/>
      <c r="G3134" s="23"/>
      <c r="H3134" s="23"/>
      <c r="J3134" s="23"/>
      <c r="K3134" s="23"/>
      <c r="M3134" s="23"/>
      <c r="N3134" s="23"/>
      <c r="P3134" s="23"/>
    </row>
    <row r="3135" spans="2:16" x14ac:dyDescent="0.25">
      <c r="B3135" s="23"/>
      <c r="E3135" s="23"/>
      <c r="G3135" s="23"/>
      <c r="H3135" s="23"/>
      <c r="J3135" s="23"/>
      <c r="K3135" s="23"/>
      <c r="M3135" s="23"/>
      <c r="N3135" s="23"/>
      <c r="P3135" s="23"/>
    </row>
    <row r="3136" spans="2:16" x14ac:dyDescent="0.25">
      <c r="B3136" s="23"/>
      <c r="E3136" s="23"/>
      <c r="G3136" s="23"/>
      <c r="H3136" s="23"/>
      <c r="J3136" s="23"/>
      <c r="K3136" s="23"/>
      <c r="M3136" s="23"/>
      <c r="N3136" s="23"/>
      <c r="P3136" s="23"/>
    </row>
    <row r="3137" spans="2:16" x14ac:dyDescent="0.25">
      <c r="B3137" s="23"/>
      <c r="E3137" s="23"/>
      <c r="G3137" s="23"/>
      <c r="H3137" s="23"/>
      <c r="J3137" s="23"/>
      <c r="K3137" s="23"/>
      <c r="M3137" s="23"/>
      <c r="N3137" s="23"/>
      <c r="P3137" s="23"/>
    </row>
    <row r="3138" spans="2:16" x14ac:dyDescent="0.25">
      <c r="B3138" s="23"/>
      <c r="E3138" s="23"/>
      <c r="G3138" s="23"/>
      <c r="H3138" s="23"/>
      <c r="J3138" s="23"/>
      <c r="K3138" s="23"/>
      <c r="M3138" s="23"/>
      <c r="N3138" s="23"/>
      <c r="P3138" s="23"/>
    </row>
    <row r="3139" spans="2:16" x14ac:dyDescent="0.25">
      <c r="B3139" s="23"/>
      <c r="E3139" s="23"/>
      <c r="G3139" s="23"/>
      <c r="H3139" s="23"/>
      <c r="J3139" s="23"/>
      <c r="K3139" s="23"/>
      <c r="M3139" s="23"/>
      <c r="N3139" s="23"/>
      <c r="P3139" s="23"/>
    </row>
    <row r="3140" spans="2:16" x14ac:dyDescent="0.25">
      <c r="B3140" s="23"/>
      <c r="E3140" s="23"/>
      <c r="G3140" s="23"/>
      <c r="H3140" s="23"/>
      <c r="J3140" s="23"/>
      <c r="K3140" s="23"/>
      <c r="M3140" s="23"/>
      <c r="N3140" s="23"/>
      <c r="P3140" s="23"/>
    </row>
    <row r="3141" spans="2:16" x14ac:dyDescent="0.25">
      <c r="B3141" s="23"/>
      <c r="E3141" s="23"/>
      <c r="G3141" s="23"/>
      <c r="H3141" s="23"/>
      <c r="J3141" s="23"/>
      <c r="K3141" s="23"/>
      <c r="M3141" s="23"/>
      <c r="N3141" s="23"/>
      <c r="P3141" s="23"/>
    </row>
    <row r="3142" spans="2:16" x14ac:dyDescent="0.25">
      <c r="B3142" s="23"/>
      <c r="E3142" s="23"/>
      <c r="G3142" s="23"/>
      <c r="H3142" s="23"/>
      <c r="J3142" s="23"/>
      <c r="K3142" s="23"/>
      <c r="M3142" s="23"/>
      <c r="N3142" s="23"/>
      <c r="P3142" s="23"/>
    </row>
    <row r="3143" spans="2:16" x14ac:dyDescent="0.25">
      <c r="B3143" s="23"/>
      <c r="E3143" s="23"/>
      <c r="G3143" s="23"/>
      <c r="H3143" s="23"/>
      <c r="J3143" s="23"/>
      <c r="K3143" s="23"/>
      <c r="M3143" s="23"/>
      <c r="N3143" s="23"/>
      <c r="P3143" s="23"/>
    </row>
    <row r="3144" spans="2:16" x14ac:dyDescent="0.25">
      <c r="B3144" s="23"/>
      <c r="E3144" s="23"/>
      <c r="G3144" s="23"/>
      <c r="H3144" s="23"/>
      <c r="J3144" s="23"/>
      <c r="K3144" s="23"/>
      <c r="M3144" s="23"/>
      <c r="N3144" s="23"/>
      <c r="P3144" s="23"/>
    </row>
    <row r="3145" spans="2:16" x14ac:dyDescent="0.25">
      <c r="B3145" s="23"/>
      <c r="E3145" s="23"/>
      <c r="G3145" s="23"/>
      <c r="H3145" s="23"/>
      <c r="J3145" s="23"/>
      <c r="K3145" s="23"/>
      <c r="M3145" s="23"/>
      <c r="N3145" s="23"/>
      <c r="P3145" s="23"/>
    </row>
    <row r="3146" spans="2:16" x14ac:dyDescent="0.25">
      <c r="B3146" s="23"/>
      <c r="E3146" s="23"/>
      <c r="G3146" s="23"/>
      <c r="H3146" s="23"/>
      <c r="J3146" s="23"/>
      <c r="K3146" s="23"/>
      <c r="M3146" s="23"/>
      <c r="N3146" s="23"/>
      <c r="P3146" s="23"/>
    </row>
    <row r="3147" spans="2:16" x14ac:dyDescent="0.25">
      <c r="B3147" s="23"/>
      <c r="E3147" s="23"/>
      <c r="G3147" s="23"/>
      <c r="H3147" s="23"/>
      <c r="J3147" s="23"/>
      <c r="K3147" s="23"/>
      <c r="M3147" s="23"/>
      <c r="N3147" s="23"/>
      <c r="P3147" s="23"/>
    </row>
    <row r="3148" spans="2:16" x14ac:dyDescent="0.25">
      <c r="B3148" s="23"/>
      <c r="E3148" s="23"/>
      <c r="G3148" s="23"/>
      <c r="H3148" s="23"/>
      <c r="J3148" s="23"/>
      <c r="K3148" s="23"/>
      <c r="M3148" s="23"/>
      <c r="N3148" s="23"/>
      <c r="P3148" s="23"/>
    </row>
    <row r="3149" spans="2:16" x14ac:dyDescent="0.25">
      <c r="B3149" s="23"/>
      <c r="E3149" s="23"/>
      <c r="G3149" s="23"/>
      <c r="H3149" s="23"/>
      <c r="J3149" s="23"/>
      <c r="K3149" s="23"/>
      <c r="M3149" s="23"/>
      <c r="N3149" s="23"/>
      <c r="P3149" s="23"/>
    </row>
    <row r="3150" spans="2:16" x14ac:dyDescent="0.25">
      <c r="B3150" s="23"/>
      <c r="E3150" s="23"/>
      <c r="G3150" s="23"/>
      <c r="H3150" s="23"/>
      <c r="J3150" s="23"/>
      <c r="K3150" s="23"/>
      <c r="M3150" s="23"/>
      <c r="N3150" s="23"/>
      <c r="P3150" s="23"/>
    </row>
    <row r="3151" spans="2:16" x14ac:dyDescent="0.25">
      <c r="B3151" s="23"/>
      <c r="E3151" s="23"/>
      <c r="G3151" s="23"/>
      <c r="H3151" s="23"/>
      <c r="J3151" s="23"/>
      <c r="K3151" s="23"/>
      <c r="M3151" s="23"/>
      <c r="N3151" s="23"/>
      <c r="P3151" s="23"/>
    </row>
    <row r="3152" spans="2:16" x14ac:dyDescent="0.25">
      <c r="B3152" s="23"/>
      <c r="E3152" s="23"/>
      <c r="G3152" s="23"/>
      <c r="H3152" s="23"/>
      <c r="J3152" s="23"/>
      <c r="K3152" s="23"/>
      <c r="M3152" s="23"/>
      <c r="N3152" s="23"/>
      <c r="P3152" s="23"/>
    </row>
    <row r="3153" spans="2:16" x14ac:dyDescent="0.25">
      <c r="B3153" s="23"/>
      <c r="E3153" s="23"/>
      <c r="G3153" s="23"/>
      <c r="H3153" s="23"/>
      <c r="J3153" s="23"/>
      <c r="K3153" s="23"/>
      <c r="M3153" s="23"/>
      <c r="N3153" s="23"/>
      <c r="P3153" s="23"/>
    </row>
    <row r="3154" spans="2:16" x14ac:dyDescent="0.25">
      <c r="B3154" s="23"/>
      <c r="E3154" s="23"/>
      <c r="G3154" s="23"/>
      <c r="H3154" s="23"/>
      <c r="J3154" s="23"/>
      <c r="K3154" s="23"/>
      <c r="M3154" s="23"/>
      <c r="N3154" s="23"/>
      <c r="P3154" s="23"/>
    </row>
    <row r="3155" spans="2:16" x14ac:dyDescent="0.25">
      <c r="B3155" s="23"/>
      <c r="E3155" s="23"/>
      <c r="G3155" s="23"/>
      <c r="H3155" s="23"/>
      <c r="J3155" s="23"/>
      <c r="K3155" s="23"/>
      <c r="M3155" s="23"/>
      <c r="N3155" s="23"/>
      <c r="P3155" s="23"/>
    </row>
    <row r="3156" spans="2:16" x14ac:dyDescent="0.25">
      <c r="B3156" s="23"/>
      <c r="E3156" s="23"/>
      <c r="G3156" s="23"/>
      <c r="H3156" s="23"/>
      <c r="J3156" s="23"/>
      <c r="K3156" s="23"/>
      <c r="M3156" s="23"/>
      <c r="N3156" s="23"/>
      <c r="P3156" s="23"/>
    </row>
    <row r="3157" spans="2:16" x14ac:dyDescent="0.25">
      <c r="B3157" s="23"/>
      <c r="E3157" s="23"/>
      <c r="G3157" s="23"/>
      <c r="H3157" s="23"/>
      <c r="J3157" s="23"/>
      <c r="K3157" s="23"/>
      <c r="M3157" s="23"/>
      <c r="N3157" s="23"/>
      <c r="P3157" s="23"/>
    </row>
    <row r="3158" spans="2:16" x14ac:dyDescent="0.25">
      <c r="B3158" s="23"/>
      <c r="E3158" s="23"/>
      <c r="G3158" s="23"/>
      <c r="H3158" s="23"/>
      <c r="J3158" s="23"/>
      <c r="K3158" s="23"/>
      <c r="M3158" s="23"/>
      <c r="N3158" s="23"/>
      <c r="P3158" s="23"/>
    </row>
    <row r="3159" spans="2:16" x14ac:dyDescent="0.25">
      <c r="B3159" s="23"/>
      <c r="E3159" s="23"/>
      <c r="G3159" s="23"/>
      <c r="H3159" s="23"/>
      <c r="J3159" s="23"/>
      <c r="K3159" s="23"/>
      <c r="M3159" s="23"/>
      <c r="N3159" s="23"/>
      <c r="P3159" s="23"/>
    </row>
    <row r="3160" spans="2:16" x14ac:dyDescent="0.25">
      <c r="B3160" s="23"/>
      <c r="E3160" s="23"/>
      <c r="G3160" s="23"/>
      <c r="H3160" s="23"/>
      <c r="J3160" s="23"/>
      <c r="K3160" s="23"/>
      <c r="M3160" s="23"/>
      <c r="N3160" s="23"/>
      <c r="P3160" s="23"/>
    </row>
    <row r="3161" spans="2:16" x14ac:dyDescent="0.25">
      <c r="B3161" s="23"/>
      <c r="E3161" s="23"/>
      <c r="G3161" s="23"/>
      <c r="H3161" s="23"/>
      <c r="J3161" s="23"/>
      <c r="K3161" s="23"/>
      <c r="M3161" s="23"/>
      <c r="N3161" s="23"/>
      <c r="P3161" s="23"/>
    </row>
    <row r="3162" spans="2:16" x14ac:dyDescent="0.25">
      <c r="B3162" s="23"/>
      <c r="E3162" s="23"/>
      <c r="G3162" s="23"/>
      <c r="H3162" s="23"/>
      <c r="J3162" s="23"/>
      <c r="K3162" s="23"/>
      <c r="M3162" s="23"/>
      <c r="N3162" s="23"/>
      <c r="P3162" s="23"/>
    </row>
    <row r="3163" spans="2:16" x14ac:dyDescent="0.25">
      <c r="B3163" s="23"/>
      <c r="E3163" s="23"/>
      <c r="G3163" s="23"/>
      <c r="H3163" s="23"/>
      <c r="J3163" s="23"/>
      <c r="K3163" s="23"/>
      <c r="M3163" s="23"/>
      <c r="N3163" s="23"/>
      <c r="P3163" s="23"/>
    </row>
    <row r="3164" spans="2:16" x14ac:dyDescent="0.25">
      <c r="B3164" s="23"/>
      <c r="E3164" s="23"/>
      <c r="G3164" s="23"/>
      <c r="H3164" s="23"/>
      <c r="J3164" s="23"/>
      <c r="K3164" s="23"/>
      <c r="M3164" s="23"/>
      <c r="N3164" s="23"/>
      <c r="P3164" s="23"/>
    </row>
    <row r="3165" spans="2:16" x14ac:dyDescent="0.25">
      <c r="B3165" s="23"/>
      <c r="E3165" s="23"/>
      <c r="G3165" s="23"/>
      <c r="H3165" s="23"/>
      <c r="J3165" s="23"/>
      <c r="K3165" s="23"/>
      <c r="M3165" s="23"/>
      <c r="N3165" s="23"/>
      <c r="P3165" s="23"/>
    </row>
    <row r="3166" spans="2:16" x14ac:dyDescent="0.25">
      <c r="B3166" s="23"/>
      <c r="E3166" s="23"/>
      <c r="G3166" s="23"/>
      <c r="H3166" s="23"/>
      <c r="J3166" s="23"/>
      <c r="K3166" s="23"/>
      <c r="M3166" s="23"/>
      <c r="N3166" s="23"/>
      <c r="P3166" s="23"/>
    </row>
    <row r="3167" spans="2:16" x14ac:dyDescent="0.25">
      <c r="B3167" s="23"/>
      <c r="E3167" s="23"/>
      <c r="G3167" s="23"/>
      <c r="H3167" s="23"/>
      <c r="J3167" s="23"/>
      <c r="K3167" s="23"/>
      <c r="M3167" s="23"/>
      <c r="N3167" s="23"/>
      <c r="P3167" s="23"/>
    </row>
    <row r="3168" spans="2:16" x14ac:dyDescent="0.25">
      <c r="B3168" s="23"/>
      <c r="E3168" s="23"/>
      <c r="G3168" s="23"/>
      <c r="H3168" s="23"/>
      <c r="J3168" s="23"/>
      <c r="K3168" s="23"/>
      <c r="M3168" s="23"/>
      <c r="N3168" s="23"/>
      <c r="P3168" s="23"/>
    </row>
    <row r="3169" spans="2:16" x14ac:dyDescent="0.25">
      <c r="B3169" s="23"/>
      <c r="E3169" s="23"/>
      <c r="G3169" s="23"/>
      <c r="H3169" s="23"/>
      <c r="J3169" s="23"/>
      <c r="K3169" s="23"/>
      <c r="M3169" s="23"/>
      <c r="N3169" s="23"/>
      <c r="P3169" s="23"/>
    </row>
    <row r="3170" spans="2:16" x14ac:dyDescent="0.25">
      <c r="B3170" s="23"/>
      <c r="E3170" s="23"/>
      <c r="G3170" s="23"/>
      <c r="H3170" s="23"/>
      <c r="J3170" s="23"/>
      <c r="K3170" s="23"/>
      <c r="M3170" s="23"/>
      <c r="N3170" s="23"/>
      <c r="P3170" s="23"/>
    </row>
    <row r="3171" spans="2:16" x14ac:dyDescent="0.25">
      <c r="B3171" s="23"/>
      <c r="E3171" s="23"/>
      <c r="G3171" s="23"/>
      <c r="H3171" s="23"/>
      <c r="J3171" s="23"/>
      <c r="K3171" s="23"/>
      <c r="M3171" s="23"/>
      <c r="N3171" s="23"/>
      <c r="P3171" s="23"/>
    </row>
    <row r="3172" spans="2:16" x14ac:dyDescent="0.25">
      <c r="B3172" s="23"/>
      <c r="E3172" s="23"/>
      <c r="G3172" s="23"/>
      <c r="H3172" s="23"/>
      <c r="J3172" s="23"/>
      <c r="K3172" s="23"/>
      <c r="M3172" s="23"/>
      <c r="N3172" s="23"/>
      <c r="P3172" s="23"/>
    </row>
    <row r="3173" spans="2:16" x14ac:dyDescent="0.25">
      <c r="B3173" s="23"/>
      <c r="E3173" s="23"/>
      <c r="G3173" s="23"/>
      <c r="H3173" s="23"/>
      <c r="J3173" s="23"/>
      <c r="K3173" s="23"/>
      <c r="M3173" s="23"/>
      <c r="N3173" s="23"/>
      <c r="P3173" s="23"/>
    </row>
    <row r="3174" spans="2:16" x14ac:dyDescent="0.25">
      <c r="B3174" s="23"/>
      <c r="E3174" s="23"/>
      <c r="G3174" s="23"/>
      <c r="H3174" s="23"/>
      <c r="J3174" s="23"/>
      <c r="K3174" s="23"/>
      <c r="M3174" s="23"/>
      <c r="N3174" s="23"/>
      <c r="P3174" s="23"/>
    </row>
    <row r="3175" spans="2:16" x14ac:dyDescent="0.25">
      <c r="B3175" s="23"/>
      <c r="E3175" s="23"/>
      <c r="G3175" s="23"/>
      <c r="H3175" s="23"/>
      <c r="J3175" s="23"/>
      <c r="K3175" s="23"/>
      <c r="M3175" s="23"/>
      <c r="N3175" s="23"/>
      <c r="P3175" s="23"/>
    </row>
    <row r="3176" spans="2:16" x14ac:dyDescent="0.25">
      <c r="B3176" s="23"/>
      <c r="E3176" s="23"/>
      <c r="G3176" s="23"/>
      <c r="H3176" s="23"/>
      <c r="J3176" s="23"/>
      <c r="K3176" s="23"/>
      <c r="M3176" s="23"/>
      <c r="N3176" s="23"/>
      <c r="P3176" s="23"/>
    </row>
    <row r="3177" spans="2:16" x14ac:dyDescent="0.25">
      <c r="B3177" s="23"/>
      <c r="E3177" s="23"/>
      <c r="G3177" s="23"/>
      <c r="H3177" s="23"/>
      <c r="J3177" s="23"/>
      <c r="K3177" s="23"/>
      <c r="M3177" s="23"/>
      <c r="N3177" s="23"/>
      <c r="P3177" s="23"/>
    </row>
    <row r="3178" spans="2:16" x14ac:dyDescent="0.25">
      <c r="B3178" s="23"/>
      <c r="E3178" s="23"/>
      <c r="G3178" s="23"/>
      <c r="H3178" s="23"/>
      <c r="J3178" s="23"/>
      <c r="K3178" s="23"/>
      <c r="M3178" s="23"/>
      <c r="N3178" s="23"/>
      <c r="P3178" s="23"/>
    </row>
    <row r="3179" spans="2:16" x14ac:dyDescent="0.25">
      <c r="B3179" s="23"/>
      <c r="E3179" s="23"/>
      <c r="G3179" s="23"/>
      <c r="H3179" s="23"/>
      <c r="J3179" s="23"/>
      <c r="K3179" s="23"/>
      <c r="M3179" s="23"/>
      <c r="N3179" s="23"/>
      <c r="P3179" s="23"/>
    </row>
    <row r="3180" spans="2:16" x14ac:dyDescent="0.25">
      <c r="B3180" s="23"/>
      <c r="E3180" s="23"/>
      <c r="G3180" s="23"/>
      <c r="H3180" s="23"/>
      <c r="J3180" s="23"/>
      <c r="K3180" s="23"/>
      <c r="M3180" s="23"/>
      <c r="N3180" s="23"/>
      <c r="P3180" s="23"/>
    </row>
    <row r="3181" spans="2:16" x14ac:dyDescent="0.25">
      <c r="B3181" s="23"/>
      <c r="E3181" s="23"/>
      <c r="G3181" s="23"/>
      <c r="H3181" s="23"/>
      <c r="J3181" s="23"/>
      <c r="K3181" s="23"/>
      <c r="M3181" s="23"/>
      <c r="N3181" s="23"/>
      <c r="P3181" s="23"/>
    </row>
    <row r="3182" spans="2:16" x14ac:dyDescent="0.25">
      <c r="B3182" s="23"/>
      <c r="E3182" s="23"/>
      <c r="G3182" s="23"/>
      <c r="H3182" s="23"/>
      <c r="J3182" s="23"/>
      <c r="K3182" s="23"/>
      <c r="M3182" s="23"/>
      <c r="N3182" s="23"/>
      <c r="P3182" s="23"/>
    </row>
    <row r="3183" spans="2:16" x14ac:dyDescent="0.25">
      <c r="B3183" s="23"/>
      <c r="E3183" s="23"/>
      <c r="G3183" s="23"/>
      <c r="H3183" s="23"/>
      <c r="J3183" s="23"/>
      <c r="K3183" s="23"/>
      <c r="M3183" s="23"/>
      <c r="N3183" s="23"/>
      <c r="P3183" s="23"/>
    </row>
    <row r="3184" spans="2:16" x14ac:dyDescent="0.25">
      <c r="B3184" s="23"/>
      <c r="E3184" s="23"/>
      <c r="G3184" s="23"/>
      <c r="H3184" s="23"/>
      <c r="J3184" s="23"/>
      <c r="K3184" s="23"/>
      <c r="M3184" s="23"/>
      <c r="N3184" s="23"/>
      <c r="P3184" s="23"/>
    </row>
    <row r="3185" spans="2:16" x14ac:dyDescent="0.25">
      <c r="B3185" s="23"/>
      <c r="E3185" s="23"/>
      <c r="G3185" s="23"/>
      <c r="H3185" s="23"/>
      <c r="J3185" s="23"/>
      <c r="K3185" s="23"/>
      <c r="M3185" s="23"/>
      <c r="N3185" s="23"/>
      <c r="P3185" s="23"/>
    </row>
    <row r="3186" spans="2:16" x14ac:dyDescent="0.25">
      <c r="B3186" s="23"/>
      <c r="E3186" s="23"/>
      <c r="G3186" s="23"/>
      <c r="H3186" s="23"/>
      <c r="J3186" s="23"/>
      <c r="K3186" s="23"/>
      <c r="M3186" s="23"/>
      <c r="N3186" s="23"/>
      <c r="P3186" s="23"/>
    </row>
    <row r="3187" spans="2:16" x14ac:dyDescent="0.25">
      <c r="B3187" s="23"/>
      <c r="E3187" s="23"/>
      <c r="G3187" s="23"/>
      <c r="H3187" s="23"/>
      <c r="J3187" s="23"/>
      <c r="K3187" s="23"/>
      <c r="M3187" s="23"/>
      <c r="N3187" s="23"/>
      <c r="P3187" s="23"/>
    </row>
    <row r="3188" spans="2:16" x14ac:dyDescent="0.25">
      <c r="B3188" s="23"/>
      <c r="E3188" s="23"/>
      <c r="G3188" s="23"/>
      <c r="H3188" s="23"/>
      <c r="J3188" s="23"/>
      <c r="K3188" s="23"/>
      <c r="M3188" s="23"/>
      <c r="N3188" s="23"/>
      <c r="P3188" s="23"/>
    </row>
    <row r="3189" spans="2:16" x14ac:dyDescent="0.25">
      <c r="B3189" s="23"/>
      <c r="E3189" s="23"/>
      <c r="G3189" s="23"/>
      <c r="H3189" s="23"/>
      <c r="J3189" s="23"/>
      <c r="K3189" s="23"/>
      <c r="M3189" s="23"/>
      <c r="N3189" s="23"/>
      <c r="P3189" s="23"/>
    </row>
    <row r="3190" spans="2:16" x14ac:dyDescent="0.25">
      <c r="B3190" s="23"/>
      <c r="E3190" s="23"/>
      <c r="G3190" s="23"/>
      <c r="H3190" s="23"/>
      <c r="J3190" s="23"/>
      <c r="K3190" s="23"/>
      <c r="M3190" s="23"/>
      <c r="N3190" s="23"/>
      <c r="P3190" s="23"/>
    </row>
    <row r="3191" spans="2:16" x14ac:dyDescent="0.25">
      <c r="B3191" s="23"/>
      <c r="E3191" s="23"/>
      <c r="G3191" s="23"/>
      <c r="H3191" s="23"/>
      <c r="J3191" s="23"/>
      <c r="K3191" s="23"/>
      <c r="M3191" s="23"/>
      <c r="N3191" s="23"/>
      <c r="P3191" s="23"/>
    </row>
    <row r="3192" spans="2:16" x14ac:dyDescent="0.25">
      <c r="B3192" s="23"/>
      <c r="E3192" s="23"/>
      <c r="G3192" s="23"/>
      <c r="H3192" s="23"/>
      <c r="J3192" s="23"/>
      <c r="K3192" s="23"/>
      <c r="M3192" s="23"/>
      <c r="N3192" s="23"/>
      <c r="P3192" s="23"/>
    </row>
    <row r="3193" spans="2:16" x14ac:dyDescent="0.25">
      <c r="B3193" s="23"/>
      <c r="E3193" s="23"/>
      <c r="G3193" s="23"/>
      <c r="H3193" s="23"/>
      <c r="J3193" s="23"/>
      <c r="K3193" s="23"/>
      <c r="M3193" s="23"/>
      <c r="N3193" s="23"/>
      <c r="P3193" s="23"/>
    </row>
    <row r="3194" spans="2:16" x14ac:dyDescent="0.25">
      <c r="B3194" s="23"/>
      <c r="E3194" s="23"/>
      <c r="G3194" s="23"/>
      <c r="H3194" s="23"/>
      <c r="J3194" s="23"/>
      <c r="K3194" s="23"/>
      <c r="M3194" s="23"/>
      <c r="N3194" s="23"/>
      <c r="P3194" s="23"/>
    </row>
    <row r="3195" spans="2:16" x14ac:dyDescent="0.25">
      <c r="B3195" s="23"/>
      <c r="E3195" s="23"/>
      <c r="G3195" s="23"/>
      <c r="H3195" s="23"/>
      <c r="J3195" s="23"/>
      <c r="K3195" s="23"/>
      <c r="M3195" s="23"/>
      <c r="N3195" s="23"/>
      <c r="P3195" s="23"/>
    </row>
    <row r="3196" spans="2:16" x14ac:dyDescent="0.25">
      <c r="B3196" s="23"/>
      <c r="E3196" s="23"/>
      <c r="G3196" s="23"/>
      <c r="H3196" s="23"/>
      <c r="J3196" s="23"/>
      <c r="K3196" s="23"/>
      <c r="M3196" s="23"/>
      <c r="N3196" s="23"/>
      <c r="P3196" s="23"/>
    </row>
    <row r="3197" spans="2:16" x14ac:dyDescent="0.25">
      <c r="B3197" s="23"/>
      <c r="E3197" s="23"/>
      <c r="G3197" s="23"/>
      <c r="H3197" s="23"/>
      <c r="J3197" s="23"/>
      <c r="K3197" s="23"/>
      <c r="M3197" s="23"/>
      <c r="N3197" s="23"/>
      <c r="P3197" s="23"/>
    </row>
    <row r="3198" spans="2:16" x14ac:dyDescent="0.25">
      <c r="B3198" s="23"/>
      <c r="E3198" s="23"/>
      <c r="G3198" s="23"/>
      <c r="H3198" s="23"/>
      <c r="J3198" s="23"/>
      <c r="K3198" s="23"/>
      <c r="M3198" s="23"/>
      <c r="N3198" s="23"/>
      <c r="P3198" s="23"/>
    </row>
    <row r="3199" spans="2:16" x14ac:dyDescent="0.25">
      <c r="B3199" s="23"/>
      <c r="E3199" s="23"/>
      <c r="G3199" s="23"/>
      <c r="H3199" s="23"/>
      <c r="J3199" s="23"/>
      <c r="K3199" s="23"/>
      <c r="M3199" s="23"/>
      <c r="N3199" s="23"/>
      <c r="P3199" s="23"/>
    </row>
    <row r="3200" spans="2:16" x14ac:dyDescent="0.25">
      <c r="B3200" s="23"/>
      <c r="E3200" s="23"/>
      <c r="G3200" s="23"/>
      <c r="H3200" s="23"/>
      <c r="J3200" s="23"/>
      <c r="K3200" s="23"/>
      <c r="M3200" s="23"/>
      <c r="N3200" s="23"/>
      <c r="P3200" s="23"/>
    </row>
    <row r="3201" spans="2:16" x14ac:dyDescent="0.25">
      <c r="B3201" s="23"/>
      <c r="E3201" s="23"/>
      <c r="G3201" s="23"/>
      <c r="H3201" s="23"/>
      <c r="J3201" s="23"/>
      <c r="K3201" s="23"/>
      <c r="M3201" s="23"/>
      <c r="N3201" s="23"/>
      <c r="P3201" s="23"/>
    </row>
    <row r="3202" spans="2:16" x14ac:dyDescent="0.25">
      <c r="B3202" s="23"/>
      <c r="E3202" s="23"/>
      <c r="G3202" s="23"/>
      <c r="H3202" s="23"/>
      <c r="J3202" s="23"/>
      <c r="K3202" s="23"/>
      <c r="M3202" s="23"/>
      <c r="N3202" s="23"/>
      <c r="P3202" s="23"/>
    </row>
    <row r="3203" spans="2:16" x14ac:dyDescent="0.25">
      <c r="B3203" s="23"/>
      <c r="E3203" s="23"/>
      <c r="G3203" s="23"/>
      <c r="H3203" s="23"/>
      <c r="J3203" s="23"/>
      <c r="K3203" s="23"/>
      <c r="M3203" s="23"/>
      <c r="N3203" s="23"/>
      <c r="P3203" s="23"/>
    </row>
    <row r="3204" spans="2:16" x14ac:dyDescent="0.25">
      <c r="B3204" s="23"/>
      <c r="E3204" s="23"/>
      <c r="G3204" s="23"/>
      <c r="H3204" s="23"/>
      <c r="J3204" s="23"/>
      <c r="K3204" s="23"/>
      <c r="M3204" s="23"/>
      <c r="N3204" s="23"/>
      <c r="P3204" s="23"/>
    </row>
    <row r="3205" spans="2:16" x14ac:dyDescent="0.25">
      <c r="B3205" s="23"/>
      <c r="E3205" s="23"/>
      <c r="G3205" s="23"/>
      <c r="H3205" s="23"/>
      <c r="J3205" s="23"/>
      <c r="K3205" s="23"/>
      <c r="M3205" s="23"/>
      <c r="N3205" s="23"/>
      <c r="P3205" s="23"/>
    </row>
    <row r="3206" spans="2:16" x14ac:dyDescent="0.25">
      <c r="B3206" s="23"/>
      <c r="E3206" s="23"/>
      <c r="G3206" s="23"/>
      <c r="H3206" s="23"/>
      <c r="J3206" s="23"/>
      <c r="K3206" s="23"/>
      <c r="M3206" s="23"/>
      <c r="N3206" s="23"/>
      <c r="P3206" s="23"/>
    </row>
    <row r="3207" spans="2:16" x14ac:dyDescent="0.25">
      <c r="B3207" s="23"/>
      <c r="E3207" s="23"/>
      <c r="G3207" s="23"/>
      <c r="H3207" s="23"/>
      <c r="J3207" s="23"/>
      <c r="K3207" s="23"/>
      <c r="M3207" s="23"/>
      <c r="N3207" s="23"/>
      <c r="P3207" s="23"/>
    </row>
    <row r="3208" spans="2:16" x14ac:dyDescent="0.25">
      <c r="B3208" s="23"/>
      <c r="E3208" s="23"/>
      <c r="G3208" s="23"/>
      <c r="H3208" s="23"/>
      <c r="J3208" s="23"/>
      <c r="K3208" s="23"/>
      <c r="M3208" s="23"/>
      <c r="N3208" s="23"/>
      <c r="P3208" s="23"/>
    </row>
    <row r="3209" spans="2:16" x14ac:dyDescent="0.25">
      <c r="B3209" s="23"/>
      <c r="E3209" s="23"/>
      <c r="G3209" s="23"/>
      <c r="H3209" s="23"/>
      <c r="J3209" s="23"/>
      <c r="K3209" s="23"/>
      <c r="M3209" s="23"/>
      <c r="N3209" s="23"/>
      <c r="P3209" s="23"/>
    </row>
    <row r="3210" spans="2:16" x14ac:dyDescent="0.25">
      <c r="B3210" s="23"/>
      <c r="E3210" s="23"/>
      <c r="G3210" s="23"/>
      <c r="H3210" s="23"/>
      <c r="J3210" s="23"/>
      <c r="K3210" s="23"/>
      <c r="M3210" s="23"/>
      <c r="N3210" s="23"/>
      <c r="P3210" s="23"/>
    </row>
    <row r="3211" spans="2:16" x14ac:dyDescent="0.25">
      <c r="B3211" s="23"/>
      <c r="E3211" s="23"/>
      <c r="G3211" s="23"/>
      <c r="H3211" s="23"/>
      <c r="J3211" s="23"/>
      <c r="K3211" s="23"/>
      <c r="M3211" s="23"/>
      <c r="N3211" s="23"/>
      <c r="P3211" s="23"/>
    </row>
    <row r="3212" spans="2:16" x14ac:dyDescent="0.25">
      <c r="B3212" s="23"/>
      <c r="E3212" s="23"/>
      <c r="G3212" s="23"/>
      <c r="H3212" s="23"/>
      <c r="J3212" s="23"/>
      <c r="K3212" s="23"/>
      <c r="M3212" s="23"/>
      <c r="N3212" s="23"/>
      <c r="P3212" s="23"/>
    </row>
    <row r="3213" spans="2:16" x14ac:dyDescent="0.25">
      <c r="B3213" s="23"/>
      <c r="E3213" s="23"/>
      <c r="G3213" s="23"/>
      <c r="H3213" s="23"/>
      <c r="J3213" s="23"/>
      <c r="K3213" s="23"/>
      <c r="M3213" s="23"/>
      <c r="N3213" s="23"/>
      <c r="P3213" s="23"/>
    </row>
    <row r="3214" spans="2:16" x14ac:dyDescent="0.25">
      <c r="B3214" s="23"/>
      <c r="E3214" s="23"/>
      <c r="G3214" s="23"/>
      <c r="H3214" s="23"/>
      <c r="J3214" s="23"/>
      <c r="K3214" s="23"/>
      <c r="M3214" s="23"/>
      <c r="N3214" s="23"/>
      <c r="P3214" s="23"/>
    </row>
    <row r="3215" spans="2:16" x14ac:dyDescent="0.25">
      <c r="B3215" s="23"/>
      <c r="E3215" s="23"/>
      <c r="G3215" s="23"/>
      <c r="H3215" s="23"/>
      <c r="J3215" s="23"/>
      <c r="K3215" s="23"/>
      <c r="M3215" s="23"/>
      <c r="N3215" s="23"/>
      <c r="P3215" s="23"/>
    </row>
    <row r="3216" spans="2:16" x14ac:dyDescent="0.25">
      <c r="B3216" s="23"/>
      <c r="E3216" s="23"/>
      <c r="G3216" s="23"/>
      <c r="H3216" s="23"/>
      <c r="J3216" s="23"/>
      <c r="K3216" s="23"/>
      <c r="M3216" s="23"/>
      <c r="N3216" s="23"/>
      <c r="P3216" s="23"/>
    </row>
    <row r="3217" spans="2:16" x14ac:dyDescent="0.25">
      <c r="B3217" s="23"/>
      <c r="E3217" s="23"/>
      <c r="G3217" s="23"/>
      <c r="H3217" s="23"/>
      <c r="J3217" s="23"/>
      <c r="K3217" s="23"/>
      <c r="M3217" s="23"/>
      <c r="N3217" s="23"/>
      <c r="P3217" s="23"/>
    </row>
    <row r="3218" spans="2:16" x14ac:dyDescent="0.25">
      <c r="B3218" s="23"/>
      <c r="E3218" s="23"/>
      <c r="G3218" s="23"/>
      <c r="H3218" s="23"/>
      <c r="J3218" s="23"/>
      <c r="K3218" s="23"/>
      <c r="M3218" s="23"/>
      <c r="N3218" s="23"/>
      <c r="P3218" s="23"/>
    </row>
    <row r="3219" spans="2:16" x14ac:dyDescent="0.25">
      <c r="B3219" s="23"/>
      <c r="E3219" s="23"/>
      <c r="G3219" s="23"/>
      <c r="H3219" s="23"/>
      <c r="J3219" s="23"/>
      <c r="K3219" s="23"/>
      <c r="M3219" s="23"/>
      <c r="N3219" s="23"/>
      <c r="P3219" s="23"/>
    </row>
    <row r="3220" spans="2:16" x14ac:dyDescent="0.25">
      <c r="B3220" s="23"/>
      <c r="E3220" s="23"/>
      <c r="G3220" s="23"/>
      <c r="H3220" s="23"/>
      <c r="J3220" s="23"/>
      <c r="K3220" s="23"/>
      <c r="M3220" s="23"/>
      <c r="N3220" s="23"/>
      <c r="P3220" s="23"/>
    </row>
    <row r="3221" spans="2:16" x14ac:dyDescent="0.25">
      <c r="B3221" s="23"/>
      <c r="E3221" s="23"/>
      <c r="G3221" s="23"/>
      <c r="H3221" s="23"/>
      <c r="J3221" s="23"/>
      <c r="K3221" s="23"/>
      <c r="M3221" s="23"/>
      <c r="N3221" s="23"/>
      <c r="P3221" s="23"/>
    </row>
    <row r="3222" spans="2:16" x14ac:dyDescent="0.25">
      <c r="B3222" s="23"/>
      <c r="E3222" s="23"/>
      <c r="G3222" s="23"/>
      <c r="H3222" s="23"/>
      <c r="J3222" s="23"/>
      <c r="K3222" s="23"/>
      <c r="M3222" s="23"/>
      <c r="N3222" s="23"/>
      <c r="P3222" s="23"/>
    </row>
    <row r="3223" spans="2:16" x14ac:dyDescent="0.25">
      <c r="B3223" s="23"/>
      <c r="E3223" s="23"/>
      <c r="G3223" s="23"/>
      <c r="H3223" s="23"/>
      <c r="J3223" s="23"/>
      <c r="K3223" s="23"/>
      <c r="M3223" s="23"/>
      <c r="N3223" s="23"/>
      <c r="P3223" s="23"/>
    </row>
    <row r="3224" spans="2:16" x14ac:dyDescent="0.25">
      <c r="B3224" s="23"/>
      <c r="E3224" s="23"/>
      <c r="G3224" s="23"/>
      <c r="H3224" s="23"/>
      <c r="J3224" s="23"/>
      <c r="K3224" s="23"/>
      <c r="M3224" s="23"/>
      <c r="N3224" s="23"/>
      <c r="P3224" s="23"/>
    </row>
    <row r="3225" spans="2:16" x14ac:dyDescent="0.25">
      <c r="B3225" s="23"/>
      <c r="E3225" s="23"/>
      <c r="G3225" s="23"/>
      <c r="H3225" s="23"/>
      <c r="J3225" s="23"/>
      <c r="K3225" s="23"/>
      <c r="M3225" s="23"/>
      <c r="N3225" s="23"/>
      <c r="P3225" s="23"/>
    </row>
    <row r="3226" spans="2:16" x14ac:dyDescent="0.25">
      <c r="B3226" s="23"/>
      <c r="E3226" s="23"/>
      <c r="G3226" s="23"/>
      <c r="H3226" s="23"/>
      <c r="J3226" s="23"/>
      <c r="K3226" s="23"/>
      <c r="M3226" s="23"/>
      <c r="N3226" s="23"/>
      <c r="P3226" s="23"/>
    </row>
    <row r="3227" spans="2:16" x14ac:dyDescent="0.25">
      <c r="B3227" s="23"/>
      <c r="E3227" s="23"/>
      <c r="G3227" s="23"/>
      <c r="H3227" s="23"/>
      <c r="J3227" s="23"/>
      <c r="K3227" s="23"/>
      <c r="M3227" s="23"/>
      <c r="N3227" s="23"/>
      <c r="P3227" s="23"/>
    </row>
    <row r="3228" spans="2:16" x14ac:dyDescent="0.25">
      <c r="B3228" s="23"/>
      <c r="E3228" s="23"/>
      <c r="G3228" s="23"/>
      <c r="H3228" s="23"/>
      <c r="J3228" s="23"/>
      <c r="K3228" s="23"/>
      <c r="M3228" s="23"/>
      <c r="N3228" s="23"/>
      <c r="P3228" s="23"/>
    </row>
    <row r="3229" spans="2:16" x14ac:dyDescent="0.25">
      <c r="B3229" s="23"/>
      <c r="E3229" s="23"/>
      <c r="G3229" s="23"/>
      <c r="H3229" s="23"/>
      <c r="J3229" s="23"/>
      <c r="K3229" s="23"/>
      <c r="M3229" s="23"/>
      <c r="N3229" s="23"/>
      <c r="P3229" s="23"/>
    </row>
    <row r="3230" spans="2:16" x14ac:dyDescent="0.25">
      <c r="B3230" s="23"/>
      <c r="E3230" s="23"/>
      <c r="G3230" s="23"/>
      <c r="H3230" s="23"/>
      <c r="J3230" s="23"/>
      <c r="K3230" s="23"/>
      <c r="M3230" s="23"/>
      <c r="N3230" s="23"/>
      <c r="P3230" s="23"/>
    </row>
    <row r="3231" spans="2:16" x14ac:dyDescent="0.25">
      <c r="B3231" s="23"/>
      <c r="E3231" s="23"/>
      <c r="G3231" s="23"/>
      <c r="H3231" s="23"/>
      <c r="J3231" s="23"/>
      <c r="K3231" s="23"/>
      <c r="M3231" s="23"/>
      <c r="N3231" s="23"/>
      <c r="P3231" s="23"/>
    </row>
    <row r="3232" spans="2:16" x14ac:dyDescent="0.25">
      <c r="B3232" s="23"/>
      <c r="E3232" s="23"/>
      <c r="G3232" s="23"/>
      <c r="H3232" s="23"/>
      <c r="J3232" s="23"/>
      <c r="K3232" s="23"/>
      <c r="M3232" s="23"/>
      <c r="N3232" s="23"/>
      <c r="P3232" s="23"/>
    </row>
    <row r="3233" spans="2:16" x14ac:dyDescent="0.25">
      <c r="B3233" s="23"/>
      <c r="E3233" s="23"/>
      <c r="G3233" s="23"/>
      <c r="H3233" s="23"/>
      <c r="J3233" s="23"/>
      <c r="K3233" s="23"/>
      <c r="M3233" s="23"/>
      <c r="N3233" s="23"/>
      <c r="P3233" s="23"/>
    </row>
    <row r="3234" spans="2:16" x14ac:dyDescent="0.25">
      <c r="B3234" s="23"/>
      <c r="E3234" s="23"/>
      <c r="G3234" s="23"/>
      <c r="H3234" s="23"/>
      <c r="J3234" s="23"/>
      <c r="K3234" s="23"/>
      <c r="M3234" s="23"/>
      <c r="N3234" s="23"/>
      <c r="P3234" s="23"/>
    </row>
    <row r="3235" spans="2:16" x14ac:dyDescent="0.25">
      <c r="B3235" s="23"/>
      <c r="E3235" s="23"/>
      <c r="G3235" s="23"/>
      <c r="H3235" s="23"/>
      <c r="J3235" s="23"/>
      <c r="K3235" s="23"/>
      <c r="M3235" s="23"/>
      <c r="N3235" s="23"/>
      <c r="P3235" s="23"/>
    </row>
    <row r="3236" spans="2:16" x14ac:dyDescent="0.25">
      <c r="B3236" s="23"/>
      <c r="E3236" s="23"/>
      <c r="G3236" s="23"/>
      <c r="H3236" s="23"/>
      <c r="J3236" s="23"/>
      <c r="K3236" s="23"/>
      <c r="M3236" s="23"/>
      <c r="N3236" s="23"/>
      <c r="P3236" s="23"/>
    </row>
    <row r="3237" spans="2:16" x14ac:dyDescent="0.25">
      <c r="B3237" s="23"/>
      <c r="E3237" s="23"/>
      <c r="G3237" s="23"/>
      <c r="H3237" s="23"/>
      <c r="J3237" s="23"/>
      <c r="K3237" s="23"/>
      <c r="M3237" s="23"/>
      <c r="N3237" s="23"/>
      <c r="P3237" s="23"/>
    </row>
    <row r="3238" spans="2:16" x14ac:dyDescent="0.25">
      <c r="B3238" s="23"/>
      <c r="E3238" s="23"/>
      <c r="G3238" s="23"/>
      <c r="H3238" s="23"/>
      <c r="J3238" s="23"/>
      <c r="K3238" s="23"/>
      <c r="M3238" s="23"/>
      <c r="N3238" s="23"/>
      <c r="P3238" s="23"/>
    </row>
    <row r="3239" spans="2:16" x14ac:dyDescent="0.25">
      <c r="B3239" s="23"/>
      <c r="E3239" s="23"/>
      <c r="G3239" s="23"/>
      <c r="H3239" s="23"/>
      <c r="J3239" s="23"/>
      <c r="K3239" s="23"/>
      <c r="M3239" s="23"/>
      <c r="N3239" s="23"/>
      <c r="P3239" s="23"/>
    </row>
    <row r="3240" spans="2:16" x14ac:dyDescent="0.25">
      <c r="B3240" s="23"/>
      <c r="E3240" s="23"/>
      <c r="G3240" s="23"/>
      <c r="H3240" s="23"/>
      <c r="J3240" s="23"/>
      <c r="K3240" s="23"/>
      <c r="M3240" s="23"/>
      <c r="N3240" s="23"/>
      <c r="P3240" s="23"/>
    </row>
    <row r="3241" spans="2:16" x14ac:dyDescent="0.25">
      <c r="B3241" s="23"/>
      <c r="E3241" s="23"/>
      <c r="G3241" s="23"/>
      <c r="H3241" s="23"/>
      <c r="J3241" s="23"/>
      <c r="K3241" s="23"/>
      <c r="M3241" s="23"/>
      <c r="N3241" s="23"/>
      <c r="P3241" s="23"/>
    </row>
    <row r="3242" spans="2:16" x14ac:dyDescent="0.25">
      <c r="B3242" s="23"/>
      <c r="E3242" s="23"/>
      <c r="G3242" s="23"/>
      <c r="H3242" s="23"/>
      <c r="J3242" s="23"/>
      <c r="K3242" s="23"/>
      <c r="M3242" s="23"/>
      <c r="N3242" s="23"/>
      <c r="P3242" s="23"/>
    </row>
    <row r="3243" spans="2:16" x14ac:dyDescent="0.25">
      <c r="B3243" s="23"/>
      <c r="E3243" s="23"/>
      <c r="G3243" s="23"/>
      <c r="H3243" s="23"/>
      <c r="J3243" s="23"/>
      <c r="K3243" s="23"/>
      <c r="M3243" s="23"/>
      <c r="N3243" s="23"/>
      <c r="P3243" s="23"/>
    </row>
    <row r="3244" spans="2:16" x14ac:dyDescent="0.25">
      <c r="B3244" s="23"/>
      <c r="E3244" s="23"/>
      <c r="G3244" s="23"/>
      <c r="H3244" s="23"/>
      <c r="J3244" s="23"/>
      <c r="K3244" s="23"/>
      <c r="M3244" s="23"/>
      <c r="N3244" s="23"/>
      <c r="P3244" s="23"/>
    </row>
    <row r="3245" spans="2:16" x14ac:dyDescent="0.25">
      <c r="B3245" s="23"/>
      <c r="E3245" s="23"/>
      <c r="G3245" s="23"/>
      <c r="H3245" s="23"/>
      <c r="J3245" s="23"/>
      <c r="K3245" s="23"/>
      <c r="M3245" s="23"/>
      <c r="N3245" s="23"/>
      <c r="P3245" s="23"/>
    </row>
    <row r="3246" spans="2:16" x14ac:dyDescent="0.25">
      <c r="B3246" s="23"/>
      <c r="E3246" s="23"/>
      <c r="G3246" s="23"/>
      <c r="H3246" s="23"/>
      <c r="J3246" s="23"/>
      <c r="K3246" s="23"/>
      <c r="M3246" s="23"/>
      <c r="N3246" s="23"/>
      <c r="P3246" s="23"/>
    </row>
    <row r="3247" spans="2:16" x14ac:dyDescent="0.25">
      <c r="B3247" s="23"/>
      <c r="E3247" s="23"/>
      <c r="G3247" s="23"/>
      <c r="H3247" s="23"/>
      <c r="J3247" s="23"/>
      <c r="K3247" s="23"/>
      <c r="M3247" s="23"/>
      <c r="N3247" s="23"/>
      <c r="P3247" s="23"/>
    </row>
    <row r="3248" spans="2:16" x14ac:dyDescent="0.25">
      <c r="B3248" s="23"/>
      <c r="E3248" s="23"/>
      <c r="G3248" s="23"/>
      <c r="H3248" s="23"/>
      <c r="J3248" s="23"/>
      <c r="K3248" s="23"/>
      <c r="M3248" s="23"/>
      <c r="N3248" s="23"/>
      <c r="P3248" s="23"/>
    </row>
    <row r="3249" spans="2:16" x14ac:dyDescent="0.25">
      <c r="B3249" s="23"/>
      <c r="E3249" s="23"/>
      <c r="G3249" s="23"/>
      <c r="H3249" s="23"/>
      <c r="J3249" s="23"/>
      <c r="K3249" s="23"/>
      <c r="M3249" s="23"/>
      <c r="N3249" s="23"/>
      <c r="P3249" s="23"/>
    </row>
    <row r="3250" spans="2:16" x14ac:dyDescent="0.25">
      <c r="B3250" s="23"/>
      <c r="E3250" s="23"/>
      <c r="G3250" s="23"/>
      <c r="H3250" s="23"/>
      <c r="J3250" s="23"/>
      <c r="K3250" s="23"/>
      <c r="M3250" s="23"/>
      <c r="N3250" s="23"/>
      <c r="P3250" s="23"/>
    </row>
    <row r="3251" spans="2:16" x14ac:dyDescent="0.25">
      <c r="B3251" s="23"/>
      <c r="E3251" s="23"/>
      <c r="G3251" s="23"/>
      <c r="H3251" s="23"/>
      <c r="J3251" s="23"/>
      <c r="K3251" s="23"/>
      <c r="M3251" s="23"/>
      <c r="N3251" s="23"/>
      <c r="P3251" s="23"/>
    </row>
    <row r="3252" spans="2:16" x14ac:dyDescent="0.25">
      <c r="B3252" s="23"/>
      <c r="E3252" s="23"/>
      <c r="G3252" s="23"/>
      <c r="H3252" s="23"/>
      <c r="J3252" s="23"/>
      <c r="K3252" s="23"/>
      <c r="M3252" s="23"/>
      <c r="N3252" s="23"/>
      <c r="P3252" s="23"/>
    </row>
    <row r="3253" spans="2:16" x14ac:dyDescent="0.25">
      <c r="B3253" s="23"/>
      <c r="E3253" s="23"/>
      <c r="G3253" s="23"/>
      <c r="H3253" s="23"/>
      <c r="J3253" s="23"/>
      <c r="K3253" s="23"/>
      <c r="M3253" s="23"/>
      <c r="N3253" s="23"/>
      <c r="P3253" s="23"/>
    </row>
    <row r="3254" spans="2:16" x14ac:dyDescent="0.25">
      <c r="B3254" s="23"/>
      <c r="E3254" s="23"/>
      <c r="G3254" s="23"/>
      <c r="H3254" s="23"/>
      <c r="J3254" s="23"/>
      <c r="K3254" s="23"/>
      <c r="M3254" s="23"/>
      <c r="N3254" s="23"/>
      <c r="P3254" s="23"/>
    </row>
    <row r="3255" spans="2:16" x14ac:dyDescent="0.25">
      <c r="B3255" s="23"/>
      <c r="E3255" s="23"/>
      <c r="G3255" s="23"/>
      <c r="H3255" s="23"/>
      <c r="J3255" s="23"/>
      <c r="K3255" s="23"/>
      <c r="M3255" s="23"/>
      <c r="N3255" s="23"/>
      <c r="P3255" s="23"/>
    </row>
    <row r="3256" spans="2:16" x14ac:dyDescent="0.25">
      <c r="B3256" s="23"/>
      <c r="E3256" s="23"/>
      <c r="G3256" s="23"/>
      <c r="H3256" s="23"/>
      <c r="J3256" s="23"/>
      <c r="K3256" s="23"/>
      <c r="M3256" s="23"/>
      <c r="N3256" s="23"/>
      <c r="P3256" s="23"/>
    </row>
    <row r="3257" spans="2:16" x14ac:dyDescent="0.25">
      <c r="B3257" s="23"/>
      <c r="E3257" s="23"/>
      <c r="G3257" s="23"/>
      <c r="H3257" s="23"/>
      <c r="J3257" s="23"/>
      <c r="K3257" s="23"/>
      <c r="M3257" s="23"/>
      <c r="N3257" s="23"/>
      <c r="P3257" s="23"/>
    </row>
    <row r="3258" spans="2:16" x14ac:dyDescent="0.25">
      <c r="B3258" s="23"/>
      <c r="E3258" s="23"/>
      <c r="G3258" s="23"/>
      <c r="H3258" s="23"/>
      <c r="J3258" s="23"/>
      <c r="K3258" s="23"/>
      <c r="M3258" s="23"/>
      <c r="N3258" s="23"/>
      <c r="P3258" s="23"/>
    </row>
    <row r="3259" spans="2:16" x14ac:dyDescent="0.25">
      <c r="B3259" s="23"/>
      <c r="E3259" s="23"/>
      <c r="G3259" s="23"/>
      <c r="H3259" s="23"/>
      <c r="J3259" s="23"/>
      <c r="K3259" s="23"/>
      <c r="M3259" s="23"/>
      <c r="N3259" s="23"/>
      <c r="P3259" s="23"/>
    </row>
    <row r="3260" spans="2:16" x14ac:dyDescent="0.25">
      <c r="B3260" s="23"/>
      <c r="E3260" s="23"/>
      <c r="G3260" s="23"/>
      <c r="H3260" s="23"/>
      <c r="J3260" s="23"/>
      <c r="K3260" s="23"/>
      <c r="M3260" s="23"/>
      <c r="N3260" s="23"/>
      <c r="P3260" s="23"/>
    </row>
    <row r="3261" spans="2:16" x14ac:dyDescent="0.25">
      <c r="B3261" s="23"/>
      <c r="E3261" s="23"/>
      <c r="G3261" s="23"/>
      <c r="H3261" s="23"/>
      <c r="J3261" s="23"/>
      <c r="K3261" s="23"/>
      <c r="M3261" s="23"/>
      <c r="N3261" s="23"/>
      <c r="P3261" s="23"/>
    </row>
    <row r="3262" spans="2:16" x14ac:dyDescent="0.25">
      <c r="B3262" s="23"/>
      <c r="E3262" s="23"/>
      <c r="G3262" s="23"/>
      <c r="H3262" s="23"/>
      <c r="J3262" s="23"/>
      <c r="K3262" s="23"/>
      <c r="M3262" s="23"/>
      <c r="N3262" s="23"/>
      <c r="P3262" s="23"/>
    </row>
    <row r="3263" spans="2:16" x14ac:dyDescent="0.25">
      <c r="B3263" s="23"/>
      <c r="E3263" s="23"/>
      <c r="G3263" s="23"/>
      <c r="H3263" s="23"/>
      <c r="J3263" s="23"/>
      <c r="K3263" s="23"/>
      <c r="M3263" s="23"/>
      <c r="N3263" s="23"/>
      <c r="P3263" s="23"/>
    </row>
    <row r="3264" spans="2:16" x14ac:dyDescent="0.25">
      <c r="B3264" s="23"/>
      <c r="E3264" s="23"/>
      <c r="G3264" s="23"/>
      <c r="H3264" s="23"/>
      <c r="J3264" s="23"/>
      <c r="K3264" s="23"/>
      <c r="M3264" s="23"/>
      <c r="N3264" s="23"/>
      <c r="P3264" s="23"/>
    </row>
    <row r="3265" spans="2:16" x14ac:dyDescent="0.25">
      <c r="B3265" s="23"/>
      <c r="E3265" s="23"/>
      <c r="G3265" s="23"/>
      <c r="H3265" s="23"/>
      <c r="J3265" s="23"/>
      <c r="K3265" s="23"/>
      <c r="M3265" s="23"/>
      <c r="N3265" s="23"/>
      <c r="P3265" s="23"/>
    </row>
    <row r="3266" spans="2:16" x14ac:dyDescent="0.25">
      <c r="B3266" s="23"/>
      <c r="E3266" s="23"/>
      <c r="G3266" s="23"/>
      <c r="H3266" s="23"/>
      <c r="J3266" s="23"/>
      <c r="K3266" s="23"/>
      <c r="M3266" s="23"/>
      <c r="N3266" s="23"/>
      <c r="P3266" s="23"/>
    </row>
    <row r="3267" spans="2:16" x14ac:dyDescent="0.25">
      <c r="B3267" s="23"/>
      <c r="E3267" s="23"/>
      <c r="G3267" s="23"/>
      <c r="H3267" s="23"/>
      <c r="J3267" s="23"/>
      <c r="K3267" s="23"/>
      <c r="M3267" s="23"/>
      <c r="N3267" s="23"/>
      <c r="P3267" s="23"/>
    </row>
    <row r="3268" spans="2:16" x14ac:dyDescent="0.25">
      <c r="B3268" s="23"/>
      <c r="E3268" s="23"/>
      <c r="G3268" s="23"/>
      <c r="H3268" s="23"/>
      <c r="J3268" s="23"/>
      <c r="K3268" s="23"/>
      <c r="M3268" s="23"/>
      <c r="N3268" s="23"/>
      <c r="P3268" s="23"/>
    </row>
    <row r="3269" spans="2:16" x14ac:dyDescent="0.25">
      <c r="B3269" s="23"/>
      <c r="E3269" s="23"/>
      <c r="G3269" s="23"/>
      <c r="H3269" s="23"/>
      <c r="J3269" s="23"/>
      <c r="K3269" s="23"/>
      <c r="M3269" s="23"/>
      <c r="N3269" s="23"/>
      <c r="P3269" s="23"/>
    </row>
    <row r="3270" spans="2:16" x14ac:dyDescent="0.25">
      <c r="B3270" s="23"/>
      <c r="E3270" s="23"/>
      <c r="G3270" s="23"/>
      <c r="H3270" s="23"/>
      <c r="J3270" s="23"/>
      <c r="K3270" s="23"/>
      <c r="M3270" s="23"/>
      <c r="N3270" s="23"/>
      <c r="P3270" s="23"/>
    </row>
    <row r="3271" spans="2:16" x14ac:dyDescent="0.25">
      <c r="B3271" s="23"/>
      <c r="E3271" s="23"/>
      <c r="G3271" s="23"/>
      <c r="H3271" s="23"/>
      <c r="J3271" s="23"/>
      <c r="K3271" s="23"/>
      <c r="M3271" s="23"/>
      <c r="N3271" s="23"/>
      <c r="P3271" s="23"/>
    </row>
    <row r="3272" spans="2:16" x14ac:dyDescent="0.25">
      <c r="B3272" s="23"/>
      <c r="E3272" s="23"/>
      <c r="G3272" s="23"/>
      <c r="H3272" s="23"/>
      <c r="J3272" s="23"/>
      <c r="K3272" s="23"/>
      <c r="M3272" s="23"/>
      <c r="N3272" s="23"/>
      <c r="P3272" s="23"/>
    </row>
    <row r="3273" spans="2:16" x14ac:dyDescent="0.25">
      <c r="B3273" s="23"/>
      <c r="E3273" s="23"/>
      <c r="G3273" s="23"/>
      <c r="H3273" s="23"/>
      <c r="J3273" s="23"/>
      <c r="K3273" s="23"/>
      <c r="M3273" s="23"/>
      <c r="N3273" s="23"/>
      <c r="P3273" s="23"/>
    </row>
    <row r="3274" spans="2:16" x14ac:dyDescent="0.25">
      <c r="B3274" s="23"/>
      <c r="E3274" s="23"/>
      <c r="G3274" s="23"/>
      <c r="H3274" s="23"/>
      <c r="J3274" s="23"/>
      <c r="K3274" s="23"/>
      <c r="M3274" s="23"/>
      <c r="N3274" s="23"/>
      <c r="P3274" s="23"/>
    </row>
    <row r="3275" spans="2:16" x14ac:dyDescent="0.25">
      <c r="B3275" s="23"/>
      <c r="E3275" s="23"/>
      <c r="G3275" s="23"/>
      <c r="H3275" s="23"/>
      <c r="J3275" s="23"/>
      <c r="K3275" s="23"/>
      <c r="M3275" s="23"/>
      <c r="N3275" s="23"/>
      <c r="P3275" s="23"/>
    </row>
    <row r="3276" spans="2:16" x14ac:dyDescent="0.25">
      <c r="B3276" s="23"/>
      <c r="E3276" s="23"/>
      <c r="G3276" s="23"/>
      <c r="H3276" s="23"/>
      <c r="J3276" s="23"/>
      <c r="K3276" s="23"/>
      <c r="M3276" s="23"/>
      <c r="N3276" s="23"/>
      <c r="P3276" s="23"/>
    </row>
    <row r="3277" spans="2:16" x14ac:dyDescent="0.25">
      <c r="B3277" s="23"/>
      <c r="E3277" s="23"/>
      <c r="G3277" s="23"/>
      <c r="H3277" s="23"/>
      <c r="J3277" s="23"/>
      <c r="K3277" s="23"/>
      <c r="M3277" s="23"/>
      <c r="N3277" s="23"/>
      <c r="P3277" s="23"/>
    </row>
    <row r="3278" spans="2:16" x14ac:dyDescent="0.25">
      <c r="B3278" s="23"/>
      <c r="E3278" s="23"/>
      <c r="G3278" s="23"/>
      <c r="H3278" s="23"/>
      <c r="J3278" s="23"/>
      <c r="K3278" s="23"/>
      <c r="M3278" s="23"/>
      <c r="N3278" s="23"/>
      <c r="P3278" s="23"/>
    </row>
    <row r="3279" spans="2:16" x14ac:dyDescent="0.25">
      <c r="B3279" s="23"/>
      <c r="E3279" s="23"/>
      <c r="G3279" s="23"/>
      <c r="H3279" s="23"/>
      <c r="J3279" s="23"/>
      <c r="K3279" s="23"/>
      <c r="M3279" s="23"/>
      <c r="N3279" s="23"/>
      <c r="P3279" s="23"/>
    </row>
    <row r="3280" spans="2:16" x14ac:dyDescent="0.25">
      <c r="B3280" s="23"/>
      <c r="E3280" s="23"/>
      <c r="G3280" s="23"/>
      <c r="H3280" s="23"/>
      <c r="J3280" s="23"/>
      <c r="K3280" s="23"/>
      <c r="M3280" s="23"/>
      <c r="N3280" s="23"/>
      <c r="P3280" s="23"/>
    </row>
    <row r="3281" spans="2:16" x14ac:dyDescent="0.25">
      <c r="B3281" s="23"/>
      <c r="E3281" s="23"/>
      <c r="G3281" s="23"/>
      <c r="H3281" s="23"/>
      <c r="J3281" s="23"/>
      <c r="K3281" s="23"/>
      <c r="M3281" s="23"/>
      <c r="N3281" s="23"/>
      <c r="P3281" s="23"/>
    </row>
    <row r="3282" spans="2:16" x14ac:dyDescent="0.25">
      <c r="B3282" s="23"/>
      <c r="E3282" s="23"/>
      <c r="G3282" s="23"/>
      <c r="H3282" s="23"/>
      <c r="J3282" s="23"/>
      <c r="K3282" s="23"/>
      <c r="M3282" s="23"/>
      <c r="N3282" s="23"/>
      <c r="P3282" s="23"/>
    </row>
    <row r="3283" spans="2:16" x14ac:dyDescent="0.25">
      <c r="B3283" s="23"/>
      <c r="E3283" s="23"/>
      <c r="G3283" s="23"/>
      <c r="H3283" s="23"/>
      <c r="J3283" s="23"/>
      <c r="K3283" s="23"/>
      <c r="M3283" s="23"/>
      <c r="N3283" s="23"/>
      <c r="P3283" s="23"/>
    </row>
    <row r="3284" spans="2:16" x14ac:dyDescent="0.25">
      <c r="B3284" s="23"/>
      <c r="E3284" s="23"/>
      <c r="G3284" s="23"/>
      <c r="H3284" s="23"/>
      <c r="J3284" s="23"/>
      <c r="K3284" s="23"/>
      <c r="M3284" s="23"/>
      <c r="N3284" s="23"/>
      <c r="P3284" s="23"/>
    </row>
    <row r="3285" spans="2:16" x14ac:dyDescent="0.25">
      <c r="B3285" s="23"/>
      <c r="E3285" s="23"/>
      <c r="G3285" s="23"/>
      <c r="H3285" s="23"/>
      <c r="J3285" s="23"/>
      <c r="K3285" s="23"/>
      <c r="M3285" s="23"/>
      <c r="N3285" s="23"/>
      <c r="P3285" s="23"/>
    </row>
    <row r="3286" spans="2:16" x14ac:dyDescent="0.25">
      <c r="B3286" s="23"/>
      <c r="E3286" s="23"/>
      <c r="G3286" s="23"/>
      <c r="H3286" s="23"/>
      <c r="J3286" s="23"/>
      <c r="K3286" s="23"/>
      <c r="M3286" s="23"/>
      <c r="N3286" s="23"/>
      <c r="P3286" s="23"/>
    </row>
    <row r="3287" spans="2:16" x14ac:dyDescent="0.25">
      <c r="B3287" s="23"/>
      <c r="E3287" s="23"/>
      <c r="G3287" s="23"/>
      <c r="H3287" s="23"/>
      <c r="J3287" s="23"/>
      <c r="K3287" s="23"/>
      <c r="M3287" s="23"/>
      <c r="N3287" s="23"/>
      <c r="P3287" s="23"/>
    </row>
    <row r="3288" spans="2:16" x14ac:dyDescent="0.25">
      <c r="B3288" s="23"/>
      <c r="E3288" s="23"/>
      <c r="G3288" s="23"/>
      <c r="H3288" s="23"/>
      <c r="J3288" s="23"/>
      <c r="K3288" s="23"/>
      <c r="M3288" s="23"/>
      <c r="N3288" s="23"/>
      <c r="P3288" s="23"/>
    </row>
    <row r="3289" spans="2:16" x14ac:dyDescent="0.25">
      <c r="B3289" s="23"/>
      <c r="E3289" s="23"/>
      <c r="G3289" s="23"/>
      <c r="H3289" s="23"/>
      <c r="J3289" s="23"/>
      <c r="K3289" s="23"/>
      <c r="M3289" s="23"/>
      <c r="N3289" s="23"/>
      <c r="P3289" s="23"/>
    </row>
    <row r="3290" spans="2:16" x14ac:dyDescent="0.25">
      <c r="B3290" s="23"/>
      <c r="E3290" s="23"/>
      <c r="G3290" s="23"/>
      <c r="H3290" s="23"/>
      <c r="J3290" s="23"/>
      <c r="K3290" s="23"/>
      <c r="M3290" s="23"/>
      <c r="N3290" s="23"/>
      <c r="P3290" s="23"/>
    </row>
    <row r="3291" spans="2:16" x14ac:dyDescent="0.25">
      <c r="B3291" s="23"/>
      <c r="E3291" s="23"/>
      <c r="G3291" s="23"/>
      <c r="H3291" s="23"/>
      <c r="J3291" s="23"/>
      <c r="K3291" s="23"/>
      <c r="M3291" s="23"/>
      <c r="N3291" s="23"/>
      <c r="P3291" s="23"/>
    </row>
    <row r="3292" spans="2:16" x14ac:dyDescent="0.25">
      <c r="B3292" s="23"/>
      <c r="E3292" s="23"/>
      <c r="G3292" s="23"/>
      <c r="H3292" s="23"/>
      <c r="J3292" s="23"/>
      <c r="K3292" s="23"/>
      <c r="M3292" s="23"/>
      <c r="N3292" s="23"/>
      <c r="P3292" s="23"/>
    </row>
    <row r="3293" spans="2:16" x14ac:dyDescent="0.25">
      <c r="B3293" s="23"/>
      <c r="E3293" s="23"/>
      <c r="G3293" s="23"/>
      <c r="H3293" s="23"/>
      <c r="J3293" s="23"/>
      <c r="K3293" s="23"/>
      <c r="M3293" s="23"/>
      <c r="N3293" s="23"/>
      <c r="P3293" s="23"/>
    </row>
    <row r="3294" spans="2:16" x14ac:dyDescent="0.25">
      <c r="B3294" s="23"/>
      <c r="E3294" s="23"/>
      <c r="G3294" s="23"/>
      <c r="H3294" s="23"/>
      <c r="J3294" s="23"/>
      <c r="K3294" s="23"/>
      <c r="M3294" s="23"/>
      <c r="N3294" s="23"/>
      <c r="P3294" s="23"/>
    </row>
    <row r="3295" spans="2:16" x14ac:dyDescent="0.25">
      <c r="B3295" s="23"/>
      <c r="E3295" s="23"/>
      <c r="G3295" s="23"/>
      <c r="H3295" s="23"/>
      <c r="J3295" s="23"/>
      <c r="K3295" s="23"/>
      <c r="M3295" s="23"/>
      <c r="N3295" s="23"/>
      <c r="P3295" s="23"/>
    </row>
    <row r="3296" spans="2:16" x14ac:dyDescent="0.25">
      <c r="B3296" s="23"/>
      <c r="E3296" s="23"/>
      <c r="G3296" s="23"/>
      <c r="H3296" s="23"/>
      <c r="J3296" s="23"/>
      <c r="K3296" s="23"/>
      <c r="M3296" s="23"/>
      <c r="N3296" s="23"/>
      <c r="P3296" s="23"/>
    </row>
    <row r="3297" spans="2:16" x14ac:dyDescent="0.25">
      <c r="B3297" s="23"/>
      <c r="E3297" s="23"/>
      <c r="G3297" s="23"/>
      <c r="H3297" s="23"/>
      <c r="J3297" s="23"/>
      <c r="K3297" s="23"/>
      <c r="M3297" s="23"/>
      <c r="N3297" s="23"/>
      <c r="P3297" s="23"/>
    </row>
    <row r="3298" spans="2:16" x14ac:dyDescent="0.25">
      <c r="B3298" s="23"/>
      <c r="E3298" s="23"/>
      <c r="G3298" s="23"/>
      <c r="H3298" s="23"/>
      <c r="J3298" s="23"/>
      <c r="K3298" s="23"/>
      <c r="M3298" s="23"/>
      <c r="N3298" s="23"/>
      <c r="P3298" s="23"/>
    </row>
    <row r="3299" spans="2:16" x14ac:dyDescent="0.25">
      <c r="B3299" s="23"/>
      <c r="E3299" s="23"/>
      <c r="G3299" s="23"/>
      <c r="H3299" s="23"/>
      <c r="J3299" s="23"/>
      <c r="K3299" s="23"/>
      <c r="M3299" s="23"/>
      <c r="N3299" s="23"/>
      <c r="P3299" s="23"/>
    </row>
    <row r="3300" spans="2:16" x14ac:dyDescent="0.25">
      <c r="B3300" s="23"/>
      <c r="E3300" s="23"/>
      <c r="G3300" s="23"/>
      <c r="H3300" s="23"/>
      <c r="J3300" s="23"/>
      <c r="K3300" s="23"/>
      <c r="M3300" s="23"/>
      <c r="N3300" s="23"/>
      <c r="P3300" s="23"/>
    </row>
    <row r="3301" spans="2:16" x14ac:dyDescent="0.25">
      <c r="B3301" s="23"/>
      <c r="E3301" s="23"/>
      <c r="G3301" s="23"/>
      <c r="H3301" s="23"/>
      <c r="J3301" s="23"/>
      <c r="K3301" s="23"/>
      <c r="M3301" s="23"/>
      <c r="N3301" s="23"/>
      <c r="P3301" s="23"/>
    </row>
    <row r="3302" spans="2:16" x14ac:dyDescent="0.25">
      <c r="B3302" s="23"/>
      <c r="E3302" s="23"/>
      <c r="G3302" s="23"/>
      <c r="H3302" s="23"/>
      <c r="J3302" s="23"/>
      <c r="K3302" s="23"/>
      <c r="M3302" s="23"/>
      <c r="N3302" s="23"/>
      <c r="P3302" s="23"/>
    </row>
    <row r="3303" spans="2:16" x14ac:dyDescent="0.25">
      <c r="B3303" s="23"/>
      <c r="E3303" s="23"/>
      <c r="G3303" s="23"/>
      <c r="H3303" s="23"/>
      <c r="J3303" s="23"/>
      <c r="K3303" s="23"/>
      <c r="M3303" s="23"/>
      <c r="N3303" s="23"/>
      <c r="P3303" s="23"/>
    </row>
    <row r="3304" spans="2:16" x14ac:dyDescent="0.25">
      <c r="B3304" s="23"/>
      <c r="E3304" s="23"/>
      <c r="G3304" s="23"/>
      <c r="H3304" s="23"/>
      <c r="J3304" s="23"/>
      <c r="K3304" s="23"/>
      <c r="M3304" s="23"/>
      <c r="N3304" s="23"/>
      <c r="P3304" s="23"/>
    </row>
    <row r="3305" spans="2:16" x14ac:dyDescent="0.25">
      <c r="B3305" s="23"/>
      <c r="E3305" s="23"/>
      <c r="G3305" s="23"/>
      <c r="H3305" s="23"/>
      <c r="J3305" s="23"/>
      <c r="K3305" s="23"/>
      <c r="M3305" s="23"/>
      <c r="N3305" s="23"/>
      <c r="P3305" s="23"/>
    </row>
    <row r="3306" spans="2:16" x14ac:dyDescent="0.25">
      <c r="B3306" s="23"/>
      <c r="E3306" s="23"/>
      <c r="G3306" s="23"/>
      <c r="H3306" s="23"/>
      <c r="J3306" s="23"/>
      <c r="K3306" s="23"/>
      <c r="M3306" s="23"/>
      <c r="N3306" s="23"/>
      <c r="P3306" s="23"/>
    </row>
    <row r="3307" spans="2:16" x14ac:dyDescent="0.25">
      <c r="B3307" s="23"/>
      <c r="E3307" s="23"/>
      <c r="G3307" s="23"/>
      <c r="H3307" s="23"/>
      <c r="J3307" s="23"/>
      <c r="K3307" s="23"/>
      <c r="M3307" s="23"/>
      <c r="N3307" s="23"/>
      <c r="P3307" s="23"/>
    </row>
    <row r="3308" spans="2:16" x14ac:dyDescent="0.25">
      <c r="B3308" s="23"/>
      <c r="E3308" s="23"/>
      <c r="G3308" s="23"/>
      <c r="H3308" s="23"/>
      <c r="J3308" s="23"/>
      <c r="K3308" s="23"/>
      <c r="M3308" s="23"/>
      <c r="N3308" s="23"/>
      <c r="P3308" s="23"/>
    </row>
    <row r="3309" spans="2:16" x14ac:dyDescent="0.25">
      <c r="B3309" s="23"/>
      <c r="E3309" s="23"/>
      <c r="G3309" s="23"/>
      <c r="H3309" s="23"/>
      <c r="J3309" s="23"/>
      <c r="K3309" s="23"/>
      <c r="M3309" s="23"/>
      <c r="N3309" s="23"/>
      <c r="P3309" s="23"/>
    </row>
    <row r="3310" spans="2:16" x14ac:dyDescent="0.25">
      <c r="B3310" s="23"/>
      <c r="E3310" s="23"/>
      <c r="G3310" s="23"/>
      <c r="H3310" s="23"/>
      <c r="J3310" s="23"/>
      <c r="K3310" s="23"/>
      <c r="M3310" s="23"/>
      <c r="N3310" s="23"/>
      <c r="P3310" s="23"/>
    </row>
    <row r="3311" spans="2:16" x14ac:dyDescent="0.25">
      <c r="B3311" s="23"/>
      <c r="E3311" s="23"/>
      <c r="G3311" s="23"/>
      <c r="H3311" s="23"/>
      <c r="J3311" s="23"/>
      <c r="K3311" s="23"/>
      <c r="M3311" s="23"/>
      <c r="N3311" s="23"/>
      <c r="P3311" s="23"/>
    </row>
    <row r="3312" spans="2:16" x14ac:dyDescent="0.25">
      <c r="B3312" s="23"/>
      <c r="E3312" s="23"/>
      <c r="G3312" s="23"/>
      <c r="H3312" s="23"/>
      <c r="J3312" s="23"/>
      <c r="K3312" s="23"/>
      <c r="M3312" s="23"/>
      <c r="N3312" s="23"/>
      <c r="P3312" s="23"/>
    </row>
    <row r="3313" spans="2:16" x14ac:dyDescent="0.25">
      <c r="B3313" s="23"/>
      <c r="E3313" s="23"/>
      <c r="G3313" s="23"/>
      <c r="H3313" s="23"/>
      <c r="J3313" s="23"/>
      <c r="K3313" s="23"/>
      <c r="M3313" s="23"/>
      <c r="N3313" s="23"/>
      <c r="P3313" s="23"/>
    </row>
    <row r="3314" spans="2:16" x14ac:dyDescent="0.25">
      <c r="B3314" s="23"/>
      <c r="E3314" s="23"/>
      <c r="G3314" s="23"/>
      <c r="H3314" s="23"/>
      <c r="J3314" s="23"/>
      <c r="K3314" s="23"/>
      <c r="M3314" s="23"/>
      <c r="N3314" s="23"/>
      <c r="P3314" s="23"/>
    </row>
    <row r="3315" spans="2:16" x14ac:dyDescent="0.25">
      <c r="B3315" s="23"/>
      <c r="E3315" s="23"/>
      <c r="G3315" s="23"/>
      <c r="H3315" s="23"/>
      <c r="J3315" s="23"/>
      <c r="K3315" s="23"/>
      <c r="M3315" s="23"/>
      <c r="N3315" s="23"/>
      <c r="P3315" s="23"/>
    </row>
    <row r="3316" spans="2:16" x14ac:dyDescent="0.25">
      <c r="B3316" s="23"/>
      <c r="E3316" s="23"/>
      <c r="G3316" s="23"/>
      <c r="H3316" s="23"/>
      <c r="J3316" s="23"/>
      <c r="K3316" s="23"/>
      <c r="M3316" s="23"/>
      <c r="N3316" s="23"/>
      <c r="P3316" s="23"/>
    </row>
    <row r="3317" spans="2:16" x14ac:dyDescent="0.25">
      <c r="B3317" s="23"/>
      <c r="E3317" s="23"/>
      <c r="G3317" s="23"/>
      <c r="H3317" s="23"/>
      <c r="J3317" s="23"/>
      <c r="K3317" s="23"/>
      <c r="M3317" s="23"/>
      <c r="N3317" s="23"/>
      <c r="P3317" s="23"/>
    </row>
    <row r="3318" spans="2:16" x14ac:dyDescent="0.25">
      <c r="B3318" s="23"/>
      <c r="E3318" s="23"/>
      <c r="G3318" s="23"/>
      <c r="H3318" s="23"/>
      <c r="J3318" s="23"/>
      <c r="K3318" s="23"/>
      <c r="M3318" s="23"/>
      <c r="N3318" s="23"/>
      <c r="P3318" s="23"/>
    </row>
    <row r="3319" spans="2:16" x14ac:dyDescent="0.25">
      <c r="B3319" s="23"/>
      <c r="E3319" s="23"/>
      <c r="G3319" s="23"/>
      <c r="H3319" s="23"/>
      <c r="J3319" s="23"/>
      <c r="K3319" s="23"/>
      <c r="M3319" s="23"/>
      <c r="N3319" s="23"/>
      <c r="P3319" s="23"/>
    </row>
    <row r="3320" spans="2:16" x14ac:dyDescent="0.25">
      <c r="B3320" s="23"/>
      <c r="E3320" s="23"/>
      <c r="G3320" s="23"/>
      <c r="H3320" s="23"/>
      <c r="J3320" s="23"/>
      <c r="K3320" s="23"/>
      <c r="M3320" s="23"/>
      <c r="N3320" s="23"/>
      <c r="P3320" s="23"/>
    </row>
    <row r="3321" spans="2:16" x14ac:dyDescent="0.25">
      <c r="B3321" s="23"/>
      <c r="E3321" s="23"/>
      <c r="G3321" s="23"/>
      <c r="H3321" s="23"/>
      <c r="J3321" s="23"/>
      <c r="K3321" s="23"/>
      <c r="M3321" s="23"/>
      <c r="N3321" s="23"/>
      <c r="P3321" s="23"/>
    </row>
    <row r="3322" spans="2:16" x14ac:dyDescent="0.25">
      <c r="B3322" s="23"/>
      <c r="E3322" s="23"/>
      <c r="G3322" s="23"/>
      <c r="H3322" s="23"/>
      <c r="J3322" s="23"/>
      <c r="K3322" s="23"/>
      <c r="M3322" s="23"/>
      <c r="N3322" s="23"/>
      <c r="P3322" s="23"/>
    </row>
    <row r="3323" spans="2:16" x14ac:dyDescent="0.25">
      <c r="B3323" s="23"/>
      <c r="E3323" s="23"/>
      <c r="G3323" s="23"/>
      <c r="H3323" s="23"/>
      <c r="J3323" s="23"/>
      <c r="K3323" s="23"/>
      <c r="M3323" s="23"/>
      <c r="N3323" s="23"/>
      <c r="P3323" s="23"/>
    </row>
    <row r="3324" spans="2:16" x14ac:dyDescent="0.25">
      <c r="B3324" s="23"/>
      <c r="E3324" s="23"/>
      <c r="G3324" s="23"/>
      <c r="H3324" s="23"/>
      <c r="J3324" s="23"/>
      <c r="K3324" s="23"/>
      <c r="M3324" s="23"/>
      <c r="N3324" s="23"/>
      <c r="P3324" s="23"/>
    </row>
    <row r="3325" spans="2:16" x14ac:dyDescent="0.25">
      <c r="B3325" s="23"/>
      <c r="E3325" s="23"/>
      <c r="G3325" s="23"/>
      <c r="H3325" s="23"/>
      <c r="J3325" s="23"/>
      <c r="K3325" s="23"/>
      <c r="M3325" s="23"/>
      <c r="N3325" s="23"/>
      <c r="P3325" s="23"/>
    </row>
    <row r="3326" spans="2:16" x14ac:dyDescent="0.25">
      <c r="B3326" s="23"/>
      <c r="E3326" s="23"/>
      <c r="G3326" s="23"/>
      <c r="H3326" s="23"/>
      <c r="J3326" s="23"/>
      <c r="K3326" s="23"/>
      <c r="M3326" s="23"/>
      <c r="N3326" s="23"/>
      <c r="P3326" s="23"/>
    </row>
    <row r="3327" spans="2:16" x14ac:dyDescent="0.25">
      <c r="B3327" s="23"/>
      <c r="E3327" s="23"/>
      <c r="G3327" s="23"/>
      <c r="H3327" s="23"/>
      <c r="J3327" s="23"/>
      <c r="K3327" s="23"/>
      <c r="M3327" s="23"/>
      <c r="N3327" s="23"/>
      <c r="P3327" s="23"/>
    </row>
    <row r="3328" spans="2:16" x14ac:dyDescent="0.25">
      <c r="B3328" s="23"/>
      <c r="E3328" s="23"/>
      <c r="G3328" s="23"/>
      <c r="H3328" s="23"/>
      <c r="J3328" s="23"/>
      <c r="K3328" s="23"/>
      <c r="M3328" s="23"/>
      <c r="N3328" s="23"/>
      <c r="P3328" s="23"/>
    </row>
    <row r="3329" spans="2:16" x14ac:dyDescent="0.25">
      <c r="B3329" s="23"/>
      <c r="E3329" s="23"/>
      <c r="G3329" s="23"/>
      <c r="H3329" s="23"/>
      <c r="J3329" s="23"/>
      <c r="K3329" s="23"/>
      <c r="M3329" s="23"/>
      <c r="N3329" s="23"/>
      <c r="P3329" s="23"/>
    </row>
    <row r="3330" spans="2:16" x14ac:dyDescent="0.25">
      <c r="B3330" s="23"/>
      <c r="E3330" s="23"/>
      <c r="G3330" s="23"/>
      <c r="H3330" s="23"/>
      <c r="J3330" s="23"/>
      <c r="K3330" s="23"/>
      <c r="M3330" s="23"/>
      <c r="N3330" s="23"/>
      <c r="P3330" s="23"/>
    </row>
    <row r="3331" spans="2:16" x14ac:dyDescent="0.25">
      <c r="B3331" s="23"/>
      <c r="E3331" s="23"/>
      <c r="G3331" s="23"/>
      <c r="H3331" s="23"/>
      <c r="J3331" s="23"/>
      <c r="K3331" s="23"/>
      <c r="M3331" s="23"/>
      <c r="N3331" s="23"/>
      <c r="P3331" s="23"/>
    </row>
    <row r="3332" spans="2:16" x14ac:dyDescent="0.25">
      <c r="B3332" s="23"/>
      <c r="E3332" s="23"/>
      <c r="G3332" s="23"/>
      <c r="H3332" s="23"/>
      <c r="J3332" s="23"/>
      <c r="K3332" s="23"/>
      <c r="M3332" s="23"/>
      <c r="N3332" s="23"/>
      <c r="P3332" s="23"/>
    </row>
    <row r="3333" spans="2:16" x14ac:dyDescent="0.25">
      <c r="B3333" s="23"/>
      <c r="E3333" s="23"/>
      <c r="G3333" s="23"/>
      <c r="H3333" s="23"/>
      <c r="J3333" s="23"/>
      <c r="K3333" s="23"/>
      <c r="M3333" s="23"/>
      <c r="N3333" s="23"/>
      <c r="P3333" s="23"/>
    </row>
    <row r="3334" spans="2:16" x14ac:dyDescent="0.25">
      <c r="B3334" s="23"/>
      <c r="E3334" s="23"/>
      <c r="G3334" s="23"/>
      <c r="H3334" s="23"/>
      <c r="J3334" s="23"/>
      <c r="K3334" s="23"/>
      <c r="M3334" s="23"/>
      <c r="N3334" s="23"/>
      <c r="P3334" s="23"/>
    </row>
    <row r="3335" spans="2:16" x14ac:dyDescent="0.25">
      <c r="B3335" s="23"/>
      <c r="E3335" s="23"/>
      <c r="G3335" s="23"/>
      <c r="H3335" s="23"/>
      <c r="J3335" s="23"/>
      <c r="K3335" s="23"/>
      <c r="M3335" s="23"/>
      <c r="N3335" s="23"/>
      <c r="P3335" s="23"/>
    </row>
    <row r="3336" spans="2:16" x14ac:dyDescent="0.25">
      <c r="B3336" s="23"/>
      <c r="E3336" s="23"/>
      <c r="G3336" s="23"/>
      <c r="H3336" s="23"/>
      <c r="J3336" s="23"/>
      <c r="K3336" s="23"/>
      <c r="M3336" s="23"/>
      <c r="N3336" s="23"/>
      <c r="P3336" s="23"/>
    </row>
    <row r="3337" spans="2:16" x14ac:dyDescent="0.25">
      <c r="B3337" s="23"/>
      <c r="E3337" s="23"/>
      <c r="G3337" s="23"/>
      <c r="H3337" s="23"/>
      <c r="J3337" s="23"/>
      <c r="K3337" s="23"/>
      <c r="M3337" s="23"/>
      <c r="N3337" s="23"/>
      <c r="P3337" s="23"/>
    </row>
    <row r="3338" spans="2:16" x14ac:dyDescent="0.25">
      <c r="B3338" s="23"/>
      <c r="E3338" s="23"/>
      <c r="G3338" s="23"/>
      <c r="H3338" s="23"/>
      <c r="J3338" s="23"/>
      <c r="K3338" s="23"/>
      <c r="M3338" s="23"/>
      <c r="N3338" s="23"/>
      <c r="P3338" s="23"/>
    </row>
    <row r="3339" spans="2:16" x14ac:dyDescent="0.25">
      <c r="B3339" s="23"/>
      <c r="E3339" s="23"/>
      <c r="G3339" s="23"/>
      <c r="H3339" s="23"/>
      <c r="J3339" s="23"/>
      <c r="K3339" s="23"/>
      <c r="M3339" s="23"/>
      <c r="N3339" s="23"/>
      <c r="P3339" s="23"/>
    </row>
    <row r="3340" spans="2:16" x14ac:dyDescent="0.25">
      <c r="B3340" s="23"/>
      <c r="E3340" s="23"/>
      <c r="G3340" s="23"/>
      <c r="H3340" s="23"/>
      <c r="J3340" s="23"/>
      <c r="K3340" s="23"/>
      <c r="M3340" s="23"/>
      <c r="N3340" s="23"/>
      <c r="P3340" s="23"/>
    </row>
    <row r="3341" spans="2:16" x14ac:dyDescent="0.25">
      <c r="B3341" s="23"/>
      <c r="E3341" s="23"/>
      <c r="G3341" s="23"/>
      <c r="H3341" s="23"/>
      <c r="J3341" s="23"/>
      <c r="K3341" s="23"/>
      <c r="M3341" s="23"/>
      <c r="N3341" s="23"/>
      <c r="P3341" s="23"/>
    </row>
    <row r="3342" spans="2:16" x14ac:dyDescent="0.25">
      <c r="B3342" s="23"/>
      <c r="E3342" s="23"/>
      <c r="G3342" s="23"/>
      <c r="H3342" s="23"/>
      <c r="J3342" s="23"/>
      <c r="K3342" s="23"/>
      <c r="M3342" s="23"/>
      <c r="N3342" s="23"/>
      <c r="P3342" s="23"/>
    </row>
    <row r="3343" spans="2:16" x14ac:dyDescent="0.25">
      <c r="B3343" s="23"/>
      <c r="E3343" s="23"/>
      <c r="G3343" s="23"/>
      <c r="H3343" s="23"/>
      <c r="J3343" s="23"/>
      <c r="K3343" s="23"/>
      <c r="M3343" s="23"/>
      <c r="N3343" s="23"/>
      <c r="P3343" s="23"/>
    </row>
    <row r="3344" spans="2:16" x14ac:dyDescent="0.25">
      <c r="B3344" s="23"/>
      <c r="E3344" s="23"/>
      <c r="G3344" s="23"/>
      <c r="H3344" s="23"/>
      <c r="J3344" s="23"/>
      <c r="K3344" s="23"/>
      <c r="M3344" s="23"/>
      <c r="N3344" s="23"/>
      <c r="P3344" s="23"/>
    </row>
    <row r="3345" spans="2:16" x14ac:dyDescent="0.25">
      <c r="B3345" s="23"/>
      <c r="E3345" s="23"/>
      <c r="G3345" s="23"/>
      <c r="H3345" s="23"/>
      <c r="J3345" s="23"/>
      <c r="K3345" s="23"/>
      <c r="M3345" s="23"/>
      <c r="N3345" s="23"/>
      <c r="P3345" s="23"/>
    </row>
    <row r="3346" spans="2:16" x14ac:dyDescent="0.25">
      <c r="B3346" s="23"/>
      <c r="E3346" s="23"/>
      <c r="G3346" s="23"/>
      <c r="H3346" s="23"/>
      <c r="J3346" s="23"/>
      <c r="K3346" s="23"/>
      <c r="M3346" s="23"/>
      <c r="N3346" s="23"/>
      <c r="P3346" s="23"/>
    </row>
    <row r="3347" spans="2:16" x14ac:dyDescent="0.25">
      <c r="B3347" s="23"/>
      <c r="E3347" s="23"/>
      <c r="G3347" s="23"/>
      <c r="H3347" s="23"/>
      <c r="J3347" s="23"/>
      <c r="K3347" s="23"/>
      <c r="M3347" s="23"/>
      <c r="N3347" s="23"/>
      <c r="P3347" s="23"/>
    </row>
    <row r="3348" spans="2:16" x14ac:dyDescent="0.25">
      <c r="B3348" s="23"/>
      <c r="E3348" s="23"/>
      <c r="G3348" s="23"/>
      <c r="H3348" s="23"/>
      <c r="J3348" s="23"/>
      <c r="K3348" s="23"/>
      <c r="M3348" s="23"/>
      <c r="N3348" s="23"/>
      <c r="P3348" s="23"/>
    </row>
    <row r="3349" spans="2:16" x14ac:dyDescent="0.25">
      <c r="B3349" s="23"/>
      <c r="E3349" s="23"/>
      <c r="G3349" s="23"/>
      <c r="H3349" s="23"/>
      <c r="J3349" s="23"/>
      <c r="K3349" s="23"/>
      <c r="M3349" s="23"/>
      <c r="N3349" s="23"/>
      <c r="P3349" s="23"/>
    </row>
    <row r="3350" spans="2:16" x14ac:dyDescent="0.25">
      <c r="B3350" s="23"/>
      <c r="E3350" s="23"/>
      <c r="G3350" s="23"/>
      <c r="H3350" s="23"/>
      <c r="J3350" s="23"/>
      <c r="K3350" s="23"/>
      <c r="M3350" s="23"/>
      <c r="N3350" s="23"/>
      <c r="P3350" s="23"/>
    </row>
    <row r="3351" spans="2:16" x14ac:dyDescent="0.25">
      <c r="B3351" s="23"/>
      <c r="E3351" s="23"/>
      <c r="G3351" s="23"/>
      <c r="H3351" s="23"/>
      <c r="J3351" s="23"/>
      <c r="K3351" s="23"/>
      <c r="M3351" s="23"/>
      <c r="N3351" s="23"/>
      <c r="P3351" s="23"/>
    </row>
    <row r="3352" spans="2:16" x14ac:dyDescent="0.25">
      <c r="B3352" s="23"/>
      <c r="E3352" s="23"/>
      <c r="G3352" s="23"/>
      <c r="H3352" s="23"/>
      <c r="J3352" s="23"/>
      <c r="K3352" s="23"/>
      <c r="M3352" s="23"/>
      <c r="N3352" s="23"/>
      <c r="P3352" s="23"/>
    </row>
    <row r="3353" spans="2:16" x14ac:dyDescent="0.25">
      <c r="B3353" s="23"/>
      <c r="E3353" s="23"/>
      <c r="G3353" s="23"/>
      <c r="H3353" s="23"/>
      <c r="J3353" s="23"/>
      <c r="K3353" s="23"/>
      <c r="M3353" s="23"/>
      <c r="N3353" s="23"/>
      <c r="P3353" s="23"/>
    </row>
    <row r="3354" spans="2:16" x14ac:dyDescent="0.25">
      <c r="B3354" s="23"/>
      <c r="E3354" s="23"/>
      <c r="G3354" s="23"/>
      <c r="H3354" s="23"/>
      <c r="J3354" s="23"/>
      <c r="K3354" s="23"/>
      <c r="M3354" s="23"/>
      <c r="N3354" s="23"/>
      <c r="P3354" s="23"/>
    </row>
    <row r="3355" spans="2:16" x14ac:dyDescent="0.25">
      <c r="B3355" s="23"/>
      <c r="E3355" s="23"/>
      <c r="G3355" s="23"/>
      <c r="H3355" s="23"/>
      <c r="J3355" s="23"/>
      <c r="K3355" s="23"/>
      <c r="M3355" s="23"/>
      <c r="N3355" s="23"/>
      <c r="P3355" s="23"/>
    </row>
    <row r="3356" spans="2:16" x14ac:dyDescent="0.25">
      <c r="B3356" s="23"/>
      <c r="E3356" s="23"/>
      <c r="G3356" s="23"/>
      <c r="H3356" s="23"/>
      <c r="J3356" s="23"/>
      <c r="K3356" s="23"/>
      <c r="M3356" s="23"/>
      <c r="N3356" s="23"/>
      <c r="P3356" s="23"/>
    </row>
    <row r="3357" spans="2:16" x14ac:dyDescent="0.25">
      <c r="B3357" s="23"/>
      <c r="E3357" s="23"/>
      <c r="G3357" s="23"/>
      <c r="H3357" s="23"/>
      <c r="J3357" s="23"/>
      <c r="K3357" s="23"/>
      <c r="M3357" s="23"/>
      <c r="N3357" s="23"/>
      <c r="P3357" s="23"/>
    </row>
    <row r="3358" spans="2:16" x14ac:dyDescent="0.25">
      <c r="B3358" s="23"/>
      <c r="E3358" s="23"/>
      <c r="G3358" s="23"/>
      <c r="H3358" s="23"/>
      <c r="J3358" s="23"/>
      <c r="K3358" s="23"/>
      <c r="M3358" s="23"/>
      <c r="N3358" s="23"/>
      <c r="P3358" s="23"/>
    </row>
    <row r="3359" spans="2:16" x14ac:dyDescent="0.25">
      <c r="B3359" s="23"/>
      <c r="E3359" s="23"/>
      <c r="G3359" s="23"/>
      <c r="H3359" s="23"/>
      <c r="J3359" s="23"/>
      <c r="K3359" s="23"/>
      <c r="M3359" s="23"/>
      <c r="N3359" s="23"/>
      <c r="P3359" s="23"/>
    </row>
    <row r="3360" spans="2:16" x14ac:dyDescent="0.25">
      <c r="B3360" s="23"/>
      <c r="E3360" s="23"/>
      <c r="G3360" s="23"/>
      <c r="H3360" s="23"/>
      <c r="J3360" s="23"/>
      <c r="K3360" s="23"/>
      <c r="M3360" s="23"/>
      <c r="N3360" s="23"/>
      <c r="P3360" s="23"/>
    </row>
    <row r="3361" spans="2:16" x14ac:dyDescent="0.25">
      <c r="B3361" s="23"/>
      <c r="E3361" s="23"/>
      <c r="G3361" s="23"/>
      <c r="H3361" s="23"/>
      <c r="J3361" s="23"/>
      <c r="K3361" s="23"/>
      <c r="M3361" s="23"/>
      <c r="N3361" s="23"/>
      <c r="P3361" s="23"/>
    </row>
    <row r="3362" spans="2:16" x14ac:dyDescent="0.25">
      <c r="B3362" s="23"/>
      <c r="E3362" s="23"/>
      <c r="G3362" s="23"/>
      <c r="H3362" s="23"/>
      <c r="J3362" s="23"/>
      <c r="K3362" s="23"/>
      <c r="M3362" s="23"/>
      <c r="N3362" s="23"/>
      <c r="P3362" s="23"/>
    </row>
    <row r="3363" spans="2:16" x14ac:dyDescent="0.25">
      <c r="B3363" s="23"/>
      <c r="E3363" s="23"/>
      <c r="G3363" s="23"/>
      <c r="H3363" s="23"/>
      <c r="J3363" s="23"/>
      <c r="K3363" s="23"/>
      <c r="M3363" s="23"/>
      <c r="N3363" s="23"/>
      <c r="P3363" s="23"/>
    </row>
    <row r="3364" spans="2:16" x14ac:dyDescent="0.25">
      <c r="B3364" s="23"/>
      <c r="E3364" s="23"/>
      <c r="G3364" s="23"/>
      <c r="H3364" s="23"/>
      <c r="J3364" s="23"/>
      <c r="K3364" s="23"/>
      <c r="M3364" s="23"/>
      <c r="N3364" s="23"/>
      <c r="P3364" s="23"/>
    </row>
    <row r="3365" spans="2:16" x14ac:dyDescent="0.25">
      <c r="B3365" s="23"/>
      <c r="E3365" s="23"/>
      <c r="G3365" s="23"/>
      <c r="H3365" s="23"/>
      <c r="J3365" s="23"/>
      <c r="K3365" s="23"/>
      <c r="M3365" s="23"/>
      <c r="N3365" s="23"/>
      <c r="P3365" s="23"/>
    </row>
    <row r="3366" spans="2:16" x14ac:dyDescent="0.25">
      <c r="B3366" s="23"/>
      <c r="E3366" s="23"/>
      <c r="G3366" s="23"/>
      <c r="H3366" s="23"/>
      <c r="J3366" s="23"/>
      <c r="K3366" s="23"/>
      <c r="M3366" s="23"/>
      <c r="N3366" s="23"/>
      <c r="P3366" s="23"/>
    </row>
    <row r="3367" spans="2:16" x14ac:dyDescent="0.25">
      <c r="B3367" s="23"/>
      <c r="E3367" s="23"/>
      <c r="G3367" s="23"/>
      <c r="H3367" s="23"/>
      <c r="J3367" s="23"/>
      <c r="K3367" s="23"/>
      <c r="M3367" s="23"/>
      <c r="N3367" s="23"/>
      <c r="P3367" s="23"/>
    </row>
    <row r="3368" spans="2:16" x14ac:dyDescent="0.25">
      <c r="B3368" s="23"/>
      <c r="E3368" s="23"/>
      <c r="G3368" s="23"/>
      <c r="H3368" s="23"/>
      <c r="J3368" s="23"/>
      <c r="K3368" s="23"/>
      <c r="M3368" s="23"/>
      <c r="N3368" s="23"/>
      <c r="P3368" s="23"/>
    </row>
    <row r="3369" spans="2:16" x14ac:dyDescent="0.25">
      <c r="B3369" s="23"/>
      <c r="E3369" s="23"/>
      <c r="G3369" s="23"/>
      <c r="H3369" s="23"/>
      <c r="J3369" s="23"/>
      <c r="K3369" s="23"/>
      <c r="M3369" s="23"/>
      <c r="N3369" s="23"/>
      <c r="P3369" s="23"/>
    </row>
    <row r="3370" spans="2:16" x14ac:dyDescent="0.25">
      <c r="B3370" s="23"/>
      <c r="E3370" s="23"/>
      <c r="G3370" s="23"/>
      <c r="H3370" s="23"/>
      <c r="J3370" s="23"/>
      <c r="K3370" s="23"/>
      <c r="M3370" s="23"/>
      <c r="N3370" s="23"/>
      <c r="P3370" s="23"/>
    </row>
    <row r="3371" spans="2:16" x14ac:dyDescent="0.25">
      <c r="B3371" s="23"/>
      <c r="E3371" s="23"/>
      <c r="G3371" s="23"/>
      <c r="H3371" s="23"/>
      <c r="J3371" s="23"/>
      <c r="K3371" s="23"/>
      <c r="M3371" s="23"/>
      <c r="N3371" s="23"/>
      <c r="P3371" s="23"/>
    </row>
    <row r="3372" spans="2:16" x14ac:dyDescent="0.25">
      <c r="B3372" s="23"/>
      <c r="E3372" s="23"/>
      <c r="G3372" s="23"/>
      <c r="H3372" s="23"/>
      <c r="J3372" s="23"/>
      <c r="K3372" s="23"/>
      <c r="M3372" s="23"/>
      <c r="N3372" s="23"/>
      <c r="P3372" s="23"/>
    </row>
    <row r="3373" spans="2:16" x14ac:dyDescent="0.25">
      <c r="B3373" s="23"/>
      <c r="E3373" s="23"/>
      <c r="G3373" s="23"/>
      <c r="H3373" s="23"/>
      <c r="J3373" s="23"/>
      <c r="K3373" s="23"/>
      <c r="M3373" s="23"/>
      <c r="N3373" s="23"/>
      <c r="P3373" s="23"/>
    </row>
    <row r="3374" spans="2:16" x14ac:dyDescent="0.25">
      <c r="B3374" s="23"/>
      <c r="E3374" s="23"/>
      <c r="G3374" s="23"/>
      <c r="H3374" s="23"/>
      <c r="J3374" s="23"/>
      <c r="K3374" s="23"/>
      <c r="M3374" s="23"/>
      <c r="N3374" s="23"/>
      <c r="P3374" s="23"/>
    </row>
    <row r="3375" spans="2:16" x14ac:dyDescent="0.25">
      <c r="B3375" s="23"/>
      <c r="E3375" s="23"/>
      <c r="G3375" s="23"/>
      <c r="H3375" s="23"/>
      <c r="J3375" s="23"/>
      <c r="K3375" s="23"/>
      <c r="M3375" s="23"/>
      <c r="N3375" s="23"/>
      <c r="P3375" s="23"/>
    </row>
    <row r="3376" spans="2:16" x14ac:dyDescent="0.25">
      <c r="B3376" s="23"/>
      <c r="E3376" s="23"/>
      <c r="G3376" s="23"/>
      <c r="H3376" s="23"/>
      <c r="J3376" s="23"/>
      <c r="K3376" s="23"/>
      <c r="M3376" s="23"/>
      <c r="N3376" s="23"/>
      <c r="P3376" s="23"/>
    </row>
    <row r="3377" spans="2:16" x14ac:dyDescent="0.25">
      <c r="B3377" s="23"/>
      <c r="E3377" s="23"/>
      <c r="G3377" s="23"/>
      <c r="H3377" s="23"/>
      <c r="J3377" s="23"/>
      <c r="K3377" s="23"/>
      <c r="M3377" s="23"/>
      <c r="N3377" s="23"/>
      <c r="P3377" s="23"/>
    </row>
    <row r="3378" spans="2:16" x14ac:dyDescent="0.25">
      <c r="B3378" s="23"/>
      <c r="E3378" s="23"/>
      <c r="G3378" s="23"/>
      <c r="H3378" s="23"/>
      <c r="J3378" s="23"/>
      <c r="K3378" s="23"/>
      <c r="M3378" s="23"/>
      <c r="N3378" s="23"/>
      <c r="P3378" s="23"/>
    </row>
    <row r="3379" spans="2:16" x14ac:dyDescent="0.25">
      <c r="B3379" s="23"/>
      <c r="E3379" s="23"/>
      <c r="G3379" s="23"/>
      <c r="H3379" s="23"/>
      <c r="J3379" s="23"/>
      <c r="K3379" s="23"/>
      <c r="M3379" s="23"/>
      <c r="N3379" s="23"/>
      <c r="P3379" s="23"/>
    </row>
    <row r="3380" spans="2:16" x14ac:dyDescent="0.25">
      <c r="B3380" s="23"/>
      <c r="E3380" s="23"/>
      <c r="G3380" s="23"/>
      <c r="H3380" s="23"/>
      <c r="J3380" s="23"/>
      <c r="K3380" s="23"/>
      <c r="M3380" s="23"/>
      <c r="N3380" s="23"/>
      <c r="P3380" s="23"/>
    </row>
    <row r="3381" spans="2:16" x14ac:dyDescent="0.25">
      <c r="B3381" s="23"/>
      <c r="E3381" s="23"/>
      <c r="G3381" s="23"/>
      <c r="H3381" s="23"/>
      <c r="J3381" s="23"/>
      <c r="K3381" s="23"/>
      <c r="M3381" s="23"/>
      <c r="N3381" s="23"/>
      <c r="P3381" s="23"/>
    </row>
    <row r="3382" spans="2:16" x14ac:dyDescent="0.25">
      <c r="B3382" s="23"/>
      <c r="E3382" s="23"/>
      <c r="G3382" s="23"/>
      <c r="H3382" s="23"/>
      <c r="J3382" s="23"/>
      <c r="K3382" s="23"/>
      <c r="M3382" s="23"/>
      <c r="N3382" s="23"/>
      <c r="P3382" s="23"/>
    </row>
    <row r="3383" spans="2:16" x14ac:dyDescent="0.25">
      <c r="B3383" s="23"/>
      <c r="E3383" s="23"/>
      <c r="G3383" s="23"/>
      <c r="H3383" s="23"/>
      <c r="J3383" s="23"/>
      <c r="K3383" s="23"/>
      <c r="M3383" s="23"/>
      <c r="N3383" s="23"/>
      <c r="P3383" s="23"/>
    </row>
    <row r="3384" spans="2:16" x14ac:dyDescent="0.25">
      <c r="B3384" s="23"/>
      <c r="E3384" s="23"/>
      <c r="G3384" s="23"/>
      <c r="H3384" s="23"/>
      <c r="J3384" s="23"/>
      <c r="K3384" s="23"/>
      <c r="M3384" s="23"/>
      <c r="N3384" s="23"/>
      <c r="P3384" s="23"/>
    </row>
    <row r="3385" spans="2:16" x14ac:dyDescent="0.25">
      <c r="B3385" s="23"/>
      <c r="E3385" s="23"/>
      <c r="G3385" s="23"/>
      <c r="H3385" s="23"/>
      <c r="J3385" s="23"/>
      <c r="K3385" s="23"/>
      <c r="M3385" s="23"/>
      <c r="N3385" s="23"/>
      <c r="P3385" s="23"/>
    </row>
    <row r="3386" spans="2:16" x14ac:dyDescent="0.25">
      <c r="B3386" s="23"/>
      <c r="E3386" s="23"/>
      <c r="G3386" s="23"/>
      <c r="H3386" s="23"/>
      <c r="J3386" s="23"/>
      <c r="K3386" s="23"/>
      <c r="M3386" s="23"/>
      <c r="N3386" s="23"/>
      <c r="P3386" s="23"/>
    </row>
    <row r="3387" spans="2:16" x14ac:dyDescent="0.25">
      <c r="B3387" s="23"/>
      <c r="E3387" s="23"/>
      <c r="G3387" s="23"/>
      <c r="H3387" s="23"/>
      <c r="J3387" s="23"/>
      <c r="K3387" s="23"/>
      <c r="M3387" s="23"/>
      <c r="N3387" s="23"/>
      <c r="P3387" s="23"/>
    </row>
    <row r="3388" spans="2:16" x14ac:dyDescent="0.25">
      <c r="B3388" s="23"/>
      <c r="E3388" s="23"/>
      <c r="G3388" s="23"/>
      <c r="H3388" s="23"/>
      <c r="J3388" s="23"/>
      <c r="K3388" s="23"/>
      <c r="M3388" s="23"/>
      <c r="N3388" s="23"/>
      <c r="P3388" s="23"/>
    </row>
    <row r="3389" spans="2:16" x14ac:dyDescent="0.25">
      <c r="B3389" s="23"/>
      <c r="E3389" s="23"/>
      <c r="G3389" s="23"/>
      <c r="H3389" s="23"/>
      <c r="J3389" s="23"/>
      <c r="K3389" s="23"/>
      <c r="M3389" s="23"/>
      <c r="N3389" s="23"/>
      <c r="P3389" s="23"/>
    </row>
    <row r="3390" spans="2:16" x14ac:dyDescent="0.25">
      <c r="B3390" s="23"/>
      <c r="E3390" s="23"/>
      <c r="G3390" s="23"/>
      <c r="H3390" s="23"/>
      <c r="J3390" s="23"/>
      <c r="K3390" s="23"/>
      <c r="M3390" s="23"/>
      <c r="N3390" s="23"/>
      <c r="P3390" s="23"/>
    </row>
    <row r="3391" spans="2:16" x14ac:dyDescent="0.25">
      <c r="B3391" s="23"/>
      <c r="E3391" s="23"/>
      <c r="G3391" s="23"/>
      <c r="H3391" s="23"/>
      <c r="J3391" s="23"/>
      <c r="K3391" s="23"/>
      <c r="M3391" s="23"/>
      <c r="N3391" s="23"/>
      <c r="P3391" s="23"/>
    </row>
    <row r="3392" spans="2:16" x14ac:dyDescent="0.25">
      <c r="B3392" s="23"/>
      <c r="E3392" s="23"/>
      <c r="G3392" s="23"/>
      <c r="H3392" s="23"/>
      <c r="J3392" s="23"/>
      <c r="K3392" s="23"/>
      <c r="M3392" s="23"/>
      <c r="N3392" s="23"/>
      <c r="P3392" s="23"/>
    </row>
    <row r="3393" spans="2:16" x14ac:dyDescent="0.25">
      <c r="B3393" s="23"/>
      <c r="E3393" s="23"/>
      <c r="G3393" s="23"/>
      <c r="H3393" s="23"/>
      <c r="J3393" s="23"/>
      <c r="K3393" s="23"/>
      <c r="M3393" s="23"/>
      <c r="N3393" s="23"/>
      <c r="P3393" s="23"/>
    </row>
    <row r="3394" spans="2:16" x14ac:dyDescent="0.25">
      <c r="B3394" s="23"/>
      <c r="E3394" s="23"/>
      <c r="G3394" s="23"/>
      <c r="H3394" s="23"/>
      <c r="J3394" s="23"/>
      <c r="K3394" s="23"/>
      <c r="M3394" s="23"/>
      <c r="N3394" s="23"/>
      <c r="P3394" s="23"/>
    </row>
    <row r="3395" spans="2:16" x14ac:dyDescent="0.25">
      <c r="B3395" s="23"/>
      <c r="E3395" s="23"/>
      <c r="G3395" s="23"/>
      <c r="H3395" s="23"/>
      <c r="J3395" s="23"/>
      <c r="K3395" s="23"/>
      <c r="M3395" s="23"/>
      <c r="N3395" s="23"/>
      <c r="P3395" s="23"/>
    </row>
    <row r="3396" spans="2:16" x14ac:dyDescent="0.25">
      <c r="B3396" s="23"/>
      <c r="E3396" s="23"/>
      <c r="G3396" s="23"/>
      <c r="H3396" s="23"/>
      <c r="J3396" s="23"/>
      <c r="K3396" s="23"/>
      <c r="M3396" s="23"/>
      <c r="N3396" s="23"/>
      <c r="P3396" s="23"/>
    </row>
    <row r="3397" spans="2:16" x14ac:dyDescent="0.25">
      <c r="B3397" s="23"/>
      <c r="E3397" s="23"/>
      <c r="G3397" s="23"/>
      <c r="H3397" s="23"/>
      <c r="J3397" s="23"/>
      <c r="K3397" s="23"/>
      <c r="M3397" s="23"/>
      <c r="N3397" s="23"/>
      <c r="P3397" s="23"/>
    </row>
    <row r="3398" spans="2:16" x14ac:dyDescent="0.25">
      <c r="B3398" s="23"/>
      <c r="E3398" s="23"/>
      <c r="G3398" s="23"/>
      <c r="H3398" s="23"/>
      <c r="J3398" s="23"/>
      <c r="K3398" s="23"/>
      <c r="M3398" s="23"/>
      <c r="N3398" s="23"/>
      <c r="P3398" s="23"/>
    </row>
    <row r="3399" spans="2:16" x14ac:dyDescent="0.25">
      <c r="B3399" s="23"/>
      <c r="E3399" s="23"/>
      <c r="G3399" s="23"/>
      <c r="H3399" s="23"/>
      <c r="J3399" s="23"/>
      <c r="K3399" s="23"/>
      <c r="M3399" s="23"/>
      <c r="N3399" s="23"/>
      <c r="P3399" s="23"/>
    </row>
    <row r="3400" spans="2:16" x14ac:dyDescent="0.25">
      <c r="B3400" s="23"/>
      <c r="E3400" s="23"/>
      <c r="G3400" s="23"/>
      <c r="H3400" s="23"/>
      <c r="J3400" s="23"/>
      <c r="K3400" s="23"/>
      <c r="M3400" s="23"/>
      <c r="N3400" s="23"/>
      <c r="P3400" s="23"/>
    </row>
    <row r="3401" spans="2:16" x14ac:dyDescent="0.25">
      <c r="B3401" s="23"/>
      <c r="E3401" s="23"/>
      <c r="G3401" s="23"/>
      <c r="H3401" s="23"/>
      <c r="J3401" s="23"/>
      <c r="K3401" s="23"/>
      <c r="M3401" s="23"/>
      <c r="N3401" s="23"/>
      <c r="P3401" s="23"/>
    </row>
    <row r="3402" spans="2:16" x14ac:dyDescent="0.25">
      <c r="B3402" s="23"/>
      <c r="E3402" s="23"/>
      <c r="G3402" s="23"/>
      <c r="H3402" s="23"/>
      <c r="J3402" s="23"/>
      <c r="K3402" s="23"/>
      <c r="M3402" s="23"/>
      <c r="N3402" s="23"/>
      <c r="P3402" s="23"/>
    </row>
    <row r="3403" spans="2:16" x14ac:dyDescent="0.25">
      <c r="B3403" s="23"/>
      <c r="E3403" s="23"/>
      <c r="G3403" s="23"/>
      <c r="H3403" s="23"/>
      <c r="J3403" s="23"/>
      <c r="K3403" s="23"/>
      <c r="M3403" s="23"/>
      <c r="N3403" s="23"/>
      <c r="P3403" s="23"/>
    </row>
    <row r="3404" spans="2:16" x14ac:dyDescent="0.25">
      <c r="B3404" s="23"/>
      <c r="E3404" s="23"/>
      <c r="G3404" s="23"/>
      <c r="H3404" s="23"/>
      <c r="J3404" s="23"/>
      <c r="K3404" s="23"/>
      <c r="M3404" s="23"/>
      <c r="N3404" s="23"/>
      <c r="P3404" s="23"/>
    </row>
    <row r="3405" spans="2:16" x14ac:dyDescent="0.25">
      <c r="B3405" s="23"/>
      <c r="E3405" s="23"/>
      <c r="G3405" s="23"/>
      <c r="H3405" s="23"/>
      <c r="J3405" s="23"/>
      <c r="K3405" s="23"/>
      <c r="M3405" s="23"/>
      <c r="N3405" s="23"/>
      <c r="P3405" s="23"/>
    </row>
    <row r="3406" spans="2:16" x14ac:dyDescent="0.25">
      <c r="B3406" s="23"/>
      <c r="E3406" s="23"/>
      <c r="G3406" s="23"/>
      <c r="H3406" s="23"/>
      <c r="J3406" s="23"/>
      <c r="K3406" s="23"/>
      <c r="M3406" s="23"/>
      <c r="N3406" s="23"/>
      <c r="P3406" s="23"/>
    </row>
    <row r="3407" spans="2:16" x14ac:dyDescent="0.25">
      <c r="B3407" s="23"/>
      <c r="E3407" s="23"/>
      <c r="G3407" s="23"/>
      <c r="H3407" s="23"/>
      <c r="J3407" s="23"/>
      <c r="K3407" s="23"/>
      <c r="M3407" s="23"/>
      <c r="N3407" s="23"/>
      <c r="P3407" s="23"/>
    </row>
    <row r="3408" spans="2:16" x14ac:dyDescent="0.25">
      <c r="B3408" s="23"/>
      <c r="E3408" s="23"/>
      <c r="G3408" s="23"/>
      <c r="H3408" s="23"/>
      <c r="J3408" s="23"/>
      <c r="K3408" s="23"/>
      <c r="M3408" s="23"/>
      <c r="N3408" s="23"/>
      <c r="P3408" s="23"/>
    </row>
    <row r="3409" spans="2:16" x14ac:dyDescent="0.25">
      <c r="B3409" s="23"/>
      <c r="E3409" s="23"/>
      <c r="G3409" s="23"/>
      <c r="H3409" s="23"/>
      <c r="J3409" s="23"/>
      <c r="K3409" s="23"/>
      <c r="M3409" s="23"/>
      <c r="N3409" s="23"/>
      <c r="P3409" s="23"/>
    </row>
    <row r="3410" spans="2:16" x14ac:dyDescent="0.25">
      <c r="B3410" s="23"/>
      <c r="E3410" s="23"/>
      <c r="G3410" s="23"/>
      <c r="H3410" s="23"/>
      <c r="J3410" s="23"/>
      <c r="K3410" s="23"/>
      <c r="M3410" s="23"/>
      <c r="N3410" s="23"/>
      <c r="P3410" s="23"/>
    </row>
    <row r="3411" spans="2:16" x14ac:dyDescent="0.25">
      <c r="B3411" s="23"/>
      <c r="E3411" s="23"/>
      <c r="G3411" s="23"/>
      <c r="H3411" s="23"/>
      <c r="J3411" s="23"/>
      <c r="K3411" s="23"/>
      <c r="M3411" s="23"/>
      <c r="N3411" s="23"/>
      <c r="P3411" s="23"/>
    </row>
    <row r="3412" spans="2:16" x14ac:dyDescent="0.25">
      <c r="B3412" s="23"/>
      <c r="E3412" s="23"/>
      <c r="G3412" s="23"/>
      <c r="H3412" s="23"/>
      <c r="J3412" s="23"/>
      <c r="K3412" s="23"/>
      <c r="M3412" s="23"/>
      <c r="N3412" s="23"/>
      <c r="P3412" s="23"/>
    </row>
    <row r="3413" spans="2:16" x14ac:dyDescent="0.25">
      <c r="B3413" s="23"/>
      <c r="E3413" s="23"/>
      <c r="G3413" s="23"/>
      <c r="H3413" s="23"/>
      <c r="J3413" s="23"/>
      <c r="K3413" s="23"/>
      <c r="M3413" s="23"/>
      <c r="N3413" s="23"/>
      <c r="P3413" s="23"/>
    </row>
    <row r="3414" spans="2:16" x14ac:dyDescent="0.25">
      <c r="B3414" s="23"/>
      <c r="E3414" s="23"/>
      <c r="G3414" s="23"/>
      <c r="H3414" s="23"/>
      <c r="J3414" s="23"/>
      <c r="K3414" s="23"/>
      <c r="M3414" s="23"/>
      <c r="N3414" s="23"/>
      <c r="P3414" s="23"/>
    </row>
    <row r="3415" spans="2:16" x14ac:dyDescent="0.25">
      <c r="B3415" s="23"/>
      <c r="E3415" s="23"/>
      <c r="G3415" s="23"/>
      <c r="H3415" s="23"/>
      <c r="J3415" s="23"/>
      <c r="K3415" s="23"/>
      <c r="M3415" s="23"/>
      <c r="N3415" s="23"/>
      <c r="P3415" s="23"/>
    </row>
    <row r="3416" spans="2:16" x14ac:dyDescent="0.25">
      <c r="B3416" s="23"/>
      <c r="E3416" s="23"/>
      <c r="G3416" s="23"/>
      <c r="H3416" s="23"/>
      <c r="J3416" s="23"/>
      <c r="K3416" s="23"/>
      <c r="M3416" s="23"/>
      <c r="N3416" s="23"/>
      <c r="P3416" s="23"/>
    </row>
    <row r="3417" spans="2:16" x14ac:dyDescent="0.25">
      <c r="B3417" s="23"/>
      <c r="E3417" s="23"/>
      <c r="G3417" s="23"/>
      <c r="H3417" s="23"/>
      <c r="J3417" s="23"/>
      <c r="K3417" s="23"/>
      <c r="M3417" s="23"/>
      <c r="N3417" s="23"/>
      <c r="P3417" s="23"/>
    </row>
    <row r="3418" spans="2:16" x14ac:dyDescent="0.25">
      <c r="B3418" s="23"/>
      <c r="E3418" s="23"/>
      <c r="G3418" s="23"/>
      <c r="H3418" s="23"/>
      <c r="J3418" s="23"/>
      <c r="K3418" s="23"/>
      <c r="M3418" s="23"/>
      <c r="N3418" s="23"/>
      <c r="P3418" s="23"/>
    </row>
    <row r="3419" spans="2:16" x14ac:dyDescent="0.25">
      <c r="B3419" s="23"/>
      <c r="E3419" s="23"/>
      <c r="G3419" s="23"/>
      <c r="H3419" s="23"/>
      <c r="J3419" s="23"/>
      <c r="K3419" s="23"/>
      <c r="M3419" s="23"/>
      <c r="N3419" s="23"/>
      <c r="P3419" s="23"/>
    </row>
    <row r="3420" spans="2:16" x14ac:dyDescent="0.25">
      <c r="B3420" s="23"/>
      <c r="E3420" s="23"/>
      <c r="G3420" s="23"/>
      <c r="H3420" s="23"/>
      <c r="J3420" s="23"/>
      <c r="K3420" s="23"/>
      <c r="M3420" s="23"/>
      <c r="N3420" s="23"/>
      <c r="P3420" s="23"/>
    </row>
    <row r="3421" spans="2:16" x14ac:dyDescent="0.25">
      <c r="B3421" s="23"/>
      <c r="E3421" s="23"/>
      <c r="G3421" s="23"/>
      <c r="H3421" s="23"/>
      <c r="J3421" s="23"/>
      <c r="K3421" s="23"/>
      <c r="M3421" s="23"/>
      <c r="N3421" s="23"/>
      <c r="P3421" s="23"/>
    </row>
    <row r="3422" spans="2:16" x14ac:dyDescent="0.25">
      <c r="B3422" s="23"/>
      <c r="E3422" s="23"/>
      <c r="G3422" s="23"/>
      <c r="H3422" s="23"/>
      <c r="J3422" s="23"/>
      <c r="K3422" s="23"/>
      <c r="M3422" s="23"/>
      <c r="N3422" s="23"/>
      <c r="P3422" s="23"/>
    </row>
    <row r="3423" spans="2:16" x14ac:dyDescent="0.25">
      <c r="B3423" s="23"/>
      <c r="E3423" s="23"/>
      <c r="G3423" s="23"/>
      <c r="H3423" s="23"/>
      <c r="J3423" s="23"/>
      <c r="K3423" s="23"/>
      <c r="M3423" s="23"/>
      <c r="N3423" s="23"/>
      <c r="P3423" s="23"/>
    </row>
    <row r="3424" spans="2:16" x14ac:dyDescent="0.25">
      <c r="B3424" s="23"/>
      <c r="E3424" s="23"/>
      <c r="G3424" s="23"/>
      <c r="H3424" s="23"/>
      <c r="J3424" s="23"/>
      <c r="K3424" s="23"/>
      <c r="M3424" s="23"/>
      <c r="N3424" s="23"/>
      <c r="P3424" s="23"/>
    </row>
    <row r="3425" spans="2:16" x14ac:dyDescent="0.25">
      <c r="B3425" s="23"/>
      <c r="E3425" s="23"/>
      <c r="G3425" s="23"/>
      <c r="H3425" s="23"/>
      <c r="J3425" s="23"/>
      <c r="K3425" s="23"/>
      <c r="M3425" s="23"/>
      <c r="N3425" s="23"/>
      <c r="P3425" s="23"/>
    </row>
    <row r="3426" spans="2:16" x14ac:dyDescent="0.25">
      <c r="B3426" s="23"/>
      <c r="E3426" s="23"/>
      <c r="G3426" s="23"/>
      <c r="H3426" s="23"/>
      <c r="J3426" s="23"/>
      <c r="K3426" s="23"/>
      <c r="M3426" s="23"/>
      <c r="N3426" s="23"/>
      <c r="P3426" s="23"/>
    </row>
    <row r="3427" spans="2:16" x14ac:dyDescent="0.25">
      <c r="B3427" s="23"/>
      <c r="E3427" s="23"/>
      <c r="G3427" s="23"/>
      <c r="H3427" s="23"/>
      <c r="J3427" s="23"/>
      <c r="K3427" s="23"/>
      <c r="M3427" s="23"/>
      <c r="N3427" s="23"/>
      <c r="P3427" s="23"/>
    </row>
    <row r="3428" spans="2:16" x14ac:dyDescent="0.25">
      <c r="B3428" s="23"/>
      <c r="E3428" s="23"/>
      <c r="G3428" s="23"/>
      <c r="H3428" s="23"/>
      <c r="J3428" s="23"/>
      <c r="K3428" s="23"/>
      <c r="M3428" s="23"/>
      <c r="N3428" s="23"/>
      <c r="P3428" s="23"/>
    </row>
    <row r="3429" spans="2:16" x14ac:dyDescent="0.25">
      <c r="B3429" s="23"/>
      <c r="E3429" s="23"/>
      <c r="G3429" s="23"/>
      <c r="H3429" s="23"/>
      <c r="J3429" s="23"/>
      <c r="K3429" s="23"/>
      <c r="M3429" s="23"/>
      <c r="N3429" s="23"/>
      <c r="P3429" s="23"/>
    </row>
    <row r="3430" spans="2:16" x14ac:dyDescent="0.25">
      <c r="B3430" s="23"/>
      <c r="E3430" s="23"/>
      <c r="G3430" s="23"/>
      <c r="H3430" s="23"/>
      <c r="J3430" s="23"/>
      <c r="K3430" s="23"/>
      <c r="M3430" s="23"/>
      <c r="N3430" s="23"/>
      <c r="P3430" s="23"/>
    </row>
    <row r="3431" spans="2:16" x14ac:dyDescent="0.25">
      <c r="B3431" s="23"/>
      <c r="E3431" s="23"/>
      <c r="G3431" s="23"/>
      <c r="H3431" s="23"/>
      <c r="J3431" s="23"/>
      <c r="K3431" s="23"/>
      <c r="M3431" s="23"/>
      <c r="N3431" s="23"/>
      <c r="P3431" s="23"/>
    </row>
    <row r="3432" spans="2:16" x14ac:dyDescent="0.25">
      <c r="B3432" s="23"/>
      <c r="E3432" s="23"/>
      <c r="G3432" s="23"/>
      <c r="H3432" s="23"/>
      <c r="J3432" s="23"/>
      <c r="K3432" s="23"/>
      <c r="M3432" s="23"/>
      <c r="N3432" s="23"/>
      <c r="P3432" s="23"/>
    </row>
    <row r="3433" spans="2:16" x14ac:dyDescent="0.25">
      <c r="B3433" s="23"/>
      <c r="E3433" s="23"/>
      <c r="G3433" s="23"/>
      <c r="H3433" s="23"/>
      <c r="J3433" s="23"/>
      <c r="K3433" s="23"/>
      <c r="M3433" s="23"/>
      <c r="N3433" s="23"/>
      <c r="P3433" s="23"/>
    </row>
    <row r="3434" spans="2:16" x14ac:dyDescent="0.25">
      <c r="B3434" s="23"/>
      <c r="E3434" s="23"/>
      <c r="G3434" s="23"/>
      <c r="H3434" s="23"/>
      <c r="J3434" s="23"/>
      <c r="K3434" s="23"/>
      <c r="M3434" s="23"/>
      <c r="N3434" s="23"/>
      <c r="P3434" s="23"/>
    </row>
    <row r="3435" spans="2:16" x14ac:dyDescent="0.25">
      <c r="B3435" s="23"/>
      <c r="E3435" s="23"/>
      <c r="G3435" s="23"/>
      <c r="H3435" s="23"/>
      <c r="J3435" s="23"/>
      <c r="K3435" s="23"/>
      <c r="M3435" s="23"/>
      <c r="N3435" s="23"/>
      <c r="P3435" s="23"/>
    </row>
    <row r="3436" spans="2:16" x14ac:dyDescent="0.25">
      <c r="B3436" s="23"/>
      <c r="E3436" s="23"/>
      <c r="G3436" s="23"/>
      <c r="H3436" s="23"/>
      <c r="J3436" s="23"/>
      <c r="K3436" s="23"/>
      <c r="M3436" s="23"/>
      <c r="N3436" s="23"/>
      <c r="P3436" s="23"/>
    </row>
    <row r="3437" spans="2:16" x14ac:dyDescent="0.25">
      <c r="B3437" s="23"/>
      <c r="E3437" s="23"/>
      <c r="G3437" s="23"/>
      <c r="H3437" s="23"/>
      <c r="J3437" s="23"/>
      <c r="K3437" s="23"/>
      <c r="M3437" s="23"/>
      <c r="N3437" s="23"/>
      <c r="P3437" s="23"/>
    </row>
    <row r="3438" spans="2:16" x14ac:dyDescent="0.25">
      <c r="B3438" s="23"/>
      <c r="E3438" s="23"/>
      <c r="G3438" s="23"/>
      <c r="H3438" s="23"/>
      <c r="J3438" s="23"/>
      <c r="K3438" s="23"/>
      <c r="M3438" s="23"/>
      <c r="N3438" s="23"/>
      <c r="P3438" s="23"/>
    </row>
    <row r="3439" spans="2:16" x14ac:dyDescent="0.25">
      <c r="B3439" s="23"/>
      <c r="E3439" s="23"/>
      <c r="G3439" s="23"/>
      <c r="H3439" s="23"/>
      <c r="J3439" s="23"/>
      <c r="K3439" s="23"/>
      <c r="M3439" s="23"/>
      <c r="N3439" s="23"/>
      <c r="P3439" s="23"/>
    </row>
    <row r="3440" spans="2:16" x14ac:dyDescent="0.25">
      <c r="B3440" s="23"/>
      <c r="E3440" s="23"/>
      <c r="G3440" s="23"/>
      <c r="H3440" s="23"/>
      <c r="J3440" s="23"/>
      <c r="K3440" s="23"/>
      <c r="M3440" s="23"/>
      <c r="N3440" s="23"/>
      <c r="P3440" s="23"/>
    </row>
    <row r="3441" spans="2:16" x14ac:dyDescent="0.25">
      <c r="B3441" s="23"/>
      <c r="E3441" s="23"/>
      <c r="G3441" s="23"/>
      <c r="H3441" s="23"/>
      <c r="J3441" s="23"/>
      <c r="K3441" s="23"/>
      <c r="M3441" s="23"/>
      <c r="N3441" s="23"/>
      <c r="P3441" s="23"/>
    </row>
    <row r="3442" spans="2:16" x14ac:dyDescent="0.25">
      <c r="B3442" s="23"/>
      <c r="E3442" s="23"/>
      <c r="G3442" s="23"/>
      <c r="H3442" s="23"/>
      <c r="J3442" s="23"/>
      <c r="K3442" s="23"/>
      <c r="M3442" s="23"/>
      <c r="N3442" s="23"/>
      <c r="P3442" s="23"/>
    </row>
    <row r="3443" spans="2:16" x14ac:dyDescent="0.25">
      <c r="B3443" s="23"/>
      <c r="E3443" s="23"/>
      <c r="G3443" s="23"/>
      <c r="H3443" s="23"/>
      <c r="J3443" s="23"/>
      <c r="K3443" s="23"/>
      <c r="M3443" s="23"/>
      <c r="N3443" s="23"/>
      <c r="P3443" s="23"/>
    </row>
    <row r="3444" spans="2:16" x14ac:dyDescent="0.25">
      <c r="B3444" s="23"/>
      <c r="E3444" s="23"/>
      <c r="G3444" s="23"/>
      <c r="H3444" s="23"/>
      <c r="J3444" s="23"/>
      <c r="K3444" s="23"/>
      <c r="M3444" s="23"/>
      <c r="N3444" s="23"/>
      <c r="P3444" s="23"/>
    </row>
    <row r="3445" spans="2:16" x14ac:dyDescent="0.25">
      <c r="B3445" s="23"/>
      <c r="E3445" s="23"/>
      <c r="G3445" s="23"/>
      <c r="H3445" s="23"/>
      <c r="J3445" s="23"/>
      <c r="K3445" s="23"/>
      <c r="M3445" s="23"/>
      <c r="N3445" s="23"/>
      <c r="P3445" s="23"/>
    </row>
    <row r="3446" spans="2:16" x14ac:dyDescent="0.25">
      <c r="B3446" s="23"/>
      <c r="E3446" s="23"/>
      <c r="G3446" s="23"/>
      <c r="H3446" s="23"/>
      <c r="J3446" s="23"/>
      <c r="K3446" s="23"/>
      <c r="M3446" s="23"/>
      <c r="N3446" s="23"/>
      <c r="P3446" s="23"/>
    </row>
    <row r="3447" spans="2:16" x14ac:dyDescent="0.25">
      <c r="B3447" s="23"/>
      <c r="E3447" s="23"/>
      <c r="G3447" s="23"/>
      <c r="H3447" s="23"/>
      <c r="J3447" s="23"/>
      <c r="K3447" s="23"/>
      <c r="M3447" s="23"/>
      <c r="N3447" s="23"/>
      <c r="P3447" s="23"/>
    </row>
    <row r="3448" spans="2:16" x14ac:dyDescent="0.25">
      <c r="B3448" s="23"/>
      <c r="E3448" s="23"/>
      <c r="G3448" s="23"/>
      <c r="H3448" s="23"/>
      <c r="J3448" s="23"/>
      <c r="K3448" s="23"/>
      <c r="M3448" s="23"/>
      <c r="N3448" s="23"/>
      <c r="P3448" s="23"/>
    </row>
    <row r="3449" spans="2:16" x14ac:dyDescent="0.25">
      <c r="B3449" s="23"/>
      <c r="E3449" s="23"/>
      <c r="G3449" s="23"/>
      <c r="H3449" s="23"/>
      <c r="J3449" s="23"/>
      <c r="K3449" s="23"/>
      <c r="M3449" s="23"/>
      <c r="N3449" s="23"/>
      <c r="P3449" s="23"/>
    </row>
    <row r="3450" spans="2:16" x14ac:dyDescent="0.25">
      <c r="B3450" s="23"/>
      <c r="E3450" s="23"/>
      <c r="G3450" s="23"/>
      <c r="H3450" s="23"/>
      <c r="J3450" s="23"/>
      <c r="K3450" s="23"/>
      <c r="M3450" s="23"/>
      <c r="N3450" s="23"/>
      <c r="P3450" s="23"/>
    </row>
    <row r="3451" spans="2:16" x14ac:dyDescent="0.25">
      <c r="B3451" s="23"/>
      <c r="E3451" s="23"/>
      <c r="G3451" s="23"/>
      <c r="H3451" s="23"/>
      <c r="J3451" s="23"/>
      <c r="K3451" s="23"/>
      <c r="M3451" s="23"/>
      <c r="N3451" s="23"/>
      <c r="P3451" s="23"/>
    </row>
    <row r="3452" spans="2:16" x14ac:dyDescent="0.25">
      <c r="B3452" s="23"/>
      <c r="E3452" s="23"/>
      <c r="G3452" s="23"/>
      <c r="H3452" s="23"/>
      <c r="J3452" s="23"/>
      <c r="K3452" s="23"/>
      <c r="M3452" s="23"/>
      <c r="N3452" s="23"/>
      <c r="P3452" s="23"/>
    </row>
    <row r="3453" spans="2:16" x14ac:dyDescent="0.25">
      <c r="B3453" s="23"/>
      <c r="E3453" s="23"/>
      <c r="G3453" s="23"/>
      <c r="H3453" s="23"/>
      <c r="J3453" s="23"/>
      <c r="K3453" s="23"/>
      <c r="M3453" s="23"/>
      <c r="N3453" s="23"/>
      <c r="P3453" s="23"/>
    </row>
    <row r="3454" spans="2:16" x14ac:dyDescent="0.25">
      <c r="B3454" s="23"/>
      <c r="E3454" s="23"/>
      <c r="G3454" s="23"/>
      <c r="H3454" s="23"/>
      <c r="J3454" s="23"/>
      <c r="K3454" s="23"/>
      <c r="M3454" s="23"/>
      <c r="N3454" s="23"/>
      <c r="P3454" s="23"/>
    </row>
    <row r="3455" spans="2:16" x14ac:dyDescent="0.25">
      <c r="B3455" s="23"/>
      <c r="E3455" s="23"/>
      <c r="G3455" s="23"/>
      <c r="H3455" s="23"/>
      <c r="J3455" s="23"/>
      <c r="K3455" s="23"/>
      <c r="M3455" s="23"/>
      <c r="N3455" s="23"/>
      <c r="P3455" s="23"/>
    </row>
    <row r="3456" spans="2:16" x14ac:dyDescent="0.25">
      <c r="B3456" s="23"/>
      <c r="E3456" s="23"/>
      <c r="G3456" s="23"/>
      <c r="H3456" s="23"/>
      <c r="J3456" s="23"/>
      <c r="K3456" s="23"/>
      <c r="M3456" s="23"/>
      <c r="N3456" s="23"/>
      <c r="P3456" s="23"/>
    </row>
    <row r="3457" spans="2:16" x14ac:dyDescent="0.25">
      <c r="B3457" s="23"/>
      <c r="E3457" s="23"/>
      <c r="G3457" s="23"/>
      <c r="H3457" s="23"/>
      <c r="J3457" s="23"/>
      <c r="K3457" s="23"/>
      <c r="M3457" s="23"/>
      <c r="N3457" s="23"/>
      <c r="P3457" s="23"/>
    </row>
    <row r="3458" spans="2:16" x14ac:dyDescent="0.25">
      <c r="B3458" s="23"/>
      <c r="E3458" s="23"/>
      <c r="G3458" s="23"/>
      <c r="H3458" s="23"/>
      <c r="J3458" s="23"/>
      <c r="K3458" s="23"/>
      <c r="M3458" s="23"/>
      <c r="N3458" s="23"/>
      <c r="P3458" s="23"/>
    </row>
    <row r="3459" spans="2:16" x14ac:dyDescent="0.25">
      <c r="B3459" s="23"/>
      <c r="E3459" s="23"/>
      <c r="G3459" s="23"/>
      <c r="H3459" s="23"/>
      <c r="J3459" s="23"/>
      <c r="K3459" s="23"/>
      <c r="M3459" s="23"/>
      <c r="N3459" s="23"/>
      <c r="P3459" s="23"/>
    </row>
    <row r="3460" spans="2:16" x14ac:dyDescent="0.25">
      <c r="B3460" s="23"/>
      <c r="E3460" s="23"/>
      <c r="G3460" s="23"/>
      <c r="H3460" s="23"/>
      <c r="J3460" s="23"/>
      <c r="K3460" s="23"/>
      <c r="M3460" s="23"/>
      <c r="N3460" s="23"/>
      <c r="P3460" s="23"/>
    </row>
    <row r="3461" spans="2:16" x14ac:dyDescent="0.25">
      <c r="B3461" s="23"/>
      <c r="E3461" s="23"/>
      <c r="G3461" s="23"/>
      <c r="H3461" s="23"/>
      <c r="J3461" s="23"/>
      <c r="K3461" s="23"/>
      <c r="M3461" s="23"/>
      <c r="N3461" s="23"/>
      <c r="P3461" s="23"/>
    </row>
    <row r="3462" spans="2:16" x14ac:dyDescent="0.25">
      <c r="B3462" s="23"/>
      <c r="E3462" s="23"/>
      <c r="G3462" s="23"/>
      <c r="H3462" s="23"/>
      <c r="J3462" s="23"/>
      <c r="K3462" s="23"/>
      <c r="M3462" s="23"/>
      <c r="N3462" s="23"/>
      <c r="P3462" s="23"/>
    </row>
    <row r="3463" spans="2:16" x14ac:dyDescent="0.25">
      <c r="B3463" s="23"/>
      <c r="E3463" s="23"/>
      <c r="G3463" s="23"/>
      <c r="H3463" s="23"/>
      <c r="J3463" s="23"/>
      <c r="K3463" s="23"/>
      <c r="M3463" s="23"/>
      <c r="N3463" s="23"/>
      <c r="P3463" s="23"/>
    </row>
    <row r="3464" spans="2:16" x14ac:dyDescent="0.25">
      <c r="B3464" s="23"/>
      <c r="E3464" s="23"/>
      <c r="G3464" s="23"/>
      <c r="H3464" s="23"/>
      <c r="J3464" s="23"/>
      <c r="K3464" s="23"/>
      <c r="M3464" s="23"/>
      <c r="N3464" s="23"/>
      <c r="P3464" s="23"/>
    </row>
    <row r="3465" spans="2:16" x14ac:dyDescent="0.25">
      <c r="B3465" s="23"/>
      <c r="E3465" s="23"/>
      <c r="G3465" s="23"/>
      <c r="H3465" s="23"/>
      <c r="J3465" s="23"/>
      <c r="K3465" s="23"/>
      <c r="M3465" s="23"/>
      <c r="N3465" s="23"/>
      <c r="P3465" s="23"/>
    </row>
    <row r="3466" spans="2:16" x14ac:dyDescent="0.25">
      <c r="B3466" s="23"/>
      <c r="E3466" s="23"/>
      <c r="G3466" s="23"/>
      <c r="H3466" s="23"/>
      <c r="J3466" s="23"/>
      <c r="K3466" s="23"/>
      <c r="M3466" s="23"/>
      <c r="N3466" s="23"/>
      <c r="P3466" s="23"/>
    </row>
    <row r="3467" spans="2:16" x14ac:dyDescent="0.25">
      <c r="B3467" s="23"/>
      <c r="E3467" s="23"/>
      <c r="G3467" s="23"/>
      <c r="H3467" s="23"/>
      <c r="J3467" s="23"/>
      <c r="K3467" s="23"/>
      <c r="M3467" s="23"/>
      <c r="N3467" s="23"/>
      <c r="P3467" s="23"/>
    </row>
    <row r="3468" spans="2:16" x14ac:dyDescent="0.25">
      <c r="B3468" s="23"/>
      <c r="E3468" s="23"/>
      <c r="G3468" s="23"/>
      <c r="H3468" s="23"/>
      <c r="J3468" s="23"/>
      <c r="K3468" s="23"/>
      <c r="M3468" s="23"/>
      <c r="N3468" s="23"/>
      <c r="P3468" s="23"/>
    </row>
    <row r="3469" spans="2:16" x14ac:dyDescent="0.25">
      <c r="B3469" s="23"/>
      <c r="E3469" s="23"/>
      <c r="G3469" s="23"/>
      <c r="H3469" s="23"/>
      <c r="J3469" s="23"/>
      <c r="K3469" s="23"/>
      <c r="M3469" s="23"/>
      <c r="N3469" s="23"/>
      <c r="P3469" s="23"/>
    </row>
    <row r="3470" spans="2:16" x14ac:dyDescent="0.25">
      <c r="B3470" s="23"/>
      <c r="E3470" s="23"/>
      <c r="G3470" s="23"/>
      <c r="H3470" s="23"/>
      <c r="J3470" s="23"/>
      <c r="K3470" s="23"/>
      <c r="M3470" s="23"/>
      <c r="N3470" s="23"/>
      <c r="P3470" s="23"/>
    </row>
    <row r="3471" spans="2:16" x14ac:dyDescent="0.25">
      <c r="B3471" s="23"/>
      <c r="E3471" s="23"/>
      <c r="G3471" s="23"/>
      <c r="H3471" s="23"/>
      <c r="J3471" s="23"/>
      <c r="K3471" s="23"/>
      <c r="M3471" s="23"/>
      <c r="N3471" s="23"/>
      <c r="P3471" s="23"/>
    </row>
    <row r="3472" spans="2:16" x14ac:dyDescent="0.25">
      <c r="B3472" s="23"/>
      <c r="E3472" s="23"/>
      <c r="G3472" s="23"/>
      <c r="H3472" s="23"/>
      <c r="J3472" s="23"/>
      <c r="K3472" s="23"/>
      <c r="M3472" s="23"/>
      <c r="N3472" s="23"/>
      <c r="P3472" s="23"/>
    </row>
    <row r="3473" spans="2:16" x14ac:dyDescent="0.25">
      <c r="B3473" s="23"/>
      <c r="E3473" s="23"/>
      <c r="G3473" s="23"/>
      <c r="H3473" s="23"/>
      <c r="J3473" s="23"/>
      <c r="K3473" s="23"/>
      <c r="M3473" s="23"/>
      <c r="N3473" s="23"/>
      <c r="P3473" s="23"/>
    </row>
    <row r="3474" spans="2:16" x14ac:dyDescent="0.25">
      <c r="B3474" s="23"/>
      <c r="E3474" s="23"/>
      <c r="G3474" s="23"/>
      <c r="H3474" s="23"/>
      <c r="J3474" s="23"/>
      <c r="K3474" s="23"/>
      <c r="M3474" s="23"/>
      <c r="N3474" s="23"/>
      <c r="P3474" s="23"/>
    </row>
    <row r="3475" spans="2:16" x14ac:dyDescent="0.25">
      <c r="B3475" s="23"/>
      <c r="E3475" s="23"/>
      <c r="G3475" s="23"/>
      <c r="H3475" s="23"/>
      <c r="J3475" s="23"/>
      <c r="K3475" s="23"/>
      <c r="M3475" s="23"/>
      <c r="N3475" s="23"/>
      <c r="P3475" s="23"/>
    </row>
    <row r="3476" spans="2:16" x14ac:dyDescent="0.25">
      <c r="B3476" s="23"/>
      <c r="E3476" s="23"/>
      <c r="G3476" s="23"/>
      <c r="H3476" s="23"/>
      <c r="J3476" s="23"/>
      <c r="K3476" s="23"/>
      <c r="M3476" s="23"/>
      <c r="N3476" s="23"/>
      <c r="P3476" s="23"/>
    </row>
    <row r="3477" spans="2:16" x14ac:dyDescent="0.25">
      <c r="B3477" s="23"/>
      <c r="E3477" s="23"/>
      <c r="G3477" s="23"/>
      <c r="H3477" s="23"/>
      <c r="J3477" s="23"/>
      <c r="K3477" s="23"/>
      <c r="M3477" s="23"/>
      <c r="N3477" s="23"/>
      <c r="P3477" s="23"/>
    </row>
    <row r="3478" spans="2:16" x14ac:dyDescent="0.25">
      <c r="B3478" s="23"/>
      <c r="E3478" s="23"/>
      <c r="G3478" s="23"/>
      <c r="H3478" s="23"/>
      <c r="J3478" s="23"/>
      <c r="K3478" s="23"/>
      <c r="M3478" s="23"/>
      <c r="N3478" s="23"/>
      <c r="P3478" s="23"/>
    </row>
    <row r="3479" spans="2:16" x14ac:dyDescent="0.25">
      <c r="B3479" s="23"/>
      <c r="E3479" s="23"/>
      <c r="G3479" s="23"/>
      <c r="H3479" s="23"/>
      <c r="J3479" s="23"/>
      <c r="K3479" s="23"/>
      <c r="M3479" s="23"/>
      <c r="N3479" s="23"/>
      <c r="P3479" s="23"/>
    </row>
    <row r="3480" spans="2:16" x14ac:dyDescent="0.25">
      <c r="B3480" s="23"/>
      <c r="E3480" s="23"/>
      <c r="G3480" s="23"/>
      <c r="H3480" s="23"/>
      <c r="J3480" s="23"/>
      <c r="K3480" s="23"/>
      <c r="M3480" s="23"/>
      <c r="N3480" s="23"/>
      <c r="P3480" s="23"/>
    </row>
    <row r="3481" spans="2:16" x14ac:dyDescent="0.25">
      <c r="B3481" s="23"/>
      <c r="E3481" s="23"/>
      <c r="G3481" s="23"/>
      <c r="H3481" s="23"/>
      <c r="J3481" s="23"/>
      <c r="K3481" s="23"/>
      <c r="M3481" s="23"/>
      <c r="N3481" s="23"/>
      <c r="P3481" s="23"/>
    </row>
    <row r="3482" spans="2:16" x14ac:dyDescent="0.25">
      <c r="B3482" s="23"/>
      <c r="E3482" s="23"/>
      <c r="G3482" s="23"/>
      <c r="H3482" s="23"/>
      <c r="J3482" s="23"/>
      <c r="K3482" s="23"/>
      <c r="M3482" s="23"/>
      <c r="N3482" s="23"/>
      <c r="P3482" s="23"/>
    </row>
    <row r="3483" spans="2:16" x14ac:dyDescent="0.25">
      <c r="B3483" s="23"/>
      <c r="E3483" s="23"/>
      <c r="G3483" s="23"/>
      <c r="H3483" s="23"/>
      <c r="J3483" s="23"/>
      <c r="K3483" s="23"/>
      <c r="M3483" s="23"/>
      <c r="N3483" s="23"/>
      <c r="P3483" s="23"/>
    </row>
    <row r="3484" spans="2:16" x14ac:dyDescent="0.25">
      <c r="B3484" s="23"/>
      <c r="E3484" s="23"/>
      <c r="G3484" s="23"/>
      <c r="H3484" s="23"/>
      <c r="J3484" s="23"/>
      <c r="K3484" s="23"/>
      <c r="M3484" s="23"/>
      <c r="N3484" s="23"/>
      <c r="P3484" s="23"/>
    </row>
    <row r="3485" spans="2:16" x14ac:dyDescent="0.25">
      <c r="B3485" s="23"/>
      <c r="E3485" s="23"/>
      <c r="G3485" s="23"/>
      <c r="H3485" s="23"/>
      <c r="J3485" s="23"/>
      <c r="K3485" s="23"/>
      <c r="M3485" s="23"/>
      <c r="N3485" s="23"/>
      <c r="P3485" s="23"/>
    </row>
    <row r="3486" spans="2:16" x14ac:dyDescent="0.25">
      <c r="B3486" s="23"/>
      <c r="E3486" s="23"/>
      <c r="G3486" s="23"/>
      <c r="H3486" s="23"/>
      <c r="J3486" s="23"/>
      <c r="K3486" s="23"/>
      <c r="M3486" s="23"/>
      <c r="N3486" s="23"/>
      <c r="P3486" s="23"/>
    </row>
    <row r="3487" spans="2:16" x14ac:dyDescent="0.25">
      <c r="B3487" s="23"/>
      <c r="E3487" s="23"/>
      <c r="G3487" s="23"/>
      <c r="H3487" s="23"/>
      <c r="J3487" s="23"/>
      <c r="K3487" s="23"/>
      <c r="M3487" s="23"/>
      <c r="N3487" s="23"/>
      <c r="P3487" s="23"/>
    </row>
    <row r="3488" spans="2:16" x14ac:dyDescent="0.25">
      <c r="B3488" s="23"/>
      <c r="E3488" s="23"/>
      <c r="G3488" s="23"/>
      <c r="H3488" s="23"/>
      <c r="J3488" s="23"/>
      <c r="K3488" s="23"/>
      <c r="M3488" s="23"/>
      <c r="N3488" s="23"/>
      <c r="P3488" s="23"/>
    </row>
    <row r="3489" spans="2:16" x14ac:dyDescent="0.25">
      <c r="B3489" s="23"/>
      <c r="E3489" s="23"/>
      <c r="G3489" s="23"/>
      <c r="H3489" s="23"/>
      <c r="J3489" s="23"/>
      <c r="K3489" s="23"/>
      <c r="M3489" s="23"/>
      <c r="N3489" s="23"/>
      <c r="P3489" s="23"/>
    </row>
    <row r="3490" spans="2:16" x14ac:dyDescent="0.25">
      <c r="B3490" s="23"/>
      <c r="E3490" s="23"/>
      <c r="G3490" s="23"/>
      <c r="H3490" s="23"/>
      <c r="J3490" s="23"/>
      <c r="K3490" s="23"/>
      <c r="M3490" s="23"/>
      <c r="N3490" s="23"/>
      <c r="P3490" s="23"/>
    </row>
    <row r="3491" spans="2:16" x14ac:dyDescent="0.25">
      <c r="B3491" s="23"/>
      <c r="E3491" s="23"/>
      <c r="G3491" s="23"/>
      <c r="H3491" s="23"/>
      <c r="J3491" s="23"/>
      <c r="K3491" s="23"/>
      <c r="M3491" s="23"/>
      <c r="N3491" s="23"/>
      <c r="P3491" s="23"/>
    </row>
    <row r="3492" spans="2:16" x14ac:dyDescent="0.25">
      <c r="B3492" s="23"/>
      <c r="E3492" s="23"/>
      <c r="G3492" s="23"/>
      <c r="H3492" s="23"/>
      <c r="J3492" s="23"/>
      <c r="K3492" s="23"/>
      <c r="M3492" s="23"/>
      <c r="N3492" s="23"/>
      <c r="P3492" s="23"/>
    </row>
    <row r="3493" spans="2:16" x14ac:dyDescent="0.25">
      <c r="B3493" s="23"/>
      <c r="E3493" s="23"/>
      <c r="G3493" s="23"/>
      <c r="H3493" s="23"/>
      <c r="J3493" s="23"/>
      <c r="K3493" s="23"/>
      <c r="M3493" s="23"/>
      <c r="N3493" s="23"/>
      <c r="P3493" s="23"/>
    </row>
    <row r="3494" spans="2:16" x14ac:dyDescent="0.25">
      <c r="B3494" s="23"/>
      <c r="E3494" s="23"/>
      <c r="G3494" s="23"/>
      <c r="H3494" s="23"/>
      <c r="J3494" s="23"/>
      <c r="K3494" s="23"/>
      <c r="M3494" s="23"/>
      <c r="N3494" s="23"/>
      <c r="P3494" s="23"/>
    </row>
    <row r="3495" spans="2:16" x14ac:dyDescent="0.25">
      <c r="B3495" s="23"/>
      <c r="E3495" s="23"/>
      <c r="G3495" s="23"/>
      <c r="H3495" s="23"/>
      <c r="J3495" s="23"/>
      <c r="K3495" s="23"/>
      <c r="M3495" s="23"/>
      <c r="N3495" s="23"/>
      <c r="P3495" s="23"/>
    </row>
    <row r="3496" spans="2:16" x14ac:dyDescent="0.25">
      <c r="B3496" s="23"/>
      <c r="E3496" s="23"/>
      <c r="G3496" s="23"/>
      <c r="H3496" s="23"/>
      <c r="J3496" s="23"/>
      <c r="K3496" s="23"/>
      <c r="M3496" s="23"/>
      <c r="N3496" s="23"/>
      <c r="P3496" s="23"/>
    </row>
    <row r="3497" spans="2:16" x14ac:dyDescent="0.25">
      <c r="B3497" s="23"/>
      <c r="E3497" s="23"/>
      <c r="G3497" s="23"/>
      <c r="H3497" s="23"/>
      <c r="J3497" s="23"/>
      <c r="K3497" s="23"/>
      <c r="M3497" s="23"/>
      <c r="N3497" s="23"/>
      <c r="P3497" s="23"/>
    </row>
    <row r="3498" spans="2:16" x14ac:dyDescent="0.25">
      <c r="B3498" s="23"/>
      <c r="E3498" s="23"/>
      <c r="G3498" s="23"/>
      <c r="H3498" s="23"/>
      <c r="J3498" s="23"/>
      <c r="K3498" s="23"/>
      <c r="M3498" s="23"/>
      <c r="N3498" s="23"/>
      <c r="P3498" s="23"/>
    </row>
    <row r="3499" spans="2:16" x14ac:dyDescent="0.25">
      <c r="B3499" s="23"/>
      <c r="E3499" s="23"/>
      <c r="G3499" s="23"/>
      <c r="H3499" s="23"/>
      <c r="J3499" s="23"/>
      <c r="K3499" s="23"/>
      <c r="M3499" s="23"/>
      <c r="N3499" s="23"/>
      <c r="P3499" s="23"/>
    </row>
    <row r="3500" spans="2:16" x14ac:dyDescent="0.25">
      <c r="B3500" s="23"/>
      <c r="E3500" s="23"/>
      <c r="G3500" s="23"/>
      <c r="H3500" s="23"/>
      <c r="J3500" s="23"/>
      <c r="K3500" s="23"/>
      <c r="M3500" s="23"/>
      <c r="N3500" s="23"/>
      <c r="P3500" s="23"/>
    </row>
    <row r="3501" spans="2:16" x14ac:dyDescent="0.25">
      <c r="B3501" s="23"/>
      <c r="E3501" s="23"/>
      <c r="G3501" s="23"/>
      <c r="H3501" s="23"/>
      <c r="J3501" s="23"/>
      <c r="K3501" s="23"/>
      <c r="M3501" s="23"/>
      <c r="N3501" s="23"/>
      <c r="P3501" s="23"/>
    </row>
    <row r="3502" spans="2:16" x14ac:dyDescent="0.25">
      <c r="B3502" s="23"/>
      <c r="E3502" s="23"/>
      <c r="G3502" s="23"/>
      <c r="H3502" s="23"/>
      <c r="J3502" s="23"/>
      <c r="K3502" s="23"/>
      <c r="M3502" s="23"/>
      <c r="N3502" s="23"/>
      <c r="P3502" s="23"/>
    </row>
    <row r="3503" spans="2:16" x14ac:dyDescent="0.25">
      <c r="B3503" s="23"/>
      <c r="E3503" s="23"/>
      <c r="G3503" s="23"/>
      <c r="H3503" s="23"/>
      <c r="J3503" s="23"/>
      <c r="K3503" s="23"/>
      <c r="M3503" s="23"/>
      <c r="N3503" s="23"/>
      <c r="P3503" s="23"/>
    </row>
    <row r="3504" spans="2:16" x14ac:dyDescent="0.25">
      <c r="B3504" s="23"/>
      <c r="E3504" s="23"/>
      <c r="G3504" s="23"/>
      <c r="H3504" s="23"/>
      <c r="J3504" s="23"/>
      <c r="K3504" s="23"/>
      <c r="M3504" s="23"/>
      <c r="N3504" s="23"/>
      <c r="P3504" s="23"/>
    </row>
    <row r="3505" spans="2:16" x14ac:dyDescent="0.25">
      <c r="B3505" s="23"/>
      <c r="E3505" s="23"/>
      <c r="G3505" s="23"/>
      <c r="H3505" s="23"/>
      <c r="J3505" s="23"/>
      <c r="K3505" s="23"/>
      <c r="M3505" s="23"/>
      <c r="N3505" s="23"/>
      <c r="P3505" s="23"/>
    </row>
    <row r="3506" spans="2:16" x14ac:dyDescent="0.25">
      <c r="B3506" s="23"/>
      <c r="E3506" s="23"/>
      <c r="G3506" s="23"/>
      <c r="H3506" s="23"/>
      <c r="J3506" s="23"/>
      <c r="K3506" s="23"/>
      <c r="M3506" s="23"/>
      <c r="N3506" s="23"/>
      <c r="P3506" s="23"/>
    </row>
    <row r="3507" spans="2:16" x14ac:dyDescent="0.25">
      <c r="B3507" s="23"/>
      <c r="E3507" s="23"/>
      <c r="G3507" s="23"/>
      <c r="H3507" s="23"/>
      <c r="J3507" s="23"/>
      <c r="K3507" s="23"/>
      <c r="M3507" s="23"/>
      <c r="N3507" s="23"/>
      <c r="P3507" s="23"/>
    </row>
    <row r="3508" spans="2:16" x14ac:dyDescent="0.25">
      <c r="B3508" s="23"/>
      <c r="E3508" s="23"/>
      <c r="G3508" s="23"/>
      <c r="H3508" s="23"/>
      <c r="J3508" s="23"/>
      <c r="K3508" s="23"/>
      <c r="M3508" s="23"/>
      <c r="N3508" s="23"/>
      <c r="P3508" s="23"/>
    </row>
    <row r="3509" spans="2:16" x14ac:dyDescent="0.25">
      <c r="B3509" s="23"/>
      <c r="E3509" s="23"/>
      <c r="G3509" s="23"/>
      <c r="H3509" s="23"/>
      <c r="J3509" s="23"/>
      <c r="K3509" s="23"/>
      <c r="M3509" s="23"/>
      <c r="N3509" s="23"/>
      <c r="P3509" s="23"/>
    </row>
    <row r="3510" spans="2:16" x14ac:dyDescent="0.25">
      <c r="B3510" s="23"/>
      <c r="E3510" s="23"/>
      <c r="G3510" s="23"/>
      <c r="H3510" s="23"/>
      <c r="J3510" s="23"/>
      <c r="K3510" s="23"/>
      <c r="M3510" s="23"/>
      <c r="N3510" s="23"/>
      <c r="P3510" s="23"/>
    </row>
    <row r="3511" spans="2:16" x14ac:dyDescent="0.25">
      <c r="B3511" s="23"/>
      <c r="E3511" s="23"/>
      <c r="G3511" s="23"/>
      <c r="H3511" s="23"/>
      <c r="J3511" s="23"/>
      <c r="K3511" s="23"/>
      <c r="M3511" s="23"/>
      <c r="N3511" s="23"/>
      <c r="P3511" s="23"/>
    </row>
    <row r="3512" spans="2:16" x14ac:dyDescent="0.25">
      <c r="B3512" s="23"/>
      <c r="E3512" s="23"/>
      <c r="G3512" s="23"/>
      <c r="H3512" s="23"/>
      <c r="J3512" s="23"/>
      <c r="K3512" s="23"/>
      <c r="M3512" s="23"/>
      <c r="N3512" s="23"/>
      <c r="P3512" s="23"/>
    </row>
    <row r="3513" spans="2:16" x14ac:dyDescent="0.25">
      <c r="B3513" s="23"/>
      <c r="E3513" s="23"/>
      <c r="G3513" s="23"/>
      <c r="H3513" s="23"/>
      <c r="J3513" s="23"/>
      <c r="K3513" s="23"/>
      <c r="M3513" s="23"/>
      <c r="N3513" s="23"/>
      <c r="P3513" s="23"/>
    </row>
    <row r="3514" spans="2:16" x14ac:dyDescent="0.25">
      <c r="B3514" s="23"/>
      <c r="E3514" s="23"/>
      <c r="G3514" s="23"/>
      <c r="H3514" s="23"/>
      <c r="J3514" s="23"/>
      <c r="K3514" s="23"/>
      <c r="M3514" s="23"/>
      <c r="N3514" s="23"/>
      <c r="P3514" s="23"/>
    </row>
    <row r="3515" spans="2:16" x14ac:dyDescent="0.25">
      <c r="B3515" s="23"/>
      <c r="E3515" s="23"/>
      <c r="G3515" s="23"/>
      <c r="H3515" s="23"/>
      <c r="J3515" s="23"/>
      <c r="K3515" s="23"/>
      <c r="M3515" s="23"/>
      <c r="N3515" s="23"/>
      <c r="P3515" s="23"/>
    </row>
    <row r="3516" spans="2:16" x14ac:dyDescent="0.25">
      <c r="B3516" s="23"/>
      <c r="E3516" s="23"/>
      <c r="G3516" s="23"/>
      <c r="H3516" s="23"/>
      <c r="J3516" s="23"/>
      <c r="K3516" s="23"/>
      <c r="M3516" s="23"/>
      <c r="N3516" s="23"/>
      <c r="P3516" s="23"/>
    </row>
    <row r="3517" spans="2:16" x14ac:dyDescent="0.25">
      <c r="B3517" s="23"/>
      <c r="E3517" s="23"/>
      <c r="G3517" s="23"/>
      <c r="H3517" s="23"/>
      <c r="J3517" s="23"/>
      <c r="K3517" s="23"/>
      <c r="M3517" s="23"/>
      <c r="N3517" s="23"/>
      <c r="P3517" s="23"/>
    </row>
    <row r="3518" spans="2:16" x14ac:dyDescent="0.25">
      <c r="B3518" s="23"/>
      <c r="E3518" s="23"/>
      <c r="G3518" s="23"/>
      <c r="H3518" s="23"/>
      <c r="J3518" s="23"/>
      <c r="K3518" s="23"/>
      <c r="M3518" s="23"/>
      <c r="N3518" s="23"/>
      <c r="P3518" s="23"/>
    </row>
    <row r="3519" spans="2:16" x14ac:dyDescent="0.25">
      <c r="B3519" s="23"/>
      <c r="E3519" s="23"/>
      <c r="G3519" s="23"/>
      <c r="H3519" s="23"/>
      <c r="J3519" s="23"/>
      <c r="K3519" s="23"/>
      <c r="M3519" s="23"/>
      <c r="N3519" s="23"/>
      <c r="P3519" s="23"/>
    </row>
    <row r="3520" spans="2:16" x14ac:dyDescent="0.25">
      <c r="B3520" s="23"/>
      <c r="E3520" s="23"/>
      <c r="G3520" s="23"/>
      <c r="H3520" s="23"/>
      <c r="J3520" s="23"/>
      <c r="K3520" s="23"/>
      <c r="M3520" s="23"/>
      <c r="N3520" s="23"/>
      <c r="P3520" s="23"/>
    </row>
    <row r="3521" spans="2:16" x14ac:dyDescent="0.25">
      <c r="B3521" s="23"/>
      <c r="E3521" s="23"/>
      <c r="G3521" s="23"/>
      <c r="H3521" s="23"/>
      <c r="J3521" s="23"/>
      <c r="K3521" s="23"/>
      <c r="M3521" s="23"/>
      <c r="N3521" s="23"/>
      <c r="P3521" s="23"/>
    </row>
    <row r="3522" spans="2:16" x14ac:dyDescent="0.25">
      <c r="B3522" s="23"/>
      <c r="E3522" s="23"/>
      <c r="G3522" s="23"/>
      <c r="H3522" s="23"/>
      <c r="J3522" s="23"/>
      <c r="K3522" s="23"/>
      <c r="M3522" s="23"/>
      <c r="N3522" s="23"/>
      <c r="P3522" s="23"/>
    </row>
    <row r="3523" spans="2:16" x14ac:dyDescent="0.25">
      <c r="B3523" s="23"/>
      <c r="E3523" s="23"/>
      <c r="G3523" s="23"/>
      <c r="H3523" s="23"/>
      <c r="J3523" s="23"/>
      <c r="K3523" s="23"/>
      <c r="M3523" s="23"/>
      <c r="N3523" s="23"/>
      <c r="P3523" s="23"/>
    </row>
    <row r="3524" spans="2:16" x14ac:dyDescent="0.25">
      <c r="B3524" s="23"/>
      <c r="E3524" s="23"/>
      <c r="G3524" s="23"/>
      <c r="H3524" s="23"/>
      <c r="J3524" s="23"/>
      <c r="K3524" s="23"/>
      <c r="M3524" s="23"/>
      <c r="N3524" s="23"/>
      <c r="P3524" s="23"/>
    </row>
    <row r="3525" spans="2:16" x14ac:dyDescent="0.25">
      <c r="B3525" s="23"/>
      <c r="E3525" s="23"/>
      <c r="G3525" s="23"/>
      <c r="H3525" s="23"/>
      <c r="J3525" s="23"/>
      <c r="K3525" s="23"/>
      <c r="M3525" s="23"/>
      <c r="N3525" s="23"/>
      <c r="P3525" s="23"/>
    </row>
    <row r="3526" spans="2:16" x14ac:dyDescent="0.25">
      <c r="B3526" s="23"/>
      <c r="E3526" s="23"/>
      <c r="G3526" s="23"/>
      <c r="H3526" s="23"/>
      <c r="J3526" s="23"/>
      <c r="K3526" s="23"/>
      <c r="M3526" s="23"/>
      <c r="N3526" s="23"/>
      <c r="P3526" s="23"/>
    </row>
    <row r="3527" spans="2:16" x14ac:dyDescent="0.25">
      <c r="B3527" s="23"/>
      <c r="E3527" s="23"/>
      <c r="G3527" s="23"/>
      <c r="H3527" s="23"/>
      <c r="J3527" s="23"/>
      <c r="K3527" s="23"/>
      <c r="M3527" s="23"/>
      <c r="N3527" s="23"/>
      <c r="P3527" s="23"/>
    </row>
    <row r="3528" spans="2:16" x14ac:dyDescent="0.25">
      <c r="B3528" s="23"/>
      <c r="E3528" s="23"/>
      <c r="G3528" s="23"/>
      <c r="H3528" s="23"/>
      <c r="J3528" s="23"/>
      <c r="K3528" s="23"/>
      <c r="M3528" s="23"/>
      <c r="N3528" s="23"/>
      <c r="P3528" s="23"/>
    </row>
    <row r="3529" spans="2:16" x14ac:dyDescent="0.25">
      <c r="B3529" s="23"/>
      <c r="E3529" s="23"/>
      <c r="G3529" s="23"/>
      <c r="H3529" s="23"/>
      <c r="J3529" s="23"/>
      <c r="K3529" s="23"/>
      <c r="M3529" s="23"/>
      <c r="N3529" s="23"/>
      <c r="P3529" s="23"/>
    </row>
    <row r="3530" spans="2:16" x14ac:dyDescent="0.25">
      <c r="B3530" s="23"/>
      <c r="E3530" s="23"/>
      <c r="G3530" s="23"/>
      <c r="H3530" s="23"/>
      <c r="J3530" s="23"/>
      <c r="K3530" s="23"/>
      <c r="M3530" s="23"/>
      <c r="N3530" s="23"/>
      <c r="P3530" s="23"/>
    </row>
    <row r="3531" spans="2:16" x14ac:dyDescent="0.25">
      <c r="B3531" s="23"/>
      <c r="E3531" s="23"/>
      <c r="G3531" s="23"/>
      <c r="H3531" s="23"/>
      <c r="J3531" s="23"/>
      <c r="K3531" s="23"/>
      <c r="M3531" s="23"/>
      <c r="N3531" s="23"/>
      <c r="P3531" s="23"/>
    </row>
    <row r="3532" spans="2:16" x14ac:dyDescent="0.25">
      <c r="B3532" s="23"/>
      <c r="E3532" s="23"/>
      <c r="G3532" s="23"/>
      <c r="H3532" s="23"/>
      <c r="J3532" s="23"/>
      <c r="K3532" s="23"/>
      <c r="M3532" s="23"/>
      <c r="N3532" s="23"/>
      <c r="P3532" s="23"/>
    </row>
    <row r="3533" spans="2:16" x14ac:dyDescent="0.25">
      <c r="B3533" s="23"/>
      <c r="E3533" s="23"/>
      <c r="G3533" s="23"/>
      <c r="H3533" s="23"/>
      <c r="J3533" s="23"/>
      <c r="K3533" s="23"/>
      <c r="M3533" s="23"/>
      <c r="N3533" s="23"/>
      <c r="P3533" s="23"/>
    </row>
    <row r="3534" spans="2:16" x14ac:dyDescent="0.25">
      <c r="B3534" s="23"/>
      <c r="E3534" s="23"/>
      <c r="G3534" s="23"/>
      <c r="H3534" s="23"/>
      <c r="J3534" s="23"/>
      <c r="K3534" s="23"/>
      <c r="M3534" s="23"/>
      <c r="N3534" s="23"/>
      <c r="P3534" s="23"/>
    </row>
    <row r="3535" spans="2:16" x14ac:dyDescent="0.25">
      <c r="B3535" s="23"/>
      <c r="E3535" s="23"/>
      <c r="G3535" s="23"/>
      <c r="H3535" s="23"/>
      <c r="J3535" s="23"/>
      <c r="K3535" s="23"/>
      <c r="M3535" s="23"/>
      <c r="N3535" s="23"/>
      <c r="P3535" s="23"/>
    </row>
    <row r="3536" spans="2:16" x14ac:dyDescent="0.25">
      <c r="B3536" s="23"/>
      <c r="E3536" s="23"/>
      <c r="G3536" s="23"/>
      <c r="H3536" s="23"/>
      <c r="J3536" s="23"/>
      <c r="K3536" s="23"/>
      <c r="M3536" s="23"/>
      <c r="N3536" s="23"/>
      <c r="P3536" s="23"/>
    </row>
    <row r="3537" spans="2:16" x14ac:dyDescent="0.25">
      <c r="B3537" s="23"/>
      <c r="E3537" s="23"/>
      <c r="G3537" s="23"/>
      <c r="H3537" s="23"/>
      <c r="J3537" s="23"/>
      <c r="K3537" s="23"/>
      <c r="M3537" s="23"/>
      <c r="N3537" s="23"/>
      <c r="P3537" s="23"/>
    </row>
    <row r="3538" spans="2:16" x14ac:dyDescent="0.25">
      <c r="B3538" s="23"/>
      <c r="E3538" s="23"/>
      <c r="G3538" s="23"/>
      <c r="H3538" s="23"/>
      <c r="J3538" s="23"/>
      <c r="K3538" s="23"/>
      <c r="M3538" s="23"/>
      <c r="N3538" s="23"/>
      <c r="P3538" s="23"/>
    </row>
    <row r="3539" spans="2:16" x14ac:dyDescent="0.25">
      <c r="B3539" s="23"/>
      <c r="E3539" s="23"/>
      <c r="G3539" s="23"/>
      <c r="H3539" s="23"/>
      <c r="J3539" s="23"/>
      <c r="K3539" s="23"/>
      <c r="M3539" s="23"/>
      <c r="N3539" s="23"/>
      <c r="P3539" s="23"/>
    </row>
    <row r="3540" spans="2:16" x14ac:dyDescent="0.25">
      <c r="B3540" s="23"/>
      <c r="E3540" s="23"/>
      <c r="G3540" s="23"/>
      <c r="H3540" s="23"/>
      <c r="J3540" s="23"/>
      <c r="K3540" s="23"/>
      <c r="M3540" s="23"/>
      <c r="N3540" s="23"/>
      <c r="P3540" s="23"/>
    </row>
    <row r="3541" spans="2:16" x14ac:dyDescent="0.25">
      <c r="B3541" s="23"/>
      <c r="E3541" s="23"/>
      <c r="G3541" s="23"/>
      <c r="H3541" s="23"/>
      <c r="J3541" s="23"/>
      <c r="K3541" s="23"/>
      <c r="M3541" s="23"/>
      <c r="N3541" s="23"/>
      <c r="P3541" s="23"/>
    </row>
    <row r="3542" spans="2:16" x14ac:dyDescent="0.25">
      <c r="B3542" s="23"/>
      <c r="E3542" s="23"/>
      <c r="G3542" s="23"/>
      <c r="H3542" s="23"/>
      <c r="J3542" s="23"/>
      <c r="K3542" s="23"/>
      <c r="M3542" s="23"/>
      <c r="N3542" s="23"/>
      <c r="P3542" s="23"/>
    </row>
    <row r="3543" spans="2:16" x14ac:dyDescent="0.25">
      <c r="B3543" s="23"/>
      <c r="E3543" s="23"/>
      <c r="G3543" s="23"/>
      <c r="H3543" s="23"/>
      <c r="J3543" s="23"/>
      <c r="K3543" s="23"/>
      <c r="M3543" s="23"/>
      <c r="N3543" s="23"/>
      <c r="P3543" s="23"/>
    </row>
    <row r="3544" spans="2:16" x14ac:dyDescent="0.25">
      <c r="B3544" s="23"/>
      <c r="E3544" s="23"/>
      <c r="G3544" s="23"/>
      <c r="H3544" s="23"/>
      <c r="J3544" s="23"/>
      <c r="K3544" s="23"/>
      <c r="M3544" s="23"/>
      <c r="N3544" s="23"/>
      <c r="P3544" s="23"/>
    </row>
    <row r="3545" spans="2:16" x14ac:dyDescent="0.25">
      <c r="B3545" s="23"/>
      <c r="E3545" s="23"/>
      <c r="G3545" s="23"/>
      <c r="H3545" s="23"/>
      <c r="J3545" s="23"/>
      <c r="K3545" s="23"/>
      <c r="M3545" s="23"/>
      <c r="N3545" s="23"/>
      <c r="P3545" s="23"/>
    </row>
    <row r="3546" spans="2:16" x14ac:dyDescent="0.25">
      <c r="B3546" s="23"/>
      <c r="E3546" s="23"/>
      <c r="G3546" s="23"/>
      <c r="H3546" s="23"/>
      <c r="J3546" s="23"/>
      <c r="K3546" s="23"/>
      <c r="M3546" s="23"/>
      <c r="N3546" s="23"/>
      <c r="P3546" s="23"/>
    </row>
    <row r="3547" spans="2:16" x14ac:dyDescent="0.25">
      <c r="B3547" s="23"/>
      <c r="E3547" s="23"/>
      <c r="G3547" s="23"/>
      <c r="H3547" s="23"/>
      <c r="J3547" s="23"/>
      <c r="K3547" s="23"/>
      <c r="M3547" s="23"/>
      <c r="N3547" s="23"/>
      <c r="P3547" s="23"/>
    </row>
    <row r="3548" spans="2:16" x14ac:dyDescent="0.25">
      <c r="B3548" s="23"/>
      <c r="E3548" s="23"/>
      <c r="G3548" s="23"/>
      <c r="H3548" s="23"/>
      <c r="J3548" s="23"/>
      <c r="K3548" s="23"/>
      <c r="M3548" s="23"/>
      <c r="N3548" s="23"/>
      <c r="P3548" s="23"/>
    </row>
    <row r="3549" spans="2:16" x14ac:dyDescent="0.25">
      <c r="B3549" s="23"/>
      <c r="E3549" s="23"/>
      <c r="G3549" s="23"/>
      <c r="H3549" s="23"/>
      <c r="J3549" s="23"/>
      <c r="K3549" s="23"/>
      <c r="M3549" s="23"/>
      <c r="N3549" s="23"/>
      <c r="P3549" s="23"/>
    </row>
    <row r="3550" spans="2:16" x14ac:dyDescent="0.25">
      <c r="B3550" s="23"/>
      <c r="E3550" s="23"/>
      <c r="G3550" s="23"/>
      <c r="H3550" s="23"/>
      <c r="J3550" s="23"/>
      <c r="K3550" s="23"/>
      <c r="M3550" s="23"/>
      <c r="N3550" s="23"/>
      <c r="P3550" s="23"/>
    </row>
    <row r="3551" spans="2:16" x14ac:dyDescent="0.25">
      <c r="B3551" s="23"/>
      <c r="E3551" s="23"/>
      <c r="G3551" s="23"/>
      <c r="H3551" s="23"/>
      <c r="J3551" s="23"/>
      <c r="K3551" s="23"/>
      <c r="M3551" s="23"/>
      <c r="N3551" s="23"/>
      <c r="P3551" s="23"/>
    </row>
    <row r="3552" spans="2:16" x14ac:dyDescent="0.25">
      <c r="B3552" s="23"/>
      <c r="E3552" s="23"/>
      <c r="G3552" s="23"/>
      <c r="H3552" s="23"/>
      <c r="J3552" s="23"/>
      <c r="K3552" s="23"/>
      <c r="M3552" s="23"/>
      <c r="N3552" s="23"/>
      <c r="P3552" s="23"/>
    </row>
    <row r="3553" spans="2:16" x14ac:dyDescent="0.25">
      <c r="B3553" s="23"/>
      <c r="E3553" s="23"/>
      <c r="G3553" s="23"/>
      <c r="H3553" s="23"/>
      <c r="J3553" s="23"/>
      <c r="K3553" s="23"/>
      <c r="M3553" s="23"/>
      <c r="N3553" s="23"/>
      <c r="P3553" s="23"/>
    </row>
    <row r="3554" spans="2:16" x14ac:dyDescent="0.25">
      <c r="B3554" s="23"/>
      <c r="E3554" s="23"/>
      <c r="G3554" s="23"/>
      <c r="H3554" s="23"/>
      <c r="J3554" s="23"/>
      <c r="K3554" s="23"/>
      <c r="M3554" s="23"/>
      <c r="N3554" s="23"/>
      <c r="P3554" s="23"/>
    </row>
    <row r="3555" spans="2:16" x14ac:dyDescent="0.25">
      <c r="B3555" s="23"/>
      <c r="E3555" s="23"/>
      <c r="G3555" s="23"/>
      <c r="H3555" s="23"/>
      <c r="J3555" s="23"/>
      <c r="K3555" s="23"/>
      <c r="M3555" s="23"/>
      <c r="N3555" s="23"/>
      <c r="P3555" s="23"/>
    </row>
    <row r="3556" spans="2:16" x14ac:dyDescent="0.25">
      <c r="B3556" s="23"/>
      <c r="E3556" s="23"/>
      <c r="G3556" s="23"/>
      <c r="H3556" s="23"/>
      <c r="J3556" s="23"/>
      <c r="K3556" s="23"/>
      <c r="M3556" s="23"/>
      <c r="N3556" s="23"/>
      <c r="P3556" s="23"/>
    </row>
    <row r="3557" spans="2:16" x14ac:dyDescent="0.25">
      <c r="B3557" s="23"/>
      <c r="E3557" s="23"/>
      <c r="G3557" s="23"/>
      <c r="H3557" s="23"/>
      <c r="J3557" s="23"/>
      <c r="K3557" s="23"/>
      <c r="M3557" s="23"/>
      <c r="N3557" s="23"/>
      <c r="P3557" s="23"/>
    </row>
    <row r="3558" spans="2:16" x14ac:dyDescent="0.25">
      <c r="B3558" s="23"/>
      <c r="E3558" s="23"/>
      <c r="G3558" s="23"/>
      <c r="H3558" s="23"/>
      <c r="J3558" s="23"/>
      <c r="K3558" s="23"/>
      <c r="M3558" s="23"/>
      <c r="N3558" s="23"/>
      <c r="P3558" s="23"/>
    </row>
    <row r="3559" spans="2:16" x14ac:dyDescent="0.25">
      <c r="B3559" s="23"/>
      <c r="E3559" s="23"/>
      <c r="G3559" s="23"/>
      <c r="H3559" s="23"/>
      <c r="J3559" s="23"/>
      <c r="K3559" s="23"/>
      <c r="M3559" s="23"/>
      <c r="N3559" s="23"/>
      <c r="P3559" s="23"/>
    </row>
    <row r="3560" spans="2:16" x14ac:dyDescent="0.25">
      <c r="B3560" s="23"/>
      <c r="E3560" s="23"/>
      <c r="G3560" s="23"/>
      <c r="H3560" s="23"/>
      <c r="J3560" s="23"/>
      <c r="K3560" s="23"/>
      <c r="M3560" s="23"/>
      <c r="N3560" s="23"/>
      <c r="P3560" s="23"/>
    </row>
    <row r="3561" spans="2:16" x14ac:dyDescent="0.25">
      <c r="B3561" s="23"/>
      <c r="E3561" s="23"/>
      <c r="G3561" s="23"/>
      <c r="H3561" s="23"/>
      <c r="J3561" s="23"/>
      <c r="K3561" s="23"/>
      <c r="M3561" s="23"/>
      <c r="N3561" s="23"/>
      <c r="P3561" s="23"/>
    </row>
    <row r="3562" spans="2:16" x14ac:dyDescent="0.25">
      <c r="B3562" s="23"/>
      <c r="E3562" s="23"/>
      <c r="G3562" s="23"/>
      <c r="H3562" s="23"/>
      <c r="J3562" s="23"/>
      <c r="K3562" s="23"/>
      <c r="M3562" s="23"/>
      <c r="N3562" s="23"/>
      <c r="P3562" s="23"/>
    </row>
    <row r="3563" spans="2:16" x14ac:dyDescent="0.25">
      <c r="B3563" s="23"/>
      <c r="E3563" s="23"/>
      <c r="G3563" s="23"/>
      <c r="H3563" s="23"/>
      <c r="J3563" s="23"/>
      <c r="K3563" s="23"/>
      <c r="M3563" s="23"/>
      <c r="N3563" s="23"/>
      <c r="P3563" s="23"/>
    </row>
    <row r="3564" spans="2:16" x14ac:dyDescent="0.25">
      <c r="B3564" s="23"/>
      <c r="E3564" s="23"/>
      <c r="G3564" s="23"/>
      <c r="H3564" s="23"/>
      <c r="J3564" s="23"/>
      <c r="K3564" s="23"/>
      <c r="M3564" s="23"/>
      <c r="N3564" s="23"/>
      <c r="P3564" s="23"/>
    </row>
    <row r="3565" spans="2:16" x14ac:dyDescent="0.25">
      <c r="B3565" s="23"/>
      <c r="E3565" s="23"/>
      <c r="G3565" s="23"/>
      <c r="H3565" s="23"/>
      <c r="J3565" s="23"/>
      <c r="K3565" s="23"/>
      <c r="M3565" s="23"/>
      <c r="N3565" s="23"/>
      <c r="P3565" s="23"/>
    </row>
    <row r="3566" spans="2:16" x14ac:dyDescent="0.25">
      <c r="B3566" s="23"/>
      <c r="E3566" s="23"/>
      <c r="G3566" s="23"/>
      <c r="H3566" s="23"/>
      <c r="J3566" s="23"/>
      <c r="K3566" s="23"/>
      <c r="M3566" s="23"/>
      <c r="N3566" s="23"/>
      <c r="P3566" s="23"/>
    </row>
    <row r="3567" spans="2:16" x14ac:dyDescent="0.25">
      <c r="B3567" s="23"/>
      <c r="E3567" s="23"/>
      <c r="G3567" s="23"/>
      <c r="H3567" s="23"/>
      <c r="J3567" s="23"/>
      <c r="K3567" s="23"/>
      <c r="M3567" s="23"/>
      <c r="N3567" s="23"/>
      <c r="P3567" s="23"/>
    </row>
    <row r="3568" spans="2:16" x14ac:dyDescent="0.25">
      <c r="B3568" s="23"/>
      <c r="E3568" s="23"/>
      <c r="G3568" s="23"/>
      <c r="H3568" s="23"/>
      <c r="J3568" s="23"/>
      <c r="K3568" s="23"/>
      <c r="M3568" s="23"/>
      <c r="N3568" s="23"/>
      <c r="P3568" s="23"/>
    </row>
    <row r="3569" spans="2:16" x14ac:dyDescent="0.25">
      <c r="B3569" s="23"/>
      <c r="E3569" s="23"/>
      <c r="G3569" s="23"/>
      <c r="H3569" s="23"/>
      <c r="J3569" s="23"/>
      <c r="K3569" s="23"/>
      <c r="M3569" s="23"/>
      <c r="N3569" s="23"/>
      <c r="P3569" s="23"/>
    </row>
    <row r="3570" spans="2:16" x14ac:dyDescent="0.25">
      <c r="B3570" s="23"/>
      <c r="E3570" s="23"/>
      <c r="G3570" s="23"/>
      <c r="H3570" s="23"/>
      <c r="J3570" s="23"/>
      <c r="K3570" s="23"/>
      <c r="M3570" s="23"/>
      <c r="N3570" s="23"/>
      <c r="P3570" s="23"/>
    </row>
    <row r="3571" spans="2:16" x14ac:dyDescent="0.25">
      <c r="B3571" s="23"/>
      <c r="E3571" s="23"/>
      <c r="G3571" s="23"/>
      <c r="H3571" s="23"/>
      <c r="J3571" s="23"/>
      <c r="K3571" s="23"/>
      <c r="M3571" s="23"/>
      <c r="N3571" s="23"/>
      <c r="P3571" s="23"/>
    </row>
    <row r="3572" spans="2:16" x14ac:dyDescent="0.25">
      <c r="B3572" s="23"/>
      <c r="E3572" s="23"/>
      <c r="G3572" s="23"/>
      <c r="H3572" s="23"/>
      <c r="J3572" s="23"/>
      <c r="K3572" s="23"/>
      <c r="M3572" s="23"/>
      <c r="N3572" s="23"/>
      <c r="P3572" s="23"/>
    </row>
    <row r="3573" spans="2:16" x14ac:dyDescent="0.25">
      <c r="B3573" s="23"/>
      <c r="E3573" s="23"/>
      <c r="G3573" s="23"/>
      <c r="H3573" s="23"/>
      <c r="J3573" s="23"/>
      <c r="K3573" s="23"/>
      <c r="M3573" s="23"/>
      <c r="N3573" s="23"/>
      <c r="P3573" s="23"/>
    </row>
    <row r="3574" spans="2:16" x14ac:dyDescent="0.25">
      <c r="B3574" s="23"/>
      <c r="E3574" s="23"/>
      <c r="G3574" s="23"/>
      <c r="H3574" s="23"/>
      <c r="J3574" s="23"/>
      <c r="K3574" s="23"/>
      <c r="M3574" s="23"/>
      <c r="N3574" s="23"/>
      <c r="P3574" s="23"/>
    </row>
    <row r="3575" spans="2:16" x14ac:dyDescent="0.25">
      <c r="B3575" s="23"/>
      <c r="E3575" s="23"/>
      <c r="G3575" s="23"/>
      <c r="H3575" s="23"/>
      <c r="J3575" s="23"/>
      <c r="K3575" s="23"/>
      <c r="M3575" s="23"/>
      <c r="N3575" s="23"/>
      <c r="P3575" s="23"/>
    </row>
    <row r="3576" spans="2:16" x14ac:dyDescent="0.25">
      <c r="B3576" s="23"/>
      <c r="E3576" s="23"/>
      <c r="G3576" s="23"/>
      <c r="H3576" s="23"/>
      <c r="J3576" s="23"/>
      <c r="K3576" s="23"/>
      <c r="M3576" s="23"/>
      <c r="N3576" s="23"/>
      <c r="P3576" s="23"/>
    </row>
    <row r="3577" spans="2:16" x14ac:dyDescent="0.25">
      <c r="B3577" s="23"/>
      <c r="E3577" s="23"/>
      <c r="G3577" s="23"/>
      <c r="H3577" s="23"/>
      <c r="J3577" s="23"/>
      <c r="K3577" s="23"/>
      <c r="M3577" s="23"/>
      <c r="N3577" s="23"/>
      <c r="P3577" s="23"/>
    </row>
    <row r="3578" spans="2:16" x14ac:dyDescent="0.25">
      <c r="B3578" s="23"/>
      <c r="E3578" s="23"/>
      <c r="G3578" s="23"/>
      <c r="H3578" s="23"/>
      <c r="J3578" s="23"/>
      <c r="K3578" s="23"/>
      <c r="M3578" s="23"/>
      <c r="N3578" s="23"/>
      <c r="P3578" s="23"/>
    </row>
    <row r="3579" spans="2:16" x14ac:dyDescent="0.25">
      <c r="B3579" s="23"/>
      <c r="E3579" s="23"/>
      <c r="G3579" s="23"/>
      <c r="H3579" s="23"/>
      <c r="J3579" s="23"/>
      <c r="K3579" s="23"/>
      <c r="M3579" s="23"/>
      <c r="N3579" s="23"/>
      <c r="P3579" s="23"/>
    </row>
    <row r="3580" spans="2:16" x14ac:dyDescent="0.25">
      <c r="B3580" s="23"/>
      <c r="E3580" s="23"/>
      <c r="G3580" s="23"/>
      <c r="H3580" s="23"/>
      <c r="J3580" s="23"/>
      <c r="K3580" s="23"/>
      <c r="M3580" s="23"/>
      <c r="N3580" s="23"/>
      <c r="P3580" s="23"/>
    </row>
    <row r="3581" spans="2:16" x14ac:dyDescent="0.25">
      <c r="B3581" s="23"/>
      <c r="E3581" s="23"/>
      <c r="G3581" s="23"/>
      <c r="H3581" s="23"/>
      <c r="J3581" s="23"/>
      <c r="K3581" s="23"/>
      <c r="M3581" s="23"/>
      <c r="N3581" s="23"/>
      <c r="P3581" s="23"/>
    </row>
    <row r="3582" spans="2:16" x14ac:dyDescent="0.25">
      <c r="B3582" s="23"/>
      <c r="E3582" s="23"/>
      <c r="G3582" s="23"/>
      <c r="H3582" s="23"/>
      <c r="J3582" s="23"/>
      <c r="K3582" s="23"/>
      <c r="M3582" s="23"/>
      <c r="N3582" s="23"/>
      <c r="P3582" s="23"/>
    </row>
    <row r="3583" spans="2:16" x14ac:dyDescent="0.25">
      <c r="B3583" s="23"/>
      <c r="E3583" s="23"/>
      <c r="G3583" s="23"/>
      <c r="H3583" s="23"/>
      <c r="J3583" s="23"/>
      <c r="K3583" s="23"/>
      <c r="M3583" s="23"/>
      <c r="N3583" s="23"/>
      <c r="P3583" s="23"/>
    </row>
    <row r="3584" spans="2:16" x14ac:dyDescent="0.25">
      <c r="B3584" s="23"/>
      <c r="E3584" s="23"/>
      <c r="G3584" s="23"/>
      <c r="H3584" s="23"/>
      <c r="J3584" s="23"/>
      <c r="K3584" s="23"/>
      <c r="M3584" s="23"/>
      <c r="N3584" s="23"/>
      <c r="P3584" s="23"/>
    </row>
    <row r="3585" spans="2:16" x14ac:dyDescent="0.25">
      <c r="B3585" s="23"/>
      <c r="E3585" s="23"/>
      <c r="G3585" s="23"/>
      <c r="H3585" s="23"/>
      <c r="J3585" s="23"/>
      <c r="K3585" s="23"/>
      <c r="M3585" s="23"/>
      <c r="N3585" s="23"/>
      <c r="P3585" s="23"/>
    </row>
    <row r="3586" spans="2:16" x14ac:dyDescent="0.25">
      <c r="B3586" s="23"/>
      <c r="E3586" s="23"/>
      <c r="G3586" s="23"/>
      <c r="H3586" s="23"/>
      <c r="J3586" s="23"/>
      <c r="K3586" s="23"/>
      <c r="M3586" s="23"/>
      <c r="N3586" s="23"/>
      <c r="P3586" s="23"/>
    </row>
    <row r="3587" spans="2:16" x14ac:dyDescent="0.25">
      <c r="B3587" s="23"/>
      <c r="E3587" s="23"/>
      <c r="G3587" s="23"/>
      <c r="H3587" s="23"/>
      <c r="J3587" s="23"/>
      <c r="K3587" s="23"/>
      <c r="M3587" s="23"/>
      <c r="N3587" s="23"/>
      <c r="P3587" s="23"/>
    </row>
    <row r="3588" spans="2:16" x14ac:dyDescent="0.25">
      <c r="B3588" s="23"/>
      <c r="E3588" s="23"/>
      <c r="G3588" s="23"/>
      <c r="H3588" s="23"/>
      <c r="J3588" s="23"/>
      <c r="K3588" s="23"/>
      <c r="M3588" s="23"/>
      <c r="N3588" s="23"/>
      <c r="P3588" s="23"/>
    </row>
    <row r="3589" spans="2:16" x14ac:dyDescent="0.25">
      <c r="B3589" s="23"/>
      <c r="E3589" s="23"/>
      <c r="G3589" s="23"/>
      <c r="H3589" s="23"/>
      <c r="J3589" s="23"/>
      <c r="K3589" s="23"/>
      <c r="M3589" s="23"/>
      <c r="N3589" s="23"/>
      <c r="P3589" s="23"/>
    </row>
    <row r="3590" spans="2:16" x14ac:dyDescent="0.25">
      <c r="B3590" s="23"/>
      <c r="E3590" s="23"/>
      <c r="G3590" s="23"/>
      <c r="H3590" s="23"/>
      <c r="J3590" s="23"/>
      <c r="K3590" s="23"/>
      <c r="M3590" s="23"/>
      <c r="N3590" s="23"/>
      <c r="P3590" s="23"/>
    </row>
    <row r="3591" spans="2:16" x14ac:dyDescent="0.25">
      <c r="B3591" s="23"/>
      <c r="E3591" s="23"/>
      <c r="G3591" s="23"/>
      <c r="H3591" s="23"/>
      <c r="J3591" s="23"/>
      <c r="K3591" s="23"/>
      <c r="M3591" s="23"/>
      <c r="N3591" s="23"/>
      <c r="P3591" s="23"/>
    </row>
    <row r="3592" spans="2:16" x14ac:dyDescent="0.25">
      <c r="B3592" s="23"/>
      <c r="E3592" s="23"/>
      <c r="G3592" s="23"/>
      <c r="H3592" s="23"/>
      <c r="J3592" s="23"/>
      <c r="K3592" s="23"/>
      <c r="M3592" s="23"/>
      <c r="N3592" s="23"/>
      <c r="P3592" s="23"/>
    </row>
    <row r="3593" spans="2:16" x14ac:dyDescent="0.25">
      <c r="B3593" s="23"/>
      <c r="E3593" s="23"/>
      <c r="G3593" s="23"/>
      <c r="H3593" s="23"/>
      <c r="J3593" s="23"/>
      <c r="K3593" s="23"/>
      <c r="M3593" s="23"/>
      <c r="N3593" s="23"/>
      <c r="P3593" s="23"/>
    </row>
    <row r="3594" spans="2:16" x14ac:dyDescent="0.25">
      <c r="B3594" s="23"/>
      <c r="E3594" s="23"/>
      <c r="G3594" s="23"/>
      <c r="H3594" s="23"/>
      <c r="J3594" s="23"/>
      <c r="K3594" s="23"/>
      <c r="M3594" s="23"/>
      <c r="N3594" s="23"/>
      <c r="P3594" s="23"/>
    </row>
    <row r="3595" spans="2:16" x14ac:dyDescent="0.25">
      <c r="B3595" s="23"/>
      <c r="E3595" s="23"/>
      <c r="G3595" s="23"/>
      <c r="H3595" s="23"/>
      <c r="J3595" s="23"/>
      <c r="K3595" s="23"/>
      <c r="M3595" s="23"/>
      <c r="N3595" s="23"/>
      <c r="P3595" s="23"/>
    </row>
    <row r="3596" spans="2:16" x14ac:dyDescent="0.25">
      <c r="B3596" s="23"/>
      <c r="E3596" s="23"/>
      <c r="G3596" s="23"/>
      <c r="H3596" s="23"/>
      <c r="J3596" s="23"/>
      <c r="K3596" s="23"/>
      <c r="M3596" s="23"/>
      <c r="N3596" s="23"/>
      <c r="P3596" s="23"/>
    </row>
    <row r="3597" spans="2:16" x14ac:dyDescent="0.25">
      <c r="B3597" s="23"/>
      <c r="E3597" s="23"/>
      <c r="G3597" s="23"/>
      <c r="H3597" s="23"/>
      <c r="J3597" s="23"/>
      <c r="K3597" s="23"/>
      <c r="M3597" s="23"/>
      <c r="N3597" s="23"/>
      <c r="P3597" s="23"/>
    </row>
    <row r="3598" spans="2:16" x14ac:dyDescent="0.25">
      <c r="B3598" s="23"/>
      <c r="E3598" s="23"/>
      <c r="G3598" s="23"/>
      <c r="H3598" s="23"/>
      <c r="J3598" s="23"/>
      <c r="K3598" s="23"/>
      <c r="M3598" s="23"/>
      <c r="N3598" s="23"/>
      <c r="P3598" s="23"/>
    </row>
    <row r="3599" spans="2:16" x14ac:dyDescent="0.25">
      <c r="B3599" s="23"/>
      <c r="E3599" s="23"/>
      <c r="G3599" s="23"/>
      <c r="H3599" s="23"/>
      <c r="J3599" s="23"/>
      <c r="K3599" s="23"/>
      <c r="M3599" s="23"/>
      <c r="N3599" s="23"/>
      <c r="P3599" s="23"/>
    </row>
    <row r="3600" spans="2:16" x14ac:dyDescent="0.25">
      <c r="B3600" s="23"/>
      <c r="E3600" s="23"/>
      <c r="G3600" s="23"/>
      <c r="H3600" s="23"/>
      <c r="J3600" s="23"/>
      <c r="K3600" s="23"/>
      <c r="M3600" s="23"/>
      <c r="N3600" s="23"/>
      <c r="P3600" s="23"/>
    </row>
    <row r="3601" spans="2:16" x14ac:dyDescent="0.25">
      <c r="B3601" s="23"/>
      <c r="E3601" s="23"/>
      <c r="G3601" s="23"/>
      <c r="H3601" s="23"/>
      <c r="J3601" s="23"/>
      <c r="K3601" s="23"/>
      <c r="M3601" s="23"/>
      <c r="N3601" s="23"/>
      <c r="P3601" s="23"/>
    </row>
    <row r="3602" spans="2:16" x14ac:dyDescent="0.25">
      <c r="B3602" s="23"/>
      <c r="E3602" s="23"/>
      <c r="G3602" s="23"/>
      <c r="H3602" s="23"/>
      <c r="J3602" s="23"/>
      <c r="K3602" s="23"/>
      <c r="M3602" s="23"/>
      <c r="N3602" s="23"/>
      <c r="P3602" s="23"/>
    </row>
    <row r="3603" spans="2:16" x14ac:dyDescent="0.25">
      <c r="B3603" s="23"/>
      <c r="E3603" s="23"/>
      <c r="G3603" s="23"/>
      <c r="H3603" s="23"/>
      <c r="J3603" s="23"/>
      <c r="K3603" s="23"/>
      <c r="M3603" s="23"/>
      <c r="N3603" s="23"/>
      <c r="P3603" s="23"/>
    </row>
    <row r="3604" spans="2:16" x14ac:dyDescent="0.25">
      <c r="B3604" s="23"/>
      <c r="E3604" s="23"/>
      <c r="G3604" s="23"/>
      <c r="H3604" s="23"/>
      <c r="J3604" s="23"/>
      <c r="K3604" s="23"/>
      <c r="M3604" s="23"/>
      <c r="N3604" s="23"/>
      <c r="P3604" s="23"/>
    </row>
    <row r="3605" spans="2:16" x14ac:dyDescent="0.25">
      <c r="B3605" s="23"/>
      <c r="E3605" s="23"/>
      <c r="G3605" s="23"/>
      <c r="H3605" s="23"/>
      <c r="J3605" s="23"/>
      <c r="K3605" s="23"/>
      <c r="M3605" s="23"/>
      <c r="N3605" s="23"/>
      <c r="P3605" s="23"/>
    </row>
    <row r="3606" spans="2:16" x14ac:dyDescent="0.25">
      <c r="B3606" s="23"/>
      <c r="E3606" s="23"/>
      <c r="G3606" s="23"/>
      <c r="H3606" s="23"/>
      <c r="J3606" s="23"/>
      <c r="K3606" s="23"/>
      <c r="M3606" s="23"/>
      <c r="N3606" s="23"/>
      <c r="P3606" s="23"/>
    </row>
    <row r="3607" spans="2:16" x14ac:dyDescent="0.25">
      <c r="B3607" s="23"/>
      <c r="E3607" s="23"/>
      <c r="G3607" s="23"/>
      <c r="H3607" s="23"/>
      <c r="J3607" s="23"/>
      <c r="K3607" s="23"/>
      <c r="M3607" s="23"/>
      <c r="N3607" s="23"/>
      <c r="P3607" s="23"/>
    </row>
    <row r="3608" spans="2:16" x14ac:dyDescent="0.25">
      <c r="B3608" s="23"/>
      <c r="E3608" s="23"/>
      <c r="G3608" s="23"/>
      <c r="H3608" s="23"/>
      <c r="J3608" s="23"/>
      <c r="K3608" s="23"/>
      <c r="M3608" s="23"/>
      <c r="N3608" s="23"/>
      <c r="P3608" s="23"/>
    </row>
    <row r="3609" spans="2:16" x14ac:dyDescent="0.25">
      <c r="B3609" s="23"/>
      <c r="E3609" s="23"/>
      <c r="G3609" s="23"/>
      <c r="H3609" s="23"/>
      <c r="J3609" s="23"/>
      <c r="K3609" s="23"/>
      <c r="M3609" s="23"/>
      <c r="N3609" s="23"/>
      <c r="P3609" s="23"/>
    </row>
    <row r="3610" spans="2:16" x14ac:dyDescent="0.25">
      <c r="B3610" s="23"/>
      <c r="E3610" s="23"/>
      <c r="G3610" s="23"/>
      <c r="H3610" s="23"/>
      <c r="J3610" s="23"/>
      <c r="K3610" s="23"/>
      <c r="M3610" s="23"/>
      <c r="N3610" s="23"/>
      <c r="P3610" s="23"/>
    </row>
    <row r="3611" spans="2:16" x14ac:dyDescent="0.25">
      <c r="B3611" s="23"/>
      <c r="E3611" s="23"/>
      <c r="G3611" s="23"/>
      <c r="H3611" s="23"/>
      <c r="J3611" s="23"/>
      <c r="K3611" s="23"/>
      <c r="M3611" s="23"/>
      <c r="N3611" s="23"/>
      <c r="P3611" s="23"/>
    </row>
    <row r="3612" spans="2:16" x14ac:dyDescent="0.25">
      <c r="B3612" s="23"/>
      <c r="E3612" s="23"/>
      <c r="G3612" s="23"/>
      <c r="H3612" s="23"/>
      <c r="J3612" s="23"/>
      <c r="K3612" s="23"/>
      <c r="M3612" s="23"/>
      <c r="N3612" s="23"/>
      <c r="P3612" s="23"/>
    </row>
    <row r="3613" spans="2:16" x14ac:dyDescent="0.25">
      <c r="B3613" s="23"/>
      <c r="E3613" s="23"/>
      <c r="G3613" s="23"/>
      <c r="H3613" s="23"/>
      <c r="J3613" s="23"/>
      <c r="K3613" s="23"/>
      <c r="M3613" s="23"/>
      <c r="N3613" s="23"/>
      <c r="P3613" s="23"/>
    </row>
    <row r="3614" spans="2:16" x14ac:dyDescent="0.25">
      <c r="B3614" s="23"/>
      <c r="E3614" s="23"/>
      <c r="G3614" s="23"/>
      <c r="H3614" s="23"/>
      <c r="J3614" s="23"/>
      <c r="K3614" s="23"/>
      <c r="M3614" s="23"/>
      <c r="N3614" s="23"/>
      <c r="P3614" s="23"/>
    </row>
    <row r="3615" spans="2:16" x14ac:dyDescent="0.25">
      <c r="B3615" s="23"/>
      <c r="E3615" s="23"/>
      <c r="G3615" s="23"/>
      <c r="H3615" s="23"/>
      <c r="J3615" s="23"/>
      <c r="K3615" s="23"/>
      <c r="M3615" s="23"/>
      <c r="N3615" s="23"/>
      <c r="P3615" s="23"/>
    </row>
    <row r="3616" spans="2:16" x14ac:dyDescent="0.25">
      <c r="B3616" s="23"/>
      <c r="E3616" s="23"/>
      <c r="G3616" s="23"/>
      <c r="H3616" s="23"/>
      <c r="J3616" s="23"/>
      <c r="K3616" s="23"/>
      <c r="M3616" s="23"/>
      <c r="N3616" s="23"/>
      <c r="P3616" s="23"/>
    </row>
    <row r="3617" spans="2:16" x14ac:dyDescent="0.25">
      <c r="B3617" s="23"/>
      <c r="E3617" s="23"/>
      <c r="G3617" s="23"/>
      <c r="H3617" s="23"/>
      <c r="J3617" s="23"/>
      <c r="K3617" s="23"/>
      <c r="M3617" s="23"/>
      <c r="N3617" s="23"/>
      <c r="P3617" s="23"/>
    </row>
    <row r="3618" spans="2:16" x14ac:dyDescent="0.25">
      <c r="B3618" s="23"/>
      <c r="E3618" s="23"/>
      <c r="G3618" s="23"/>
      <c r="H3618" s="23"/>
      <c r="J3618" s="23"/>
      <c r="K3618" s="23"/>
      <c r="M3618" s="23"/>
      <c r="N3618" s="23"/>
      <c r="P3618" s="23"/>
    </row>
    <row r="3619" spans="2:16" x14ac:dyDescent="0.25">
      <c r="B3619" s="23"/>
      <c r="E3619" s="23"/>
      <c r="G3619" s="23"/>
      <c r="H3619" s="23"/>
      <c r="J3619" s="23"/>
      <c r="K3619" s="23"/>
      <c r="M3619" s="23"/>
      <c r="N3619" s="23"/>
      <c r="P3619" s="23"/>
    </row>
    <row r="3620" spans="2:16" x14ac:dyDescent="0.25">
      <c r="B3620" s="23"/>
      <c r="E3620" s="23"/>
      <c r="G3620" s="23"/>
      <c r="H3620" s="23"/>
      <c r="J3620" s="23"/>
      <c r="K3620" s="23"/>
      <c r="M3620" s="23"/>
      <c r="N3620" s="23"/>
      <c r="P3620" s="23"/>
    </row>
    <row r="3621" spans="2:16" x14ac:dyDescent="0.25">
      <c r="B3621" s="23"/>
      <c r="E3621" s="23"/>
      <c r="G3621" s="23"/>
      <c r="H3621" s="23"/>
      <c r="J3621" s="23"/>
      <c r="K3621" s="23"/>
      <c r="M3621" s="23"/>
      <c r="N3621" s="23"/>
      <c r="P3621" s="23"/>
    </row>
    <row r="3622" spans="2:16" x14ac:dyDescent="0.25">
      <c r="B3622" s="23"/>
      <c r="E3622" s="23"/>
      <c r="G3622" s="23"/>
      <c r="H3622" s="23"/>
      <c r="J3622" s="23"/>
      <c r="K3622" s="23"/>
      <c r="M3622" s="23"/>
      <c r="N3622" s="23"/>
      <c r="P3622" s="23"/>
    </row>
    <row r="3623" spans="2:16" x14ac:dyDescent="0.25">
      <c r="B3623" s="23"/>
      <c r="E3623" s="23"/>
      <c r="G3623" s="23"/>
      <c r="H3623" s="23"/>
      <c r="J3623" s="23"/>
      <c r="K3623" s="23"/>
      <c r="M3623" s="23"/>
      <c r="N3623" s="23"/>
      <c r="P3623" s="23"/>
    </row>
    <row r="3624" spans="2:16" x14ac:dyDescent="0.25">
      <c r="B3624" s="23"/>
      <c r="E3624" s="23"/>
      <c r="G3624" s="23"/>
      <c r="H3624" s="23"/>
      <c r="J3624" s="23"/>
      <c r="K3624" s="23"/>
      <c r="M3624" s="23"/>
      <c r="N3624" s="23"/>
      <c r="P3624" s="23"/>
    </row>
    <row r="3625" spans="2:16" x14ac:dyDescent="0.25">
      <c r="B3625" s="23"/>
      <c r="E3625" s="23"/>
      <c r="G3625" s="23"/>
      <c r="H3625" s="23"/>
      <c r="J3625" s="23"/>
      <c r="K3625" s="23"/>
      <c r="M3625" s="23"/>
      <c r="N3625" s="23"/>
      <c r="P3625" s="23"/>
    </row>
    <row r="3626" spans="2:16" x14ac:dyDescent="0.25">
      <c r="B3626" s="23"/>
      <c r="E3626" s="23"/>
      <c r="G3626" s="23"/>
      <c r="H3626" s="23"/>
      <c r="J3626" s="23"/>
      <c r="K3626" s="23"/>
      <c r="M3626" s="23"/>
      <c r="N3626" s="23"/>
      <c r="P3626" s="23"/>
    </row>
    <row r="3627" spans="2:16" x14ac:dyDescent="0.25">
      <c r="B3627" s="23"/>
      <c r="E3627" s="23"/>
      <c r="G3627" s="23"/>
      <c r="H3627" s="23"/>
      <c r="J3627" s="23"/>
      <c r="K3627" s="23"/>
      <c r="M3627" s="23"/>
      <c r="N3627" s="23"/>
      <c r="P3627" s="23"/>
    </row>
    <row r="3628" spans="2:16" x14ac:dyDescent="0.25">
      <c r="B3628" s="23"/>
      <c r="E3628" s="23"/>
      <c r="G3628" s="23"/>
      <c r="H3628" s="23"/>
      <c r="J3628" s="23"/>
      <c r="K3628" s="23"/>
      <c r="M3628" s="23"/>
      <c r="N3628" s="23"/>
      <c r="P3628" s="23"/>
    </row>
    <row r="3629" spans="2:16" x14ac:dyDescent="0.25">
      <c r="B3629" s="23"/>
      <c r="E3629" s="23"/>
      <c r="G3629" s="23"/>
      <c r="H3629" s="23"/>
      <c r="J3629" s="23"/>
      <c r="K3629" s="23"/>
      <c r="M3629" s="23"/>
      <c r="N3629" s="23"/>
      <c r="P3629" s="23"/>
    </row>
    <row r="3630" spans="2:16" x14ac:dyDescent="0.25">
      <c r="B3630" s="23"/>
      <c r="E3630" s="23"/>
      <c r="G3630" s="23"/>
      <c r="H3630" s="23"/>
      <c r="J3630" s="23"/>
      <c r="K3630" s="23"/>
      <c r="M3630" s="23"/>
      <c r="N3630" s="23"/>
      <c r="P3630" s="23"/>
    </row>
    <row r="3631" spans="2:16" x14ac:dyDescent="0.25">
      <c r="B3631" s="23"/>
      <c r="E3631" s="23"/>
      <c r="G3631" s="23"/>
      <c r="H3631" s="23"/>
      <c r="J3631" s="23"/>
      <c r="K3631" s="23"/>
      <c r="M3631" s="23"/>
      <c r="N3631" s="23"/>
      <c r="P3631" s="23"/>
    </row>
    <row r="3632" spans="2:16" x14ac:dyDescent="0.25">
      <c r="B3632" s="23"/>
      <c r="E3632" s="23"/>
      <c r="G3632" s="23"/>
      <c r="H3632" s="23"/>
      <c r="J3632" s="23"/>
      <c r="K3632" s="23"/>
      <c r="M3632" s="23"/>
      <c r="N3632" s="23"/>
      <c r="P3632" s="23"/>
    </row>
    <row r="3633" spans="2:16" x14ac:dyDescent="0.25">
      <c r="B3633" s="23"/>
      <c r="E3633" s="23"/>
      <c r="G3633" s="23"/>
      <c r="H3633" s="23"/>
      <c r="J3633" s="23"/>
      <c r="K3633" s="23"/>
      <c r="M3633" s="23"/>
      <c r="N3633" s="23"/>
      <c r="P3633" s="23"/>
    </row>
    <row r="3634" spans="2:16" x14ac:dyDescent="0.25">
      <c r="B3634" s="23"/>
      <c r="E3634" s="23"/>
      <c r="G3634" s="23"/>
      <c r="H3634" s="23"/>
      <c r="J3634" s="23"/>
      <c r="K3634" s="23"/>
      <c r="M3634" s="23"/>
      <c r="N3634" s="23"/>
      <c r="P3634" s="23"/>
    </row>
    <row r="3635" spans="2:16" x14ac:dyDescent="0.25">
      <c r="B3635" s="23"/>
      <c r="E3635" s="23"/>
      <c r="G3635" s="23"/>
      <c r="H3635" s="23"/>
      <c r="J3635" s="23"/>
      <c r="K3635" s="23"/>
      <c r="M3635" s="23"/>
      <c r="N3635" s="23"/>
      <c r="P3635" s="23"/>
    </row>
    <row r="3636" spans="2:16" x14ac:dyDescent="0.25">
      <c r="B3636" s="23"/>
      <c r="E3636" s="23"/>
      <c r="G3636" s="23"/>
      <c r="H3636" s="23"/>
      <c r="J3636" s="23"/>
      <c r="K3636" s="23"/>
      <c r="M3636" s="23"/>
      <c r="N3636" s="23"/>
      <c r="P3636" s="23"/>
    </row>
    <row r="3637" spans="2:16" x14ac:dyDescent="0.25">
      <c r="B3637" s="23"/>
      <c r="E3637" s="23"/>
      <c r="G3637" s="23"/>
      <c r="H3637" s="23"/>
      <c r="J3637" s="23"/>
      <c r="K3637" s="23"/>
      <c r="M3637" s="23"/>
      <c r="N3637" s="23"/>
      <c r="P3637" s="23"/>
    </row>
    <row r="3638" spans="2:16" x14ac:dyDescent="0.25">
      <c r="B3638" s="23"/>
      <c r="E3638" s="23"/>
      <c r="G3638" s="23"/>
      <c r="H3638" s="23"/>
      <c r="J3638" s="23"/>
      <c r="K3638" s="23"/>
      <c r="M3638" s="23"/>
      <c r="N3638" s="23"/>
      <c r="P3638" s="23"/>
    </row>
    <row r="3639" spans="2:16" x14ac:dyDescent="0.25">
      <c r="B3639" s="23"/>
      <c r="E3639" s="23"/>
      <c r="G3639" s="23"/>
      <c r="H3639" s="23"/>
      <c r="J3639" s="23"/>
      <c r="K3639" s="23"/>
      <c r="M3639" s="23"/>
      <c r="N3639" s="23"/>
      <c r="P3639" s="23"/>
    </row>
    <row r="3640" spans="2:16" x14ac:dyDescent="0.25">
      <c r="B3640" s="23"/>
      <c r="E3640" s="23"/>
      <c r="G3640" s="23"/>
      <c r="H3640" s="23"/>
      <c r="J3640" s="23"/>
      <c r="K3640" s="23"/>
      <c r="M3640" s="23"/>
      <c r="N3640" s="23"/>
      <c r="P3640" s="23"/>
    </row>
    <row r="3641" spans="2:16" x14ac:dyDescent="0.25">
      <c r="B3641" s="23"/>
      <c r="E3641" s="23"/>
      <c r="G3641" s="23"/>
      <c r="H3641" s="23"/>
      <c r="J3641" s="23"/>
      <c r="K3641" s="23"/>
      <c r="M3641" s="23"/>
      <c r="N3641" s="23"/>
      <c r="P3641" s="23"/>
    </row>
    <row r="3642" spans="2:16" x14ac:dyDescent="0.25">
      <c r="B3642" s="23"/>
      <c r="E3642" s="23"/>
      <c r="G3642" s="23"/>
      <c r="H3642" s="23"/>
      <c r="J3642" s="23"/>
      <c r="K3642" s="23"/>
      <c r="M3642" s="23"/>
      <c r="N3642" s="23"/>
      <c r="P3642" s="23"/>
    </row>
    <row r="3643" spans="2:16" x14ac:dyDescent="0.25">
      <c r="B3643" s="23"/>
      <c r="E3643" s="23"/>
      <c r="G3643" s="23"/>
      <c r="H3643" s="23"/>
      <c r="J3643" s="23"/>
      <c r="K3643" s="23"/>
      <c r="M3643" s="23"/>
      <c r="N3643" s="23"/>
      <c r="P3643" s="23"/>
    </row>
    <row r="3644" spans="2:16" x14ac:dyDescent="0.25">
      <c r="B3644" s="23"/>
      <c r="E3644" s="23"/>
      <c r="G3644" s="23"/>
      <c r="H3644" s="23"/>
      <c r="J3644" s="23"/>
      <c r="K3644" s="23"/>
      <c r="M3644" s="23"/>
      <c r="N3644" s="23"/>
      <c r="P3644" s="23"/>
    </row>
    <row r="3645" spans="2:16" x14ac:dyDescent="0.25">
      <c r="B3645" s="23"/>
      <c r="E3645" s="23"/>
      <c r="G3645" s="23"/>
      <c r="H3645" s="23"/>
      <c r="J3645" s="23"/>
      <c r="K3645" s="23"/>
      <c r="M3645" s="23"/>
      <c r="N3645" s="23"/>
      <c r="P3645" s="23"/>
    </row>
    <row r="3646" spans="2:16" x14ac:dyDescent="0.25">
      <c r="B3646" s="23"/>
      <c r="E3646" s="23"/>
      <c r="G3646" s="23"/>
      <c r="H3646" s="23"/>
      <c r="J3646" s="23"/>
      <c r="K3646" s="23"/>
      <c r="M3646" s="23"/>
      <c r="N3646" s="23"/>
      <c r="P3646" s="23"/>
    </row>
    <row r="3647" spans="2:16" x14ac:dyDescent="0.25">
      <c r="B3647" s="23"/>
      <c r="E3647" s="23"/>
      <c r="G3647" s="23"/>
      <c r="H3647" s="23"/>
      <c r="J3647" s="23"/>
      <c r="K3647" s="23"/>
      <c r="M3647" s="23"/>
      <c r="N3647" s="23"/>
      <c r="P3647" s="23"/>
    </row>
    <row r="3648" spans="2:16" x14ac:dyDescent="0.25">
      <c r="B3648" s="23"/>
      <c r="E3648" s="23"/>
      <c r="G3648" s="23"/>
      <c r="H3648" s="23"/>
      <c r="J3648" s="23"/>
      <c r="K3648" s="23"/>
      <c r="M3648" s="23"/>
      <c r="N3648" s="23"/>
      <c r="P3648" s="23"/>
    </row>
    <row r="3649" spans="2:16" x14ac:dyDescent="0.25">
      <c r="B3649" s="23"/>
      <c r="E3649" s="23"/>
      <c r="G3649" s="23"/>
      <c r="H3649" s="23"/>
      <c r="J3649" s="23"/>
      <c r="K3649" s="23"/>
      <c r="M3649" s="23"/>
      <c r="N3649" s="23"/>
      <c r="P3649" s="23"/>
    </row>
    <row r="3650" spans="2:16" x14ac:dyDescent="0.25">
      <c r="B3650" s="23"/>
      <c r="E3650" s="23"/>
      <c r="G3650" s="23"/>
      <c r="H3650" s="23"/>
      <c r="J3650" s="23"/>
      <c r="K3650" s="23"/>
      <c r="M3650" s="23"/>
      <c r="N3650" s="23"/>
      <c r="P3650" s="23"/>
    </row>
    <row r="3651" spans="2:16" x14ac:dyDescent="0.25">
      <c r="B3651" s="23"/>
      <c r="E3651" s="23"/>
      <c r="G3651" s="23"/>
      <c r="H3651" s="23"/>
      <c r="J3651" s="23"/>
      <c r="K3651" s="23"/>
      <c r="M3651" s="23"/>
      <c r="N3651" s="23"/>
      <c r="P3651" s="23"/>
    </row>
    <row r="3652" spans="2:16" x14ac:dyDescent="0.25">
      <c r="B3652" s="23"/>
      <c r="E3652" s="23"/>
      <c r="G3652" s="23"/>
      <c r="H3652" s="23"/>
      <c r="J3652" s="23"/>
      <c r="K3652" s="23"/>
      <c r="M3652" s="23"/>
      <c r="N3652" s="23"/>
      <c r="P3652" s="23"/>
    </row>
    <row r="3653" spans="2:16" x14ac:dyDescent="0.25">
      <c r="B3653" s="23"/>
      <c r="E3653" s="23"/>
      <c r="G3653" s="23"/>
      <c r="H3653" s="23"/>
      <c r="J3653" s="23"/>
      <c r="K3653" s="23"/>
      <c r="M3653" s="23"/>
      <c r="N3653" s="23"/>
      <c r="P3653" s="23"/>
    </row>
    <row r="3654" spans="2:16" x14ac:dyDescent="0.25">
      <c r="B3654" s="23"/>
      <c r="E3654" s="23"/>
      <c r="G3654" s="23"/>
      <c r="H3654" s="23"/>
      <c r="J3654" s="23"/>
      <c r="K3654" s="23"/>
      <c r="M3654" s="23"/>
      <c r="N3654" s="23"/>
      <c r="P3654" s="23"/>
    </row>
    <row r="3655" spans="2:16" x14ac:dyDescent="0.25">
      <c r="B3655" s="23"/>
      <c r="E3655" s="23"/>
      <c r="G3655" s="23"/>
      <c r="H3655" s="23"/>
      <c r="J3655" s="23"/>
      <c r="K3655" s="23"/>
      <c r="M3655" s="23"/>
      <c r="N3655" s="23"/>
      <c r="P3655" s="23"/>
    </row>
    <row r="3656" spans="2:16" x14ac:dyDescent="0.25">
      <c r="B3656" s="23"/>
      <c r="E3656" s="23"/>
      <c r="G3656" s="23"/>
      <c r="H3656" s="23"/>
      <c r="J3656" s="23"/>
      <c r="K3656" s="23"/>
      <c r="M3656" s="23"/>
      <c r="N3656" s="23"/>
      <c r="P3656" s="23"/>
    </row>
    <row r="3657" spans="2:16" x14ac:dyDescent="0.25">
      <c r="B3657" s="23"/>
      <c r="E3657" s="23"/>
      <c r="G3657" s="23"/>
      <c r="H3657" s="23"/>
      <c r="J3657" s="23"/>
      <c r="K3657" s="23"/>
      <c r="M3657" s="23"/>
      <c r="N3657" s="23"/>
      <c r="P3657" s="23"/>
    </row>
    <row r="3658" spans="2:16" x14ac:dyDescent="0.25">
      <c r="B3658" s="23"/>
      <c r="E3658" s="23"/>
      <c r="G3658" s="23"/>
      <c r="H3658" s="23"/>
      <c r="J3658" s="23"/>
      <c r="K3658" s="23"/>
      <c r="M3658" s="23"/>
      <c r="N3658" s="23"/>
      <c r="P3658" s="23"/>
    </row>
    <row r="3659" spans="2:16" x14ac:dyDescent="0.25">
      <c r="B3659" s="23"/>
      <c r="E3659" s="23"/>
      <c r="G3659" s="23"/>
      <c r="H3659" s="23"/>
      <c r="J3659" s="23"/>
      <c r="K3659" s="23"/>
      <c r="M3659" s="23"/>
      <c r="N3659" s="23"/>
      <c r="P3659" s="23"/>
    </row>
    <row r="3660" spans="2:16" x14ac:dyDescent="0.25">
      <c r="B3660" s="23"/>
      <c r="E3660" s="23"/>
      <c r="G3660" s="23"/>
      <c r="H3660" s="23"/>
      <c r="J3660" s="23"/>
      <c r="K3660" s="23"/>
      <c r="M3660" s="23"/>
      <c r="N3660" s="23"/>
      <c r="P3660" s="23"/>
    </row>
    <row r="3661" spans="2:16" x14ac:dyDescent="0.25">
      <c r="B3661" s="23"/>
      <c r="E3661" s="23"/>
      <c r="G3661" s="23"/>
      <c r="H3661" s="23"/>
      <c r="J3661" s="23"/>
      <c r="K3661" s="23"/>
      <c r="M3661" s="23"/>
      <c r="N3661" s="23"/>
      <c r="P3661" s="23"/>
    </row>
    <row r="3662" spans="2:16" x14ac:dyDescent="0.25">
      <c r="B3662" s="23"/>
      <c r="E3662" s="23"/>
      <c r="G3662" s="23"/>
      <c r="H3662" s="23"/>
      <c r="J3662" s="23"/>
      <c r="K3662" s="23"/>
      <c r="M3662" s="23"/>
      <c r="N3662" s="23"/>
      <c r="P3662" s="23"/>
    </row>
    <row r="3663" spans="2:16" x14ac:dyDescent="0.25">
      <c r="B3663" s="23"/>
      <c r="E3663" s="23"/>
      <c r="G3663" s="23"/>
      <c r="H3663" s="23"/>
      <c r="J3663" s="23"/>
      <c r="K3663" s="23"/>
      <c r="M3663" s="23"/>
      <c r="N3663" s="23"/>
      <c r="P3663" s="23"/>
    </row>
    <row r="3664" spans="2:16" x14ac:dyDescent="0.25">
      <c r="B3664" s="23"/>
      <c r="E3664" s="23"/>
      <c r="G3664" s="23"/>
      <c r="H3664" s="23"/>
      <c r="J3664" s="23"/>
      <c r="K3664" s="23"/>
      <c r="M3664" s="23"/>
      <c r="N3664" s="23"/>
      <c r="P3664" s="23"/>
    </row>
    <row r="3665" spans="2:16" x14ac:dyDescent="0.25">
      <c r="B3665" s="23"/>
      <c r="E3665" s="23"/>
      <c r="G3665" s="23"/>
      <c r="H3665" s="23"/>
      <c r="J3665" s="23"/>
      <c r="K3665" s="23"/>
      <c r="M3665" s="23"/>
      <c r="N3665" s="23"/>
      <c r="P3665" s="23"/>
    </row>
    <row r="3666" spans="2:16" x14ac:dyDescent="0.25">
      <c r="B3666" s="23"/>
      <c r="E3666" s="23"/>
      <c r="G3666" s="23"/>
      <c r="H3666" s="23"/>
      <c r="J3666" s="23"/>
      <c r="K3666" s="23"/>
      <c r="M3666" s="23"/>
      <c r="N3666" s="23"/>
      <c r="P3666" s="23"/>
    </row>
    <row r="3667" spans="2:16" x14ac:dyDescent="0.25">
      <c r="B3667" s="23"/>
      <c r="E3667" s="23"/>
      <c r="G3667" s="23"/>
      <c r="H3667" s="23"/>
      <c r="J3667" s="23"/>
      <c r="K3667" s="23"/>
      <c r="M3667" s="23"/>
      <c r="N3667" s="23"/>
      <c r="P3667" s="23"/>
    </row>
    <row r="3668" spans="2:16" x14ac:dyDescent="0.25">
      <c r="B3668" s="23"/>
      <c r="E3668" s="23"/>
      <c r="G3668" s="23"/>
      <c r="H3668" s="23"/>
      <c r="J3668" s="23"/>
      <c r="K3668" s="23"/>
      <c r="M3668" s="23"/>
      <c r="N3668" s="23"/>
      <c r="P3668" s="23"/>
    </row>
    <row r="3669" spans="2:16" x14ac:dyDescent="0.25">
      <c r="B3669" s="23"/>
      <c r="E3669" s="23"/>
      <c r="G3669" s="23"/>
      <c r="H3669" s="23"/>
      <c r="J3669" s="23"/>
      <c r="K3669" s="23"/>
      <c r="M3669" s="23"/>
      <c r="N3669" s="23"/>
      <c r="P3669" s="23"/>
    </row>
    <row r="3670" spans="2:16" x14ac:dyDescent="0.25">
      <c r="B3670" s="23"/>
      <c r="E3670" s="23"/>
      <c r="G3670" s="23"/>
      <c r="H3670" s="23"/>
      <c r="J3670" s="23"/>
      <c r="K3670" s="23"/>
      <c r="M3670" s="23"/>
      <c r="N3670" s="23"/>
      <c r="P3670" s="23"/>
    </row>
    <row r="3671" spans="2:16" x14ac:dyDescent="0.25">
      <c r="B3671" s="23"/>
      <c r="E3671" s="23"/>
      <c r="G3671" s="23"/>
      <c r="H3671" s="23"/>
      <c r="J3671" s="23"/>
      <c r="K3671" s="23"/>
      <c r="M3671" s="23"/>
      <c r="N3671" s="23"/>
      <c r="P3671" s="23"/>
    </row>
    <row r="3672" spans="2:16" x14ac:dyDescent="0.25">
      <c r="B3672" s="23"/>
      <c r="E3672" s="23"/>
      <c r="G3672" s="23"/>
      <c r="H3672" s="23"/>
      <c r="J3672" s="23"/>
      <c r="K3672" s="23"/>
      <c r="M3672" s="23"/>
      <c r="N3672" s="23"/>
      <c r="P3672" s="23"/>
    </row>
    <row r="3673" spans="2:16" x14ac:dyDescent="0.25">
      <c r="B3673" s="23"/>
      <c r="E3673" s="23"/>
      <c r="G3673" s="23"/>
      <c r="H3673" s="23"/>
      <c r="J3673" s="23"/>
      <c r="K3673" s="23"/>
      <c r="M3673" s="23"/>
      <c r="N3673" s="23"/>
      <c r="P3673" s="23"/>
    </row>
    <row r="3674" spans="2:16" x14ac:dyDescent="0.25">
      <c r="B3674" s="23"/>
      <c r="E3674" s="23"/>
      <c r="G3674" s="23"/>
      <c r="H3674" s="23"/>
      <c r="J3674" s="23"/>
      <c r="K3674" s="23"/>
      <c r="M3674" s="23"/>
      <c r="N3674" s="23"/>
      <c r="P3674" s="23"/>
    </row>
    <row r="3675" spans="2:16" x14ac:dyDescent="0.25">
      <c r="B3675" s="23"/>
      <c r="E3675" s="23"/>
      <c r="G3675" s="23"/>
      <c r="H3675" s="23"/>
      <c r="J3675" s="23"/>
      <c r="K3675" s="23"/>
      <c r="M3675" s="23"/>
      <c r="N3675" s="23"/>
      <c r="P3675" s="23"/>
    </row>
    <row r="3676" spans="2:16" x14ac:dyDescent="0.25">
      <c r="B3676" s="23"/>
      <c r="E3676" s="23"/>
      <c r="G3676" s="23"/>
      <c r="H3676" s="23"/>
      <c r="J3676" s="23"/>
      <c r="K3676" s="23"/>
      <c r="M3676" s="23"/>
      <c r="N3676" s="23"/>
      <c r="P3676" s="23"/>
    </row>
    <row r="3677" spans="2:16" x14ac:dyDescent="0.25">
      <c r="B3677" s="23"/>
      <c r="E3677" s="23"/>
      <c r="G3677" s="23"/>
      <c r="H3677" s="23"/>
      <c r="J3677" s="23"/>
      <c r="K3677" s="23"/>
      <c r="M3677" s="23"/>
      <c r="N3677" s="23"/>
      <c r="P3677" s="23"/>
    </row>
    <row r="3678" spans="2:16" x14ac:dyDescent="0.25">
      <c r="B3678" s="23"/>
      <c r="E3678" s="23"/>
      <c r="G3678" s="23"/>
      <c r="H3678" s="23"/>
      <c r="J3678" s="23"/>
      <c r="K3678" s="23"/>
      <c r="M3678" s="23"/>
      <c r="N3678" s="23"/>
      <c r="P3678" s="23"/>
    </row>
    <row r="3679" spans="2:16" x14ac:dyDescent="0.25">
      <c r="B3679" s="23"/>
      <c r="E3679" s="23"/>
      <c r="G3679" s="23"/>
      <c r="H3679" s="23"/>
      <c r="J3679" s="23"/>
      <c r="K3679" s="23"/>
      <c r="M3679" s="23"/>
      <c r="N3679" s="23"/>
      <c r="P3679" s="23"/>
    </row>
    <row r="3680" spans="2:16" x14ac:dyDescent="0.25">
      <c r="B3680" s="23"/>
      <c r="E3680" s="23"/>
      <c r="G3680" s="23"/>
      <c r="H3680" s="23"/>
      <c r="J3680" s="23"/>
      <c r="K3680" s="23"/>
      <c r="M3680" s="23"/>
      <c r="N3680" s="23"/>
      <c r="P3680" s="23"/>
    </row>
    <row r="3681" spans="2:16" x14ac:dyDescent="0.25">
      <c r="B3681" s="23"/>
      <c r="E3681" s="23"/>
      <c r="G3681" s="23"/>
      <c r="H3681" s="23"/>
      <c r="J3681" s="23"/>
      <c r="K3681" s="23"/>
      <c r="M3681" s="23"/>
      <c r="N3681" s="23"/>
      <c r="P3681" s="23"/>
    </row>
    <row r="3682" spans="2:16" x14ac:dyDescent="0.25">
      <c r="B3682" s="23"/>
      <c r="E3682" s="23"/>
      <c r="G3682" s="23"/>
      <c r="H3682" s="23"/>
      <c r="J3682" s="23"/>
      <c r="K3682" s="23"/>
      <c r="M3682" s="23"/>
      <c r="N3682" s="23"/>
      <c r="P3682" s="23"/>
    </row>
    <row r="3683" spans="2:16" x14ac:dyDescent="0.25">
      <c r="B3683" s="23"/>
      <c r="E3683" s="23"/>
      <c r="G3683" s="23"/>
      <c r="H3683" s="23"/>
      <c r="J3683" s="23"/>
      <c r="K3683" s="23"/>
      <c r="M3683" s="23"/>
      <c r="N3683" s="23"/>
      <c r="P3683" s="23"/>
    </row>
    <row r="3684" spans="2:16" x14ac:dyDescent="0.25">
      <c r="B3684" s="23"/>
      <c r="E3684" s="23"/>
      <c r="G3684" s="23"/>
      <c r="H3684" s="23"/>
      <c r="J3684" s="23"/>
      <c r="K3684" s="23"/>
      <c r="M3684" s="23"/>
      <c r="N3684" s="23"/>
      <c r="P3684" s="23"/>
    </row>
    <row r="3685" spans="2:16" x14ac:dyDescent="0.25">
      <c r="B3685" s="23"/>
      <c r="E3685" s="23"/>
      <c r="G3685" s="23"/>
      <c r="H3685" s="23"/>
      <c r="J3685" s="23"/>
      <c r="K3685" s="23"/>
      <c r="M3685" s="23"/>
      <c r="N3685" s="23"/>
      <c r="P3685" s="23"/>
    </row>
    <row r="3686" spans="2:16" x14ac:dyDescent="0.25">
      <c r="B3686" s="23"/>
      <c r="E3686" s="23"/>
      <c r="G3686" s="23"/>
      <c r="H3686" s="23"/>
      <c r="J3686" s="23"/>
      <c r="K3686" s="23"/>
      <c r="M3686" s="23"/>
      <c r="N3686" s="23"/>
      <c r="P3686" s="23"/>
    </row>
    <row r="3687" spans="2:16" x14ac:dyDescent="0.25">
      <c r="B3687" s="23"/>
      <c r="E3687" s="23"/>
      <c r="G3687" s="23"/>
      <c r="H3687" s="23"/>
      <c r="J3687" s="23"/>
      <c r="K3687" s="23"/>
      <c r="M3687" s="23"/>
      <c r="N3687" s="23"/>
      <c r="P3687" s="23"/>
    </row>
    <row r="3688" spans="2:16" x14ac:dyDescent="0.25">
      <c r="B3688" s="23"/>
      <c r="E3688" s="23"/>
      <c r="G3688" s="23"/>
      <c r="H3688" s="23"/>
      <c r="J3688" s="23"/>
      <c r="K3688" s="23"/>
      <c r="M3688" s="23"/>
      <c r="N3688" s="23"/>
      <c r="P3688" s="23"/>
    </row>
    <row r="3689" spans="2:16" x14ac:dyDescent="0.25">
      <c r="B3689" s="23"/>
      <c r="E3689" s="23"/>
      <c r="G3689" s="23"/>
      <c r="H3689" s="23"/>
      <c r="J3689" s="23"/>
      <c r="K3689" s="23"/>
      <c r="M3689" s="23"/>
      <c r="N3689" s="23"/>
      <c r="P3689" s="23"/>
    </row>
    <row r="3690" spans="2:16" x14ac:dyDescent="0.25">
      <c r="B3690" s="23"/>
      <c r="E3690" s="23"/>
      <c r="G3690" s="23"/>
      <c r="H3690" s="23"/>
      <c r="J3690" s="23"/>
      <c r="K3690" s="23"/>
      <c r="M3690" s="23"/>
      <c r="N3690" s="23"/>
      <c r="P3690" s="23"/>
    </row>
    <row r="3691" spans="2:16" x14ac:dyDescent="0.25">
      <c r="B3691" s="23"/>
      <c r="E3691" s="23"/>
      <c r="G3691" s="23"/>
      <c r="H3691" s="23"/>
      <c r="J3691" s="23"/>
      <c r="K3691" s="23"/>
      <c r="M3691" s="23"/>
      <c r="N3691" s="23"/>
      <c r="P3691" s="23"/>
    </row>
    <row r="3692" spans="2:16" x14ac:dyDescent="0.25">
      <c r="B3692" s="23"/>
      <c r="E3692" s="23"/>
      <c r="G3692" s="23"/>
      <c r="H3692" s="23"/>
      <c r="J3692" s="23"/>
      <c r="K3692" s="23"/>
      <c r="M3692" s="23"/>
      <c r="N3692" s="23"/>
      <c r="P3692" s="23"/>
    </row>
    <row r="3693" spans="2:16" x14ac:dyDescent="0.25">
      <c r="B3693" s="23"/>
      <c r="E3693" s="23"/>
      <c r="G3693" s="23"/>
      <c r="H3693" s="23"/>
      <c r="J3693" s="23"/>
      <c r="K3693" s="23"/>
      <c r="M3693" s="23"/>
      <c r="N3693" s="23"/>
      <c r="P3693" s="23"/>
    </row>
    <row r="3694" spans="2:16" x14ac:dyDescent="0.25">
      <c r="B3694" s="23"/>
      <c r="E3694" s="23"/>
      <c r="G3694" s="23"/>
      <c r="H3694" s="23"/>
      <c r="J3694" s="23"/>
      <c r="K3694" s="23"/>
      <c r="M3694" s="23"/>
      <c r="N3694" s="23"/>
      <c r="P3694" s="23"/>
    </row>
    <row r="3695" spans="2:16" x14ac:dyDescent="0.25">
      <c r="B3695" s="23"/>
      <c r="E3695" s="23"/>
      <c r="G3695" s="23"/>
      <c r="H3695" s="23"/>
      <c r="J3695" s="23"/>
      <c r="K3695" s="23"/>
      <c r="M3695" s="23"/>
      <c r="N3695" s="23"/>
      <c r="P3695" s="23"/>
    </row>
    <row r="3696" spans="2:16" x14ac:dyDescent="0.25">
      <c r="B3696" s="23"/>
      <c r="E3696" s="23"/>
      <c r="G3696" s="23"/>
      <c r="H3696" s="23"/>
      <c r="J3696" s="23"/>
      <c r="K3696" s="23"/>
      <c r="M3696" s="23"/>
      <c r="N3696" s="23"/>
      <c r="P3696" s="23"/>
    </row>
    <row r="3697" spans="2:16" x14ac:dyDescent="0.25">
      <c r="B3697" s="23"/>
      <c r="E3697" s="23"/>
      <c r="G3697" s="23"/>
      <c r="H3697" s="23"/>
      <c r="J3697" s="23"/>
      <c r="K3697" s="23"/>
      <c r="M3697" s="23"/>
      <c r="N3697" s="23"/>
      <c r="P3697" s="23"/>
    </row>
    <row r="3698" spans="2:16" x14ac:dyDescent="0.25">
      <c r="B3698" s="23"/>
      <c r="E3698" s="23"/>
      <c r="G3698" s="23"/>
      <c r="H3698" s="23"/>
      <c r="J3698" s="23"/>
      <c r="K3698" s="23"/>
      <c r="M3698" s="23"/>
      <c r="N3698" s="23"/>
      <c r="P3698" s="23"/>
    </row>
    <row r="3699" spans="2:16" x14ac:dyDescent="0.25">
      <c r="B3699" s="23"/>
      <c r="E3699" s="23"/>
      <c r="G3699" s="23"/>
      <c r="H3699" s="23"/>
      <c r="J3699" s="23"/>
      <c r="K3699" s="23"/>
      <c r="M3699" s="23"/>
      <c r="N3699" s="23"/>
      <c r="P3699" s="23"/>
    </row>
    <row r="3700" spans="2:16" x14ac:dyDescent="0.25">
      <c r="B3700" s="23"/>
      <c r="E3700" s="23"/>
      <c r="G3700" s="23"/>
      <c r="H3700" s="23"/>
      <c r="J3700" s="23"/>
      <c r="K3700" s="23"/>
      <c r="M3700" s="23"/>
      <c r="N3700" s="23"/>
      <c r="P3700" s="23"/>
    </row>
    <row r="3701" spans="2:16" x14ac:dyDescent="0.25">
      <c r="B3701" s="23"/>
      <c r="E3701" s="23"/>
      <c r="G3701" s="23"/>
      <c r="H3701" s="23"/>
      <c r="J3701" s="23"/>
      <c r="K3701" s="23"/>
      <c r="M3701" s="23"/>
      <c r="N3701" s="23"/>
      <c r="P3701" s="23"/>
    </row>
    <row r="3702" spans="2:16" x14ac:dyDescent="0.25">
      <c r="B3702" s="23"/>
      <c r="E3702" s="23"/>
      <c r="G3702" s="23"/>
      <c r="H3702" s="23"/>
      <c r="J3702" s="23"/>
      <c r="K3702" s="23"/>
      <c r="M3702" s="23"/>
      <c r="N3702" s="23"/>
      <c r="P3702" s="23"/>
    </row>
    <row r="3703" spans="2:16" x14ac:dyDescent="0.25">
      <c r="B3703" s="23"/>
      <c r="E3703" s="23"/>
      <c r="G3703" s="23"/>
      <c r="H3703" s="23"/>
      <c r="J3703" s="23"/>
      <c r="K3703" s="23"/>
      <c r="M3703" s="23"/>
      <c r="N3703" s="23"/>
      <c r="P3703" s="23"/>
    </row>
    <row r="3704" spans="2:16" x14ac:dyDescent="0.25">
      <c r="B3704" s="23"/>
      <c r="E3704" s="23"/>
      <c r="G3704" s="23"/>
      <c r="H3704" s="23"/>
      <c r="J3704" s="23"/>
      <c r="K3704" s="23"/>
      <c r="M3704" s="23"/>
      <c r="N3704" s="23"/>
      <c r="P3704" s="23"/>
    </row>
    <row r="3705" spans="2:16" x14ac:dyDescent="0.25">
      <c r="B3705" s="23"/>
      <c r="E3705" s="23"/>
      <c r="G3705" s="23"/>
      <c r="H3705" s="23"/>
      <c r="J3705" s="23"/>
      <c r="K3705" s="23"/>
      <c r="M3705" s="23"/>
      <c r="N3705" s="23"/>
      <c r="P3705" s="23"/>
    </row>
    <row r="3706" spans="2:16" x14ac:dyDescent="0.25">
      <c r="B3706" s="23"/>
      <c r="E3706" s="23"/>
      <c r="G3706" s="23"/>
      <c r="H3706" s="23"/>
      <c r="J3706" s="23"/>
      <c r="K3706" s="23"/>
      <c r="M3706" s="23"/>
      <c r="N3706" s="23"/>
      <c r="P3706" s="23"/>
    </row>
    <row r="3707" spans="2:16" x14ac:dyDescent="0.25">
      <c r="B3707" s="23"/>
      <c r="E3707" s="23"/>
      <c r="G3707" s="23"/>
      <c r="H3707" s="23"/>
      <c r="J3707" s="23"/>
      <c r="K3707" s="23"/>
      <c r="M3707" s="23"/>
      <c r="N3707" s="23"/>
      <c r="P3707" s="23"/>
    </row>
    <row r="3708" spans="2:16" x14ac:dyDescent="0.25">
      <c r="B3708" s="23"/>
      <c r="E3708" s="23"/>
      <c r="G3708" s="23"/>
      <c r="H3708" s="23"/>
      <c r="J3708" s="23"/>
      <c r="K3708" s="23"/>
      <c r="M3708" s="23"/>
      <c r="N3708" s="23"/>
      <c r="P3708" s="23"/>
    </row>
    <row r="3709" spans="2:16" x14ac:dyDescent="0.25">
      <c r="B3709" s="23"/>
      <c r="E3709" s="23"/>
      <c r="G3709" s="23"/>
      <c r="H3709" s="23"/>
      <c r="J3709" s="23"/>
      <c r="K3709" s="23"/>
      <c r="M3709" s="23"/>
      <c r="N3709" s="23"/>
      <c r="P3709" s="23"/>
    </row>
    <row r="3710" spans="2:16" x14ac:dyDescent="0.25">
      <c r="B3710" s="23"/>
      <c r="E3710" s="23"/>
      <c r="G3710" s="23"/>
      <c r="H3710" s="23"/>
      <c r="J3710" s="23"/>
      <c r="K3710" s="23"/>
      <c r="M3710" s="23"/>
      <c r="N3710" s="23"/>
      <c r="P3710" s="23"/>
    </row>
    <row r="3711" spans="2:16" x14ac:dyDescent="0.25">
      <c r="B3711" s="23"/>
      <c r="E3711" s="23"/>
      <c r="G3711" s="23"/>
      <c r="H3711" s="23"/>
      <c r="J3711" s="23"/>
      <c r="K3711" s="23"/>
      <c r="M3711" s="23"/>
      <c r="N3711" s="23"/>
      <c r="P3711" s="23"/>
    </row>
    <row r="3712" spans="2:16" x14ac:dyDescent="0.25">
      <c r="B3712" s="23"/>
      <c r="E3712" s="23"/>
      <c r="G3712" s="23"/>
      <c r="H3712" s="23"/>
      <c r="J3712" s="23"/>
      <c r="K3712" s="23"/>
      <c r="M3712" s="23"/>
      <c r="N3712" s="23"/>
      <c r="P3712" s="23"/>
    </row>
    <row r="3713" spans="2:16" x14ac:dyDescent="0.25">
      <c r="B3713" s="23"/>
      <c r="E3713" s="23"/>
      <c r="G3713" s="23"/>
      <c r="H3713" s="23"/>
      <c r="J3713" s="23"/>
      <c r="K3713" s="23"/>
      <c r="M3713" s="23"/>
      <c r="N3713" s="23"/>
      <c r="P3713" s="23"/>
    </row>
    <row r="3714" spans="2:16" x14ac:dyDescent="0.25">
      <c r="B3714" s="23"/>
      <c r="E3714" s="23"/>
      <c r="G3714" s="23"/>
      <c r="H3714" s="23"/>
      <c r="J3714" s="23"/>
      <c r="K3714" s="23"/>
      <c r="M3714" s="23"/>
      <c r="N3714" s="23"/>
      <c r="P3714" s="23"/>
    </row>
    <row r="3715" spans="2:16" x14ac:dyDescent="0.25">
      <c r="B3715" s="23"/>
      <c r="E3715" s="23"/>
      <c r="G3715" s="23"/>
      <c r="H3715" s="23"/>
      <c r="J3715" s="23"/>
      <c r="K3715" s="23"/>
      <c r="M3715" s="23"/>
      <c r="N3715" s="23"/>
      <c r="P3715" s="23"/>
    </row>
    <row r="3716" spans="2:16" x14ac:dyDescent="0.25">
      <c r="B3716" s="23"/>
      <c r="E3716" s="23"/>
      <c r="G3716" s="23"/>
      <c r="H3716" s="23"/>
      <c r="J3716" s="23"/>
      <c r="K3716" s="23"/>
      <c r="M3716" s="23"/>
      <c r="N3716" s="23"/>
      <c r="P3716" s="23"/>
    </row>
    <row r="3717" spans="2:16" x14ac:dyDescent="0.25">
      <c r="B3717" s="23"/>
      <c r="E3717" s="23"/>
      <c r="G3717" s="23"/>
      <c r="H3717" s="23"/>
      <c r="J3717" s="23"/>
      <c r="K3717" s="23"/>
      <c r="M3717" s="23"/>
      <c r="N3717" s="23"/>
      <c r="P3717" s="23"/>
    </row>
    <row r="3718" spans="2:16" x14ac:dyDescent="0.25">
      <c r="B3718" s="23"/>
      <c r="E3718" s="23"/>
      <c r="G3718" s="23"/>
      <c r="H3718" s="23"/>
      <c r="J3718" s="23"/>
      <c r="K3718" s="23"/>
      <c r="M3718" s="23"/>
      <c r="N3718" s="23"/>
      <c r="P3718" s="23"/>
    </row>
    <row r="3719" spans="2:16" x14ac:dyDescent="0.25">
      <c r="B3719" s="23"/>
      <c r="E3719" s="23"/>
      <c r="G3719" s="23"/>
      <c r="H3719" s="23"/>
      <c r="J3719" s="23"/>
      <c r="K3719" s="23"/>
      <c r="M3719" s="23"/>
      <c r="N3719" s="23"/>
      <c r="P3719" s="23"/>
    </row>
    <row r="3720" spans="2:16" x14ac:dyDescent="0.25">
      <c r="B3720" s="23"/>
      <c r="E3720" s="23"/>
      <c r="G3720" s="23"/>
      <c r="H3720" s="23"/>
      <c r="J3720" s="23"/>
      <c r="K3720" s="23"/>
      <c r="M3720" s="23"/>
      <c r="N3720" s="23"/>
      <c r="P3720" s="23"/>
    </row>
    <row r="3721" spans="2:16" x14ac:dyDescent="0.25">
      <c r="B3721" s="23"/>
      <c r="E3721" s="23"/>
      <c r="G3721" s="23"/>
      <c r="H3721" s="23"/>
      <c r="J3721" s="23"/>
      <c r="K3721" s="23"/>
      <c r="M3721" s="23"/>
      <c r="N3721" s="23"/>
      <c r="P3721" s="23"/>
    </row>
    <row r="3722" spans="2:16" x14ac:dyDescent="0.25">
      <c r="B3722" s="23"/>
      <c r="E3722" s="23"/>
      <c r="G3722" s="23"/>
      <c r="H3722" s="23"/>
      <c r="J3722" s="23"/>
      <c r="K3722" s="23"/>
      <c r="M3722" s="23"/>
      <c r="N3722" s="23"/>
      <c r="P3722" s="23"/>
    </row>
    <row r="3723" spans="2:16" x14ac:dyDescent="0.25">
      <c r="B3723" s="23"/>
      <c r="E3723" s="23"/>
      <c r="G3723" s="23"/>
      <c r="H3723" s="23"/>
      <c r="J3723" s="23"/>
      <c r="K3723" s="23"/>
      <c r="M3723" s="23"/>
      <c r="N3723" s="23"/>
      <c r="P3723" s="23"/>
    </row>
    <row r="3724" spans="2:16" x14ac:dyDescent="0.25">
      <c r="B3724" s="23"/>
      <c r="E3724" s="23"/>
      <c r="G3724" s="23"/>
      <c r="H3724" s="23"/>
      <c r="J3724" s="23"/>
      <c r="K3724" s="23"/>
      <c r="M3724" s="23"/>
      <c r="N3724" s="23"/>
      <c r="P3724" s="23"/>
    </row>
    <row r="3725" spans="2:16" x14ac:dyDescent="0.25">
      <c r="B3725" s="23"/>
      <c r="E3725" s="23"/>
      <c r="G3725" s="23"/>
      <c r="H3725" s="23"/>
      <c r="J3725" s="23"/>
      <c r="K3725" s="23"/>
      <c r="M3725" s="23"/>
      <c r="N3725" s="23"/>
      <c r="P3725" s="23"/>
    </row>
    <row r="3726" spans="2:16" x14ac:dyDescent="0.25">
      <c r="B3726" s="23"/>
      <c r="E3726" s="23"/>
      <c r="G3726" s="23"/>
      <c r="H3726" s="23"/>
      <c r="J3726" s="23"/>
      <c r="K3726" s="23"/>
      <c r="M3726" s="23"/>
      <c r="N3726" s="23"/>
      <c r="P3726" s="23"/>
    </row>
    <row r="3727" spans="2:16" x14ac:dyDescent="0.25">
      <c r="B3727" s="23"/>
      <c r="E3727" s="23"/>
      <c r="G3727" s="23"/>
      <c r="H3727" s="23"/>
      <c r="J3727" s="23"/>
      <c r="K3727" s="23"/>
      <c r="M3727" s="23"/>
      <c r="N3727" s="23"/>
      <c r="P3727" s="23"/>
    </row>
    <row r="3728" spans="2:16" x14ac:dyDescent="0.25">
      <c r="B3728" s="23"/>
      <c r="E3728" s="23"/>
      <c r="G3728" s="23"/>
      <c r="H3728" s="23"/>
      <c r="J3728" s="23"/>
      <c r="K3728" s="23"/>
      <c r="M3728" s="23"/>
      <c r="N3728" s="23"/>
      <c r="P3728" s="23"/>
    </row>
    <row r="3729" spans="2:16" x14ac:dyDescent="0.25">
      <c r="B3729" s="23"/>
      <c r="E3729" s="23"/>
      <c r="G3729" s="23"/>
      <c r="H3729" s="23"/>
      <c r="J3729" s="23"/>
      <c r="K3729" s="23"/>
      <c r="M3729" s="23"/>
      <c r="N3729" s="23"/>
      <c r="P3729" s="23"/>
    </row>
    <row r="3730" spans="2:16" x14ac:dyDescent="0.25">
      <c r="B3730" s="23"/>
      <c r="E3730" s="23"/>
      <c r="G3730" s="23"/>
      <c r="H3730" s="23"/>
      <c r="J3730" s="23"/>
      <c r="K3730" s="23"/>
      <c r="M3730" s="23"/>
      <c r="N3730" s="23"/>
      <c r="P3730" s="23"/>
    </row>
    <row r="3731" spans="2:16" x14ac:dyDescent="0.25">
      <c r="B3731" s="23"/>
      <c r="E3731" s="23"/>
      <c r="G3731" s="23"/>
      <c r="H3731" s="23"/>
      <c r="J3731" s="23"/>
      <c r="K3731" s="23"/>
      <c r="M3731" s="23"/>
      <c r="N3731" s="23"/>
      <c r="P3731" s="23"/>
    </row>
    <row r="3732" spans="2:16" x14ac:dyDescent="0.25">
      <c r="B3732" s="23"/>
      <c r="E3732" s="23"/>
      <c r="G3732" s="23"/>
      <c r="H3732" s="23"/>
      <c r="J3732" s="23"/>
      <c r="K3732" s="23"/>
      <c r="M3732" s="23"/>
      <c r="N3732" s="23"/>
      <c r="P3732" s="23"/>
    </row>
    <row r="3733" spans="2:16" x14ac:dyDescent="0.25">
      <c r="B3733" s="23"/>
      <c r="E3733" s="23"/>
      <c r="G3733" s="23"/>
      <c r="H3733" s="23"/>
      <c r="J3733" s="23"/>
      <c r="K3733" s="23"/>
      <c r="M3733" s="23"/>
      <c r="N3733" s="23"/>
      <c r="P3733" s="23"/>
    </row>
    <row r="3734" spans="2:16" x14ac:dyDescent="0.25">
      <c r="B3734" s="23"/>
      <c r="E3734" s="23"/>
      <c r="G3734" s="23"/>
      <c r="H3734" s="23"/>
      <c r="J3734" s="23"/>
      <c r="K3734" s="23"/>
      <c r="M3734" s="23"/>
      <c r="N3734" s="23"/>
      <c r="P3734" s="23"/>
    </row>
    <row r="3735" spans="2:16" x14ac:dyDescent="0.25">
      <c r="B3735" s="23"/>
      <c r="E3735" s="23"/>
      <c r="G3735" s="23"/>
      <c r="H3735" s="23"/>
      <c r="J3735" s="23"/>
      <c r="K3735" s="23"/>
      <c r="M3735" s="23"/>
      <c r="N3735" s="23"/>
      <c r="P3735" s="23"/>
    </row>
    <row r="3736" spans="2:16" x14ac:dyDescent="0.25">
      <c r="B3736" s="23"/>
      <c r="E3736" s="23"/>
      <c r="G3736" s="23"/>
      <c r="H3736" s="23"/>
      <c r="J3736" s="23"/>
      <c r="K3736" s="23"/>
      <c r="M3736" s="23"/>
      <c r="N3736" s="23"/>
      <c r="P3736" s="23"/>
    </row>
    <row r="3737" spans="2:16" x14ac:dyDescent="0.25">
      <c r="B3737" s="23"/>
      <c r="E3737" s="23"/>
      <c r="G3737" s="23"/>
      <c r="H3737" s="23"/>
      <c r="J3737" s="23"/>
      <c r="K3737" s="23"/>
      <c r="M3737" s="23"/>
      <c r="N3737" s="23"/>
      <c r="P3737" s="23"/>
    </row>
    <row r="3738" spans="2:16" x14ac:dyDescent="0.25">
      <c r="B3738" s="23"/>
      <c r="E3738" s="23"/>
      <c r="G3738" s="23"/>
      <c r="H3738" s="23"/>
      <c r="J3738" s="23"/>
      <c r="K3738" s="23"/>
      <c r="M3738" s="23"/>
      <c r="N3738" s="23"/>
      <c r="P3738" s="23"/>
    </row>
    <row r="3739" spans="2:16" x14ac:dyDescent="0.25">
      <c r="B3739" s="23"/>
      <c r="E3739" s="23"/>
      <c r="G3739" s="23"/>
      <c r="H3739" s="23"/>
      <c r="J3739" s="23"/>
      <c r="K3739" s="23"/>
      <c r="M3739" s="23"/>
      <c r="N3739" s="23"/>
      <c r="P3739" s="23"/>
    </row>
    <row r="3740" spans="2:16" x14ac:dyDescent="0.25">
      <c r="B3740" s="23"/>
      <c r="E3740" s="23"/>
      <c r="G3740" s="23"/>
      <c r="H3740" s="23"/>
      <c r="J3740" s="23"/>
      <c r="K3740" s="23"/>
      <c r="M3740" s="23"/>
      <c r="N3740" s="23"/>
      <c r="P3740" s="23"/>
    </row>
    <row r="3741" spans="2:16" x14ac:dyDescent="0.25">
      <c r="B3741" s="23"/>
      <c r="E3741" s="23"/>
      <c r="G3741" s="23"/>
      <c r="H3741" s="23"/>
      <c r="J3741" s="23"/>
      <c r="K3741" s="23"/>
      <c r="M3741" s="23"/>
      <c r="N3741" s="23"/>
      <c r="P3741" s="23"/>
    </row>
    <row r="3742" spans="2:16" x14ac:dyDescent="0.25">
      <c r="B3742" s="23"/>
      <c r="E3742" s="23"/>
      <c r="G3742" s="23"/>
      <c r="H3742" s="23"/>
      <c r="J3742" s="23"/>
      <c r="K3742" s="23"/>
      <c r="M3742" s="23"/>
      <c r="N3742" s="23"/>
      <c r="P3742" s="23"/>
    </row>
    <row r="3743" spans="2:16" x14ac:dyDescent="0.25">
      <c r="B3743" s="23"/>
      <c r="E3743" s="23"/>
      <c r="G3743" s="23"/>
      <c r="H3743" s="23"/>
      <c r="J3743" s="23"/>
      <c r="K3743" s="23"/>
      <c r="M3743" s="23"/>
      <c r="N3743" s="23"/>
      <c r="P3743" s="23"/>
    </row>
    <row r="3744" spans="2:16" x14ac:dyDescent="0.25">
      <c r="B3744" s="23"/>
      <c r="E3744" s="23"/>
      <c r="G3744" s="23"/>
      <c r="H3744" s="23"/>
      <c r="J3744" s="23"/>
      <c r="K3744" s="23"/>
      <c r="M3744" s="23"/>
      <c r="N3744" s="23"/>
      <c r="P3744" s="23"/>
    </row>
    <row r="3745" spans="2:16" x14ac:dyDescent="0.25">
      <c r="B3745" s="23"/>
      <c r="E3745" s="23"/>
      <c r="G3745" s="23"/>
      <c r="H3745" s="23"/>
      <c r="J3745" s="23"/>
      <c r="K3745" s="23"/>
      <c r="M3745" s="23"/>
      <c r="N3745" s="23"/>
      <c r="P3745" s="23"/>
    </row>
    <row r="3746" spans="2:16" x14ac:dyDescent="0.25">
      <c r="B3746" s="23"/>
      <c r="E3746" s="23"/>
      <c r="G3746" s="23"/>
      <c r="H3746" s="23"/>
      <c r="J3746" s="23"/>
      <c r="K3746" s="23"/>
      <c r="M3746" s="23"/>
      <c r="N3746" s="23"/>
      <c r="P3746" s="23"/>
    </row>
    <row r="3747" spans="2:16" x14ac:dyDescent="0.25">
      <c r="B3747" s="23"/>
      <c r="E3747" s="23"/>
      <c r="G3747" s="23"/>
      <c r="H3747" s="23"/>
      <c r="J3747" s="23"/>
      <c r="K3747" s="23"/>
      <c r="M3747" s="23"/>
      <c r="N3747" s="23"/>
      <c r="P3747" s="23"/>
    </row>
    <row r="3748" spans="2:16" x14ac:dyDescent="0.25">
      <c r="B3748" s="23"/>
      <c r="E3748" s="23"/>
      <c r="G3748" s="23"/>
      <c r="H3748" s="23"/>
      <c r="J3748" s="23"/>
      <c r="K3748" s="23"/>
      <c r="M3748" s="23"/>
      <c r="N3748" s="23"/>
      <c r="P3748" s="23"/>
    </row>
    <row r="3749" spans="2:16" x14ac:dyDescent="0.25">
      <c r="B3749" s="23"/>
      <c r="E3749" s="23"/>
      <c r="G3749" s="23"/>
      <c r="H3749" s="23"/>
      <c r="J3749" s="23"/>
      <c r="K3749" s="23"/>
      <c r="M3749" s="23"/>
      <c r="N3749" s="23"/>
      <c r="P3749" s="23"/>
    </row>
    <row r="3750" spans="2:16" x14ac:dyDescent="0.25">
      <c r="B3750" s="23"/>
      <c r="E3750" s="23"/>
      <c r="G3750" s="23"/>
      <c r="H3750" s="23"/>
      <c r="J3750" s="23"/>
      <c r="K3750" s="23"/>
      <c r="M3750" s="23"/>
      <c r="N3750" s="23"/>
      <c r="P3750" s="23"/>
    </row>
    <row r="3751" spans="2:16" x14ac:dyDescent="0.25">
      <c r="B3751" s="23"/>
      <c r="E3751" s="23"/>
      <c r="G3751" s="23"/>
      <c r="H3751" s="23"/>
      <c r="J3751" s="23"/>
      <c r="K3751" s="23"/>
      <c r="M3751" s="23"/>
      <c r="N3751" s="23"/>
      <c r="P3751" s="23"/>
    </row>
    <row r="3752" spans="2:16" x14ac:dyDescent="0.25">
      <c r="B3752" s="23"/>
      <c r="E3752" s="23"/>
      <c r="G3752" s="23"/>
      <c r="H3752" s="23"/>
      <c r="J3752" s="23"/>
      <c r="K3752" s="23"/>
      <c r="M3752" s="23"/>
      <c r="N3752" s="23"/>
      <c r="P3752" s="23"/>
    </row>
    <row r="3753" spans="2:16" x14ac:dyDescent="0.25">
      <c r="B3753" s="23"/>
      <c r="E3753" s="23"/>
      <c r="G3753" s="23"/>
      <c r="H3753" s="23"/>
      <c r="J3753" s="23"/>
      <c r="K3753" s="23"/>
      <c r="M3753" s="23"/>
      <c r="N3753" s="23"/>
      <c r="P3753" s="23"/>
    </row>
    <row r="3754" spans="2:16" x14ac:dyDescent="0.25">
      <c r="B3754" s="23"/>
      <c r="E3754" s="23"/>
      <c r="G3754" s="23"/>
      <c r="H3754" s="23"/>
      <c r="J3754" s="23"/>
      <c r="K3754" s="23"/>
      <c r="M3754" s="23"/>
      <c r="N3754" s="23"/>
      <c r="P3754" s="23"/>
    </row>
    <row r="3755" spans="2:16" x14ac:dyDescent="0.25">
      <c r="B3755" s="23"/>
      <c r="E3755" s="23"/>
      <c r="G3755" s="23"/>
      <c r="H3755" s="23"/>
      <c r="J3755" s="23"/>
      <c r="K3755" s="23"/>
      <c r="M3755" s="23"/>
      <c r="N3755" s="23"/>
      <c r="P3755" s="23"/>
    </row>
    <row r="3756" spans="2:16" x14ac:dyDescent="0.25">
      <c r="B3756" s="23"/>
      <c r="E3756" s="23"/>
      <c r="G3756" s="23"/>
      <c r="H3756" s="23"/>
      <c r="J3756" s="23"/>
      <c r="K3756" s="23"/>
      <c r="M3756" s="23"/>
      <c r="N3756" s="23"/>
      <c r="P3756" s="23"/>
    </row>
    <row r="3757" spans="2:16" x14ac:dyDescent="0.25">
      <c r="B3757" s="23"/>
      <c r="E3757" s="23"/>
      <c r="G3757" s="23"/>
      <c r="H3757" s="23"/>
      <c r="J3757" s="23"/>
      <c r="K3757" s="23"/>
      <c r="M3757" s="23"/>
      <c r="N3757" s="23"/>
      <c r="P3757" s="23"/>
    </row>
    <row r="3758" spans="2:16" x14ac:dyDescent="0.25">
      <c r="B3758" s="23"/>
      <c r="E3758" s="23"/>
      <c r="G3758" s="23"/>
      <c r="H3758" s="23"/>
      <c r="J3758" s="23"/>
      <c r="K3758" s="23"/>
      <c r="M3758" s="23"/>
      <c r="N3758" s="23"/>
      <c r="P3758" s="23"/>
    </row>
    <row r="3759" spans="2:16" x14ac:dyDescent="0.25">
      <c r="B3759" s="23"/>
      <c r="E3759" s="23"/>
      <c r="G3759" s="23"/>
      <c r="H3759" s="23"/>
      <c r="J3759" s="23"/>
      <c r="K3759" s="23"/>
      <c r="M3759" s="23"/>
      <c r="N3759" s="23"/>
      <c r="P3759" s="23"/>
    </row>
    <row r="3760" spans="2:16" x14ac:dyDescent="0.25">
      <c r="B3760" s="23"/>
      <c r="E3760" s="23"/>
      <c r="G3760" s="23"/>
      <c r="H3760" s="23"/>
      <c r="J3760" s="23"/>
      <c r="K3760" s="23"/>
      <c r="M3760" s="23"/>
      <c r="N3760" s="23"/>
      <c r="P3760" s="23"/>
    </row>
    <row r="3761" spans="2:16" x14ac:dyDescent="0.25">
      <c r="B3761" s="23"/>
      <c r="E3761" s="23"/>
      <c r="G3761" s="23"/>
      <c r="H3761" s="23"/>
      <c r="J3761" s="23"/>
      <c r="K3761" s="23"/>
      <c r="M3761" s="23"/>
      <c r="N3761" s="23"/>
      <c r="P3761" s="23"/>
    </row>
    <row r="3762" spans="2:16" x14ac:dyDescent="0.25">
      <c r="B3762" s="23"/>
      <c r="E3762" s="23"/>
      <c r="G3762" s="23"/>
      <c r="H3762" s="23"/>
      <c r="J3762" s="23"/>
      <c r="K3762" s="23"/>
      <c r="M3762" s="23"/>
      <c r="N3762" s="23"/>
      <c r="P3762" s="23"/>
    </row>
    <row r="3763" spans="2:16" x14ac:dyDescent="0.25">
      <c r="B3763" s="23"/>
      <c r="E3763" s="23"/>
      <c r="G3763" s="23"/>
      <c r="H3763" s="23"/>
      <c r="J3763" s="23"/>
      <c r="K3763" s="23"/>
      <c r="M3763" s="23"/>
      <c r="N3763" s="23"/>
      <c r="P3763" s="23"/>
    </row>
    <row r="3764" spans="2:16" x14ac:dyDescent="0.25">
      <c r="B3764" s="23"/>
      <c r="E3764" s="23"/>
      <c r="G3764" s="23"/>
      <c r="H3764" s="23"/>
      <c r="J3764" s="23"/>
      <c r="K3764" s="23"/>
      <c r="M3764" s="23"/>
      <c r="N3764" s="23"/>
      <c r="P3764" s="23"/>
    </row>
    <row r="3765" spans="2:16" x14ac:dyDescent="0.25">
      <c r="B3765" s="23"/>
      <c r="E3765" s="23"/>
      <c r="G3765" s="23"/>
      <c r="H3765" s="23"/>
      <c r="J3765" s="23"/>
      <c r="K3765" s="23"/>
      <c r="M3765" s="23"/>
      <c r="N3765" s="23"/>
      <c r="P3765" s="23"/>
    </row>
    <row r="3766" spans="2:16" x14ac:dyDescent="0.25">
      <c r="B3766" s="23"/>
      <c r="E3766" s="23"/>
      <c r="G3766" s="23"/>
      <c r="H3766" s="23"/>
      <c r="J3766" s="23"/>
      <c r="K3766" s="23"/>
      <c r="M3766" s="23"/>
      <c r="N3766" s="23"/>
      <c r="P3766" s="23"/>
    </row>
    <row r="3767" spans="2:16" x14ac:dyDescent="0.25">
      <c r="B3767" s="23"/>
      <c r="E3767" s="23"/>
      <c r="G3767" s="23"/>
      <c r="H3767" s="23"/>
      <c r="J3767" s="23"/>
      <c r="K3767" s="23"/>
      <c r="M3767" s="23"/>
      <c r="N3767" s="23"/>
      <c r="P3767" s="23"/>
    </row>
    <row r="3768" spans="2:16" x14ac:dyDescent="0.25">
      <c r="B3768" s="23"/>
      <c r="E3768" s="23"/>
      <c r="G3768" s="23"/>
      <c r="H3768" s="23"/>
      <c r="J3768" s="23"/>
      <c r="K3768" s="23"/>
      <c r="M3768" s="23"/>
      <c r="N3768" s="23"/>
      <c r="P3768" s="23"/>
    </row>
    <row r="3769" spans="2:16" x14ac:dyDescent="0.25">
      <c r="B3769" s="23"/>
      <c r="E3769" s="23"/>
      <c r="G3769" s="23"/>
      <c r="H3769" s="23"/>
      <c r="J3769" s="23"/>
      <c r="K3769" s="23"/>
      <c r="M3769" s="23"/>
      <c r="N3769" s="23"/>
      <c r="P3769" s="23"/>
    </row>
    <row r="3770" spans="2:16" x14ac:dyDescent="0.25">
      <c r="B3770" s="23"/>
      <c r="E3770" s="23"/>
      <c r="G3770" s="23"/>
      <c r="H3770" s="23"/>
      <c r="J3770" s="23"/>
      <c r="K3770" s="23"/>
      <c r="M3770" s="23"/>
      <c r="N3770" s="23"/>
      <c r="P3770" s="23"/>
    </row>
    <row r="3771" spans="2:16" x14ac:dyDescent="0.25">
      <c r="B3771" s="23"/>
      <c r="E3771" s="23"/>
      <c r="G3771" s="23"/>
      <c r="H3771" s="23"/>
      <c r="J3771" s="23"/>
      <c r="K3771" s="23"/>
      <c r="M3771" s="23"/>
      <c r="N3771" s="23"/>
      <c r="P3771" s="23"/>
    </row>
    <row r="3772" spans="2:16" x14ac:dyDescent="0.25">
      <c r="B3772" s="23"/>
      <c r="E3772" s="23"/>
      <c r="G3772" s="23"/>
      <c r="H3772" s="23"/>
      <c r="J3772" s="23"/>
      <c r="K3772" s="23"/>
      <c r="M3772" s="23"/>
      <c r="N3772" s="23"/>
      <c r="P3772" s="23"/>
    </row>
    <row r="3773" spans="2:16" x14ac:dyDescent="0.25">
      <c r="B3773" s="23"/>
      <c r="E3773" s="23"/>
      <c r="G3773" s="23"/>
      <c r="H3773" s="23"/>
      <c r="J3773" s="23"/>
      <c r="K3773" s="23"/>
      <c r="M3773" s="23"/>
      <c r="N3773" s="23"/>
      <c r="P3773" s="23"/>
    </row>
    <row r="3774" spans="2:16" x14ac:dyDescent="0.25">
      <c r="B3774" s="23"/>
      <c r="E3774" s="23"/>
      <c r="G3774" s="23"/>
      <c r="H3774" s="23"/>
      <c r="J3774" s="23"/>
      <c r="K3774" s="23"/>
      <c r="M3774" s="23"/>
      <c r="N3774" s="23"/>
      <c r="P3774" s="23"/>
    </row>
    <row r="3775" spans="2:16" x14ac:dyDescent="0.25">
      <c r="B3775" s="23"/>
      <c r="E3775" s="23"/>
      <c r="G3775" s="23"/>
      <c r="H3775" s="23"/>
      <c r="J3775" s="23"/>
      <c r="K3775" s="23"/>
      <c r="M3775" s="23"/>
      <c r="N3775" s="23"/>
      <c r="P3775" s="23"/>
    </row>
    <row r="3776" spans="2:16" x14ac:dyDescent="0.25">
      <c r="B3776" s="23"/>
      <c r="E3776" s="23"/>
      <c r="G3776" s="23"/>
      <c r="H3776" s="23"/>
      <c r="J3776" s="23"/>
      <c r="K3776" s="23"/>
      <c r="M3776" s="23"/>
      <c r="N3776" s="23"/>
      <c r="P3776" s="23"/>
    </row>
    <row r="3777" spans="2:16" x14ac:dyDescent="0.25">
      <c r="B3777" s="23"/>
      <c r="E3777" s="23"/>
      <c r="G3777" s="23"/>
      <c r="H3777" s="23"/>
      <c r="J3777" s="23"/>
      <c r="K3777" s="23"/>
      <c r="M3777" s="23"/>
      <c r="N3777" s="23"/>
      <c r="P3777" s="23"/>
    </row>
    <row r="3778" spans="2:16" x14ac:dyDescent="0.25">
      <c r="B3778" s="23"/>
      <c r="E3778" s="23"/>
      <c r="G3778" s="23"/>
      <c r="H3778" s="23"/>
      <c r="J3778" s="23"/>
      <c r="K3778" s="23"/>
      <c r="M3778" s="23"/>
      <c r="N3778" s="23"/>
      <c r="P3778" s="23"/>
    </row>
    <row r="3779" spans="2:16" x14ac:dyDescent="0.25">
      <c r="B3779" s="23"/>
      <c r="E3779" s="23"/>
      <c r="G3779" s="23"/>
      <c r="H3779" s="23"/>
      <c r="J3779" s="23"/>
      <c r="K3779" s="23"/>
      <c r="M3779" s="23"/>
      <c r="N3779" s="23"/>
      <c r="P3779" s="23"/>
    </row>
    <row r="3780" spans="2:16" x14ac:dyDescent="0.25">
      <c r="B3780" s="23"/>
      <c r="E3780" s="23"/>
      <c r="G3780" s="23"/>
      <c r="H3780" s="23"/>
      <c r="J3780" s="23"/>
      <c r="K3780" s="23"/>
      <c r="M3780" s="23"/>
      <c r="N3780" s="23"/>
      <c r="P3780" s="23"/>
    </row>
    <row r="3781" spans="2:16" x14ac:dyDescent="0.25">
      <c r="B3781" s="23"/>
      <c r="E3781" s="23"/>
      <c r="G3781" s="23"/>
      <c r="H3781" s="23"/>
      <c r="J3781" s="23"/>
      <c r="K3781" s="23"/>
      <c r="M3781" s="23"/>
      <c r="N3781" s="23"/>
      <c r="P3781" s="23"/>
    </row>
    <row r="3782" spans="2:16" x14ac:dyDescent="0.25">
      <c r="B3782" s="23"/>
      <c r="E3782" s="23"/>
      <c r="G3782" s="23"/>
      <c r="H3782" s="23"/>
      <c r="J3782" s="23"/>
      <c r="K3782" s="23"/>
      <c r="M3782" s="23"/>
      <c r="N3782" s="23"/>
      <c r="P3782" s="23"/>
    </row>
    <row r="3783" spans="2:16" x14ac:dyDescent="0.25">
      <c r="B3783" s="23"/>
      <c r="E3783" s="23"/>
      <c r="G3783" s="23"/>
      <c r="H3783" s="23"/>
      <c r="J3783" s="23"/>
      <c r="K3783" s="23"/>
      <c r="M3783" s="23"/>
      <c r="N3783" s="23"/>
      <c r="P3783" s="23"/>
    </row>
    <row r="3784" spans="2:16" x14ac:dyDescent="0.25">
      <c r="B3784" s="23"/>
      <c r="E3784" s="23"/>
      <c r="G3784" s="23"/>
      <c r="H3784" s="23"/>
      <c r="J3784" s="23"/>
      <c r="K3784" s="23"/>
      <c r="M3784" s="23"/>
      <c r="N3784" s="23"/>
      <c r="P3784" s="23"/>
    </row>
    <row r="3785" spans="2:16" x14ac:dyDescent="0.25">
      <c r="B3785" s="23"/>
      <c r="E3785" s="23"/>
      <c r="G3785" s="23"/>
      <c r="H3785" s="23"/>
      <c r="J3785" s="23"/>
      <c r="K3785" s="23"/>
      <c r="M3785" s="23"/>
      <c r="N3785" s="23"/>
      <c r="P3785" s="23"/>
    </row>
    <row r="3786" spans="2:16" x14ac:dyDescent="0.25">
      <c r="B3786" s="23"/>
      <c r="E3786" s="23"/>
      <c r="G3786" s="23"/>
      <c r="H3786" s="23"/>
      <c r="J3786" s="23"/>
      <c r="K3786" s="23"/>
      <c r="M3786" s="23"/>
      <c r="N3786" s="23"/>
      <c r="P3786" s="23"/>
    </row>
    <row r="3787" spans="2:16" x14ac:dyDescent="0.25">
      <c r="B3787" s="23"/>
      <c r="E3787" s="23"/>
      <c r="G3787" s="23"/>
      <c r="H3787" s="23"/>
      <c r="J3787" s="23"/>
      <c r="K3787" s="23"/>
      <c r="M3787" s="23"/>
      <c r="N3787" s="23"/>
      <c r="P3787" s="23"/>
    </row>
    <row r="3788" spans="2:16" x14ac:dyDescent="0.25">
      <c r="B3788" s="23"/>
      <c r="E3788" s="23"/>
      <c r="G3788" s="23"/>
      <c r="H3788" s="23"/>
      <c r="J3788" s="23"/>
      <c r="K3788" s="23"/>
      <c r="M3788" s="23"/>
      <c r="N3788" s="23"/>
      <c r="P3788" s="23"/>
    </row>
    <row r="3789" spans="2:16" x14ac:dyDescent="0.25">
      <c r="B3789" s="23"/>
      <c r="E3789" s="23"/>
      <c r="G3789" s="23"/>
      <c r="H3789" s="23"/>
      <c r="J3789" s="23"/>
      <c r="K3789" s="23"/>
      <c r="M3789" s="23"/>
      <c r="N3789" s="23"/>
      <c r="P3789" s="23"/>
    </row>
    <row r="3790" spans="2:16" x14ac:dyDescent="0.25">
      <c r="B3790" s="23"/>
      <c r="E3790" s="23"/>
      <c r="G3790" s="23"/>
      <c r="H3790" s="23"/>
      <c r="J3790" s="23"/>
      <c r="K3790" s="23"/>
      <c r="M3790" s="23"/>
      <c r="N3790" s="23"/>
      <c r="P3790" s="23"/>
    </row>
    <row r="3791" spans="2:16" x14ac:dyDescent="0.25">
      <c r="B3791" s="23"/>
      <c r="E3791" s="23"/>
      <c r="G3791" s="23"/>
      <c r="H3791" s="23"/>
      <c r="J3791" s="23"/>
      <c r="K3791" s="23"/>
      <c r="M3791" s="23"/>
      <c r="N3791" s="23"/>
      <c r="P3791" s="23"/>
    </row>
    <row r="3792" spans="2:16" x14ac:dyDescent="0.25">
      <c r="B3792" s="23"/>
      <c r="E3792" s="23"/>
      <c r="G3792" s="23"/>
      <c r="H3792" s="23"/>
      <c r="J3792" s="23"/>
      <c r="K3792" s="23"/>
      <c r="M3792" s="23"/>
      <c r="N3792" s="23"/>
      <c r="P3792" s="23"/>
    </row>
    <row r="3793" spans="2:16" x14ac:dyDescent="0.25">
      <c r="B3793" s="23"/>
      <c r="E3793" s="23"/>
      <c r="G3793" s="23"/>
      <c r="H3793" s="23"/>
      <c r="J3793" s="23"/>
      <c r="K3793" s="23"/>
      <c r="M3793" s="23"/>
      <c r="N3793" s="23"/>
      <c r="P3793" s="23"/>
    </row>
    <row r="3794" spans="2:16" x14ac:dyDescent="0.25">
      <c r="B3794" s="23"/>
      <c r="E3794" s="23"/>
      <c r="G3794" s="23"/>
      <c r="H3794" s="23"/>
      <c r="J3794" s="23"/>
      <c r="K3794" s="23"/>
      <c r="M3794" s="23"/>
      <c r="N3794" s="23"/>
      <c r="P3794" s="23"/>
    </row>
    <row r="3795" spans="2:16" x14ac:dyDescent="0.25">
      <c r="B3795" s="23"/>
      <c r="E3795" s="23"/>
      <c r="G3795" s="23"/>
      <c r="H3795" s="23"/>
      <c r="J3795" s="23"/>
      <c r="K3795" s="23"/>
      <c r="M3795" s="23"/>
      <c r="N3795" s="23"/>
      <c r="P3795" s="23"/>
    </row>
    <row r="3796" spans="2:16" x14ac:dyDescent="0.25">
      <c r="B3796" s="23"/>
      <c r="E3796" s="23"/>
      <c r="G3796" s="23"/>
      <c r="H3796" s="23"/>
      <c r="J3796" s="23"/>
      <c r="K3796" s="23"/>
      <c r="M3796" s="23"/>
      <c r="N3796" s="23"/>
      <c r="P3796" s="23"/>
    </row>
    <row r="3797" spans="2:16" x14ac:dyDescent="0.25">
      <c r="B3797" s="23"/>
      <c r="E3797" s="23"/>
      <c r="G3797" s="23"/>
      <c r="H3797" s="23"/>
      <c r="J3797" s="23"/>
      <c r="K3797" s="23"/>
      <c r="M3797" s="23"/>
      <c r="N3797" s="23"/>
      <c r="P3797" s="23"/>
    </row>
    <row r="3798" spans="2:16" x14ac:dyDescent="0.25">
      <c r="B3798" s="23"/>
      <c r="E3798" s="23"/>
      <c r="G3798" s="23"/>
      <c r="H3798" s="23"/>
      <c r="J3798" s="23"/>
      <c r="K3798" s="23"/>
      <c r="M3798" s="23"/>
      <c r="N3798" s="23"/>
      <c r="P3798" s="23"/>
    </row>
    <row r="3799" spans="2:16" x14ac:dyDescent="0.25">
      <c r="B3799" s="23"/>
      <c r="E3799" s="23"/>
      <c r="G3799" s="23"/>
      <c r="H3799" s="23"/>
      <c r="J3799" s="23"/>
      <c r="K3799" s="23"/>
      <c r="M3799" s="23"/>
      <c r="N3799" s="23"/>
      <c r="P3799" s="23"/>
    </row>
    <row r="3800" spans="2:16" x14ac:dyDescent="0.25">
      <c r="B3800" s="23"/>
      <c r="E3800" s="23"/>
      <c r="G3800" s="23"/>
      <c r="H3800" s="23"/>
      <c r="J3800" s="23"/>
      <c r="K3800" s="23"/>
      <c r="M3800" s="23"/>
      <c r="N3800" s="23"/>
      <c r="P3800" s="23"/>
    </row>
    <row r="3801" spans="2:16" x14ac:dyDescent="0.25">
      <c r="B3801" s="23"/>
      <c r="E3801" s="23"/>
      <c r="G3801" s="23"/>
      <c r="H3801" s="23"/>
      <c r="J3801" s="23"/>
      <c r="K3801" s="23"/>
      <c r="M3801" s="23"/>
      <c r="N3801" s="23"/>
      <c r="P3801" s="23"/>
    </row>
    <row r="3802" spans="2:16" x14ac:dyDescent="0.25">
      <c r="B3802" s="23"/>
      <c r="E3802" s="23"/>
      <c r="G3802" s="23"/>
      <c r="H3802" s="23"/>
      <c r="J3802" s="23"/>
      <c r="K3802" s="23"/>
      <c r="M3802" s="23"/>
      <c r="N3802" s="23"/>
      <c r="P3802" s="23"/>
    </row>
    <row r="3803" spans="2:16" x14ac:dyDescent="0.25">
      <c r="B3803" s="23"/>
      <c r="E3803" s="23"/>
      <c r="G3803" s="23"/>
      <c r="H3803" s="23"/>
      <c r="J3803" s="23"/>
      <c r="K3803" s="23"/>
      <c r="M3803" s="23"/>
      <c r="N3803" s="23"/>
      <c r="P3803" s="23"/>
    </row>
    <row r="3804" spans="2:16" x14ac:dyDescent="0.25">
      <c r="B3804" s="23"/>
      <c r="E3804" s="23"/>
      <c r="G3804" s="23"/>
      <c r="H3804" s="23"/>
      <c r="J3804" s="23"/>
      <c r="K3804" s="23"/>
      <c r="M3804" s="23"/>
      <c r="N3804" s="23"/>
      <c r="P3804" s="23"/>
    </row>
    <row r="3805" spans="2:16" x14ac:dyDescent="0.25">
      <c r="B3805" s="23"/>
      <c r="E3805" s="23"/>
      <c r="G3805" s="23"/>
      <c r="H3805" s="23"/>
      <c r="J3805" s="23"/>
      <c r="K3805" s="23"/>
      <c r="M3805" s="23"/>
      <c r="N3805" s="23"/>
      <c r="P3805" s="23"/>
    </row>
    <row r="3806" spans="2:16" x14ac:dyDescent="0.25">
      <c r="B3806" s="23"/>
      <c r="E3806" s="23"/>
      <c r="G3806" s="23"/>
      <c r="H3806" s="23"/>
      <c r="J3806" s="23"/>
      <c r="K3806" s="23"/>
      <c r="M3806" s="23"/>
      <c r="N3806" s="23"/>
      <c r="P3806" s="23"/>
    </row>
    <row r="3807" spans="2:16" x14ac:dyDescent="0.25">
      <c r="B3807" s="23"/>
      <c r="E3807" s="23"/>
      <c r="G3807" s="23"/>
      <c r="H3807" s="23"/>
      <c r="J3807" s="23"/>
      <c r="K3807" s="23"/>
      <c r="M3807" s="23"/>
      <c r="N3807" s="23"/>
      <c r="P3807" s="23"/>
    </row>
    <row r="3808" spans="2:16" x14ac:dyDescent="0.25">
      <c r="B3808" s="23"/>
      <c r="E3808" s="23"/>
      <c r="G3808" s="23"/>
      <c r="H3808" s="23"/>
      <c r="J3808" s="23"/>
      <c r="K3808" s="23"/>
      <c r="M3808" s="23"/>
      <c r="N3808" s="23"/>
      <c r="P3808" s="23"/>
    </row>
    <row r="3809" spans="2:16" x14ac:dyDescent="0.25">
      <c r="B3809" s="23"/>
      <c r="E3809" s="23"/>
      <c r="G3809" s="23"/>
      <c r="H3809" s="23"/>
      <c r="J3809" s="23"/>
      <c r="K3809" s="23"/>
      <c r="M3809" s="23"/>
      <c r="N3809" s="23"/>
      <c r="P3809" s="23"/>
    </row>
    <row r="3810" spans="2:16" x14ac:dyDescent="0.25">
      <c r="B3810" s="23"/>
      <c r="E3810" s="23"/>
      <c r="G3810" s="23"/>
      <c r="H3810" s="23"/>
      <c r="J3810" s="23"/>
      <c r="K3810" s="23"/>
      <c r="M3810" s="23"/>
      <c r="N3810" s="23"/>
      <c r="P3810" s="23"/>
    </row>
    <row r="3811" spans="2:16" x14ac:dyDescent="0.25">
      <c r="B3811" s="23"/>
      <c r="E3811" s="23"/>
      <c r="G3811" s="23"/>
      <c r="H3811" s="23"/>
      <c r="J3811" s="23"/>
      <c r="K3811" s="23"/>
      <c r="M3811" s="23"/>
      <c r="N3811" s="23"/>
      <c r="P3811" s="23"/>
    </row>
    <row r="3812" spans="2:16" x14ac:dyDescent="0.25">
      <c r="B3812" s="23"/>
      <c r="E3812" s="23"/>
      <c r="G3812" s="23"/>
      <c r="H3812" s="23"/>
      <c r="J3812" s="23"/>
      <c r="K3812" s="23"/>
      <c r="M3812" s="23"/>
      <c r="N3812" s="23"/>
      <c r="P3812" s="23"/>
    </row>
    <row r="3813" spans="2:16" x14ac:dyDescent="0.25">
      <c r="B3813" s="23"/>
      <c r="E3813" s="23"/>
      <c r="G3813" s="23"/>
      <c r="H3813" s="23"/>
      <c r="J3813" s="23"/>
      <c r="K3813" s="23"/>
      <c r="M3813" s="23"/>
      <c r="N3813" s="23"/>
      <c r="P3813" s="23"/>
    </row>
    <row r="3814" spans="2:16" x14ac:dyDescent="0.25">
      <c r="B3814" s="23"/>
      <c r="E3814" s="23"/>
      <c r="G3814" s="23"/>
      <c r="H3814" s="23"/>
      <c r="J3814" s="23"/>
      <c r="K3814" s="23"/>
      <c r="M3814" s="23"/>
      <c r="N3814" s="23"/>
      <c r="P3814" s="23"/>
    </row>
    <row r="3815" spans="2:16" x14ac:dyDescent="0.25">
      <c r="B3815" s="23"/>
      <c r="E3815" s="23"/>
      <c r="G3815" s="23"/>
      <c r="H3815" s="23"/>
      <c r="J3815" s="23"/>
      <c r="K3815" s="23"/>
      <c r="M3815" s="23"/>
      <c r="N3815" s="23"/>
      <c r="P3815" s="23"/>
    </row>
    <row r="3816" spans="2:16" x14ac:dyDescent="0.25">
      <c r="B3816" s="23"/>
      <c r="E3816" s="23"/>
      <c r="G3816" s="23"/>
      <c r="H3816" s="23"/>
      <c r="J3816" s="23"/>
      <c r="K3816" s="23"/>
      <c r="M3816" s="23"/>
      <c r="N3816" s="23"/>
      <c r="P3816" s="23"/>
    </row>
    <row r="3817" spans="2:16" x14ac:dyDescent="0.25">
      <c r="B3817" s="23"/>
      <c r="E3817" s="23"/>
      <c r="G3817" s="23"/>
      <c r="H3817" s="23"/>
      <c r="J3817" s="23"/>
      <c r="K3817" s="23"/>
      <c r="M3817" s="23"/>
      <c r="N3817" s="23"/>
      <c r="P3817" s="23"/>
    </row>
    <row r="3818" spans="2:16" x14ac:dyDescent="0.25">
      <c r="B3818" s="23"/>
      <c r="E3818" s="23"/>
      <c r="G3818" s="23"/>
      <c r="H3818" s="23"/>
      <c r="J3818" s="23"/>
      <c r="K3818" s="23"/>
      <c r="M3818" s="23"/>
      <c r="N3818" s="23"/>
      <c r="P3818" s="23"/>
    </row>
    <row r="3819" spans="2:16" x14ac:dyDescent="0.25">
      <c r="B3819" s="23"/>
      <c r="E3819" s="23"/>
      <c r="G3819" s="23"/>
      <c r="H3819" s="23"/>
      <c r="J3819" s="23"/>
      <c r="K3819" s="23"/>
      <c r="M3819" s="23"/>
      <c r="N3819" s="23"/>
      <c r="P3819" s="23"/>
    </row>
    <row r="3820" spans="2:16" x14ac:dyDescent="0.25">
      <c r="B3820" s="23"/>
      <c r="E3820" s="23"/>
      <c r="G3820" s="23"/>
      <c r="H3820" s="23"/>
      <c r="J3820" s="23"/>
      <c r="K3820" s="23"/>
      <c r="M3820" s="23"/>
      <c r="N3820" s="23"/>
      <c r="P3820" s="23"/>
    </row>
    <row r="3821" spans="2:16" x14ac:dyDescent="0.25">
      <c r="B3821" s="23"/>
      <c r="E3821" s="23"/>
      <c r="G3821" s="23"/>
      <c r="H3821" s="23"/>
      <c r="J3821" s="23"/>
      <c r="K3821" s="23"/>
      <c r="M3821" s="23"/>
      <c r="N3821" s="23"/>
      <c r="P3821" s="23"/>
    </row>
    <row r="3822" spans="2:16" x14ac:dyDescent="0.25">
      <c r="B3822" s="23"/>
      <c r="E3822" s="23"/>
      <c r="G3822" s="23"/>
      <c r="H3822" s="23"/>
      <c r="J3822" s="23"/>
      <c r="K3822" s="23"/>
      <c r="M3822" s="23"/>
      <c r="N3822" s="23"/>
      <c r="P3822" s="23"/>
    </row>
    <row r="3823" spans="2:16" x14ac:dyDescent="0.25">
      <c r="B3823" s="23"/>
      <c r="E3823" s="23"/>
      <c r="G3823" s="23"/>
      <c r="H3823" s="23"/>
      <c r="J3823" s="23"/>
      <c r="K3823" s="23"/>
      <c r="M3823" s="23"/>
      <c r="N3823" s="23"/>
      <c r="P3823" s="23"/>
    </row>
    <row r="3824" spans="2:16" x14ac:dyDescent="0.25">
      <c r="B3824" s="23"/>
      <c r="E3824" s="23"/>
      <c r="G3824" s="23"/>
      <c r="H3824" s="23"/>
      <c r="J3824" s="23"/>
      <c r="K3824" s="23"/>
      <c r="M3824" s="23"/>
      <c r="N3824" s="23"/>
      <c r="P3824" s="23"/>
    </row>
    <row r="3825" spans="2:16" x14ac:dyDescent="0.25">
      <c r="B3825" s="23"/>
      <c r="E3825" s="23"/>
      <c r="G3825" s="23"/>
      <c r="H3825" s="23"/>
      <c r="J3825" s="23"/>
      <c r="K3825" s="23"/>
      <c r="M3825" s="23"/>
      <c r="N3825" s="23"/>
      <c r="P3825" s="23"/>
    </row>
    <row r="3826" spans="2:16" x14ac:dyDescent="0.25">
      <c r="B3826" s="23"/>
      <c r="E3826" s="23"/>
      <c r="G3826" s="23"/>
      <c r="H3826" s="23"/>
      <c r="J3826" s="23"/>
      <c r="K3826" s="23"/>
      <c r="M3826" s="23"/>
      <c r="N3826" s="23"/>
      <c r="P3826" s="23"/>
    </row>
    <row r="3827" spans="2:16" x14ac:dyDescent="0.25">
      <c r="B3827" s="23"/>
      <c r="E3827" s="23"/>
      <c r="G3827" s="23"/>
      <c r="H3827" s="23"/>
      <c r="J3827" s="23"/>
      <c r="K3827" s="23"/>
      <c r="M3827" s="23"/>
      <c r="N3827" s="23"/>
      <c r="P3827" s="23"/>
    </row>
    <row r="3828" spans="2:16" x14ac:dyDescent="0.25">
      <c r="B3828" s="23"/>
      <c r="E3828" s="23"/>
      <c r="G3828" s="23"/>
      <c r="H3828" s="23"/>
      <c r="J3828" s="23"/>
      <c r="K3828" s="23"/>
      <c r="M3828" s="23"/>
      <c r="N3828" s="23"/>
      <c r="P3828" s="23"/>
    </row>
    <row r="3829" spans="2:16" x14ac:dyDescent="0.25">
      <c r="B3829" s="23"/>
      <c r="E3829" s="23"/>
      <c r="G3829" s="23"/>
      <c r="H3829" s="23"/>
      <c r="J3829" s="23"/>
      <c r="K3829" s="23"/>
      <c r="M3829" s="23"/>
      <c r="N3829" s="23"/>
      <c r="P3829" s="23"/>
    </row>
    <row r="3830" spans="2:16" x14ac:dyDescent="0.25">
      <c r="B3830" s="23"/>
      <c r="E3830" s="23"/>
      <c r="G3830" s="23"/>
      <c r="H3830" s="23"/>
      <c r="J3830" s="23"/>
      <c r="K3830" s="23"/>
      <c r="M3830" s="23"/>
      <c r="N3830" s="23"/>
      <c r="P3830" s="23"/>
    </row>
    <row r="3831" spans="2:16" x14ac:dyDescent="0.25">
      <c r="B3831" s="23"/>
      <c r="E3831" s="23"/>
      <c r="G3831" s="23"/>
      <c r="H3831" s="23"/>
      <c r="J3831" s="23"/>
      <c r="K3831" s="23"/>
      <c r="M3831" s="23"/>
      <c r="N3831" s="23"/>
      <c r="P3831" s="23"/>
    </row>
    <row r="3832" spans="2:16" x14ac:dyDescent="0.25">
      <c r="B3832" s="23"/>
      <c r="E3832" s="23"/>
      <c r="G3832" s="23"/>
      <c r="H3832" s="23"/>
      <c r="J3832" s="23"/>
      <c r="K3832" s="23"/>
      <c r="M3832" s="23"/>
      <c r="N3832" s="23"/>
      <c r="P3832" s="23"/>
    </row>
    <row r="3833" spans="2:16" x14ac:dyDescent="0.25">
      <c r="B3833" s="23"/>
      <c r="E3833" s="23"/>
      <c r="G3833" s="23"/>
      <c r="H3833" s="23"/>
      <c r="J3833" s="23"/>
      <c r="K3833" s="23"/>
      <c r="M3833" s="23"/>
      <c r="N3833" s="23"/>
      <c r="P3833" s="23"/>
    </row>
    <row r="3834" spans="2:16" x14ac:dyDescent="0.25">
      <c r="B3834" s="23"/>
      <c r="E3834" s="23"/>
      <c r="G3834" s="23"/>
      <c r="H3834" s="23"/>
      <c r="J3834" s="23"/>
      <c r="K3834" s="23"/>
      <c r="M3834" s="23"/>
      <c r="N3834" s="23"/>
      <c r="P3834" s="23"/>
    </row>
    <row r="3835" spans="2:16" x14ac:dyDescent="0.25">
      <c r="B3835" s="23"/>
      <c r="E3835" s="23"/>
      <c r="G3835" s="23"/>
      <c r="H3835" s="23"/>
      <c r="J3835" s="23"/>
      <c r="K3835" s="23"/>
      <c r="M3835" s="23"/>
      <c r="N3835" s="23"/>
      <c r="P3835" s="23"/>
    </row>
    <row r="3836" spans="2:16" x14ac:dyDescent="0.25">
      <c r="B3836" s="23"/>
      <c r="E3836" s="23"/>
      <c r="G3836" s="23"/>
      <c r="H3836" s="23"/>
      <c r="J3836" s="23"/>
      <c r="K3836" s="23"/>
      <c r="M3836" s="23"/>
      <c r="N3836" s="23"/>
      <c r="P3836" s="23"/>
    </row>
    <row r="3837" spans="2:16" x14ac:dyDescent="0.25">
      <c r="B3837" s="23"/>
      <c r="E3837" s="23"/>
      <c r="G3837" s="23"/>
      <c r="H3837" s="23"/>
      <c r="J3837" s="23"/>
      <c r="K3837" s="23"/>
      <c r="M3837" s="23"/>
      <c r="N3837" s="23"/>
      <c r="P3837" s="23"/>
    </row>
    <row r="3838" spans="2:16" x14ac:dyDescent="0.25">
      <c r="B3838" s="23"/>
      <c r="E3838" s="23"/>
      <c r="G3838" s="23"/>
      <c r="H3838" s="23"/>
      <c r="J3838" s="23"/>
      <c r="K3838" s="23"/>
      <c r="M3838" s="23"/>
      <c r="N3838" s="23"/>
      <c r="P3838" s="23"/>
    </row>
    <row r="3839" spans="2:16" x14ac:dyDescent="0.25">
      <c r="B3839" s="23"/>
      <c r="E3839" s="23"/>
      <c r="G3839" s="23"/>
      <c r="H3839" s="23"/>
      <c r="J3839" s="23"/>
      <c r="K3839" s="23"/>
      <c r="M3839" s="23"/>
      <c r="N3839" s="23"/>
      <c r="P3839" s="23"/>
    </row>
    <row r="3840" spans="2:16" x14ac:dyDescent="0.25">
      <c r="B3840" s="23"/>
      <c r="E3840" s="23"/>
      <c r="G3840" s="23"/>
      <c r="H3840" s="23"/>
      <c r="J3840" s="23"/>
      <c r="K3840" s="23"/>
      <c r="M3840" s="23"/>
      <c r="N3840" s="23"/>
      <c r="P3840" s="23"/>
    </row>
    <row r="3841" spans="2:16" x14ac:dyDescent="0.25">
      <c r="B3841" s="23"/>
      <c r="E3841" s="23"/>
      <c r="G3841" s="23"/>
      <c r="H3841" s="23"/>
      <c r="J3841" s="23"/>
      <c r="K3841" s="23"/>
      <c r="M3841" s="23"/>
      <c r="N3841" s="23"/>
      <c r="P3841" s="23"/>
    </row>
    <row r="3842" spans="2:16" x14ac:dyDescent="0.25">
      <c r="B3842" s="23"/>
      <c r="E3842" s="23"/>
      <c r="G3842" s="23"/>
      <c r="H3842" s="23"/>
      <c r="J3842" s="23"/>
      <c r="K3842" s="23"/>
      <c r="M3842" s="23"/>
      <c r="N3842" s="23"/>
      <c r="P3842" s="23"/>
    </row>
    <row r="3843" spans="2:16" x14ac:dyDescent="0.25">
      <c r="B3843" s="23"/>
      <c r="E3843" s="23"/>
      <c r="G3843" s="23"/>
      <c r="H3843" s="23"/>
      <c r="J3843" s="23"/>
      <c r="K3843" s="23"/>
      <c r="M3843" s="23"/>
      <c r="N3843" s="23"/>
      <c r="P3843" s="23"/>
    </row>
    <row r="3844" spans="2:16" x14ac:dyDescent="0.25">
      <c r="B3844" s="23"/>
      <c r="E3844" s="23"/>
      <c r="G3844" s="23"/>
      <c r="H3844" s="23"/>
      <c r="J3844" s="23"/>
      <c r="K3844" s="23"/>
      <c r="M3844" s="23"/>
      <c r="N3844" s="23"/>
      <c r="P3844" s="23"/>
    </row>
    <row r="3845" spans="2:16" x14ac:dyDescent="0.25">
      <c r="B3845" s="23"/>
      <c r="E3845" s="23"/>
      <c r="G3845" s="23"/>
      <c r="H3845" s="23"/>
      <c r="J3845" s="23"/>
      <c r="K3845" s="23"/>
      <c r="M3845" s="23"/>
      <c r="N3845" s="23"/>
      <c r="P3845" s="23"/>
    </row>
    <row r="3846" spans="2:16" x14ac:dyDescent="0.25">
      <c r="B3846" s="23"/>
      <c r="E3846" s="23"/>
      <c r="G3846" s="23"/>
      <c r="H3846" s="23"/>
      <c r="J3846" s="23"/>
      <c r="K3846" s="23"/>
      <c r="M3846" s="23"/>
      <c r="N3846" s="23"/>
      <c r="P3846" s="23"/>
    </row>
    <row r="3847" spans="2:16" x14ac:dyDescent="0.25">
      <c r="B3847" s="23"/>
      <c r="E3847" s="23"/>
      <c r="G3847" s="23"/>
      <c r="H3847" s="23"/>
      <c r="J3847" s="23"/>
      <c r="K3847" s="23"/>
      <c r="M3847" s="23"/>
      <c r="N3847" s="23"/>
      <c r="P3847" s="23"/>
    </row>
    <row r="3848" spans="2:16" x14ac:dyDescent="0.25">
      <c r="B3848" s="23"/>
      <c r="E3848" s="23"/>
      <c r="G3848" s="23"/>
      <c r="H3848" s="23"/>
      <c r="J3848" s="23"/>
      <c r="K3848" s="23"/>
      <c r="M3848" s="23"/>
      <c r="N3848" s="23"/>
      <c r="P3848" s="23"/>
    </row>
    <row r="3849" spans="2:16" x14ac:dyDescent="0.25">
      <c r="B3849" s="23"/>
      <c r="E3849" s="23"/>
      <c r="G3849" s="23"/>
      <c r="H3849" s="23"/>
      <c r="J3849" s="23"/>
      <c r="K3849" s="23"/>
      <c r="M3849" s="23"/>
      <c r="N3849" s="23"/>
      <c r="P3849" s="23"/>
    </row>
    <row r="3850" spans="2:16" x14ac:dyDescent="0.25">
      <c r="B3850" s="23"/>
      <c r="E3850" s="23"/>
      <c r="G3850" s="23"/>
      <c r="H3850" s="23"/>
      <c r="J3850" s="23"/>
      <c r="K3850" s="23"/>
      <c r="M3850" s="23"/>
      <c r="N3850" s="23"/>
      <c r="P3850" s="23"/>
    </row>
    <row r="3851" spans="2:16" x14ac:dyDescent="0.25">
      <c r="B3851" s="23"/>
      <c r="E3851" s="23"/>
      <c r="G3851" s="23"/>
      <c r="H3851" s="23"/>
      <c r="J3851" s="23"/>
      <c r="K3851" s="23"/>
      <c r="M3851" s="23"/>
      <c r="N3851" s="23"/>
      <c r="P3851" s="23"/>
    </row>
    <row r="3852" spans="2:16" x14ac:dyDescent="0.25">
      <c r="B3852" s="23"/>
      <c r="E3852" s="23"/>
      <c r="G3852" s="23"/>
      <c r="H3852" s="23"/>
      <c r="J3852" s="23"/>
      <c r="K3852" s="23"/>
      <c r="M3852" s="23"/>
      <c r="N3852" s="23"/>
      <c r="P3852" s="23"/>
    </row>
    <row r="3853" spans="2:16" x14ac:dyDescent="0.25">
      <c r="B3853" s="23"/>
      <c r="E3853" s="23"/>
      <c r="G3853" s="23"/>
      <c r="H3853" s="23"/>
      <c r="J3853" s="23"/>
      <c r="K3853" s="23"/>
      <c r="M3853" s="23"/>
      <c r="N3853" s="23"/>
      <c r="P3853" s="23"/>
    </row>
    <row r="3854" spans="2:16" x14ac:dyDescent="0.25">
      <c r="B3854" s="23"/>
      <c r="E3854" s="23"/>
      <c r="G3854" s="23"/>
      <c r="H3854" s="23"/>
      <c r="J3854" s="23"/>
      <c r="K3854" s="23"/>
      <c r="M3854" s="23"/>
      <c r="N3854" s="23"/>
      <c r="P3854" s="23"/>
    </row>
    <row r="3855" spans="2:16" x14ac:dyDescent="0.25">
      <c r="B3855" s="23"/>
      <c r="E3855" s="23"/>
      <c r="G3855" s="23"/>
      <c r="H3855" s="23"/>
      <c r="J3855" s="23"/>
      <c r="K3855" s="23"/>
      <c r="M3855" s="23"/>
      <c r="N3855" s="23"/>
      <c r="P3855" s="23"/>
    </row>
    <row r="3856" spans="2:16" x14ac:dyDescent="0.25">
      <c r="B3856" s="23"/>
      <c r="E3856" s="23"/>
      <c r="G3856" s="23"/>
      <c r="H3856" s="23"/>
      <c r="J3856" s="23"/>
      <c r="K3856" s="23"/>
      <c r="M3856" s="23"/>
      <c r="N3856" s="23"/>
      <c r="P3856" s="23"/>
    </row>
    <row r="3857" spans="2:16" x14ac:dyDescent="0.25">
      <c r="B3857" s="23"/>
      <c r="E3857" s="23"/>
      <c r="G3857" s="23"/>
      <c r="H3857" s="23"/>
      <c r="J3857" s="23"/>
      <c r="K3857" s="23"/>
      <c r="M3857" s="23"/>
      <c r="N3857" s="23"/>
      <c r="P3857" s="23"/>
    </row>
    <row r="3858" spans="2:16" x14ac:dyDescent="0.25">
      <c r="B3858" s="23"/>
      <c r="E3858" s="23"/>
      <c r="G3858" s="23"/>
      <c r="H3858" s="23"/>
      <c r="J3858" s="23"/>
      <c r="K3858" s="23"/>
      <c r="M3858" s="23"/>
      <c r="N3858" s="23"/>
      <c r="P3858" s="23"/>
    </row>
    <row r="3859" spans="2:16" x14ac:dyDescent="0.25">
      <c r="B3859" s="23"/>
      <c r="E3859" s="23"/>
      <c r="G3859" s="23"/>
      <c r="H3859" s="23"/>
      <c r="J3859" s="23"/>
      <c r="K3859" s="23"/>
      <c r="M3859" s="23"/>
      <c r="N3859" s="23"/>
      <c r="P3859" s="23"/>
    </row>
    <row r="3860" spans="2:16" x14ac:dyDescent="0.25">
      <c r="B3860" s="23"/>
      <c r="E3860" s="23"/>
      <c r="G3860" s="23"/>
      <c r="H3860" s="23"/>
      <c r="J3860" s="23"/>
      <c r="K3860" s="23"/>
      <c r="M3860" s="23"/>
      <c r="N3860" s="23"/>
      <c r="P3860" s="23"/>
    </row>
    <row r="3861" spans="2:16" x14ac:dyDescent="0.25">
      <c r="B3861" s="23"/>
      <c r="E3861" s="23"/>
      <c r="G3861" s="23"/>
      <c r="H3861" s="23"/>
      <c r="J3861" s="23"/>
      <c r="K3861" s="23"/>
      <c r="M3861" s="23"/>
      <c r="N3861" s="23"/>
      <c r="P3861" s="23"/>
    </row>
    <row r="3862" spans="2:16" x14ac:dyDescent="0.25">
      <c r="B3862" s="23"/>
      <c r="E3862" s="23"/>
      <c r="G3862" s="23"/>
      <c r="H3862" s="23"/>
      <c r="J3862" s="23"/>
      <c r="K3862" s="23"/>
      <c r="M3862" s="23"/>
      <c r="N3862" s="23"/>
      <c r="P3862" s="23"/>
    </row>
    <row r="3863" spans="2:16" x14ac:dyDescent="0.25">
      <c r="B3863" s="23"/>
      <c r="E3863" s="23"/>
      <c r="G3863" s="23"/>
      <c r="H3863" s="23"/>
      <c r="J3863" s="23"/>
      <c r="K3863" s="23"/>
      <c r="M3863" s="23"/>
      <c r="N3863" s="23"/>
      <c r="P3863" s="23"/>
    </row>
    <row r="3864" spans="2:16" x14ac:dyDescent="0.25">
      <c r="B3864" s="23"/>
      <c r="E3864" s="23"/>
      <c r="G3864" s="23"/>
      <c r="H3864" s="23"/>
      <c r="J3864" s="23"/>
      <c r="K3864" s="23"/>
      <c r="M3864" s="23"/>
      <c r="N3864" s="23"/>
      <c r="P3864" s="23"/>
    </row>
    <row r="3865" spans="2:16" x14ac:dyDescent="0.25">
      <c r="B3865" s="23"/>
      <c r="E3865" s="23"/>
      <c r="G3865" s="23"/>
      <c r="H3865" s="23"/>
      <c r="J3865" s="23"/>
      <c r="K3865" s="23"/>
      <c r="M3865" s="23"/>
      <c r="N3865" s="23"/>
      <c r="P3865" s="23"/>
    </row>
    <row r="3866" spans="2:16" x14ac:dyDescent="0.25">
      <c r="B3866" s="23"/>
      <c r="E3866" s="23"/>
      <c r="G3866" s="23"/>
      <c r="H3866" s="23"/>
      <c r="J3866" s="23"/>
      <c r="K3866" s="23"/>
      <c r="M3866" s="23"/>
      <c r="N3866" s="23"/>
      <c r="P3866" s="23"/>
    </row>
    <row r="3867" spans="2:16" x14ac:dyDescent="0.25">
      <c r="B3867" s="23"/>
      <c r="E3867" s="23"/>
      <c r="G3867" s="23"/>
      <c r="H3867" s="23"/>
      <c r="J3867" s="23"/>
      <c r="K3867" s="23"/>
      <c r="M3867" s="23"/>
      <c r="N3867" s="23"/>
      <c r="P3867" s="23"/>
    </row>
    <row r="3868" spans="2:16" x14ac:dyDescent="0.25">
      <c r="B3868" s="23"/>
      <c r="E3868" s="23"/>
      <c r="G3868" s="23"/>
      <c r="H3868" s="23"/>
      <c r="J3868" s="23"/>
      <c r="K3868" s="23"/>
      <c r="M3868" s="23"/>
      <c r="N3868" s="23"/>
      <c r="P3868" s="23"/>
    </row>
    <row r="3869" spans="2:16" x14ac:dyDescent="0.25">
      <c r="B3869" s="23"/>
      <c r="E3869" s="23"/>
      <c r="G3869" s="23"/>
      <c r="H3869" s="23"/>
      <c r="J3869" s="23"/>
      <c r="K3869" s="23"/>
      <c r="M3869" s="23"/>
      <c r="N3869" s="23"/>
      <c r="P3869" s="23"/>
    </row>
    <row r="3870" spans="2:16" x14ac:dyDescent="0.25">
      <c r="B3870" s="23"/>
      <c r="E3870" s="23"/>
      <c r="G3870" s="23"/>
      <c r="H3870" s="23"/>
      <c r="J3870" s="23"/>
      <c r="K3870" s="23"/>
      <c r="M3870" s="23"/>
      <c r="N3870" s="23"/>
      <c r="P3870" s="23"/>
    </row>
    <row r="3871" spans="2:16" x14ac:dyDescent="0.25">
      <c r="B3871" s="23"/>
      <c r="E3871" s="23"/>
      <c r="G3871" s="23"/>
      <c r="H3871" s="23"/>
      <c r="J3871" s="23"/>
      <c r="K3871" s="23"/>
      <c r="M3871" s="23"/>
      <c r="N3871" s="23"/>
      <c r="P3871" s="23"/>
    </row>
    <row r="3872" spans="2:16" x14ac:dyDescent="0.25">
      <c r="B3872" s="23"/>
      <c r="E3872" s="23"/>
      <c r="G3872" s="23"/>
      <c r="H3872" s="23"/>
      <c r="J3872" s="23"/>
      <c r="K3872" s="23"/>
      <c r="M3872" s="23"/>
      <c r="N3872" s="23"/>
      <c r="P3872" s="23"/>
    </row>
    <row r="3873" spans="2:16" x14ac:dyDescent="0.25">
      <c r="B3873" s="23"/>
      <c r="E3873" s="23"/>
      <c r="G3873" s="23"/>
      <c r="H3873" s="23"/>
      <c r="J3873" s="23"/>
      <c r="K3873" s="23"/>
      <c r="M3873" s="23"/>
      <c r="N3873" s="23"/>
      <c r="P3873" s="23"/>
    </row>
    <row r="3874" spans="2:16" x14ac:dyDescent="0.25">
      <c r="B3874" s="23"/>
      <c r="E3874" s="23"/>
      <c r="G3874" s="23"/>
      <c r="H3874" s="23"/>
      <c r="J3874" s="23"/>
      <c r="K3874" s="23"/>
      <c r="M3874" s="23"/>
      <c r="N3874" s="23"/>
      <c r="P3874" s="23"/>
    </row>
    <row r="3875" spans="2:16" x14ac:dyDescent="0.25">
      <c r="B3875" s="23"/>
      <c r="E3875" s="23"/>
      <c r="G3875" s="23"/>
      <c r="H3875" s="23"/>
      <c r="J3875" s="23"/>
      <c r="K3875" s="23"/>
      <c r="M3875" s="23"/>
      <c r="N3875" s="23"/>
      <c r="P3875" s="23"/>
    </row>
    <row r="3876" spans="2:16" x14ac:dyDescent="0.25">
      <c r="B3876" s="23"/>
      <c r="E3876" s="23"/>
      <c r="G3876" s="23"/>
      <c r="H3876" s="23"/>
      <c r="J3876" s="23"/>
      <c r="K3876" s="23"/>
      <c r="M3876" s="23"/>
      <c r="N3876" s="23"/>
      <c r="P3876" s="23"/>
    </row>
    <row r="3877" spans="2:16" x14ac:dyDescent="0.25">
      <c r="B3877" s="23"/>
      <c r="E3877" s="23"/>
      <c r="G3877" s="23"/>
      <c r="H3877" s="23"/>
      <c r="J3877" s="23"/>
      <c r="K3877" s="23"/>
      <c r="M3877" s="23"/>
      <c r="N3877" s="23"/>
      <c r="P3877" s="23"/>
    </row>
    <row r="3878" spans="2:16" x14ac:dyDescent="0.25">
      <c r="B3878" s="23"/>
      <c r="E3878" s="23"/>
      <c r="G3878" s="23"/>
      <c r="H3878" s="23"/>
      <c r="J3878" s="23"/>
      <c r="K3878" s="23"/>
      <c r="M3878" s="23"/>
      <c r="N3878" s="23"/>
      <c r="P3878" s="23"/>
    </row>
    <row r="3879" spans="2:16" x14ac:dyDescent="0.25">
      <c r="B3879" s="23"/>
      <c r="E3879" s="23"/>
      <c r="G3879" s="23"/>
      <c r="H3879" s="23"/>
      <c r="J3879" s="23"/>
      <c r="K3879" s="23"/>
      <c r="M3879" s="23"/>
      <c r="N3879" s="23"/>
      <c r="P3879" s="23"/>
    </row>
    <row r="3880" spans="2:16" x14ac:dyDescent="0.25">
      <c r="B3880" s="23"/>
      <c r="E3880" s="23"/>
      <c r="G3880" s="23"/>
      <c r="H3880" s="23"/>
      <c r="J3880" s="23"/>
      <c r="K3880" s="23"/>
      <c r="M3880" s="23"/>
      <c r="N3880" s="23"/>
      <c r="P3880" s="23"/>
    </row>
    <row r="3881" spans="2:16" x14ac:dyDescent="0.25">
      <c r="B3881" s="23"/>
      <c r="E3881" s="23"/>
      <c r="G3881" s="23"/>
      <c r="H3881" s="23"/>
      <c r="J3881" s="23"/>
      <c r="K3881" s="23"/>
      <c r="M3881" s="23"/>
      <c r="N3881" s="23"/>
      <c r="P3881" s="23"/>
    </row>
    <row r="3882" spans="2:16" x14ac:dyDescent="0.25">
      <c r="B3882" s="23"/>
      <c r="E3882" s="23"/>
      <c r="G3882" s="23"/>
      <c r="H3882" s="23"/>
      <c r="J3882" s="23"/>
      <c r="K3882" s="23"/>
      <c r="M3882" s="23"/>
      <c r="N3882" s="23"/>
      <c r="P3882" s="23"/>
    </row>
    <row r="3883" spans="2:16" x14ac:dyDescent="0.25">
      <c r="B3883" s="23"/>
      <c r="E3883" s="23"/>
      <c r="G3883" s="23"/>
      <c r="H3883" s="23"/>
      <c r="J3883" s="23"/>
      <c r="K3883" s="23"/>
      <c r="M3883" s="23"/>
      <c r="N3883" s="23"/>
      <c r="P3883" s="23"/>
    </row>
    <row r="3884" spans="2:16" x14ac:dyDescent="0.25">
      <c r="B3884" s="23"/>
      <c r="E3884" s="23"/>
      <c r="G3884" s="23"/>
      <c r="H3884" s="23"/>
      <c r="J3884" s="23"/>
      <c r="K3884" s="23"/>
      <c r="M3884" s="23"/>
      <c r="N3884" s="23"/>
      <c r="P3884" s="23"/>
    </row>
    <row r="3885" spans="2:16" x14ac:dyDescent="0.25">
      <c r="B3885" s="23"/>
      <c r="E3885" s="23"/>
      <c r="G3885" s="23"/>
      <c r="H3885" s="23"/>
      <c r="J3885" s="23"/>
      <c r="K3885" s="23"/>
      <c r="M3885" s="23"/>
      <c r="N3885" s="23"/>
      <c r="P3885" s="23"/>
    </row>
    <row r="3886" spans="2:16" x14ac:dyDescent="0.25">
      <c r="B3886" s="23"/>
      <c r="E3886" s="23"/>
      <c r="G3886" s="23"/>
      <c r="H3886" s="23"/>
      <c r="J3886" s="23"/>
      <c r="K3886" s="23"/>
      <c r="M3886" s="23"/>
      <c r="N3886" s="23"/>
      <c r="P3886" s="23"/>
    </row>
    <row r="3887" spans="2:16" x14ac:dyDescent="0.25">
      <c r="B3887" s="23"/>
      <c r="E3887" s="23"/>
      <c r="G3887" s="23"/>
      <c r="H3887" s="23"/>
      <c r="J3887" s="23"/>
      <c r="K3887" s="23"/>
      <c r="M3887" s="23"/>
      <c r="N3887" s="23"/>
      <c r="P3887" s="23"/>
    </row>
    <row r="3888" spans="2:16" x14ac:dyDescent="0.25">
      <c r="B3888" s="23"/>
      <c r="E3888" s="23"/>
      <c r="G3888" s="23"/>
      <c r="H3888" s="23"/>
      <c r="J3888" s="23"/>
      <c r="K3888" s="23"/>
      <c r="M3888" s="23"/>
      <c r="N3888" s="23"/>
      <c r="P3888" s="23"/>
    </row>
    <row r="3889" spans="2:16" x14ac:dyDescent="0.25">
      <c r="B3889" s="23"/>
      <c r="E3889" s="23"/>
      <c r="G3889" s="23"/>
      <c r="H3889" s="23"/>
      <c r="J3889" s="23"/>
      <c r="K3889" s="23"/>
      <c r="M3889" s="23"/>
      <c r="N3889" s="23"/>
      <c r="P3889" s="23"/>
    </row>
    <row r="3890" spans="2:16" x14ac:dyDescent="0.25">
      <c r="B3890" s="23"/>
      <c r="E3890" s="23"/>
      <c r="G3890" s="23"/>
      <c r="H3890" s="23"/>
      <c r="J3890" s="23"/>
      <c r="K3890" s="23"/>
      <c r="M3890" s="23"/>
      <c r="N3890" s="23"/>
      <c r="P3890" s="23"/>
    </row>
    <row r="3891" spans="2:16" x14ac:dyDescent="0.25">
      <c r="B3891" s="23"/>
      <c r="E3891" s="23"/>
      <c r="G3891" s="23"/>
      <c r="H3891" s="23"/>
      <c r="J3891" s="23"/>
      <c r="K3891" s="23"/>
      <c r="M3891" s="23"/>
      <c r="N3891" s="23"/>
      <c r="P3891" s="23"/>
    </row>
    <row r="3892" spans="2:16" x14ac:dyDescent="0.25">
      <c r="B3892" s="23"/>
      <c r="E3892" s="23"/>
      <c r="G3892" s="23"/>
      <c r="H3892" s="23"/>
      <c r="J3892" s="23"/>
      <c r="K3892" s="23"/>
      <c r="M3892" s="23"/>
      <c r="N3892" s="23"/>
      <c r="P3892" s="23"/>
    </row>
    <row r="3893" spans="2:16" x14ac:dyDescent="0.25">
      <c r="B3893" s="23"/>
      <c r="E3893" s="23"/>
      <c r="G3893" s="23"/>
      <c r="H3893" s="23"/>
      <c r="J3893" s="23"/>
      <c r="K3893" s="23"/>
      <c r="M3893" s="23"/>
      <c r="N3893" s="23"/>
      <c r="P3893" s="23"/>
    </row>
    <row r="3894" spans="2:16" x14ac:dyDescent="0.25">
      <c r="B3894" s="23"/>
      <c r="E3894" s="23"/>
      <c r="G3894" s="23"/>
      <c r="H3894" s="23"/>
      <c r="J3894" s="23"/>
      <c r="K3894" s="23"/>
      <c r="M3894" s="23"/>
      <c r="N3894" s="23"/>
      <c r="P3894" s="23"/>
    </row>
    <row r="3895" spans="2:16" x14ac:dyDescent="0.25">
      <c r="B3895" s="23"/>
      <c r="E3895" s="23"/>
      <c r="G3895" s="23"/>
      <c r="H3895" s="23"/>
      <c r="J3895" s="23"/>
      <c r="K3895" s="23"/>
      <c r="M3895" s="23"/>
      <c r="N3895" s="23"/>
      <c r="P3895" s="23"/>
    </row>
    <row r="3896" spans="2:16" x14ac:dyDescent="0.25">
      <c r="B3896" s="23"/>
      <c r="E3896" s="23"/>
      <c r="G3896" s="23"/>
      <c r="H3896" s="23"/>
      <c r="J3896" s="23"/>
      <c r="K3896" s="23"/>
      <c r="M3896" s="23"/>
      <c r="N3896" s="23"/>
      <c r="P3896" s="23"/>
    </row>
    <row r="3897" spans="2:16" x14ac:dyDescent="0.25">
      <c r="B3897" s="23"/>
      <c r="E3897" s="23"/>
      <c r="G3897" s="23"/>
      <c r="H3897" s="23"/>
      <c r="J3897" s="23"/>
      <c r="K3897" s="23"/>
      <c r="M3897" s="23"/>
      <c r="N3897" s="23"/>
      <c r="P3897" s="23"/>
    </row>
    <row r="3898" spans="2:16" x14ac:dyDescent="0.25">
      <c r="B3898" s="23"/>
      <c r="E3898" s="23"/>
      <c r="G3898" s="23"/>
      <c r="H3898" s="23"/>
      <c r="J3898" s="23"/>
      <c r="K3898" s="23"/>
      <c r="M3898" s="23"/>
      <c r="N3898" s="23"/>
      <c r="P3898" s="23"/>
    </row>
    <row r="3899" spans="2:16" x14ac:dyDescent="0.25">
      <c r="B3899" s="23"/>
      <c r="E3899" s="23"/>
      <c r="G3899" s="23"/>
      <c r="H3899" s="23"/>
      <c r="J3899" s="23"/>
      <c r="K3899" s="23"/>
      <c r="M3899" s="23"/>
      <c r="N3899" s="23"/>
      <c r="P3899" s="23"/>
    </row>
    <row r="3900" spans="2:16" x14ac:dyDescent="0.25">
      <c r="B3900" s="23"/>
      <c r="E3900" s="23"/>
      <c r="G3900" s="23"/>
      <c r="H3900" s="23"/>
      <c r="J3900" s="23"/>
      <c r="K3900" s="23"/>
      <c r="M3900" s="23"/>
      <c r="N3900" s="23"/>
      <c r="P3900" s="23"/>
    </row>
    <row r="3901" spans="2:16" x14ac:dyDescent="0.25">
      <c r="B3901" s="23"/>
      <c r="E3901" s="23"/>
      <c r="G3901" s="23"/>
      <c r="H3901" s="23"/>
      <c r="J3901" s="23"/>
      <c r="K3901" s="23"/>
      <c r="M3901" s="23"/>
      <c r="N3901" s="23"/>
      <c r="P3901" s="23"/>
    </row>
    <row r="3902" spans="2:16" x14ac:dyDescent="0.25">
      <c r="B3902" s="23"/>
      <c r="E3902" s="23"/>
      <c r="G3902" s="23"/>
      <c r="H3902" s="23"/>
      <c r="J3902" s="23"/>
      <c r="K3902" s="23"/>
      <c r="M3902" s="23"/>
      <c r="N3902" s="23"/>
      <c r="P3902" s="23"/>
    </row>
    <row r="3903" spans="2:16" x14ac:dyDescent="0.25">
      <c r="B3903" s="23"/>
      <c r="E3903" s="23"/>
      <c r="G3903" s="23"/>
      <c r="H3903" s="23"/>
      <c r="J3903" s="23"/>
      <c r="K3903" s="23"/>
      <c r="M3903" s="23"/>
      <c r="N3903" s="23"/>
      <c r="P3903" s="23"/>
    </row>
    <row r="3904" spans="2:16" x14ac:dyDescent="0.25">
      <c r="B3904" s="23"/>
      <c r="E3904" s="23"/>
      <c r="G3904" s="23"/>
      <c r="H3904" s="23"/>
      <c r="J3904" s="23"/>
      <c r="K3904" s="23"/>
      <c r="M3904" s="23"/>
      <c r="N3904" s="23"/>
      <c r="P3904" s="23"/>
    </row>
    <row r="3905" spans="2:16" x14ac:dyDescent="0.25">
      <c r="B3905" s="23"/>
      <c r="E3905" s="23"/>
      <c r="G3905" s="23"/>
      <c r="H3905" s="23"/>
      <c r="J3905" s="23"/>
      <c r="K3905" s="23"/>
      <c r="M3905" s="23"/>
      <c r="N3905" s="23"/>
      <c r="P3905" s="23"/>
    </row>
    <row r="3906" spans="2:16" x14ac:dyDescent="0.25">
      <c r="B3906" s="23"/>
      <c r="E3906" s="23"/>
      <c r="G3906" s="23"/>
      <c r="H3906" s="23"/>
      <c r="J3906" s="23"/>
      <c r="K3906" s="23"/>
      <c r="M3906" s="23"/>
      <c r="N3906" s="23"/>
      <c r="P3906" s="23"/>
    </row>
    <row r="3907" spans="2:16" x14ac:dyDescent="0.25">
      <c r="B3907" s="23"/>
      <c r="E3907" s="23"/>
      <c r="G3907" s="23"/>
      <c r="H3907" s="23"/>
      <c r="J3907" s="23"/>
      <c r="K3907" s="23"/>
      <c r="M3907" s="23"/>
      <c r="N3907" s="23"/>
      <c r="P3907" s="23"/>
    </row>
    <row r="3908" spans="2:16" x14ac:dyDescent="0.25">
      <c r="B3908" s="23"/>
      <c r="E3908" s="23"/>
      <c r="G3908" s="23"/>
      <c r="H3908" s="23"/>
      <c r="J3908" s="23"/>
      <c r="K3908" s="23"/>
      <c r="M3908" s="23"/>
      <c r="N3908" s="23"/>
      <c r="P3908" s="23"/>
    </row>
    <row r="3909" spans="2:16" x14ac:dyDescent="0.25">
      <c r="B3909" s="23"/>
      <c r="E3909" s="23"/>
      <c r="G3909" s="23"/>
      <c r="H3909" s="23"/>
      <c r="J3909" s="23"/>
      <c r="K3909" s="23"/>
      <c r="M3909" s="23"/>
      <c r="N3909" s="23"/>
      <c r="P3909" s="23"/>
    </row>
    <row r="3910" spans="2:16" x14ac:dyDescent="0.25">
      <c r="B3910" s="23"/>
      <c r="E3910" s="23"/>
      <c r="G3910" s="23"/>
      <c r="H3910" s="23"/>
      <c r="J3910" s="23"/>
      <c r="K3910" s="23"/>
      <c r="M3910" s="23"/>
      <c r="N3910" s="23"/>
      <c r="P3910" s="23"/>
    </row>
    <row r="3911" spans="2:16" x14ac:dyDescent="0.25">
      <c r="B3911" s="23"/>
      <c r="E3911" s="23"/>
      <c r="G3911" s="23"/>
      <c r="H3911" s="23"/>
      <c r="J3911" s="23"/>
      <c r="K3911" s="23"/>
      <c r="M3911" s="23"/>
      <c r="N3911" s="23"/>
      <c r="P3911" s="23"/>
    </row>
    <row r="3912" spans="2:16" x14ac:dyDescent="0.25">
      <c r="B3912" s="23"/>
      <c r="E3912" s="23"/>
      <c r="G3912" s="23"/>
      <c r="H3912" s="23"/>
      <c r="J3912" s="23"/>
      <c r="K3912" s="23"/>
      <c r="M3912" s="23"/>
      <c r="N3912" s="23"/>
      <c r="P3912" s="23"/>
    </row>
    <row r="3913" spans="2:16" x14ac:dyDescent="0.25">
      <c r="B3913" s="23"/>
      <c r="E3913" s="23"/>
      <c r="G3913" s="23"/>
      <c r="H3913" s="23"/>
      <c r="J3913" s="23"/>
      <c r="K3913" s="23"/>
      <c r="M3913" s="23"/>
      <c r="N3913" s="23"/>
      <c r="P3913" s="23"/>
    </row>
    <row r="3914" spans="2:16" x14ac:dyDescent="0.25">
      <c r="B3914" s="23"/>
      <c r="E3914" s="23"/>
      <c r="G3914" s="23"/>
      <c r="H3914" s="23"/>
      <c r="J3914" s="23"/>
      <c r="K3914" s="23"/>
      <c r="M3914" s="23"/>
      <c r="N3914" s="23"/>
      <c r="P3914" s="23"/>
    </row>
    <row r="3915" spans="2:16" x14ac:dyDescent="0.25">
      <c r="B3915" s="23"/>
      <c r="E3915" s="23"/>
      <c r="G3915" s="23"/>
      <c r="H3915" s="23"/>
      <c r="J3915" s="23"/>
      <c r="K3915" s="23"/>
      <c r="M3915" s="23"/>
      <c r="N3915" s="23"/>
      <c r="P3915" s="23"/>
    </row>
    <row r="3916" spans="2:16" x14ac:dyDescent="0.25">
      <c r="B3916" s="23"/>
      <c r="E3916" s="23"/>
      <c r="G3916" s="23"/>
      <c r="H3916" s="23"/>
      <c r="J3916" s="23"/>
      <c r="K3916" s="23"/>
      <c r="M3916" s="23"/>
      <c r="N3916" s="23"/>
      <c r="P3916" s="23"/>
    </row>
    <row r="3917" spans="2:16" x14ac:dyDescent="0.25">
      <c r="B3917" s="23"/>
      <c r="E3917" s="23"/>
      <c r="G3917" s="23"/>
      <c r="H3917" s="23"/>
      <c r="J3917" s="23"/>
      <c r="K3917" s="23"/>
      <c r="M3917" s="23"/>
      <c r="N3917" s="23"/>
      <c r="P3917" s="23"/>
    </row>
    <row r="3918" spans="2:16" x14ac:dyDescent="0.25">
      <c r="B3918" s="23"/>
      <c r="E3918" s="23"/>
      <c r="G3918" s="23"/>
      <c r="H3918" s="23"/>
      <c r="J3918" s="23"/>
      <c r="K3918" s="23"/>
      <c r="M3918" s="23"/>
      <c r="N3918" s="23"/>
      <c r="P3918" s="23"/>
    </row>
    <row r="3919" spans="2:16" x14ac:dyDescent="0.25">
      <c r="B3919" s="23"/>
      <c r="E3919" s="23"/>
      <c r="G3919" s="23"/>
      <c r="H3919" s="23"/>
      <c r="J3919" s="23"/>
      <c r="K3919" s="23"/>
      <c r="M3919" s="23"/>
      <c r="N3919" s="23"/>
      <c r="P3919" s="23"/>
    </row>
    <row r="3920" spans="2:16" x14ac:dyDescent="0.25">
      <c r="B3920" s="23"/>
      <c r="E3920" s="23"/>
      <c r="G3920" s="23"/>
      <c r="H3920" s="23"/>
      <c r="J3920" s="23"/>
      <c r="K3920" s="23"/>
      <c r="M3920" s="23"/>
      <c r="N3920" s="23"/>
      <c r="P3920" s="23"/>
    </row>
    <row r="3921" spans="2:16" x14ac:dyDescent="0.25">
      <c r="B3921" s="23"/>
      <c r="E3921" s="23"/>
      <c r="G3921" s="23"/>
      <c r="H3921" s="23"/>
      <c r="J3921" s="23"/>
      <c r="K3921" s="23"/>
      <c r="M3921" s="23"/>
      <c r="N3921" s="23"/>
      <c r="P3921" s="23"/>
    </row>
    <row r="3922" spans="2:16" x14ac:dyDescent="0.25">
      <c r="B3922" s="23"/>
      <c r="E3922" s="23"/>
      <c r="G3922" s="23"/>
      <c r="H3922" s="23"/>
      <c r="J3922" s="23"/>
      <c r="K3922" s="23"/>
      <c r="M3922" s="23"/>
      <c r="N3922" s="23"/>
      <c r="P3922" s="23"/>
    </row>
    <row r="3923" spans="2:16" x14ac:dyDescent="0.25">
      <c r="B3923" s="23"/>
      <c r="E3923" s="23"/>
      <c r="G3923" s="23"/>
      <c r="H3923" s="23"/>
      <c r="J3923" s="23"/>
      <c r="K3923" s="23"/>
      <c r="M3923" s="23"/>
      <c r="N3923" s="23"/>
      <c r="P3923" s="23"/>
    </row>
    <row r="3924" spans="2:16" x14ac:dyDescent="0.25">
      <c r="B3924" s="23"/>
      <c r="E3924" s="23"/>
      <c r="G3924" s="23"/>
      <c r="H3924" s="23"/>
      <c r="J3924" s="23"/>
      <c r="K3924" s="23"/>
      <c r="M3924" s="23"/>
      <c r="N3924" s="23"/>
      <c r="P3924" s="23"/>
    </row>
    <row r="3925" spans="2:16" x14ac:dyDescent="0.25">
      <c r="B3925" s="23"/>
      <c r="E3925" s="23"/>
      <c r="G3925" s="23"/>
      <c r="H3925" s="23"/>
      <c r="J3925" s="23"/>
      <c r="K3925" s="23"/>
      <c r="M3925" s="23"/>
      <c r="N3925" s="23"/>
      <c r="P3925" s="23"/>
    </row>
    <row r="3926" spans="2:16" x14ac:dyDescent="0.25">
      <c r="B3926" s="23"/>
      <c r="E3926" s="23"/>
      <c r="G3926" s="23"/>
      <c r="H3926" s="23"/>
      <c r="J3926" s="23"/>
      <c r="K3926" s="23"/>
      <c r="M3926" s="23"/>
      <c r="N3926" s="23"/>
      <c r="P3926" s="23"/>
    </row>
    <row r="3927" spans="2:16" x14ac:dyDescent="0.25">
      <c r="B3927" s="23"/>
      <c r="E3927" s="23"/>
      <c r="G3927" s="23"/>
      <c r="H3927" s="23"/>
      <c r="J3927" s="23"/>
      <c r="K3927" s="23"/>
      <c r="M3927" s="23"/>
      <c r="N3927" s="23"/>
      <c r="P3927" s="23"/>
    </row>
    <row r="3928" spans="2:16" x14ac:dyDescent="0.25">
      <c r="B3928" s="23"/>
      <c r="E3928" s="23"/>
      <c r="G3928" s="23"/>
      <c r="H3928" s="23"/>
      <c r="J3928" s="23"/>
      <c r="K3928" s="23"/>
      <c r="M3928" s="23"/>
      <c r="N3928" s="23"/>
      <c r="P3928" s="23"/>
    </row>
    <row r="3929" spans="2:16" x14ac:dyDescent="0.25">
      <c r="B3929" s="23"/>
      <c r="E3929" s="23"/>
      <c r="G3929" s="23"/>
      <c r="H3929" s="23"/>
      <c r="J3929" s="23"/>
      <c r="K3929" s="23"/>
      <c r="M3929" s="23"/>
      <c r="N3929" s="23"/>
      <c r="P3929" s="23"/>
    </row>
    <row r="3930" spans="2:16" x14ac:dyDescent="0.25">
      <c r="B3930" s="23"/>
      <c r="E3930" s="23"/>
      <c r="G3930" s="23"/>
      <c r="H3930" s="23"/>
      <c r="J3930" s="23"/>
      <c r="K3930" s="23"/>
      <c r="M3930" s="23"/>
      <c r="N3930" s="23"/>
      <c r="P3930" s="23"/>
    </row>
    <row r="3931" spans="2:16" x14ac:dyDescent="0.25">
      <c r="B3931" s="23"/>
      <c r="E3931" s="23"/>
      <c r="G3931" s="23"/>
      <c r="H3931" s="23"/>
      <c r="J3931" s="23"/>
      <c r="K3931" s="23"/>
      <c r="M3931" s="23"/>
      <c r="N3931" s="23"/>
      <c r="P3931" s="23"/>
    </row>
    <row r="3932" spans="2:16" x14ac:dyDescent="0.25">
      <c r="B3932" s="23"/>
      <c r="E3932" s="23"/>
      <c r="G3932" s="23"/>
      <c r="H3932" s="23"/>
      <c r="J3932" s="23"/>
      <c r="K3932" s="23"/>
      <c r="M3932" s="23"/>
      <c r="N3932" s="23"/>
      <c r="P3932" s="23"/>
    </row>
    <row r="3933" spans="2:16" x14ac:dyDescent="0.25">
      <c r="B3933" s="23"/>
      <c r="E3933" s="23"/>
      <c r="G3933" s="23"/>
      <c r="H3933" s="23"/>
      <c r="J3933" s="23"/>
      <c r="K3933" s="23"/>
      <c r="M3933" s="23"/>
      <c r="N3933" s="23"/>
      <c r="P3933" s="23"/>
    </row>
    <row r="3934" spans="2:16" x14ac:dyDescent="0.25">
      <c r="B3934" s="23"/>
      <c r="E3934" s="23"/>
      <c r="G3934" s="23"/>
      <c r="H3934" s="23"/>
      <c r="J3934" s="23"/>
      <c r="K3934" s="23"/>
      <c r="M3934" s="23"/>
      <c r="N3934" s="23"/>
      <c r="P3934" s="23"/>
    </row>
    <row r="3935" spans="2:16" x14ac:dyDescent="0.25">
      <c r="B3935" s="23"/>
      <c r="E3935" s="23"/>
      <c r="G3935" s="23"/>
      <c r="H3935" s="23"/>
      <c r="J3935" s="23"/>
      <c r="K3935" s="23"/>
      <c r="M3935" s="23"/>
      <c r="N3935" s="23"/>
      <c r="P3935" s="23"/>
    </row>
    <row r="3936" spans="2:16" x14ac:dyDescent="0.25">
      <c r="B3936" s="23"/>
      <c r="E3936" s="23"/>
      <c r="G3936" s="23"/>
      <c r="H3936" s="23"/>
      <c r="J3936" s="23"/>
      <c r="K3936" s="23"/>
      <c r="M3936" s="23"/>
      <c r="N3936" s="23"/>
      <c r="P3936" s="23"/>
    </row>
    <row r="3937" spans="2:16" x14ac:dyDescent="0.25">
      <c r="B3937" s="23"/>
      <c r="E3937" s="23"/>
      <c r="G3937" s="23"/>
      <c r="H3937" s="23"/>
      <c r="J3937" s="23"/>
      <c r="K3937" s="23"/>
      <c r="M3937" s="23"/>
      <c r="N3937" s="23"/>
      <c r="P3937" s="23"/>
    </row>
    <row r="3938" spans="2:16" x14ac:dyDescent="0.25">
      <c r="B3938" s="23"/>
      <c r="E3938" s="23"/>
      <c r="G3938" s="23"/>
      <c r="H3938" s="23"/>
      <c r="J3938" s="23"/>
      <c r="K3938" s="23"/>
      <c r="M3938" s="23"/>
      <c r="N3938" s="23"/>
      <c r="P3938" s="23"/>
    </row>
    <row r="3939" spans="2:16" x14ac:dyDescent="0.25">
      <c r="B3939" s="23"/>
      <c r="E3939" s="23"/>
      <c r="G3939" s="23"/>
      <c r="H3939" s="23"/>
      <c r="J3939" s="23"/>
      <c r="K3939" s="23"/>
      <c r="M3939" s="23"/>
      <c r="N3939" s="23"/>
      <c r="P3939" s="23"/>
    </row>
    <row r="3940" spans="2:16" x14ac:dyDescent="0.25">
      <c r="B3940" s="23"/>
      <c r="E3940" s="23"/>
      <c r="G3940" s="23"/>
      <c r="H3940" s="23"/>
      <c r="J3940" s="23"/>
      <c r="K3940" s="23"/>
      <c r="M3940" s="23"/>
      <c r="N3940" s="23"/>
      <c r="P3940" s="23"/>
    </row>
    <row r="3941" spans="2:16" x14ac:dyDescent="0.25">
      <c r="B3941" s="23"/>
      <c r="E3941" s="23"/>
      <c r="G3941" s="23"/>
      <c r="H3941" s="23"/>
      <c r="J3941" s="23"/>
      <c r="K3941" s="23"/>
      <c r="M3941" s="23"/>
      <c r="N3941" s="23"/>
      <c r="P3941" s="23"/>
    </row>
    <row r="3942" spans="2:16" x14ac:dyDescent="0.25">
      <c r="B3942" s="23"/>
      <c r="E3942" s="23"/>
      <c r="G3942" s="23"/>
      <c r="H3942" s="23"/>
      <c r="J3942" s="23"/>
      <c r="K3942" s="23"/>
      <c r="M3942" s="23"/>
      <c r="N3942" s="23"/>
      <c r="P3942" s="23"/>
    </row>
    <row r="3943" spans="2:16" x14ac:dyDescent="0.25">
      <c r="B3943" s="23"/>
      <c r="E3943" s="23"/>
      <c r="G3943" s="23"/>
      <c r="H3943" s="23"/>
      <c r="J3943" s="23"/>
      <c r="K3943" s="23"/>
      <c r="M3943" s="23"/>
      <c r="N3943" s="23"/>
      <c r="P3943" s="23"/>
    </row>
    <row r="3944" spans="2:16" x14ac:dyDescent="0.25">
      <c r="B3944" s="23"/>
      <c r="E3944" s="23"/>
      <c r="G3944" s="23"/>
      <c r="H3944" s="23"/>
      <c r="J3944" s="23"/>
      <c r="K3944" s="23"/>
      <c r="M3944" s="23"/>
      <c r="N3944" s="23"/>
      <c r="P3944" s="23"/>
    </row>
    <row r="3945" spans="2:16" x14ac:dyDescent="0.25">
      <c r="B3945" s="23"/>
      <c r="E3945" s="23"/>
      <c r="G3945" s="23"/>
      <c r="H3945" s="23"/>
      <c r="J3945" s="23"/>
      <c r="K3945" s="23"/>
      <c r="M3945" s="23"/>
      <c r="N3945" s="23"/>
      <c r="P3945" s="23"/>
    </row>
    <row r="3946" spans="2:16" x14ac:dyDescent="0.25">
      <c r="B3946" s="23"/>
      <c r="E3946" s="23"/>
      <c r="G3946" s="23"/>
      <c r="H3946" s="23"/>
      <c r="J3946" s="23"/>
      <c r="K3946" s="23"/>
      <c r="M3946" s="23"/>
      <c r="N3946" s="23"/>
      <c r="P3946" s="23"/>
    </row>
    <row r="3947" spans="2:16" x14ac:dyDescent="0.25">
      <c r="B3947" s="23"/>
      <c r="E3947" s="23"/>
      <c r="G3947" s="23"/>
      <c r="H3947" s="23"/>
      <c r="J3947" s="23"/>
      <c r="K3947" s="23"/>
      <c r="M3947" s="23"/>
      <c r="N3947" s="23"/>
      <c r="P3947" s="23"/>
    </row>
    <row r="3948" spans="2:16" x14ac:dyDescent="0.25">
      <c r="B3948" s="23"/>
      <c r="E3948" s="23"/>
      <c r="G3948" s="23"/>
      <c r="H3948" s="23"/>
      <c r="J3948" s="23"/>
      <c r="K3948" s="23"/>
      <c r="M3948" s="23"/>
      <c r="N3948" s="23"/>
      <c r="P3948" s="23"/>
    </row>
    <row r="3949" spans="2:16" x14ac:dyDescent="0.25">
      <c r="B3949" s="23"/>
      <c r="E3949" s="23"/>
      <c r="G3949" s="23"/>
      <c r="H3949" s="23"/>
      <c r="J3949" s="23"/>
      <c r="K3949" s="23"/>
      <c r="M3949" s="23"/>
      <c r="N3949" s="23"/>
      <c r="P3949" s="23"/>
    </row>
    <row r="3950" spans="2:16" x14ac:dyDescent="0.25">
      <c r="B3950" s="23"/>
      <c r="E3950" s="23"/>
      <c r="G3950" s="23"/>
      <c r="H3950" s="23"/>
      <c r="J3950" s="23"/>
      <c r="K3950" s="23"/>
      <c r="M3950" s="23"/>
      <c r="N3950" s="23"/>
      <c r="P3950" s="23"/>
    </row>
    <row r="3951" spans="2:16" x14ac:dyDescent="0.25">
      <c r="B3951" s="23"/>
      <c r="E3951" s="23"/>
      <c r="G3951" s="23"/>
      <c r="H3951" s="23"/>
      <c r="J3951" s="23"/>
      <c r="K3951" s="23"/>
      <c r="M3951" s="23"/>
      <c r="N3951" s="23"/>
      <c r="P3951" s="23"/>
    </row>
    <row r="3952" spans="2:16" x14ac:dyDescent="0.25">
      <c r="B3952" s="23"/>
      <c r="E3952" s="23"/>
      <c r="G3952" s="23"/>
      <c r="H3952" s="23"/>
      <c r="J3952" s="23"/>
      <c r="K3952" s="23"/>
      <c r="M3952" s="23"/>
      <c r="N3952" s="23"/>
      <c r="P3952" s="23"/>
    </row>
    <row r="3953" spans="2:16" x14ac:dyDescent="0.25">
      <c r="B3953" s="23"/>
      <c r="E3953" s="23"/>
      <c r="G3953" s="23"/>
      <c r="H3953" s="23"/>
      <c r="J3953" s="23"/>
      <c r="K3953" s="23"/>
      <c r="M3953" s="23"/>
      <c r="N3953" s="23"/>
      <c r="P3953" s="23"/>
    </row>
    <row r="3954" spans="2:16" x14ac:dyDescent="0.25">
      <c r="B3954" s="23"/>
      <c r="E3954" s="23"/>
      <c r="G3954" s="23"/>
      <c r="H3954" s="23"/>
      <c r="J3954" s="23"/>
      <c r="K3954" s="23"/>
      <c r="M3954" s="23"/>
      <c r="N3954" s="23"/>
      <c r="P3954" s="23"/>
    </row>
    <row r="3955" spans="2:16" x14ac:dyDescent="0.25">
      <c r="B3955" s="23"/>
      <c r="E3955" s="23"/>
      <c r="G3955" s="23"/>
      <c r="H3955" s="23"/>
      <c r="J3955" s="23"/>
      <c r="K3955" s="23"/>
      <c r="M3955" s="23"/>
      <c r="N3955" s="23"/>
      <c r="P3955" s="23"/>
    </row>
    <row r="3956" spans="2:16" x14ac:dyDescent="0.25">
      <c r="B3956" s="23"/>
      <c r="E3956" s="23"/>
      <c r="G3956" s="23"/>
      <c r="H3956" s="23"/>
      <c r="J3956" s="23"/>
      <c r="K3956" s="23"/>
      <c r="M3956" s="23"/>
      <c r="N3956" s="23"/>
      <c r="P3956" s="23"/>
    </row>
    <row r="3957" spans="2:16" x14ac:dyDescent="0.25">
      <c r="B3957" s="23"/>
      <c r="E3957" s="23"/>
      <c r="G3957" s="23"/>
      <c r="H3957" s="23"/>
      <c r="J3957" s="23"/>
      <c r="K3957" s="23"/>
      <c r="M3957" s="23"/>
      <c r="N3957" s="23"/>
      <c r="P3957" s="23"/>
    </row>
    <row r="3958" spans="2:16" x14ac:dyDescent="0.25">
      <c r="B3958" s="23"/>
      <c r="E3958" s="23"/>
      <c r="G3958" s="23"/>
      <c r="H3958" s="23"/>
      <c r="J3958" s="23"/>
      <c r="K3958" s="23"/>
      <c r="M3958" s="23"/>
      <c r="N3958" s="23"/>
      <c r="P3958" s="23"/>
    </row>
    <row r="3959" spans="2:16" x14ac:dyDescent="0.25">
      <c r="B3959" s="23"/>
      <c r="E3959" s="23"/>
      <c r="G3959" s="23"/>
      <c r="H3959" s="23"/>
      <c r="J3959" s="23"/>
      <c r="K3959" s="23"/>
      <c r="M3959" s="23"/>
      <c r="N3959" s="23"/>
      <c r="P3959" s="23"/>
    </row>
    <row r="3960" spans="2:16" x14ac:dyDescent="0.25">
      <c r="B3960" s="23"/>
      <c r="E3960" s="23"/>
      <c r="G3960" s="23"/>
      <c r="H3960" s="23"/>
      <c r="J3960" s="23"/>
      <c r="K3960" s="23"/>
      <c r="M3960" s="23"/>
      <c r="N3960" s="23"/>
      <c r="P3960" s="23"/>
    </row>
    <row r="3961" spans="2:16" x14ac:dyDescent="0.25">
      <c r="B3961" s="23"/>
      <c r="E3961" s="23"/>
      <c r="G3961" s="23"/>
      <c r="H3961" s="23"/>
      <c r="J3961" s="23"/>
      <c r="K3961" s="23"/>
      <c r="M3961" s="23"/>
      <c r="N3961" s="23"/>
      <c r="P3961" s="23"/>
    </row>
    <row r="3962" spans="2:16" x14ac:dyDescent="0.25">
      <c r="B3962" s="23"/>
      <c r="E3962" s="23"/>
      <c r="G3962" s="23"/>
      <c r="H3962" s="23"/>
      <c r="J3962" s="23"/>
      <c r="K3962" s="23"/>
      <c r="M3962" s="23"/>
      <c r="N3962" s="23"/>
      <c r="P3962" s="23"/>
    </row>
    <row r="3963" spans="2:16" x14ac:dyDescent="0.25">
      <c r="B3963" s="23"/>
      <c r="E3963" s="23"/>
      <c r="G3963" s="23"/>
      <c r="H3963" s="23"/>
      <c r="J3963" s="23"/>
      <c r="K3963" s="23"/>
      <c r="M3963" s="23"/>
      <c r="N3963" s="23"/>
      <c r="P3963" s="23"/>
    </row>
    <row r="3964" spans="2:16" x14ac:dyDescent="0.25">
      <c r="B3964" s="23"/>
      <c r="E3964" s="23"/>
      <c r="G3964" s="23"/>
      <c r="H3964" s="23"/>
      <c r="J3964" s="23"/>
      <c r="K3964" s="23"/>
      <c r="M3964" s="23"/>
      <c r="N3964" s="23"/>
      <c r="P3964" s="23"/>
    </row>
    <row r="3965" spans="2:16" x14ac:dyDescent="0.25">
      <c r="B3965" s="23"/>
      <c r="E3965" s="23"/>
      <c r="G3965" s="23"/>
      <c r="H3965" s="23"/>
      <c r="J3965" s="23"/>
      <c r="K3965" s="23"/>
      <c r="M3965" s="23"/>
      <c r="N3965" s="23"/>
      <c r="P3965" s="23"/>
    </row>
    <row r="3966" spans="2:16" x14ac:dyDescent="0.25">
      <c r="B3966" s="23"/>
      <c r="E3966" s="23"/>
      <c r="G3966" s="23"/>
      <c r="H3966" s="23"/>
      <c r="J3966" s="23"/>
      <c r="K3966" s="23"/>
      <c r="M3966" s="23"/>
      <c r="N3966" s="23"/>
      <c r="P3966" s="23"/>
    </row>
    <row r="3967" spans="2:16" x14ac:dyDescent="0.25">
      <c r="B3967" s="23"/>
      <c r="E3967" s="23"/>
      <c r="G3967" s="23"/>
      <c r="H3967" s="23"/>
      <c r="J3967" s="23"/>
      <c r="K3967" s="23"/>
      <c r="M3967" s="23"/>
      <c r="N3967" s="23"/>
      <c r="P3967" s="23"/>
    </row>
    <row r="3968" spans="2:16" x14ac:dyDescent="0.25">
      <c r="B3968" s="23"/>
      <c r="E3968" s="23"/>
      <c r="G3968" s="23"/>
      <c r="H3968" s="23"/>
      <c r="J3968" s="23"/>
      <c r="K3968" s="23"/>
      <c r="M3968" s="23"/>
      <c r="N3968" s="23"/>
      <c r="P3968" s="23"/>
    </row>
    <row r="3969" spans="2:16" x14ac:dyDescent="0.25">
      <c r="B3969" s="23"/>
      <c r="E3969" s="23"/>
      <c r="G3969" s="23"/>
      <c r="H3969" s="23"/>
      <c r="J3969" s="23"/>
      <c r="K3969" s="23"/>
      <c r="M3969" s="23"/>
      <c r="N3969" s="23"/>
      <c r="P3969" s="23"/>
    </row>
    <row r="3970" spans="2:16" x14ac:dyDescent="0.25">
      <c r="B3970" s="23"/>
      <c r="E3970" s="23"/>
      <c r="G3970" s="23"/>
      <c r="H3970" s="23"/>
      <c r="J3970" s="23"/>
      <c r="K3970" s="23"/>
      <c r="M3970" s="23"/>
      <c r="N3970" s="23"/>
      <c r="P3970" s="23"/>
    </row>
    <row r="3971" spans="2:16" x14ac:dyDescent="0.25">
      <c r="B3971" s="23"/>
      <c r="E3971" s="23"/>
      <c r="G3971" s="23"/>
      <c r="H3971" s="23"/>
      <c r="J3971" s="23"/>
      <c r="K3971" s="23"/>
      <c r="M3971" s="23"/>
      <c r="N3971" s="23"/>
      <c r="P3971" s="23"/>
    </row>
    <row r="3972" spans="2:16" x14ac:dyDescent="0.25">
      <c r="B3972" s="23"/>
      <c r="E3972" s="23"/>
      <c r="G3972" s="23"/>
      <c r="H3972" s="23"/>
      <c r="J3972" s="23"/>
      <c r="K3972" s="23"/>
      <c r="M3972" s="23"/>
      <c r="N3972" s="23"/>
      <c r="P3972" s="23"/>
    </row>
    <row r="3973" spans="2:16" x14ac:dyDescent="0.25">
      <c r="B3973" s="23"/>
      <c r="E3973" s="23"/>
      <c r="G3973" s="23"/>
      <c r="H3973" s="23"/>
      <c r="J3973" s="23"/>
      <c r="K3973" s="23"/>
      <c r="M3973" s="23"/>
      <c r="N3973" s="23"/>
      <c r="P3973" s="23"/>
    </row>
    <row r="3974" spans="2:16" x14ac:dyDescent="0.25">
      <c r="B3974" s="23"/>
      <c r="E3974" s="23"/>
      <c r="G3974" s="23"/>
      <c r="H3974" s="23"/>
      <c r="J3974" s="23"/>
      <c r="K3974" s="23"/>
      <c r="M3974" s="23"/>
      <c r="N3974" s="23"/>
      <c r="P3974" s="23"/>
    </row>
    <row r="3975" spans="2:16" x14ac:dyDescent="0.25">
      <c r="B3975" s="23"/>
      <c r="E3975" s="23"/>
      <c r="G3975" s="23"/>
      <c r="H3975" s="23"/>
      <c r="J3975" s="23"/>
      <c r="K3975" s="23"/>
      <c r="M3975" s="23"/>
      <c r="N3975" s="23"/>
      <c r="P3975" s="23"/>
    </row>
    <row r="3976" spans="2:16" x14ac:dyDescent="0.25">
      <c r="B3976" s="23"/>
      <c r="E3976" s="23"/>
      <c r="G3976" s="23"/>
      <c r="H3976" s="23"/>
      <c r="J3976" s="23"/>
      <c r="K3976" s="23"/>
      <c r="M3976" s="23"/>
      <c r="N3976" s="23"/>
      <c r="P3976" s="23"/>
    </row>
    <row r="3977" spans="2:16" x14ac:dyDescent="0.25">
      <c r="B3977" s="23"/>
      <c r="E3977" s="23"/>
      <c r="G3977" s="23"/>
      <c r="H3977" s="23"/>
      <c r="J3977" s="23"/>
      <c r="K3977" s="23"/>
      <c r="M3977" s="23"/>
      <c r="N3977" s="23"/>
      <c r="P3977" s="23"/>
    </row>
    <row r="3978" spans="2:16" x14ac:dyDescent="0.25">
      <c r="B3978" s="23"/>
      <c r="E3978" s="23"/>
      <c r="G3978" s="23"/>
      <c r="H3978" s="23"/>
      <c r="J3978" s="23"/>
      <c r="K3978" s="23"/>
      <c r="M3978" s="23"/>
      <c r="N3978" s="23"/>
      <c r="P3978" s="23"/>
    </row>
    <row r="3979" spans="2:16" x14ac:dyDescent="0.25">
      <c r="B3979" s="23"/>
      <c r="E3979" s="23"/>
      <c r="G3979" s="23"/>
      <c r="H3979" s="23"/>
      <c r="J3979" s="23"/>
      <c r="K3979" s="23"/>
      <c r="M3979" s="23"/>
      <c r="N3979" s="23"/>
      <c r="P3979" s="23"/>
    </row>
    <row r="3980" spans="2:16" x14ac:dyDescent="0.25">
      <c r="B3980" s="23"/>
      <c r="E3980" s="23"/>
      <c r="G3980" s="23"/>
      <c r="H3980" s="23"/>
      <c r="J3980" s="23"/>
      <c r="K3980" s="23"/>
      <c r="M3980" s="23"/>
      <c r="N3980" s="23"/>
      <c r="P3980" s="23"/>
    </row>
    <row r="3981" spans="2:16" x14ac:dyDescent="0.25">
      <c r="B3981" s="23"/>
      <c r="E3981" s="23"/>
      <c r="G3981" s="23"/>
      <c r="H3981" s="23"/>
      <c r="J3981" s="23"/>
      <c r="K3981" s="23"/>
      <c r="M3981" s="23"/>
      <c r="N3981" s="23"/>
      <c r="P3981" s="23"/>
    </row>
    <row r="3982" spans="2:16" x14ac:dyDescent="0.25">
      <c r="B3982" s="23"/>
      <c r="E3982" s="23"/>
      <c r="G3982" s="23"/>
      <c r="H3982" s="23"/>
      <c r="J3982" s="23"/>
      <c r="K3982" s="23"/>
      <c r="M3982" s="23"/>
      <c r="N3982" s="23"/>
      <c r="P3982" s="23"/>
    </row>
    <row r="3983" spans="2:16" x14ac:dyDescent="0.25">
      <c r="B3983" s="23"/>
      <c r="E3983" s="23"/>
      <c r="G3983" s="23"/>
      <c r="H3983" s="23"/>
      <c r="J3983" s="23"/>
      <c r="K3983" s="23"/>
      <c r="M3983" s="23"/>
      <c r="N3983" s="23"/>
      <c r="P3983" s="23"/>
    </row>
    <row r="3984" spans="2:16" x14ac:dyDescent="0.25">
      <c r="B3984" s="23"/>
      <c r="E3984" s="23"/>
      <c r="G3984" s="23"/>
      <c r="H3984" s="23"/>
      <c r="J3984" s="23"/>
      <c r="K3984" s="23"/>
      <c r="M3984" s="23"/>
      <c r="N3984" s="23"/>
      <c r="P3984" s="23"/>
    </row>
    <row r="3985" spans="2:16" x14ac:dyDescent="0.25">
      <c r="B3985" s="23"/>
      <c r="E3985" s="23"/>
      <c r="G3985" s="23"/>
      <c r="H3985" s="23"/>
      <c r="J3985" s="23"/>
      <c r="K3985" s="23"/>
      <c r="M3985" s="23"/>
      <c r="N3985" s="23"/>
      <c r="P3985" s="23"/>
    </row>
    <row r="3986" spans="2:16" x14ac:dyDescent="0.25">
      <c r="B3986" s="23"/>
      <c r="E3986" s="23"/>
      <c r="G3986" s="23"/>
      <c r="H3986" s="23"/>
      <c r="J3986" s="23"/>
      <c r="K3986" s="23"/>
      <c r="M3986" s="23"/>
      <c r="N3986" s="23"/>
      <c r="P3986" s="23"/>
    </row>
    <row r="3987" spans="2:16" x14ac:dyDescent="0.25">
      <c r="B3987" s="23"/>
      <c r="E3987" s="23"/>
      <c r="G3987" s="23"/>
      <c r="H3987" s="23"/>
      <c r="J3987" s="23"/>
      <c r="K3987" s="23"/>
      <c r="M3987" s="23"/>
      <c r="N3987" s="23"/>
      <c r="P3987" s="23"/>
    </row>
    <row r="3988" spans="2:16" x14ac:dyDescent="0.25">
      <c r="B3988" s="23"/>
      <c r="E3988" s="23"/>
      <c r="G3988" s="23"/>
      <c r="H3988" s="23"/>
      <c r="J3988" s="23"/>
      <c r="K3988" s="23"/>
      <c r="M3988" s="23"/>
      <c r="N3988" s="23"/>
      <c r="P3988" s="23"/>
    </row>
    <row r="3989" spans="2:16" x14ac:dyDescent="0.25">
      <c r="B3989" s="23"/>
      <c r="E3989" s="23"/>
      <c r="G3989" s="23"/>
      <c r="H3989" s="23"/>
      <c r="J3989" s="23"/>
      <c r="K3989" s="23"/>
      <c r="M3989" s="23"/>
      <c r="N3989" s="23"/>
      <c r="P3989" s="23"/>
    </row>
    <row r="3990" spans="2:16" x14ac:dyDescent="0.25">
      <c r="B3990" s="23"/>
      <c r="E3990" s="23"/>
      <c r="G3990" s="23"/>
      <c r="H3990" s="23"/>
      <c r="J3990" s="23"/>
      <c r="K3990" s="23"/>
      <c r="M3990" s="23"/>
      <c r="N3990" s="23"/>
      <c r="P3990" s="23"/>
    </row>
    <row r="3991" spans="2:16" x14ac:dyDescent="0.25">
      <c r="B3991" s="23"/>
      <c r="E3991" s="23"/>
      <c r="G3991" s="23"/>
      <c r="H3991" s="23"/>
      <c r="J3991" s="23"/>
      <c r="K3991" s="23"/>
      <c r="M3991" s="23"/>
      <c r="N3991" s="23"/>
      <c r="P3991" s="23"/>
    </row>
    <row r="3992" spans="2:16" x14ac:dyDescent="0.25">
      <c r="B3992" s="23"/>
      <c r="E3992" s="23"/>
      <c r="G3992" s="23"/>
      <c r="H3992" s="23"/>
      <c r="J3992" s="23"/>
      <c r="K3992" s="23"/>
      <c r="M3992" s="23"/>
      <c r="N3992" s="23"/>
      <c r="P3992" s="23"/>
    </row>
    <row r="3993" spans="2:16" x14ac:dyDescent="0.25">
      <c r="B3993" s="23"/>
      <c r="E3993" s="23"/>
      <c r="G3993" s="23"/>
      <c r="H3993" s="23"/>
      <c r="J3993" s="23"/>
      <c r="K3993" s="23"/>
      <c r="M3993" s="23"/>
      <c r="N3993" s="23"/>
      <c r="P3993" s="23"/>
    </row>
    <row r="3994" spans="2:16" x14ac:dyDescent="0.25">
      <c r="B3994" s="23"/>
      <c r="E3994" s="23"/>
      <c r="G3994" s="23"/>
      <c r="H3994" s="23"/>
      <c r="J3994" s="23"/>
      <c r="K3994" s="23"/>
      <c r="M3994" s="23"/>
      <c r="N3994" s="23"/>
      <c r="P3994" s="23"/>
    </row>
    <row r="3995" spans="2:16" x14ac:dyDescent="0.25">
      <c r="B3995" s="23"/>
      <c r="E3995" s="23"/>
      <c r="G3995" s="23"/>
      <c r="H3995" s="23"/>
      <c r="J3995" s="23"/>
      <c r="K3995" s="23"/>
      <c r="M3995" s="23"/>
      <c r="N3995" s="23"/>
      <c r="P3995" s="23"/>
    </row>
    <row r="3996" spans="2:16" x14ac:dyDescent="0.25">
      <c r="B3996" s="23"/>
      <c r="E3996" s="23"/>
      <c r="G3996" s="23"/>
      <c r="H3996" s="23"/>
      <c r="J3996" s="23"/>
      <c r="K3996" s="23"/>
      <c r="M3996" s="23"/>
      <c r="N3996" s="23"/>
      <c r="P3996" s="23"/>
    </row>
    <row r="3997" spans="2:16" x14ac:dyDescent="0.25">
      <c r="B3997" s="23"/>
      <c r="E3997" s="23"/>
      <c r="G3997" s="23"/>
      <c r="H3997" s="23"/>
      <c r="J3997" s="23"/>
      <c r="K3997" s="23"/>
      <c r="M3997" s="23"/>
      <c r="N3997" s="23"/>
      <c r="P3997" s="23"/>
    </row>
    <row r="3998" spans="2:16" x14ac:dyDescent="0.25">
      <c r="B3998" s="23"/>
      <c r="E3998" s="23"/>
      <c r="G3998" s="23"/>
      <c r="H3998" s="23"/>
      <c r="J3998" s="23"/>
      <c r="K3998" s="23"/>
      <c r="M3998" s="23"/>
      <c r="N3998" s="23"/>
      <c r="P3998" s="23"/>
    </row>
    <row r="3999" spans="2:16" x14ac:dyDescent="0.25">
      <c r="B3999" s="23"/>
      <c r="E3999" s="23"/>
      <c r="G3999" s="23"/>
      <c r="H3999" s="23"/>
      <c r="J3999" s="23"/>
      <c r="K3999" s="23"/>
      <c r="M3999" s="23"/>
      <c r="N3999" s="23"/>
      <c r="P3999" s="23"/>
    </row>
    <row r="4000" spans="2:16" x14ac:dyDescent="0.25">
      <c r="B4000" s="23"/>
      <c r="E4000" s="23"/>
      <c r="G4000" s="23"/>
      <c r="H4000" s="23"/>
      <c r="J4000" s="23"/>
      <c r="K4000" s="23"/>
      <c r="M4000" s="23"/>
      <c r="N4000" s="23"/>
      <c r="P4000" s="23"/>
    </row>
    <row r="4001" spans="2:16" x14ac:dyDescent="0.25">
      <c r="B4001" s="23"/>
      <c r="E4001" s="23"/>
      <c r="G4001" s="23"/>
      <c r="H4001" s="23"/>
      <c r="J4001" s="23"/>
      <c r="K4001" s="23"/>
      <c r="M4001" s="23"/>
      <c r="N4001" s="23"/>
      <c r="P4001" s="23"/>
    </row>
    <row r="4002" spans="2:16" x14ac:dyDescent="0.25">
      <c r="B4002" s="23"/>
      <c r="E4002" s="23"/>
      <c r="G4002" s="23"/>
      <c r="H4002" s="23"/>
      <c r="J4002" s="23"/>
      <c r="K4002" s="23"/>
      <c r="M4002" s="23"/>
      <c r="N4002" s="23"/>
      <c r="P4002" s="23"/>
    </row>
    <row r="4003" spans="2:16" x14ac:dyDescent="0.25">
      <c r="B4003" s="23"/>
      <c r="E4003" s="23"/>
      <c r="G4003" s="23"/>
      <c r="H4003" s="23"/>
      <c r="J4003" s="23"/>
      <c r="K4003" s="23"/>
      <c r="M4003" s="23"/>
      <c r="N4003" s="23"/>
      <c r="P4003" s="23"/>
    </row>
    <row r="4004" spans="2:16" x14ac:dyDescent="0.25">
      <c r="B4004" s="23"/>
      <c r="E4004" s="23"/>
      <c r="G4004" s="23"/>
      <c r="H4004" s="23"/>
      <c r="J4004" s="23"/>
      <c r="K4004" s="23"/>
      <c r="M4004" s="23"/>
      <c r="N4004" s="23"/>
      <c r="P4004" s="23"/>
    </row>
    <row r="4005" spans="2:16" x14ac:dyDescent="0.25">
      <c r="B4005" s="23"/>
      <c r="E4005" s="23"/>
      <c r="G4005" s="23"/>
      <c r="H4005" s="23"/>
      <c r="J4005" s="23"/>
      <c r="K4005" s="23"/>
      <c r="M4005" s="23"/>
      <c r="N4005" s="23"/>
      <c r="P4005" s="23"/>
    </row>
    <row r="4006" spans="2:16" x14ac:dyDescent="0.25">
      <c r="B4006" s="23"/>
      <c r="E4006" s="23"/>
      <c r="G4006" s="23"/>
      <c r="H4006" s="23"/>
      <c r="J4006" s="23"/>
      <c r="K4006" s="23"/>
      <c r="M4006" s="23"/>
      <c r="N4006" s="23"/>
      <c r="P4006" s="23"/>
    </row>
    <row r="4007" spans="2:16" x14ac:dyDescent="0.25">
      <c r="B4007" s="23"/>
      <c r="E4007" s="23"/>
      <c r="G4007" s="23"/>
      <c r="H4007" s="23"/>
      <c r="J4007" s="23"/>
      <c r="K4007" s="23"/>
      <c r="M4007" s="23"/>
      <c r="N4007" s="23"/>
      <c r="P4007" s="23"/>
    </row>
    <row r="4008" spans="2:16" x14ac:dyDescent="0.25">
      <c r="B4008" s="23"/>
      <c r="E4008" s="23"/>
      <c r="G4008" s="23"/>
      <c r="H4008" s="23"/>
      <c r="J4008" s="23"/>
      <c r="K4008" s="23"/>
      <c r="M4008" s="23"/>
      <c r="N4008" s="23"/>
      <c r="P4008" s="23"/>
    </row>
    <row r="4009" spans="2:16" x14ac:dyDescent="0.25">
      <c r="B4009" s="23"/>
      <c r="E4009" s="23"/>
      <c r="G4009" s="23"/>
      <c r="H4009" s="23"/>
      <c r="J4009" s="23"/>
      <c r="K4009" s="23"/>
      <c r="M4009" s="23"/>
      <c r="N4009" s="23"/>
      <c r="P4009" s="23"/>
    </row>
    <row r="4010" spans="2:16" x14ac:dyDescent="0.25">
      <c r="B4010" s="23"/>
      <c r="E4010" s="23"/>
      <c r="G4010" s="23"/>
      <c r="H4010" s="23"/>
      <c r="J4010" s="23"/>
      <c r="K4010" s="23"/>
      <c r="M4010" s="23"/>
      <c r="N4010" s="23"/>
      <c r="P4010" s="23"/>
    </row>
    <row r="4011" spans="2:16" x14ac:dyDescent="0.25">
      <c r="B4011" s="23"/>
      <c r="E4011" s="23"/>
      <c r="G4011" s="23"/>
      <c r="H4011" s="23"/>
      <c r="J4011" s="23"/>
      <c r="K4011" s="23"/>
      <c r="M4011" s="23"/>
      <c r="N4011" s="23"/>
      <c r="P4011" s="23"/>
    </row>
    <row r="4012" spans="2:16" x14ac:dyDescent="0.25">
      <c r="B4012" s="23"/>
      <c r="E4012" s="23"/>
      <c r="G4012" s="23"/>
      <c r="H4012" s="23"/>
      <c r="J4012" s="23"/>
      <c r="K4012" s="23"/>
      <c r="M4012" s="23"/>
      <c r="N4012" s="23"/>
      <c r="P4012" s="23"/>
    </row>
    <row r="4013" spans="2:16" x14ac:dyDescent="0.25">
      <c r="B4013" s="23"/>
      <c r="E4013" s="23"/>
      <c r="G4013" s="23"/>
      <c r="H4013" s="23"/>
      <c r="J4013" s="23"/>
      <c r="K4013" s="23"/>
      <c r="M4013" s="23"/>
      <c r="N4013" s="23"/>
      <c r="P4013" s="23"/>
    </row>
    <row r="4014" spans="2:16" x14ac:dyDescent="0.25">
      <c r="B4014" s="23"/>
      <c r="E4014" s="23"/>
      <c r="G4014" s="23"/>
      <c r="H4014" s="23"/>
      <c r="J4014" s="23"/>
      <c r="K4014" s="23"/>
      <c r="M4014" s="23"/>
      <c r="N4014" s="23"/>
      <c r="P4014" s="23"/>
    </row>
    <row r="4015" spans="2:16" x14ac:dyDescent="0.25">
      <c r="B4015" s="23"/>
      <c r="E4015" s="23"/>
      <c r="G4015" s="23"/>
      <c r="H4015" s="23"/>
      <c r="J4015" s="23"/>
      <c r="K4015" s="23"/>
      <c r="M4015" s="23"/>
      <c r="N4015" s="23"/>
      <c r="P4015" s="23"/>
    </row>
    <row r="4016" spans="2:16" x14ac:dyDescent="0.25">
      <c r="B4016" s="23"/>
      <c r="E4016" s="23"/>
      <c r="G4016" s="23"/>
      <c r="H4016" s="23"/>
      <c r="J4016" s="23"/>
      <c r="K4016" s="23"/>
      <c r="M4016" s="23"/>
      <c r="N4016" s="23"/>
      <c r="P4016" s="23"/>
    </row>
    <row r="4017" spans="2:16" x14ac:dyDescent="0.25">
      <c r="B4017" s="23"/>
      <c r="E4017" s="23"/>
      <c r="G4017" s="23"/>
      <c r="H4017" s="23"/>
      <c r="J4017" s="23"/>
      <c r="K4017" s="23"/>
      <c r="M4017" s="23"/>
      <c r="N4017" s="23"/>
      <c r="P4017" s="23"/>
    </row>
    <row r="4018" spans="2:16" x14ac:dyDescent="0.25">
      <c r="B4018" s="23"/>
      <c r="E4018" s="23"/>
      <c r="G4018" s="23"/>
      <c r="H4018" s="23"/>
      <c r="J4018" s="23"/>
      <c r="K4018" s="23"/>
      <c r="M4018" s="23"/>
      <c r="N4018" s="23"/>
      <c r="P4018" s="23"/>
    </row>
    <row r="4019" spans="2:16" x14ac:dyDescent="0.25">
      <c r="B4019" s="23"/>
      <c r="E4019" s="23"/>
      <c r="G4019" s="23"/>
      <c r="H4019" s="23"/>
      <c r="J4019" s="23"/>
      <c r="K4019" s="23"/>
      <c r="M4019" s="23"/>
      <c r="N4019" s="23"/>
      <c r="P4019" s="23"/>
    </row>
    <row r="4020" spans="2:16" x14ac:dyDescent="0.25">
      <c r="B4020" s="23"/>
      <c r="E4020" s="23"/>
      <c r="G4020" s="23"/>
      <c r="H4020" s="23"/>
      <c r="J4020" s="23"/>
      <c r="K4020" s="23"/>
      <c r="M4020" s="23"/>
      <c r="N4020" s="23"/>
      <c r="P4020" s="23"/>
    </row>
    <row r="4021" spans="2:16" x14ac:dyDescent="0.25">
      <c r="B4021" s="23"/>
      <c r="E4021" s="23"/>
      <c r="G4021" s="23"/>
      <c r="H4021" s="23"/>
      <c r="J4021" s="23"/>
      <c r="K4021" s="23"/>
      <c r="M4021" s="23"/>
      <c r="N4021" s="23"/>
      <c r="P4021" s="23"/>
    </row>
    <row r="4022" spans="2:16" x14ac:dyDescent="0.25">
      <c r="B4022" s="23"/>
      <c r="E4022" s="23"/>
      <c r="G4022" s="23"/>
      <c r="H4022" s="23"/>
      <c r="J4022" s="23"/>
      <c r="K4022" s="23"/>
      <c r="M4022" s="23"/>
      <c r="N4022" s="23"/>
      <c r="P4022" s="23"/>
    </row>
    <row r="4023" spans="2:16" x14ac:dyDescent="0.25">
      <c r="B4023" s="23"/>
      <c r="E4023" s="23"/>
      <c r="G4023" s="23"/>
      <c r="H4023" s="23"/>
      <c r="J4023" s="23"/>
      <c r="K4023" s="23"/>
      <c r="M4023" s="23"/>
      <c r="N4023" s="23"/>
      <c r="P4023" s="23"/>
    </row>
    <row r="4024" spans="2:16" x14ac:dyDescent="0.25">
      <c r="B4024" s="23"/>
      <c r="E4024" s="23"/>
      <c r="G4024" s="23"/>
      <c r="H4024" s="23"/>
      <c r="J4024" s="23"/>
      <c r="K4024" s="23"/>
      <c r="M4024" s="23"/>
      <c r="N4024" s="23"/>
      <c r="P4024" s="23"/>
    </row>
    <row r="4025" spans="2:16" x14ac:dyDescent="0.25">
      <c r="B4025" s="23"/>
      <c r="E4025" s="23"/>
      <c r="G4025" s="23"/>
      <c r="H4025" s="23"/>
      <c r="J4025" s="23"/>
      <c r="K4025" s="23"/>
      <c r="M4025" s="23"/>
      <c r="N4025" s="23"/>
      <c r="P4025" s="23"/>
    </row>
    <row r="4026" spans="2:16" x14ac:dyDescent="0.25">
      <c r="B4026" s="23"/>
      <c r="E4026" s="23"/>
      <c r="G4026" s="23"/>
      <c r="H4026" s="23"/>
      <c r="J4026" s="23"/>
      <c r="K4026" s="23"/>
      <c r="M4026" s="23"/>
      <c r="N4026" s="23"/>
      <c r="P4026" s="23"/>
    </row>
    <row r="4027" spans="2:16" x14ac:dyDescent="0.25">
      <c r="B4027" s="23"/>
      <c r="E4027" s="23"/>
      <c r="G4027" s="23"/>
      <c r="H4027" s="23"/>
      <c r="J4027" s="23"/>
      <c r="K4027" s="23"/>
      <c r="M4027" s="23"/>
      <c r="N4027" s="23"/>
      <c r="P4027" s="23"/>
    </row>
    <row r="4028" spans="2:16" x14ac:dyDescent="0.25">
      <c r="B4028" s="23"/>
      <c r="E4028" s="23"/>
      <c r="G4028" s="23"/>
      <c r="H4028" s="23"/>
      <c r="J4028" s="23"/>
      <c r="K4028" s="23"/>
      <c r="M4028" s="23"/>
      <c r="N4028" s="23"/>
      <c r="P4028" s="23"/>
    </row>
    <row r="4029" spans="2:16" x14ac:dyDescent="0.25">
      <c r="B4029" s="23"/>
      <c r="E4029" s="23"/>
      <c r="G4029" s="23"/>
      <c r="H4029" s="23"/>
      <c r="J4029" s="23"/>
      <c r="K4029" s="23"/>
      <c r="M4029" s="23"/>
      <c r="N4029" s="23"/>
      <c r="P4029" s="23"/>
    </row>
    <row r="4030" spans="2:16" x14ac:dyDescent="0.25">
      <c r="B4030" s="23"/>
      <c r="E4030" s="23"/>
      <c r="G4030" s="23"/>
      <c r="H4030" s="23"/>
      <c r="J4030" s="23"/>
      <c r="K4030" s="23"/>
      <c r="M4030" s="23"/>
      <c r="N4030" s="23"/>
      <c r="P4030" s="23"/>
    </row>
    <row r="4031" spans="2:16" x14ac:dyDescent="0.25">
      <c r="B4031" s="23"/>
      <c r="E4031" s="23"/>
      <c r="G4031" s="23"/>
      <c r="H4031" s="23"/>
      <c r="J4031" s="23"/>
      <c r="K4031" s="23"/>
      <c r="M4031" s="23"/>
      <c r="N4031" s="23"/>
      <c r="P4031" s="23"/>
    </row>
    <row r="4032" spans="2:16" x14ac:dyDescent="0.25">
      <c r="B4032" s="23"/>
      <c r="E4032" s="23"/>
      <c r="G4032" s="23"/>
      <c r="H4032" s="23"/>
      <c r="J4032" s="23"/>
      <c r="K4032" s="23"/>
      <c r="M4032" s="23"/>
      <c r="N4032" s="23"/>
      <c r="P4032" s="23"/>
    </row>
    <row r="4033" spans="2:16" x14ac:dyDescent="0.25">
      <c r="B4033" s="23"/>
      <c r="E4033" s="23"/>
      <c r="G4033" s="23"/>
      <c r="H4033" s="23"/>
      <c r="J4033" s="23"/>
      <c r="K4033" s="23"/>
      <c r="M4033" s="23"/>
      <c r="N4033" s="23"/>
      <c r="P4033" s="23"/>
    </row>
    <row r="4034" spans="2:16" x14ac:dyDescent="0.25">
      <c r="B4034" s="23"/>
      <c r="E4034" s="23"/>
      <c r="G4034" s="23"/>
      <c r="H4034" s="23"/>
      <c r="J4034" s="23"/>
      <c r="K4034" s="23"/>
      <c r="M4034" s="23"/>
      <c r="N4034" s="23"/>
      <c r="P4034" s="23"/>
    </row>
    <row r="4035" spans="2:16" x14ac:dyDescent="0.25">
      <c r="B4035" s="23"/>
      <c r="E4035" s="23"/>
      <c r="G4035" s="23"/>
      <c r="H4035" s="23"/>
      <c r="J4035" s="23"/>
      <c r="K4035" s="23"/>
      <c r="M4035" s="23"/>
      <c r="N4035" s="23"/>
      <c r="P4035" s="23"/>
    </row>
    <row r="4036" spans="2:16" x14ac:dyDescent="0.25">
      <c r="B4036" s="23"/>
      <c r="E4036" s="23"/>
      <c r="G4036" s="23"/>
      <c r="H4036" s="23"/>
      <c r="J4036" s="23"/>
      <c r="K4036" s="23"/>
      <c r="M4036" s="23"/>
      <c r="N4036" s="23"/>
      <c r="P4036" s="23"/>
    </row>
    <row r="4037" spans="2:16" x14ac:dyDescent="0.25">
      <c r="B4037" s="23"/>
      <c r="E4037" s="23"/>
      <c r="G4037" s="23"/>
      <c r="H4037" s="23"/>
      <c r="J4037" s="23"/>
      <c r="K4037" s="23"/>
      <c r="M4037" s="23"/>
      <c r="N4037" s="23"/>
      <c r="P4037" s="23"/>
    </row>
    <row r="4038" spans="2:16" x14ac:dyDescent="0.25">
      <c r="B4038" s="23"/>
      <c r="E4038" s="23"/>
      <c r="G4038" s="23"/>
      <c r="H4038" s="23"/>
      <c r="J4038" s="23"/>
      <c r="K4038" s="23"/>
      <c r="M4038" s="23"/>
      <c r="N4038" s="23"/>
      <c r="P4038" s="23"/>
    </row>
    <row r="4039" spans="2:16" x14ac:dyDescent="0.25">
      <c r="B4039" s="23"/>
      <c r="E4039" s="23"/>
      <c r="G4039" s="23"/>
      <c r="H4039" s="23"/>
      <c r="J4039" s="23"/>
      <c r="K4039" s="23"/>
      <c r="M4039" s="23"/>
      <c r="N4039" s="23"/>
      <c r="P4039" s="23"/>
    </row>
    <row r="4040" spans="2:16" x14ac:dyDescent="0.25">
      <c r="B4040" s="23"/>
      <c r="E4040" s="23"/>
      <c r="G4040" s="23"/>
      <c r="H4040" s="23"/>
      <c r="J4040" s="23"/>
      <c r="K4040" s="23"/>
      <c r="M4040" s="23"/>
      <c r="N4040" s="23"/>
      <c r="P4040" s="23"/>
    </row>
    <row r="4041" spans="2:16" x14ac:dyDescent="0.25">
      <c r="B4041" s="23"/>
      <c r="E4041" s="23"/>
      <c r="G4041" s="23"/>
      <c r="H4041" s="23"/>
      <c r="J4041" s="23"/>
      <c r="K4041" s="23"/>
      <c r="M4041" s="23"/>
      <c r="N4041" s="23"/>
      <c r="P4041" s="23"/>
    </row>
    <row r="4042" spans="2:16" x14ac:dyDescent="0.25">
      <c r="B4042" s="23"/>
      <c r="E4042" s="23"/>
      <c r="G4042" s="23"/>
      <c r="H4042" s="23"/>
      <c r="J4042" s="23"/>
      <c r="K4042" s="23"/>
      <c r="M4042" s="23"/>
      <c r="N4042" s="23"/>
      <c r="P4042" s="23"/>
    </row>
    <row r="4043" spans="2:16" x14ac:dyDescent="0.25">
      <c r="B4043" s="23"/>
      <c r="E4043" s="23"/>
      <c r="G4043" s="23"/>
      <c r="H4043" s="23"/>
      <c r="J4043" s="23"/>
      <c r="K4043" s="23"/>
      <c r="M4043" s="23"/>
      <c r="N4043" s="23"/>
      <c r="P4043" s="23"/>
    </row>
    <row r="4044" spans="2:16" x14ac:dyDescent="0.25">
      <c r="B4044" s="23"/>
      <c r="E4044" s="23"/>
      <c r="G4044" s="23"/>
      <c r="H4044" s="23"/>
      <c r="J4044" s="23"/>
      <c r="K4044" s="23"/>
      <c r="M4044" s="23"/>
      <c r="N4044" s="23"/>
      <c r="P4044" s="23"/>
    </row>
    <row r="4045" spans="2:16" x14ac:dyDescent="0.25">
      <c r="B4045" s="23"/>
      <c r="E4045" s="23"/>
      <c r="G4045" s="23"/>
      <c r="H4045" s="23"/>
      <c r="J4045" s="23"/>
      <c r="K4045" s="23"/>
      <c r="M4045" s="23"/>
      <c r="N4045" s="23"/>
      <c r="P4045" s="23"/>
    </row>
    <row r="4046" spans="2:16" x14ac:dyDescent="0.25">
      <c r="B4046" s="23"/>
      <c r="E4046" s="23"/>
      <c r="G4046" s="23"/>
      <c r="H4046" s="23"/>
      <c r="J4046" s="23"/>
      <c r="K4046" s="23"/>
      <c r="M4046" s="23"/>
      <c r="N4046" s="23"/>
      <c r="P4046" s="23"/>
    </row>
    <row r="4047" spans="2:16" x14ac:dyDescent="0.25">
      <c r="B4047" s="23"/>
      <c r="E4047" s="23"/>
      <c r="G4047" s="23"/>
      <c r="H4047" s="23"/>
      <c r="J4047" s="23"/>
      <c r="K4047" s="23"/>
      <c r="M4047" s="23"/>
      <c r="N4047" s="23"/>
      <c r="P4047" s="23"/>
    </row>
    <row r="4048" spans="2:16" x14ac:dyDescent="0.25">
      <c r="B4048" s="23"/>
      <c r="E4048" s="23"/>
      <c r="G4048" s="23"/>
      <c r="H4048" s="23"/>
      <c r="J4048" s="23"/>
      <c r="K4048" s="23"/>
      <c r="M4048" s="23"/>
      <c r="N4048" s="23"/>
      <c r="P4048" s="23"/>
    </row>
    <row r="4049" spans="2:16" x14ac:dyDescent="0.25">
      <c r="B4049" s="23"/>
      <c r="E4049" s="23"/>
      <c r="G4049" s="23"/>
      <c r="H4049" s="23"/>
      <c r="J4049" s="23"/>
      <c r="K4049" s="23"/>
      <c r="M4049" s="23"/>
      <c r="N4049" s="23"/>
      <c r="P4049" s="23"/>
    </row>
    <row r="4050" spans="2:16" x14ac:dyDescent="0.25">
      <c r="B4050" s="23"/>
      <c r="E4050" s="23"/>
      <c r="G4050" s="23"/>
      <c r="H4050" s="23"/>
      <c r="J4050" s="23"/>
      <c r="K4050" s="23"/>
      <c r="M4050" s="23"/>
      <c r="N4050" s="23"/>
      <c r="P4050" s="23"/>
    </row>
    <row r="4051" spans="2:16" x14ac:dyDescent="0.25">
      <c r="B4051" s="23"/>
      <c r="E4051" s="23"/>
      <c r="G4051" s="23"/>
      <c r="H4051" s="23"/>
      <c r="J4051" s="23"/>
      <c r="K4051" s="23"/>
      <c r="M4051" s="23"/>
      <c r="N4051" s="23"/>
      <c r="P4051" s="23"/>
    </row>
    <row r="4052" spans="2:16" x14ac:dyDescent="0.25">
      <c r="B4052" s="23"/>
      <c r="E4052" s="23"/>
      <c r="G4052" s="23"/>
      <c r="H4052" s="23"/>
      <c r="J4052" s="23"/>
      <c r="K4052" s="23"/>
      <c r="M4052" s="23"/>
      <c r="N4052" s="23"/>
      <c r="P4052" s="23"/>
    </row>
    <row r="4053" spans="2:16" x14ac:dyDescent="0.25">
      <c r="B4053" s="23"/>
      <c r="E4053" s="23"/>
      <c r="G4053" s="23"/>
      <c r="H4053" s="23"/>
      <c r="J4053" s="23"/>
      <c r="K4053" s="23"/>
      <c r="M4053" s="23"/>
      <c r="N4053" s="23"/>
      <c r="P4053" s="23"/>
    </row>
    <row r="4054" spans="2:16" x14ac:dyDescent="0.25">
      <c r="B4054" s="23"/>
      <c r="E4054" s="23"/>
      <c r="G4054" s="23"/>
      <c r="H4054" s="23"/>
      <c r="J4054" s="23"/>
      <c r="K4054" s="23"/>
      <c r="M4054" s="23"/>
      <c r="N4054" s="23"/>
      <c r="P4054" s="23"/>
    </row>
    <row r="4055" spans="2:16" x14ac:dyDescent="0.25">
      <c r="B4055" s="23"/>
      <c r="E4055" s="23"/>
      <c r="G4055" s="23"/>
      <c r="H4055" s="23"/>
      <c r="J4055" s="23"/>
      <c r="K4055" s="23"/>
      <c r="M4055" s="23"/>
      <c r="N4055" s="23"/>
      <c r="P4055" s="23"/>
    </row>
    <row r="4056" spans="2:16" x14ac:dyDescent="0.25">
      <c r="B4056" s="23"/>
      <c r="E4056" s="23"/>
      <c r="G4056" s="23"/>
      <c r="H4056" s="23"/>
      <c r="J4056" s="23"/>
      <c r="K4056" s="23"/>
      <c r="M4056" s="23"/>
      <c r="N4056" s="23"/>
      <c r="P4056" s="23"/>
    </row>
    <row r="4057" spans="2:16" x14ac:dyDescent="0.25">
      <c r="B4057" s="23"/>
      <c r="E4057" s="23"/>
      <c r="G4057" s="23"/>
      <c r="H4057" s="23"/>
      <c r="J4057" s="23"/>
      <c r="K4057" s="23"/>
      <c r="M4057" s="23"/>
      <c r="N4057" s="23"/>
      <c r="P4057" s="23"/>
    </row>
    <row r="4058" spans="2:16" x14ac:dyDescent="0.25">
      <c r="B4058" s="23"/>
      <c r="E4058" s="23"/>
      <c r="G4058" s="23"/>
      <c r="H4058" s="23"/>
      <c r="J4058" s="23"/>
      <c r="K4058" s="23"/>
      <c r="M4058" s="23"/>
      <c r="N4058" s="23"/>
      <c r="P4058" s="23"/>
    </row>
    <row r="4059" spans="2:16" x14ac:dyDescent="0.25">
      <c r="B4059" s="23"/>
      <c r="E4059" s="23"/>
      <c r="G4059" s="23"/>
      <c r="H4059" s="23"/>
      <c r="J4059" s="23"/>
      <c r="K4059" s="23"/>
      <c r="M4059" s="23"/>
      <c r="N4059" s="23"/>
      <c r="P4059" s="23"/>
    </row>
    <row r="4060" spans="2:16" x14ac:dyDescent="0.25">
      <c r="B4060" s="23"/>
      <c r="E4060" s="23"/>
      <c r="G4060" s="23"/>
      <c r="H4060" s="23"/>
      <c r="J4060" s="23"/>
      <c r="K4060" s="23"/>
      <c r="M4060" s="23"/>
      <c r="N4060" s="23"/>
      <c r="P4060" s="23"/>
    </row>
    <row r="4061" spans="2:16" x14ac:dyDescent="0.25">
      <c r="B4061" s="23"/>
      <c r="E4061" s="23"/>
      <c r="G4061" s="23"/>
      <c r="H4061" s="23"/>
      <c r="J4061" s="23"/>
      <c r="K4061" s="23"/>
      <c r="M4061" s="23"/>
      <c r="N4061" s="23"/>
      <c r="P4061" s="23"/>
    </row>
    <row r="4062" spans="2:16" x14ac:dyDescent="0.25">
      <c r="B4062" s="23"/>
      <c r="E4062" s="23"/>
      <c r="G4062" s="23"/>
      <c r="H4062" s="23"/>
      <c r="J4062" s="23"/>
      <c r="K4062" s="23"/>
      <c r="M4062" s="23"/>
      <c r="N4062" s="23"/>
      <c r="P4062" s="23"/>
    </row>
    <row r="4063" spans="2:16" x14ac:dyDescent="0.25">
      <c r="B4063" s="23"/>
      <c r="E4063" s="23"/>
      <c r="G4063" s="23"/>
      <c r="H4063" s="23"/>
      <c r="J4063" s="23"/>
      <c r="K4063" s="23"/>
      <c r="M4063" s="23"/>
      <c r="N4063" s="23"/>
      <c r="P4063" s="23"/>
    </row>
    <row r="4064" spans="2:16" x14ac:dyDescent="0.25">
      <c r="B4064" s="23"/>
      <c r="E4064" s="23"/>
      <c r="G4064" s="23"/>
      <c r="H4064" s="23"/>
      <c r="J4064" s="23"/>
      <c r="K4064" s="23"/>
      <c r="M4064" s="23"/>
      <c r="N4064" s="23"/>
      <c r="P4064" s="23"/>
    </row>
    <row r="4065" spans="2:16" x14ac:dyDescent="0.25">
      <c r="B4065" s="23"/>
      <c r="E4065" s="23"/>
      <c r="G4065" s="23"/>
      <c r="H4065" s="23"/>
      <c r="J4065" s="23"/>
      <c r="K4065" s="23"/>
      <c r="M4065" s="23"/>
      <c r="N4065" s="23"/>
      <c r="P4065" s="23"/>
    </row>
    <row r="4066" spans="2:16" x14ac:dyDescent="0.25">
      <c r="B4066" s="23"/>
      <c r="E4066" s="23"/>
      <c r="G4066" s="23"/>
      <c r="H4066" s="23"/>
      <c r="J4066" s="23"/>
      <c r="K4066" s="23"/>
      <c r="M4066" s="23"/>
      <c r="N4066" s="23"/>
      <c r="P4066" s="23"/>
    </row>
    <row r="4067" spans="2:16" x14ac:dyDescent="0.25">
      <c r="B4067" s="23"/>
      <c r="E4067" s="23"/>
      <c r="G4067" s="23"/>
      <c r="H4067" s="23"/>
      <c r="J4067" s="23"/>
      <c r="K4067" s="23"/>
      <c r="M4067" s="23"/>
      <c r="N4067" s="23"/>
      <c r="P4067" s="23"/>
    </row>
    <row r="4068" spans="2:16" x14ac:dyDescent="0.25">
      <c r="B4068" s="23"/>
      <c r="E4068" s="23"/>
      <c r="G4068" s="23"/>
      <c r="H4068" s="23"/>
      <c r="J4068" s="23"/>
      <c r="K4068" s="23"/>
      <c r="M4068" s="23"/>
      <c r="N4068" s="23"/>
      <c r="P4068" s="23"/>
    </row>
    <row r="4069" spans="2:16" x14ac:dyDescent="0.25">
      <c r="B4069" s="23"/>
      <c r="E4069" s="23"/>
      <c r="G4069" s="23"/>
      <c r="H4069" s="23"/>
      <c r="J4069" s="23"/>
      <c r="K4069" s="23"/>
      <c r="M4069" s="23"/>
      <c r="N4069" s="23"/>
      <c r="P4069" s="23"/>
    </row>
    <row r="4070" spans="2:16" x14ac:dyDescent="0.25">
      <c r="B4070" s="23"/>
      <c r="E4070" s="23"/>
      <c r="G4070" s="23"/>
      <c r="H4070" s="23"/>
      <c r="J4070" s="23"/>
      <c r="K4070" s="23"/>
      <c r="M4070" s="23"/>
      <c r="N4070" s="23"/>
      <c r="P4070" s="23"/>
    </row>
    <row r="4071" spans="2:16" x14ac:dyDescent="0.25">
      <c r="B4071" s="23"/>
      <c r="E4071" s="23"/>
      <c r="G4071" s="23"/>
      <c r="H4071" s="23"/>
      <c r="J4071" s="23"/>
      <c r="K4071" s="23"/>
      <c r="M4071" s="23"/>
      <c r="N4071" s="23"/>
      <c r="P4071" s="23"/>
    </row>
    <row r="4072" spans="2:16" x14ac:dyDescent="0.25">
      <c r="B4072" s="23"/>
      <c r="E4072" s="23"/>
      <c r="G4072" s="23"/>
      <c r="H4072" s="23"/>
      <c r="J4072" s="23"/>
      <c r="K4072" s="23"/>
      <c r="M4072" s="23"/>
      <c r="N4072" s="23"/>
      <c r="P4072" s="23"/>
    </row>
    <row r="4073" spans="2:16" x14ac:dyDescent="0.25">
      <c r="B4073" s="23"/>
      <c r="E4073" s="23"/>
      <c r="G4073" s="23"/>
      <c r="H4073" s="23"/>
      <c r="J4073" s="23"/>
      <c r="K4073" s="23"/>
      <c r="M4073" s="23"/>
      <c r="N4073" s="23"/>
      <c r="P4073" s="23"/>
    </row>
    <row r="4074" spans="2:16" x14ac:dyDescent="0.25">
      <c r="B4074" s="23"/>
      <c r="E4074" s="23"/>
      <c r="G4074" s="23"/>
      <c r="H4074" s="23"/>
      <c r="J4074" s="23"/>
      <c r="K4074" s="23"/>
      <c r="M4074" s="23"/>
      <c r="N4074" s="23"/>
      <c r="P4074" s="23"/>
    </row>
    <row r="4075" spans="2:16" x14ac:dyDescent="0.25">
      <c r="B4075" s="23"/>
      <c r="E4075" s="23"/>
      <c r="G4075" s="23"/>
      <c r="H4075" s="23"/>
      <c r="J4075" s="23"/>
      <c r="K4075" s="23"/>
      <c r="M4075" s="23"/>
      <c r="N4075" s="23"/>
      <c r="P4075" s="23"/>
    </row>
    <row r="4076" spans="2:16" x14ac:dyDescent="0.25">
      <c r="B4076" s="23"/>
      <c r="E4076" s="23"/>
      <c r="G4076" s="23"/>
      <c r="H4076" s="23"/>
      <c r="J4076" s="23"/>
      <c r="K4076" s="23"/>
      <c r="M4076" s="23"/>
      <c r="N4076" s="23"/>
      <c r="P4076" s="23"/>
    </row>
    <row r="4077" spans="2:16" x14ac:dyDescent="0.25">
      <c r="B4077" s="23"/>
      <c r="E4077" s="23"/>
      <c r="G4077" s="23"/>
      <c r="H4077" s="23"/>
      <c r="J4077" s="23"/>
      <c r="K4077" s="23"/>
      <c r="M4077" s="23"/>
      <c r="N4077" s="23"/>
      <c r="P4077" s="23"/>
    </row>
    <row r="4078" spans="2:16" x14ac:dyDescent="0.25">
      <c r="B4078" s="23"/>
      <c r="E4078" s="23"/>
      <c r="G4078" s="23"/>
      <c r="H4078" s="23"/>
      <c r="J4078" s="23"/>
      <c r="K4078" s="23"/>
      <c r="M4078" s="23"/>
      <c r="N4078" s="23"/>
      <c r="P4078" s="23"/>
    </row>
    <row r="4079" spans="2:16" x14ac:dyDescent="0.25">
      <c r="B4079" s="23"/>
      <c r="E4079" s="23"/>
      <c r="G4079" s="23"/>
      <c r="H4079" s="23"/>
      <c r="J4079" s="23"/>
      <c r="K4079" s="23"/>
      <c r="M4079" s="23"/>
      <c r="N4079" s="23"/>
      <c r="P4079" s="23"/>
    </row>
    <row r="4080" spans="2:16" x14ac:dyDescent="0.25">
      <c r="B4080" s="23"/>
      <c r="E4080" s="23"/>
      <c r="G4080" s="23"/>
      <c r="H4080" s="23"/>
      <c r="J4080" s="23"/>
      <c r="K4080" s="23"/>
      <c r="M4080" s="23"/>
      <c r="N4080" s="23"/>
      <c r="P4080" s="23"/>
    </row>
    <row r="4081" spans="2:16" x14ac:dyDescent="0.25">
      <c r="B4081" s="23"/>
      <c r="E4081" s="23"/>
      <c r="G4081" s="23"/>
      <c r="H4081" s="23"/>
      <c r="J4081" s="23"/>
      <c r="K4081" s="23"/>
      <c r="M4081" s="23"/>
      <c r="N4081" s="23"/>
      <c r="P4081" s="23"/>
    </row>
    <row r="4082" spans="2:16" x14ac:dyDescent="0.25">
      <c r="B4082" s="23"/>
      <c r="E4082" s="23"/>
      <c r="G4082" s="23"/>
      <c r="H4082" s="23"/>
      <c r="J4082" s="23"/>
      <c r="K4082" s="23"/>
      <c r="M4082" s="23"/>
      <c r="N4082" s="23"/>
      <c r="P4082" s="23"/>
    </row>
    <row r="4083" spans="2:16" x14ac:dyDescent="0.25">
      <c r="B4083" s="23"/>
      <c r="E4083" s="23"/>
      <c r="G4083" s="23"/>
      <c r="H4083" s="23"/>
      <c r="J4083" s="23"/>
      <c r="K4083" s="23"/>
      <c r="M4083" s="23"/>
      <c r="N4083" s="23"/>
      <c r="P4083" s="23"/>
    </row>
    <row r="4084" spans="2:16" x14ac:dyDescent="0.25">
      <c r="B4084" s="23"/>
      <c r="E4084" s="23"/>
      <c r="G4084" s="23"/>
      <c r="H4084" s="23"/>
      <c r="J4084" s="23"/>
      <c r="K4084" s="23"/>
      <c r="M4084" s="23"/>
      <c r="N4084" s="23"/>
      <c r="P4084" s="23"/>
    </row>
    <row r="4085" spans="2:16" x14ac:dyDescent="0.25">
      <c r="B4085" s="23"/>
      <c r="E4085" s="23"/>
      <c r="G4085" s="23"/>
      <c r="H4085" s="23"/>
      <c r="J4085" s="23"/>
      <c r="K4085" s="23"/>
      <c r="M4085" s="23"/>
      <c r="N4085" s="23"/>
      <c r="P4085" s="23"/>
    </row>
    <row r="4086" spans="2:16" x14ac:dyDescent="0.25">
      <c r="B4086" s="23"/>
      <c r="E4086" s="23"/>
      <c r="G4086" s="23"/>
      <c r="H4086" s="23"/>
      <c r="J4086" s="23"/>
      <c r="K4086" s="23"/>
      <c r="M4086" s="23"/>
      <c r="N4086" s="23"/>
      <c r="P4086" s="23"/>
    </row>
    <row r="4087" spans="2:16" x14ac:dyDescent="0.25">
      <c r="B4087" s="23"/>
      <c r="E4087" s="23"/>
      <c r="G4087" s="23"/>
      <c r="H4087" s="23"/>
      <c r="J4087" s="23"/>
      <c r="K4087" s="23"/>
      <c r="M4087" s="23"/>
      <c r="N4087" s="23"/>
      <c r="P4087" s="23"/>
    </row>
    <row r="4088" spans="2:16" x14ac:dyDescent="0.25">
      <c r="B4088" s="23"/>
      <c r="E4088" s="23"/>
      <c r="G4088" s="23"/>
      <c r="H4088" s="23"/>
      <c r="J4088" s="23"/>
      <c r="K4088" s="23"/>
      <c r="M4088" s="23"/>
      <c r="N4088" s="23"/>
      <c r="P4088" s="23"/>
    </row>
    <row r="4089" spans="2:16" x14ac:dyDescent="0.25">
      <c r="B4089" s="23"/>
      <c r="E4089" s="23"/>
      <c r="G4089" s="23"/>
      <c r="H4089" s="23"/>
      <c r="J4089" s="23"/>
      <c r="K4089" s="23"/>
      <c r="M4089" s="23"/>
      <c r="N4089" s="23"/>
      <c r="P4089" s="23"/>
    </row>
    <row r="4090" spans="2:16" x14ac:dyDescent="0.25">
      <c r="B4090" s="23"/>
      <c r="E4090" s="23"/>
      <c r="G4090" s="23"/>
      <c r="H4090" s="23"/>
      <c r="J4090" s="23"/>
      <c r="K4090" s="23"/>
      <c r="M4090" s="23"/>
      <c r="N4090" s="23"/>
      <c r="P4090" s="23"/>
    </row>
    <row r="4091" spans="2:16" x14ac:dyDescent="0.25">
      <c r="B4091" s="23"/>
      <c r="E4091" s="23"/>
      <c r="G4091" s="23"/>
      <c r="H4091" s="23"/>
      <c r="J4091" s="23"/>
      <c r="K4091" s="23"/>
      <c r="M4091" s="23"/>
      <c r="N4091" s="23"/>
      <c r="P4091" s="23"/>
    </row>
    <row r="4092" spans="2:16" x14ac:dyDescent="0.25">
      <c r="B4092" s="23"/>
      <c r="E4092" s="23"/>
      <c r="G4092" s="23"/>
      <c r="H4092" s="23"/>
      <c r="J4092" s="23"/>
      <c r="K4092" s="23"/>
      <c r="M4092" s="23"/>
      <c r="N4092" s="23"/>
      <c r="P4092" s="23"/>
    </row>
    <row r="4093" spans="2:16" x14ac:dyDescent="0.25">
      <c r="B4093" s="23"/>
      <c r="E4093" s="23"/>
      <c r="G4093" s="23"/>
      <c r="H4093" s="23"/>
      <c r="J4093" s="23"/>
      <c r="K4093" s="23"/>
      <c r="M4093" s="23"/>
      <c r="N4093" s="23"/>
      <c r="P4093" s="23"/>
    </row>
    <row r="4094" spans="2:16" x14ac:dyDescent="0.25">
      <c r="B4094" s="23"/>
      <c r="E4094" s="23"/>
      <c r="G4094" s="23"/>
      <c r="H4094" s="23"/>
      <c r="J4094" s="23"/>
      <c r="K4094" s="23"/>
      <c r="M4094" s="23"/>
      <c r="N4094" s="23"/>
      <c r="P4094" s="23"/>
    </row>
    <row r="4095" spans="2:16" x14ac:dyDescent="0.25">
      <c r="B4095" s="23"/>
      <c r="E4095" s="23"/>
      <c r="G4095" s="23"/>
      <c r="H4095" s="23"/>
      <c r="J4095" s="23"/>
      <c r="K4095" s="23"/>
      <c r="M4095" s="23"/>
      <c r="N4095" s="23"/>
      <c r="P4095" s="23"/>
    </row>
    <row r="4096" spans="2:16" x14ac:dyDescent="0.25">
      <c r="B4096" s="23"/>
      <c r="E4096" s="23"/>
      <c r="G4096" s="23"/>
      <c r="H4096" s="23"/>
      <c r="J4096" s="23"/>
      <c r="K4096" s="23"/>
      <c r="M4096" s="23"/>
      <c r="N4096" s="23"/>
      <c r="P4096" s="23"/>
    </row>
    <row r="4097" spans="2:16" x14ac:dyDescent="0.25">
      <c r="B4097" s="23"/>
      <c r="E4097" s="23"/>
      <c r="G4097" s="23"/>
      <c r="H4097" s="23"/>
      <c r="J4097" s="23"/>
      <c r="K4097" s="23"/>
      <c r="M4097" s="23"/>
      <c r="N4097" s="23"/>
      <c r="P4097" s="23"/>
    </row>
    <row r="4098" spans="2:16" x14ac:dyDescent="0.25">
      <c r="B4098" s="23"/>
      <c r="E4098" s="23"/>
      <c r="G4098" s="23"/>
      <c r="H4098" s="23"/>
      <c r="J4098" s="23"/>
      <c r="K4098" s="23"/>
      <c r="M4098" s="23"/>
      <c r="N4098" s="23"/>
      <c r="P4098" s="23"/>
    </row>
    <row r="4099" spans="2:16" x14ac:dyDescent="0.25">
      <c r="B4099" s="23"/>
      <c r="E4099" s="23"/>
      <c r="G4099" s="23"/>
      <c r="H4099" s="23"/>
      <c r="J4099" s="23"/>
      <c r="K4099" s="23"/>
      <c r="M4099" s="23"/>
      <c r="N4099" s="23"/>
      <c r="P4099" s="23"/>
    </row>
    <row r="4100" spans="2:16" x14ac:dyDescent="0.25">
      <c r="B4100" s="23"/>
      <c r="E4100" s="23"/>
      <c r="G4100" s="23"/>
      <c r="H4100" s="23"/>
      <c r="J4100" s="23"/>
      <c r="K4100" s="23"/>
      <c r="M4100" s="23"/>
      <c r="N4100" s="23"/>
      <c r="P4100" s="23"/>
    </row>
    <row r="4101" spans="2:16" x14ac:dyDescent="0.25">
      <c r="B4101" s="23"/>
      <c r="E4101" s="23"/>
      <c r="G4101" s="23"/>
      <c r="H4101" s="23"/>
      <c r="J4101" s="23"/>
      <c r="K4101" s="23"/>
      <c r="M4101" s="23"/>
      <c r="N4101" s="23"/>
      <c r="P4101" s="23"/>
    </row>
    <row r="4102" spans="2:16" x14ac:dyDescent="0.25">
      <c r="B4102" s="23"/>
      <c r="E4102" s="23"/>
      <c r="G4102" s="23"/>
      <c r="H4102" s="23"/>
      <c r="J4102" s="23"/>
      <c r="K4102" s="23"/>
      <c r="M4102" s="23"/>
      <c r="N4102" s="23"/>
      <c r="P4102" s="23"/>
    </row>
    <row r="4103" spans="2:16" x14ac:dyDescent="0.25">
      <c r="B4103" s="23"/>
      <c r="E4103" s="23"/>
      <c r="G4103" s="23"/>
      <c r="H4103" s="23"/>
      <c r="J4103" s="23"/>
      <c r="K4103" s="23"/>
      <c r="M4103" s="23"/>
      <c r="N4103" s="23"/>
      <c r="P4103" s="23"/>
    </row>
    <row r="4104" spans="2:16" x14ac:dyDescent="0.25">
      <c r="B4104" s="23"/>
      <c r="E4104" s="23"/>
      <c r="G4104" s="23"/>
      <c r="H4104" s="23"/>
      <c r="J4104" s="23"/>
      <c r="K4104" s="23"/>
      <c r="M4104" s="23"/>
      <c r="N4104" s="23"/>
      <c r="P4104" s="23"/>
    </row>
    <row r="4105" spans="2:16" x14ac:dyDescent="0.25">
      <c r="B4105" s="23"/>
      <c r="E4105" s="23"/>
      <c r="G4105" s="23"/>
      <c r="H4105" s="23"/>
      <c r="J4105" s="23"/>
      <c r="K4105" s="23"/>
      <c r="M4105" s="23"/>
      <c r="N4105" s="23"/>
      <c r="P4105" s="23"/>
    </row>
    <row r="4106" spans="2:16" x14ac:dyDescent="0.25">
      <c r="B4106" s="23"/>
      <c r="E4106" s="23"/>
      <c r="G4106" s="23"/>
      <c r="H4106" s="23"/>
      <c r="J4106" s="23"/>
      <c r="K4106" s="23"/>
      <c r="M4106" s="23"/>
      <c r="N4106" s="23"/>
      <c r="P4106" s="23"/>
    </row>
    <row r="4107" spans="2:16" x14ac:dyDescent="0.25">
      <c r="B4107" s="23"/>
      <c r="E4107" s="23"/>
      <c r="G4107" s="23"/>
      <c r="H4107" s="23"/>
      <c r="J4107" s="23"/>
      <c r="K4107" s="23"/>
      <c r="M4107" s="23"/>
      <c r="N4107" s="23"/>
      <c r="P4107" s="23"/>
    </row>
    <row r="4108" spans="2:16" x14ac:dyDescent="0.25">
      <c r="B4108" s="23"/>
      <c r="E4108" s="23"/>
      <c r="G4108" s="23"/>
      <c r="H4108" s="23"/>
      <c r="J4108" s="23"/>
      <c r="K4108" s="23"/>
      <c r="M4108" s="23"/>
      <c r="N4108" s="23"/>
      <c r="P4108" s="23"/>
    </row>
    <row r="4109" spans="2:16" x14ac:dyDescent="0.25">
      <c r="B4109" s="23"/>
      <c r="E4109" s="23"/>
      <c r="G4109" s="23"/>
      <c r="H4109" s="23"/>
      <c r="J4109" s="23"/>
      <c r="K4109" s="23"/>
      <c r="M4109" s="23"/>
      <c r="N4109" s="23"/>
      <c r="P4109" s="23"/>
    </row>
    <row r="4110" spans="2:16" x14ac:dyDescent="0.25">
      <c r="B4110" s="23"/>
      <c r="E4110" s="23"/>
      <c r="G4110" s="23"/>
      <c r="H4110" s="23"/>
      <c r="J4110" s="23"/>
      <c r="K4110" s="23"/>
      <c r="M4110" s="23"/>
      <c r="N4110" s="23"/>
      <c r="P4110" s="23"/>
    </row>
    <row r="4111" spans="2:16" x14ac:dyDescent="0.25">
      <c r="B4111" s="23"/>
      <c r="E4111" s="23"/>
      <c r="G4111" s="23"/>
      <c r="H4111" s="23"/>
      <c r="J4111" s="23"/>
      <c r="K4111" s="23"/>
      <c r="M4111" s="23"/>
      <c r="N4111" s="23"/>
      <c r="P4111" s="23"/>
    </row>
    <row r="4112" spans="2:16" x14ac:dyDescent="0.25">
      <c r="B4112" s="23"/>
      <c r="E4112" s="23"/>
      <c r="G4112" s="23"/>
      <c r="H4112" s="23"/>
      <c r="J4112" s="23"/>
      <c r="K4112" s="23"/>
      <c r="M4112" s="23"/>
      <c r="N4112" s="23"/>
      <c r="P4112" s="23"/>
    </row>
    <row r="4113" spans="2:16" x14ac:dyDescent="0.25">
      <c r="B4113" s="23"/>
      <c r="E4113" s="23"/>
      <c r="G4113" s="23"/>
      <c r="H4113" s="23"/>
      <c r="J4113" s="23"/>
      <c r="K4113" s="23"/>
      <c r="M4113" s="23"/>
      <c r="N4113" s="23"/>
      <c r="P4113" s="23"/>
    </row>
    <row r="4114" spans="2:16" x14ac:dyDescent="0.25">
      <c r="B4114" s="23"/>
      <c r="E4114" s="23"/>
      <c r="G4114" s="23"/>
      <c r="H4114" s="23"/>
      <c r="J4114" s="23"/>
      <c r="K4114" s="23"/>
      <c r="M4114" s="23"/>
      <c r="N4114" s="23"/>
      <c r="P4114" s="23"/>
    </row>
    <row r="4115" spans="2:16" x14ac:dyDescent="0.25">
      <c r="B4115" s="23"/>
      <c r="E4115" s="23"/>
      <c r="G4115" s="23"/>
      <c r="H4115" s="23"/>
      <c r="J4115" s="23"/>
      <c r="K4115" s="23"/>
      <c r="M4115" s="23"/>
      <c r="N4115" s="23"/>
      <c r="P4115" s="23"/>
    </row>
    <row r="4116" spans="2:16" x14ac:dyDescent="0.25">
      <c r="B4116" s="23"/>
      <c r="E4116" s="23"/>
      <c r="G4116" s="23"/>
      <c r="H4116" s="23"/>
      <c r="J4116" s="23"/>
      <c r="K4116" s="23"/>
      <c r="M4116" s="23"/>
      <c r="N4116" s="23"/>
      <c r="P4116" s="23"/>
    </row>
    <row r="4117" spans="2:16" x14ac:dyDescent="0.25">
      <c r="B4117" s="23"/>
      <c r="E4117" s="23"/>
      <c r="G4117" s="23"/>
      <c r="H4117" s="23"/>
      <c r="J4117" s="23"/>
      <c r="K4117" s="23"/>
      <c r="M4117" s="23"/>
      <c r="N4117" s="23"/>
      <c r="P4117" s="23"/>
    </row>
    <row r="4118" spans="2:16" x14ac:dyDescent="0.25">
      <c r="B4118" s="23"/>
      <c r="E4118" s="23"/>
      <c r="G4118" s="23"/>
      <c r="H4118" s="23"/>
      <c r="J4118" s="23"/>
      <c r="K4118" s="23"/>
      <c r="M4118" s="23"/>
      <c r="N4118" s="23"/>
      <c r="P4118" s="23"/>
    </row>
    <row r="4119" spans="2:16" x14ac:dyDescent="0.25">
      <c r="B4119" s="23"/>
      <c r="E4119" s="23"/>
      <c r="G4119" s="23"/>
      <c r="H4119" s="23"/>
      <c r="J4119" s="23"/>
      <c r="K4119" s="23"/>
      <c r="M4119" s="23"/>
      <c r="N4119" s="23"/>
      <c r="P4119" s="23"/>
    </row>
    <row r="4120" spans="2:16" x14ac:dyDescent="0.25">
      <c r="B4120" s="23"/>
      <c r="E4120" s="23"/>
      <c r="G4120" s="23"/>
      <c r="H4120" s="23"/>
      <c r="J4120" s="23"/>
      <c r="K4120" s="23"/>
      <c r="M4120" s="23"/>
      <c r="N4120" s="23"/>
      <c r="P4120" s="23"/>
    </row>
    <row r="4121" spans="2:16" x14ac:dyDescent="0.25">
      <c r="B4121" s="23"/>
      <c r="E4121" s="23"/>
      <c r="G4121" s="23"/>
      <c r="H4121" s="23"/>
      <c r="J4121" s="23"/>
      <c r="K4121" s="23"/>
      <c r="M4121" s="23"/>
      <c r="N4121" s="23"/>
      <c r="P4121" s="23"/>
    </row>
    <row r="4122" spans="2:16" x14ac:dyDescent="0.25">
      <c r="B4122" s="23"/>
      <c r="E4122" s="23"/>
      <c r="G4122" s="23"/>
      <c r="H4122" s="23"/>
      <c r="J4122" s="23"/>
      <c r="K4122" s="23"/>
      <c r="M4122" s="23"/>
      <c r="N4122" s="23"/>
      <c r="P4122" s="23"/>
    </row>
    <row r="4123" spans="2:16" x14ac:dyDescent="0.25">
      <c r="B4123" s="23"/>
      <c r="E4123" s="23"/>
      <c r="G4123" s="23"/>
      <c r="H4123" s="23"/>
      <c r="J4123" s="23"/>
      <c r="K4123" s="23"/>
      <c r="M4123" s="23"/>
      <c r="N4123" s="23"/>
      <c r="P4123" s="23"/>
    </row>
    <row r="4124" spans="2:16" x14ac:dyDescent="0.25">
      <c r="B4124" s="23"/>
      <c r="E4124" s="23"/>
      <c r="G4124" s="23"/>
      <c r="H4124" s="23"/>
      <c r="J4124" s="23"/>
      <c r="K4124" s="23"/>
      <c r="M4124" s="23"/>
      <c r="N4124" s="23"/>
      <c r="P4124" s="23"/>
    </row>
    <row r="4125" spans="2:16" x14ac:dyDescent="0.25">
      <c r="B4125" s="23"/>
      <c r="E4125" s="23"/>
      <c r="G4125" s="23"/>
      <c r="H4125" s="23"/>
      <c r="J4125" s="23"/>
      <c r="K4125" s="23"/>
      <c r="M4125" s="23"/>
      <c r="N4125" s="23"/>
      <c r="P4125" s="23"/>
    </row>
    <row r="4126" spans="2:16" x14ac:dyDescent="0.25">
      <c r="B4126" s="23"/>
      <c r="E4126" s="23"/>
      <c r="G4126" s="23"/>
      <c r="H4126" s="23"/>
      <c r="J4126" s="23"/>
      <c r="K4126" s="23"/>
      <c r="M4126" s="23"/>
      <c r="N4126" s="23"/>
      <c r="P4126" s="23"/>
    </row>
    <row r="4127" spans="2:16" x14ac:dyDescent="0.25">
      <c r="B4127" s="23"/>
      <c r="E4127" s="23"/>
      <c r="G4127" s="23"/>
      <c r="H4127" s="23"/>
      <c r="J4127" s="23"/>
      <c r="K4127" s="23"/>
      <c r="M4127" s="23"/>
      <c r="N4127" s="23"/>
      <c r="P4127" s="23"/>
    </row>
    <row r="4128" spans="2:16" x14ac:dyDescent="0.25">
      <c r="B4128" s="23"/>
      <c r="E4128" s="23"/>
      <c r="G4128" s="23"/>
      <c r="H4128" s="23"/>
      <c r="J4128" s="23"/>
      <c r="K4128" s="23"/>
      <c r="M4128" s="23"/>
      <c r="N4128" s="23"/>
      <c r="P4128" s="23"/>
    </row>
    <row r="4129" spans="2:16" x14ac:dyDescent="0.25">
      <c r="B4129" s="23"/>
      <c r="E4129" s="23"/>
      <c r="G4129" s="23"/>
      <c r="H4129" s="23"/>
      <c r="J4129" s="23"/>
      <c r="K4129" s="23"/>
      <c r="M4129" s="23"/>
      <c r="N4129" s="23"/>
      <c r="P4129" s="23"/>
    </row>
    <row r="4130" spans="2:16" x14ac:dyDescent="0.25">
      <c r="B4130" s="23"/>
      <c r="E4130" s="23"/>
      <c r="G4130" s="23"/>
      <c r="H4130" s="23"/>
      <c r="J4130" s="23"/>
      <c r="K4130" s="23"/>
      <c r="M4130" s="23"/>
      <c r="N4130" s="23"/>
      <c r="P4130" s="23"/>
    </row>
    <row r="4131" spans="2:16" x14ac:dyDescent="0.25">
      <c r="B4131" s="23"/>
      <c r="E4131" s="23"/>
      <c r="G4131" s="23"/>
      <c r="H4131" s="23"/>
      <c r="J4131" s="23"/>
      <c r="K4131" s="23"/>
      <c r="M4131" s="23"/>
      <c r="N4131" s="23"/>
      <c r="P4131" s="23"/>
    </row>
    <row r="4132" spans="2:16" x14ac:dyDescent="0.25">
      <c r="B4132" s="23"/>
      <c r="E4132" s="23"/>
      <c r="G4132" s="23"/>
      <c r="H4132" s="23"/>
      <c r="J4132" s="23"/>
      <c r="K4132" s="23"/>
      <c r="M4132" s="23"/>
      <c r="N4132" s="23"/>
      <c r="P4132" s="23"/>
    </row>
    <row r="4133" spans="2:16" x14ac:dyDescent="0.25">
      <c r="B4133" s="23"/>
      <c r="E4133" s="23"/>
      <c r="G4133" s="23"/>
      <c r="H4133" s="23"/>
      <c r="J4133" s="23"/>
      <c r="K4133" s="23"/>
      <c r="M4133" s="23"/>
      <c r="N4133" s="23"/>
      <c r="P4133" s="23"/>
    </row>
    <row r="4134" spans="2:16" x14ac:dyDescent="0.25">
      <c r="B4134" s="23"/>
      <c r="E4134" s="23"/>
      <c r="G4134" s="23"/>
      <c r="H4134" s="23"/>
      <c r="J4134" s="23"/>
      <c r="K4134" s="23"/>
      <c r="M4134" s="23"/>
      <c r="N4134" s="23"/>
      <c r="P4134" s="23"/>
    </row>
    <row r="4135" spans="2:16" x14ac:dyDescent="0.25">
      <c r="B4135" s="23"/>
      <c r="E4135" s="23"/>
      <c r="G4135" s="23"/>
      <c r="H4135" s="23"/>
      <c r="J4135" s="23"/>
      <c r="K4135" s="23"/>
      <c r="M4135" s="23"/>
      <c r="N4135" s="23"/>
      <c r="P4135" s="23"/>
    </row>
    <row r="4136" spans="2:16" x14ac:dyDescent="0.25">
      <c r="B4136" s="23"/>
      <c r="E4136" s="23"/>
      <c r="G4136" s="23"/>
      <c r="H4136" s="23"/>
      <c r="J4136" s="23"/>
      <c r="K4136" s="23"/>
      <c r="M4136" s="23"/>
      <c r="N4136" s="23"/>
      <c r="P4136" s="23"/>
    </row>
    <row r="4137" spans="2:16" x14ac:dyDescent="0.25">
      <c r="B4137" s="23"/>
      <c r="E4137" s="23"/>
      <c r="G4137" s="23"/>
      <c r="H4137" s="23"/>
      <c r="J4137" s="23"/>
      <c r="K4137" s="23"/>
      <c r="M4137" s="23"/>
      <c r="N4137" s="23"/>
      <c r="P4137" s="23"/>
    </row>
    <row r="4138" spans="2:16" x14ac:dyDescent="0.25">
      <c r="B4138" s="23"/>
      <c r="E4138" s="23"/>
      <c r="G4138" s="23"/>
      <c r="H4138" s="23"/>
      <c r="J4138" s="23"/>
      <c r="K4138" s="23"/>
      <c r="M4138" s="23"/>
      <c r="N4138" s="23"/>
      <c r="P4138" s="23"/>
    </row>
    <row r="4139" spans="2:16" x14ac:dyDescent="0.25">
      <c r="B4139" s="23"/>
      <c r="E4139" s="23"/>
      <c r="G4139" s="23"/>
      <c r="H4139" s="23"/>
      <c r="J4139" s="23"/>
      <c r="K4139" s="23"/>
      <c r="M4139" s="23"/>
      <c r="N4139" s="23"/>
      <c r="P4139" s="23"/>
    </row>
    <row r="4140" spans="2:16" x14ac:dyDescent="0.25">
      <c r="B4140" s="23"/>
      <c r="E4140" s="23"/>
      <c r="G4140" s="23"/>
      <c r="H4140" s="23"/>
      <c r="J4140" s="23"/>
      <c r="K4140" s="23"/>
      <c r="M4140" s="23"/>
      <c r="N4140" s="23"/>
      <c r="P4140" s="23"/>
    </row>
    <row r="4141" spans="2:16" x14ac:dyDescent="0.25">
      <c r="B4141" s="23"/>
      <c r="E4141" s="23"/>
      <c r="G4141" s="23"/>
      <c r="H4141" s="23"/>
      <c r="J4141" s="23"/>
      <c r="K4141" s="23"/>
      <c r="M4141" s="23"/>
      <c r="N4141" s="23"/>
      <c r="P4141" s="23"/>
    </row>
    <row r="4142" spans="2:16" x14ac:dyDescent="0.25">
      <c r="B4142" s="23"/>
      <c r="E4142" s="23"/>
      <c r="G4142" s="23"/>
      <c r="H4142" s="23"/>
      <c r="J4142" s="23"/>
      <c r="K4142" s="23"/>
      <c r="M4142" s="23"/>
      <c r="N4142" s="23"/>
      <c r="P4142" s="23"/>
    </row>
    <row r="4143" spans="2:16" x14ac:dyDescent="0.25">
      <c r="B4143" s="23"/>
      <c r="E4143" s="23"/>
      <c r="G4143" s="23"/>
      <c r="H4143" s="23"/>
      <c r="J4143" s="23"/>
      <c r="K4143" s="23"/>
      <c r="M4143" s="23"/>
      <c r="N4143" s="23"/>
      <c r="P4143" s="23"/>
    </row>
    <row r="4144" spans="2:16" x14ac:dyDescent="0.25">
      <c r="B4144" s="23"/>
      <c r="E4144" s="23"/>
      <c r="G4144" s="23"/>
      <c r="H4144" s="23"/>
      <c r="J4144" s="23"/>
      <c r="K4144" s="23"/>
      <c r="M4144" s="23"/>
      <c r="N4144" s="23"/>
      <c r="P4144" s="23"/>
    </row>
    <row r="4145" spans="2:16" x14ac:dyDescent="0.25">
      <c r="B4145" s="23"/>
      <c r="E4145" s="23"/>
      <c r="G4145" s="23"/>
      <c r="H4145" s="23"/>
      <c r="J4145" s="23"/>
      <c r="K4145" s="23"/>
      <c r="M4145" s="23"/>
      <c r="N4145" s="23"/>
      <c r="P4145" s="23"/>
    </row>
    <row r="4146" spans="2:16" x14ac:dyDescent="0.25">
      <c r="B4146" s="23"/>
      <c r="E4146" s="23"/>
      <c r="G4146" s="23"/>
      <c r="H4146" s="23"/>
      <c r="J4146" s="23"/>
      <c r="K4146" s="23"/>
      <c r="M4146" s="23"/>
      <c r="N4146" s="23"/>
      <c r="P4146" s="23"/>
    </row>
    <row r="4147" spans="2:16" x14ac:dyDescent="0.25">
      <c r="B4147" s="23"/>
      <c r="E4147" s="23"/>
      <c r="G4147" s="23"/>
      <c r="H4147" s="23"/>
      <c r="J4147" s="23"/>
      <c r="K4147" s="23"/>
      <c r="M4147" s="23"/>
      <c r="N4147" s="23"/>
      <c r="P4147" s="23"/>
    </row>
    <row r="4148" spans="2:16" x14ac:dyDescent="0.25">
      <c r="B4148" s="23"/>
      <c r="E4148" s="23"/>
      <c r="G4148" s="23"/>
      <c r="H4148" s="23"/>
      <c r="J4148" s="23"/>
      <c r="K4148" s="23"/>
      <c r="M4148" s="23"/>
      <c r="N4148" s="23"/>
      <c r="P4148" s="23"/>
    </row>
    <row r="4149" spans="2:16" x14ac:dyDescent="0.25">
      <c r="B4149" s="23"/>
      <c r="E4149" s="23"/>
      <c r="G4149" s="23"/>
      <c r="H4149" s="23"/>
      <c r="J4149" s="23"/>
      <c r="K4149" s="23"/>
      <c r="M4149" s="23"/>
      <c r="N4149" s="23"/>
      <c r="P4149" s="23"/>
    </row>
    <row r="4150" spans="2:16" x14ac:dyDescent="0.25">
      <c r="B4150" s="23"/>
      <c r="E4150" s="23"/>
      <c r="G4150" s="23"/>
      <c r="H4150" s="23"/>
      <c r="J4150" s="23"/>
      <c r="K4150" s="23"/>
      <c r="M4150" s="23"/>
      <c r="N4150" s="23"/>
      <c r="P4150" s="23"/>
    </row>
    <row r="4151" spans="2:16" x14ac:dyDescent="0.25">
      <c r="B4151" s="23"/>
      <c r="E4151" s="23"/>
      <c r="G4151" s="23"/>
      <c r="H4151" s="23"/>
      <c r="J4151" s="23"/>
      <c r="K4151" s="23"/>
      <c r="M4151" s="23"/>
      <c r="N4151" s="23"/>
      <c r="P4151" s="23"/>
    </row>
    <row r="4152" spans="2:16" x14ac:dyDescent="0.25">
      <c r="B4152" s="23"/>
      <c r="E4152" s="23"/>
      <c r="G4152" s="23"/>
      <c r="H4152" s="23"/>
      <c r="J4152" s="23"/>
      <c r="K4152" s="23"/>
      <c r="M4152" s="23"/>
      <c r="N4152" s="23"/>
      <c r="P4152" s="23"/>
    </row>
    <row r="4153" spans="2:16" x14ac:dyDescent="0.25">
      <c r="B4153" s="23"/>
      <c r="E4153" s="23"/>
      <c r="G4153" s="23"/>
      <c r="H4153" s="23"/>
      <c r="J4153" s="23"/>
      <c r="K4153" s="23"/>
      <c r="M4153" s="23"/>
      <c r="N4153" s="23"/>
      <c r="P4153" s="23"/>
    </row>
    <row r="4154" spans="2:16" x14ac:dyDescent="0.25">
      <c r="B4154" s="23"/>
      <c r="E4154" s="23"/>
      <c r="G4154" s="23"/>
      <c r="H4154" s="23"/>
      <c r="J4154" s="23"/>
      <c r="K4154" s="23"/>
      <c r="M4154" s="23"/>
      <c r="N4154" s="23"/>
      <c r="P4154" s="23"/>
    </row>
    <row r="4155" spans="2:16" x14ac:dyDescent="0.25">
      <c r="B4155" s="23"/>
      <c r="E4155" s="23"/>
      <c r="G4155" s="23"/>
      <c r="H4155" s="23"/>
      <c r="J4155" s="23"/>
      <c r="K4155" s="23"/>
      <c r="M4155" s="23"/>
      <c r="N4155" s="23"/>
      <c r="P4155" s="23"/>
    </row>
    <row r="4156" spans="2:16" x14ac:dyDescent="0.25">
      <c r="B4156" s="23"/>
      <c r="E4156" s="23"/>
      <c r="G4156" s="23"/>
      <c r="H4156" s="23"/>
      <c r="J4156" s="23"/>
      <c r="K4156" s="23"/>
      <c r="M4156" s="23"/>
      <c r="N4156" s="23"/>
      <c r="P4156" s="23"/>
    </row>
    <row r="4157" spans="2:16" x14ac:dyDescent="0.25">
      <c r="B4157" s="23"/>
      <c r="E4157" s="23"/>
      <c r="G4157" s="23"/>
      <c r="H4157" s="23"/>
      <c r="J4157" s="23"/>
      <c r="K4157" s="23"/>
      <c r="M4157" s="23"/>
      <c r="N4157" s="23"/>
      <c r="P4157" s="23"/>
    </row>
    <row r="4158" spans="2:16" x14ac:dyDescent="0.25">
      <c r="B4158" s="23"/>
      <c r="E4158" s="23"/>
      <c r="G4158" s="23"/>
      <c r="H4158" s="23"/>
      <c r="J4158" s="23"/>
      <c r="K4158" s="23"/>
      <c r="M4158" s="23"/>
      <c r="N4158" s="23"/>
      <c r="P4158" s="23"/>
    </row>
    <row r="4159" spans="2:16" x14ac:dyDescent="0.25">
      <c r="B4159" s="23"/>
      <c r="E4159" s="23"/>
      <c r="G4159" s="23"/>
      <c r="H4159" s="23"/>
      <c r="J4159" s="23"/>
      <c r="K4159" s="23"/>
      <c r="M4159" s="23"/>
      <c r="N4159" s="23"/>
      <c r="P4159" s="23"/>
    </row>
    <row r="4160" spans="2:16" x14ac:dyDescent="0.25">
      <c r="B4160" s="23"/>
      <c r="E4160" s="23"/>
      <c r="G4160" s="23"/>
      <c r="H4160" s="23"/>
      <c r="J4160" s="23"/>
      <c r="K4160" s="23"/>
      <c r="M4160" s="23"/>
      <c r="N4160" s="23"/>
      <c r="P4160" s="23"/>
    </row>
    <row r="4161" spans="2:16" x14ac:dyDescent="0.25">
      <c r="B4161" s="23"/>
      <c r="E4161" s="23"/>
      <c r="G4161" s="23"/>
      <c r="H4161" s="23"/>
      <c r="J4161" s="23"/>
      <c r="K4161" s="23"/>
      <c r="M4161" s="23"/>
      <c r="N4161" s="23"/>
      <c r="P4161" s="23"/>
    </row>
    <row r="4162" spans="2:16" x14ac:dyDescent="0.25">
      <c r="B4162" s="23"/>
      <c r="E4162" s="23"/>
      <c r="G4162" s="23"/>
      <c r="H4162" s="23"/>
      <c r="J4162" s="23"/>
      <c r="K4162" s="23"/>
      <c r="M4162" s="23"/>
      <c r="N4162" s="23"/>
      <c r="P4162" s="23"/>
    </row>
    <row r="4163" spans="2:16" x14ac:dyDescent="0.25">
      <c r="B4163" s="23"/>
      <c r="E4163" s="23"/>
      <c r="G4163" s="23"/>
      <c r="H4163" s="23"/>
      <c r="J4163" s="23"/>
      <c r="K4163" s="23"/>
      <c r="M4163" s="23"/>
      <c r="N4163" s="23"/>
      <c r="P4163" s="23"/>
    </row>
    <row r="4164" spans="2:16" x14ac:dyDescent="0.25">
      <c r="B4164" s="23"/>
      <c r="E4164" s="23"/>
      <c r="G4164" s="23"/>
      <c r="H4164" s="23"/>
      <c r="J4164" s="23"/>
      <c r="K4164" s="23"/>
      <c r="M4164" s="23"/>
      <c r="N4164" s="23"/>
      <c r="P4164" s="23"/>
    </row>
    <row r="4165" spans="2:16" x14ac:dyDescent="0.25">
      <c r="B4165" s="23"/>
      <c r="E4165" s="23"/>
      <c r="G4165" s="23"/>
      <c r="H4165" s="23"/>
      <c r="J4165" s="23"/>
      <c r="K4165" s="23"/>
      <c r="M4165" s="23"/>
      <c r="N4165" s="23"/>
      <c r="P4165" s="23"/>
    </row>
    <row r="4166" spans="2:16" x14ac:dyDescent="0.25">
      <c r="B4166" s="23"/>
      <c r="E4166" s="23"/>
      <c r="G4166" s="23"/>
      <c r="H4166" s="23"/>
      <c r="J4166" s="23"/>
      <c r="K4166" s="23"/>
      <c r="M4166" s="23"/>
      <c r="N4166" s="23"/>
      <c r="P4166" s="23"/>
    </row>
    <row r="4167" spans="2:16" x14ac:dyDescent="0.25">
      <c r="B4167" s="23"/>
      <c r="E4167" s="23"/>
      <c r="G4167" s="23"/>
      <c r="H4167" s="23"/>
      <c r="J4167" s="23"/>
      <c r="K4167" s="23"/>
      <c r="M4167" s="23"/>
      <c r="N4167" s="23"/>
      <c r="P4167" s="23"/>
    </row>
    <row r="4168" spans="2:16" x14ac:dyDescent="0.25">
      <c r="B4168" s="23"/>
      <c r="E4168" s="23"/>
      <c r="G4168" s="23"/>
      <c r="H4168" s="23"/>
      <c r="J4168" s="23"/>
      <c r="K4168" s="23"/>
      <c r="M4168" s="23"/>
      <c r="N4168" s="23"/>
      <c r="P4168" s="23"/>
    </row>
    <row r="4169" spans="2:16" x14ac:dyDescent="0.25">
      <c r="B4169" s="23"/>
      <c r="E4169" s="23"/>
      <c r="G4169" s="23"/>
      <c r="H4169" s="23"/>
      <c r="J4169" s="23"/>
      <c r="K4169" s="23"/>
      <c r="M4169" s="23"/>
      <c r="N4169" s="23"/>
      <c r="P4169" s="23"/>
    </row>
    <row r="4170" spans="2:16" x14ac:dyDescent="0.25">
      <c r="B4170" s="23"/>
      <c r="E4170" s="23"/>
      <c r="G4170" s="23"/>
      <c r="H4170" s="23"/>
      <c r="J4170" s="23"/>
      <c r="K4170" s="23"/>
      <c r="M4170" s="23"/>
      <c r="N4170" s="23"/>
      <c r="P4170" s="23"/>
    </row>
    <row r="4171" spans="2:16" x14ac:dyDescent="0.25">
      <c r="B4171" s="23"/>
      <c r="E4171" s="23"/>
      <c r="G4171" s="23"/>
      <c r="H4171" s="23"/>
      <c r="J4171" s="23"/>
      <c r="K4171" s="23"/>
      <c r="M4171" s="23"/>
      <c r="N4171" s="23"/>
      <c r="P4171" s="23"/>
    </row>
    <row r="4172" spans="2:16" x14ac:dyDescent="0.25">
      <c r="B4172" s="23"/>
      <c r="E4172" s="23"/>
      <c r="G4172" s="23"/>
      <c r="H4172" s="23"/>
      <c r="J4172" s="23"/>
      <c r="K4172" s="23"/>
      <c r="M4172" s="23"/>
      <c r="N4172" s="23"/>
      <c r="P4172" s="23"/>
    </row>
    <row r="4173" spans="2:16" x14ac:dyDescent="0.25">
      <c r="B4173" s="23"/>
      <c r="E4173" s="23"/>
      <c r="G4173" s="23"/>
      <c r="H4173" s="23"/>
      <c r="J4173" s="23"/>
      <c r="K4173" s="23"/>
      <c r="M4173" s="23"/>
      <c r="N4173" s="23"/>
      <c r="P4173" s="23"/>
    </row>
    <row r="4174" spans="2:16" x14ac:dyDescent="0.25">
      <c r="B4174" s="23"/>
      <c r="E4174" s="23"/>
      <c r="G4174" s="23"/>
      <c r="H4174" s="23"/>
      <c r="J4174" s="23"/>
      <c r="K4174" s="23"/>
      <c r="M4174" s="23"/>
      <c r="N4174" s="23"/>
      <c r="P4174" s="23"/>
    </row>
    <row r="4175" spans="2:16" x14ac:dyDescent="0.25">
      <c r="B4175" s="23"/>
      <c r="E4175" s="23"/>
      <c r="G4175" s="23"/>
      <c r="H4175" s="23"/>
      <c r="J4175" s="23"/>
      <c r="K4175" s="23"/>
      <c r="M4175" s="23"/>
      <c r="N4175" s="23"/>
      <c r="P4175" s="23"/>
    </row>
    <row r="4176" spans="2:16" x14ac:dyDescent="0.25">
      <c r="B4176" s="23"/>
      <c r="E4176" s="23"/>
      <c r="G4176" s="23"/>
      <c r="H4176" s="23"/>
      <c r="J4176" s="23"/>
      <c r="K4176" s="23"/>
      <c r="M4176" s="23"/>
      <c r="N4176" s="23"/>
      <c r="P4176" s="23"/>
    </row>
    <row r="4177" spans="2:16" x14ac:dyDescent="0.25">
      <c r="B4177" s="23"/>
      <c r="E4177" s="23"/>
      <c r="G4177" s="23"/>
      <c r="H4177" s="23"/>
      <c r="J4177" s="23"/>
      <c r="K4177" s="23"/>
      <c r="M4177" s="23"/>
      <c r="N4177" s="23"/>
      <c r="P4177" s="23"/>
    </row>
    <row r="4178" spans="2:16" x14ac:dyDescent="0.25">
      <c r="B4178" s="23"/>
      <c r="E4178" s="23"/>
      <c r="G4178" s="23"/>
      <c r="H4178" s="23"/>
      <c r="J4178" s="23"/>
      <c r="K4178" s="23"/>
      <c r="M4178" s="23"/>
      <c r="N4178" s="23"/>
      <c r="P4178" s="23"/>
    </row>
    <row r="4179" spans="2:16" x14ac:dyDescent="0.25">
      <c r="B4179" s="23"/>
      <c r="E4179" s="23"/>
      <c r="G4179" s="23"/>
      <c r="H4179" s="23"/>
      <c r="J4179" s="23"/>
      <c r="K4179" s="23"/>
      <c r="M4179" s="23"/>
      <c r="N4179" s="23"/>
      <c r="P4179" s="23"/>
    </row>
    <row r="4180" spans="2:16" x14ac:dyDescent="0.25">
      <c r="B4180" s="23"/>
      <c r="E4180" s="23"/>
      <c r="G4180" s="23"/>
      <c r="H4180" s="23"/>
      <c r="J4180" s="23"/>
      <c r="K4180" s="23"/>
      <c r="M4180" s="23"/>
      <c r="N4180" s="23"/>
      <c r="P4180" s="23"/>
    </row>
    <row r="4181" spans="2:16" x14ac:dyDescent="0.25">
      <c r="B4181" s="23"/>
      <c r="E4181" s="23"/>
      <c r="G4181" s="23"/>
      <c r="H4181" s="23"/>
      <c r="J4181" s="23"/>
      <c r="K4181" s="23"/>
      <c r="M4181" s="23"/>
      <c r="N4181" s="23"/>
      <c r="P4181" s="23"/>
    </row>
    <row r="4182" spans="2:16" x14ac:dyDescent="0.25">
      <c r="B4182" s="23"/>
      <c r="E4182" s="23"/>
      <c r="G4182" s="23"/>
      <c r="H4182" s="23"/>
      <c r="J4182" s="23"/>
      <c r="K4182" s="23"/>
      <c r="M4182" s="23"/>
      <c r="N4182" s="23"/>
      <c r="P4182" s="23"/>
    </row>
    <row r="4183" spans="2:16" x14ac:dyDescent="0.25">
      <c r="B4183" s="23"/>
      <c r="E4183" s="23"/>
      <c r="G4183" s="23"/>
      <c r="H4183" s="23"/>
      <c r="J4183" s="23"/>
      <c r="K4183" s="23"/>
      <c r="M4183" s="23"/>
      <c r="N4183" s="23"/>
      <c r="P4183" s="23"/>
    </row>
    <row r="4184" spans="2:16" x14ac:dyDescent="0.25">
      <c r="B4184" s="23"/>
      <c r="E4184" s="23"/>
      <c r="G4184" s="23"/>
      <c r="H4184" s="23"/>
      <c r="J4184" s="23"/>
      <c r="K4184" s="23"/>
      <c r="M4184" s="23"/>
      <c r="N4184" s="23"/>
      <c r="P4184" s="23"/>
    </row>
    <row r="4185" spans="2:16" x14ac:dyDescent="0.25">
      <c r="B4185" s="23"/>
      <c r="E4185" s="23"/>
      <c r="G4185" s="23"/>
      <c r="H4185" s="23"/>
      <c r="J4185" s="23"/>
      <c r="K4185" s="23"/>
      <c r="M4185" s="23"/>
      <c r="N4185" s="23"/>
      <c r="P4185" s="23"/>
    </row>
    <row r="4186" spans="2:16" x14ac:dyDescent="0.25">
      <c r="B4186" s="23"/>
      <c r="E4186" s="23"/>
      <c r="G4186" s="23"/>
      <c r="H4186" s="23"/>
      <c r="J4186" s="23"/>
      <c r="K4186" s="23"/>
      <c r="M4186" s="23"/>
      <c r="N4186" s="23"/>
      <c r="P4186" s="23"/>
    </row>
    <row r="4187" spans="2:16" x14ac:dyDescent="0.25">
      <c r="B4187" s="23"/>
      <c r="E4187" s="23"/>
      <c r="G4187" s="23"/>
      <c r="H4187" s="23"/>
      <c r="J4187" s="23"/>
      <c r="K4187" s="23"/>
      <c r="M4187" s="23"/>
      <c r="N4187" s="23"/>
      <c r="P4187" s="23"/>
    </row>
    <row r="4188" spans="2:16" x14ac:dyDescent="0.25">
      <c r="B4188" s="23"/>
      <c r="E4188" s="23"/>
      <c r="G4188" s="23"/>
      <c r="H4188" s="23"/>
      <c r="J4188" s="23"/>
      <c r="K4188" s="23"/>
      <c r="M4188" s="23"/>
      <c r="N4188" s="23"/>
      <c r="P4188" s="23"/>
    </row>
    <row r="4189" spans="2:16" x14ac:dyDescent="0.25">
      <c r="B4189" s="23"/>
      <c r="E4189" s="23"/>
      <c r="G4189" s="23"/>
      <c r="H4189" s="23"/>
      <c r="J4189" s="23"/>
      <c r="K4189" s="23"/>
      <c r="M4189" s="23"/>
      <c r="N4189" s="23"/>
      <c r="P4189" s="23"/>
    </row>
    <row r="4190" spans="2:16" x14ac:dyDescent="0.25">
      <c r="B4190" s="23"/>
      <c r="E4190" s="23"/>
      <c r="G4190" s="23"/>
      <c r="H4190" s="23"/>
      <c r="J4190" s="23"/>
      <c r="K4190" s="23"/>
      <c r="M4190" s="23"/>
      <c r="N4190" s="23"/>
      <c r="P4190" s="23"/>
    </row>
    <row r="4191" spans="2:16" x14ac:dyDescent="0.25">
      <c r="B4191" s="23"/>
      <c r="E4191" s="23"/>
      <c r="G4191" s="23"/>
      <c r="H4191" s="23"/>
      <c r="J4191" s="23"/>
      <c r="K4191" s="23"/>
      <c r="M4191" s="23"/>
      <c r="N4191" s="23"/>
      <c r="P4191" s="23"/>
    </row>
    <row r="4192" spans="2:16" x14ac:dyDescent="0.25">
      <c r="B4192" s="23"/>
      <c r="E4192" s="23"/>
      <c r="G4192" s="23"/>
      <c r="H4192" s="23"/>
      <c r="J4192" s="23"/>
      <c r="K4192" s="23"/>
      <c r="M4192" s="23"/>
      <c r="N4192" s="23"/>
      <c r="P4192" s="23"/>
    </row>
    <row r="4193" spans="2:16" x14ac:dyDescent="0.25">
      <c r="B4193" s="23"/>
      <c r="E4193" s="23"/>
      <c r="G4193" s="23"/>
      <c r="H4193" s="23"/>
      <c r="J4193" s="23"/>
      <c r="K4193" s="23"/>
      <c r="M4193" s="23"/>
      <c r="N4193" s="23"/>
      <c r="P4193" s="23"/>
    </row>
    <row r="4194" spans="2:16" x14ac:dyDescent="0.25">
      <c r="B4194" s="23"/>
      <c r="E4194" s="23"/>
      <c r="G4194" s="23"/>
      <c r="H4194" s="23"/>
      <c r="J4194" s="23"/>
      <c r="K4194" s="23"/>
      <c r="M4194" s="23"/>
      <c r="N4194" s="23"/>
      <c r="P4194" s="23"/>
    </row>
    <row r="4195" spans="2:16" x14ac:dyDescent="0.25">
      <c r="B4195" s="23"/>
      <c r="E4195" s="23"/>
      <c r="G4195" s="23"/>
      <c r="H4195" s="23"/>
      <c r="J4195" s="23"/>
      <c r="K4195" s="23"/>
      <c r="M4195" s="23"/>
      <c r="N4195" s="23"/>
      <c r="P4195" s="23"/>
    </row>
    <row r="4196" spans="2:16" x14ac:dyDescent="0.25">
      <c r="B4196" s="23"/>
      <c r="E4196" s="23"/>
      <c r="G4196" s="23"/>
      <c r="H4196" s="23"/>
      <c r="J4196" s="23"/>
      <c r="K4196" s="23"/>
      <c r="M4196" s="23"/>
      <c r="N4196" s="23"/>
      <c r="P4196" s="23"/>
    </row>
    <row r="4197" spans="2:16" x14ac:dyDescent="0.25">
      <c r="B4197" s="23"/>
      <c r="E4197" s="23"/>
      <c r="G4197" s="23"/>
      <c r="H4197" s="23"/>
      <c r="J4197" s="23"/>
      <c r="K4197" s="23"/>
      <c r="M4197" s="23"/>
      <c r="N4197" s="23"/>
      <c r="P4197" s="23"/>
    </row>
    <row r="4198" spans="2:16" x14ac:dyDescent="0.25">
      <c r="B4198" s="23"/>
      <c r="E4198" s="23"/>
      <c r="G4198" s="23"/>
      <c r="H4198" s="23"/>
      <c r="J4198" s="23"/>
      <c r="K4198" s="23"/>
      <c r="M4198" s="23"/>
      <c r="N4198" s="23"/>
      <c r="P4198" s="23"/>
    </row>
    <row r="4199" spans="2:16" x14ac:dyDescent="0.25">
      <c r="B4199" s="23"/>
      <c r="E4199" s="23"/>
      <c r="G4199" s="23"/>
      <c r="H4199" s="23"/>
      <c r="J4199" s="23"/>
      <c r="K4199" s="23"/>
      <c r="M4199" s="23"/>
      <c r="N4199" s="23"/>
      <c r="P4199" s="23"/>
    </row>
    <row r="4200" spans="2:16" x14ac:dyDescent="0.25">
      <c r="B4200" s="23"/>
      <c r="E4200" s="23"/>
      <c r="G4200" s="23"/>
      <c r="H4200" s="23"/>
      <c r="J4200" s="23"/>
      <c r="K4200" s="23"/>
      <c r="M4200" s="23"/>
      <c r="N4200" s="23"/>
      <c r="P4200" s="23"/>
    </row>
    <row r="4201" spans="2:16" x14ac:dyDescent="0.25">
      <c r="B4201" s="23"/>
      <c r="E4201" s="23"/>
      <c r="G4201" s="23"/>
      <c r="H4201" s="23"/>
      <c r="J4201" s="23"/>
      <c r="K4201" s="23"/>
      <c r="M4201" s="23"/>
      <c r="N4201" s="23"/>
      <c r="P4201" s="23"/>
    </row>
    <row r="4202" spans="2:16" x14ac:dyDescent="0.25">
      <c r="B4202" s="23"/>
      <c r="E4202" s="23"/>
      <c r="G4202" s="23"/>
      <c r="H4202" s="23"/>
      <c r="J4202" s="23"/>
      <c r="K4202" s="23"/>
      <c r="M4202" s="23"/>
      <c r="N4202" s="23"/>
      <c r="P4202" s="23"/>
    </row>
    <row r="4203" spans="2:16" x14ac:dyDescent="0.25">
      <c r="B4203" s="23"/>
      <c r="E4203" s="23"/>
      <c r="G4203" s="23"/>
      <c r="H4203" s="23"/>
      <c r="J4203" s="23"/>
      <c r="K4203" s="23"/>
      <c r="M4203" s="23"/>
      <c r="N4203" s="23"/>
      <c r="P4203" s="23"/>
    </row>
    <row r="4204" spans="2:16" x14ac:dyDescent="0.25">
      <c r="B4204" s="23"/>
      <c r="E4204" s="23"/>
      <c r="G4204" s="23"/>
      <c r="H4204" s="23"/>
      <c r="J4204" s="23"/>
      <c r="K4204" s="23"/>
      <c r="M4204" s="23"/>
      <c r="N4204" s="23"/>
      <c r="P4204" s="23"/>
    </row>
    <row r="4205" spans="2:16" x14ac:dyDescent="0.25">
      <c r="B4205" s="23"/>
      <c r="E4205" s="23"/>
      <c r="G4205" s="23"/>
      <c r="H4205" s="23"/>
      <c r="J4205" s="23"/>
      <c r="K4205" s="23"/>
      <c r="M4205" s="23"/>
      <c r="N4205" s="23"/>
      <c r="P4205" s="23"/>
    </row>
    <row r="4206" spans="2:16" x14ac:dyDescent="0.25">
      <c r="B4206" s="23"/>
      <c r="E4206" s="23"/>
      <c r="G4206" s="23"/>
      <c r="H4206" s="23"/>
      <c r="J4206" s="23"/>
      <c r="K4206" s="23"/>
      <c r="M4206" s="23"/>
      <c r="N4206" s="23"/>
      <c r="P4206" s="23"/>
    </row>
    <row r="4207" spans="2:16" x14ac:dyDescent="0.25">
      <c r="B4207" s="23"/>
      <c r="E4207" s="23"/>
      <c r="G4207" s="23"/>
      <c r="H4207" s="23"/>
      <c r="J4207" s="23"/>
      <c r="K4207" s="23"/>
      <c r="M4207" s="23"/>
      <c r="N4207" s="23"/>
      <c r="P4207" s="23"/>
    </row>
    <row r="4208" spans="2:16" x14ac:dyDescent="0.25">
      <c r="B4208" s="23"/>
      <c r="E4208" s="23"/>
      <c r="G4208" s="23"/>
      <c r="H4208" s="23"/>
      <c r="J4208" s="23"/>
      <c r="K4208" s="23"/>
      <c r="M4208" s="23"/>
      <c r="N4208" s="23"/>
      <c r="P4208" s="23"/>
    </row>
    <row r="4209" spans="2:16" x14ac:dyDescent="0.25">
      <c r="B4209" s="23"/>
      <c r="E4209" s="23"/>
      <c r="G4209" s="23"/>
      <c r="H4209" s="23"/>
      <c r="J4209" s="23"/>
      <c r="K4209" s="23"/>
      <c r="M4209" s="23"/>
      <c r="N4209" s="23"/>
      <c r="P4209" s="23"/>
    </row>
    <row r="4210" spans="2:16" x14ac:dyDescent="0.25">
      <c r="B4210" s="23"/>
      <c r="E4210" s="23"/>
      <c r="G4210" s="23"/>
      <c r="H4210" s="23"/>
      <c r="J4210" s="23"/>
      <c r="K4210" s="23"/>
      <c r="M4210" s="23"/>
      <c r="N4210" s="23"/>
      <c r="P4210" s="23"/>
    </row>
    <row r="4211" spans="2:16" x14ac:dyDescent="0.25">
      <c r="B4211" s="23"/>
      <c r="E4211" s="23"/>
      <c r="G4211" s="23"/>
      <c r="H4211" s="23"/>
      <c r="J4211" s="23"/>
      <c r="K4211" s="23"/>
      <c r="M4211" s="23"/>
      <c r="N4211" s="23"/>
      <c r="P4211" s="23"/>
    </row>
    <row r="4212" spans="2:16" x14ac:dyDescent="0.25">
      <c r="B4212" s="23"/>
      <c r="E4212" s="23"/>
      <c r="G4212" s="23"/>
      <c r="H4212" s="23"/>
      <c r="J4212" s="23"/>
      <c r="K4212" s="23"/>
      <c r="M4212" s="23"/>
      <c r="N4212" s="23"/>
      <c r="P4212" s="23"/>
    </row>
    <row r="4213" spans="2:16" x14ac:dyDescent="0.25">
      <c r="B4213" s="23"/>
      <c r="E4213" s="23"/>
      <c r="G4213" s="23"/>
      <c r="H4213" s="23"/>
      <c r="J4213" s="23"/>
      <c r="K4213" s="23"/>
      <c r="M4213" s="23"/>
      <c r="N4213" s="23"/>
      <c r="P4213" s="23"/>
    </row>
    <row r="4214" spans="2:16" x14ac:dyDescent="0.25">
      <c r="B4214" s="23"/>
      <c r="E4214" s="23"/>
      <c r="G4214" s="23"/>
      <c r="H4214" s="23"/>
      <c r="J4214" s="23"/>
      <c r="K4214" s="23"/>
      <c r="M4214" s="23"/>
      <c r="N4214" s="23"/>
      <c r="P4214" s="23"/>
    </row>
    <row r="4215" spans="2:16" x14ac:dyDescent="0.25">
      <c r="B4215" s="23"/>
      <c r="E4215" s="23"/>
      <c r="G4215" s="23"/>
      <c r="H4215" s="23"/>
      <c r="J4215" s="23"/>
      <c r="K4215" s="23"/>
      <c r="M4215" s="23"/>
      <c r="N4215" s="23"/>
      <c r="P4215" s="23"/>
    </row>
    <row r="4216" spans="2:16" x14ac:dyDescent="0.25">
      <c r="B4216" s="23"/>
      <c r="E4216" s="23"/>
      <c r="G4216" s="23"/>
      <c r="H4216" s="23"/>
      <c r="J4216" s="23"/>
      <c r="K4216" s="23"/>
      <c r="M4216" s="23"/>
      <c r="N4216" s="23"/>
      <c r="P4216" s="23"/>
    </row>
    <row r="4217" spans="2:16" x14ac:dyDescent="0.25">
      <c r="B4217" s="23"/>
      <c r="E4217" s="23"/>
      <c r="G4217" s="23"/>
      <c r="H4217" s="23"/>
      <c r="J4217" s="23"/>
      <c r="K4217" s="23"/>
      <c r="M4217" s="23"/>
      <c r="N4217" s="23"/>
      <c r="P4217" s="23"/>
    </row>
    <row r="4218" spans="2:16" x14ac:dyDescent="0.25">
      <c r="B4218" s="23"/>
      <c r="E4218" s="23"/>
      <c r="G4218" s="23"/>
      <c r="H4218" s="23"/>
      <c r="J4218" s="23"/>
      <c r="K4218" s="23"/>
      <c r="M4218" s="23"/>
      <c r="N4218" s="23"/>
      <c r="P4218" s="23"/>
    </row>
    <row r="4219" spans="2:16" x14ac:dyDescent="0.25">
      <c r="B4219" s="23"/>
      <c r="E4219" s="23"/>
      <c r="G4219" s="23"/>
      <c r="H4219" s="23"/>
      <c r="J4219" s="23"/>
      <c r="K4219" s="23"/>
      <c r="M4219" s="23"/>
      <c r="N4219" s="23"/>
      <c r="P4219" s="23"/>
    </row>
    <row r="4220" spans="2:16" x14ac:dyDescent="0.25">
      <c r="B4220" s="23"/>
      <c r="E4220" s="23"/>
      <c r="G4220" s="23"/>
      <c r="H4220" s="23"/>
      <c r="J4220" s="23"/>
      <c r="K4220" s="23"/>
      <c r="M4220" s="23"/>
      <c r="N4220" s="23"/>
      <c r="P4220" s="23"/>
    </row>
    <row r="4221" spans="2:16" x14ac:dyDescent="0.25">
      <c r="B4221" s="23"/>
      <c r="E4221" s="23"/>
      <c r="G4221" s="23"/>
      <c r="H4221" s="23"/>
      <c r="J4221" s="23"/>
      <c r="K4221" s="23"/>
      <c r="M4221" s="23"/>
      <c r="N4221" s="23"/>
      <c r="P4221" s="23"/>
    </row>
    <row r="4222" spans="2:16" x14ac:dyDescent="0.25">
      <c r="B4222" s="23"/>
      <c r="E4222" s="23"/>
      <c r="G4222" s="23"/>
      <c r="H4222" s="23"/>
      <c r="J4222" s="23"/>
      <c r="K4222" s="23"/>
      <c r="M4222" s="23"/>
      <c r="N4222" s="23"/>
      <c r="P4222" s="23"/>
    </row>
    <row r="4223" spans="2:16" x14ac:dyDescent="0.25">
      <c r="B4223" s="23"/>
      <c r="E4223" s="23"/>
      <c r="G4223" s="23"/>
      <c r="H4223" s="23"/>
      <c r="J4223" s="23"/>
      <c r="K4223" s="23"/>
      <c r="M4223" s="23"/>
      <c r="N4223" s="23"/>
      <c r="P4223" s="23"/>
    </row>
    <row r="4224" spans="2:16" x14ac:dyDescent="0.25">
      <c r="B4224" s="23"/>
      <c r="E4224" s="23"/>
      <c r="G4224" s="23"/>
      <c r="H4224" s="23"/>
      <c r="J4224" s="23"/>
      <c r="K4224" s="23"/>
      <c r="M4224" s="23"/>
      <c r="N4224" s="23"/>
      <c r="P4224" s="23"/>
    </row>
    <row r="4225" spans="2:16" x14ac:dyDescent="0.25">
      <c r="B4225" s="23"/>
      <c r="E4225" s="23"/>
      <c r="G4225" s="23"/>
      <c r="H4225" s="23"/>
      <c r="J4225" s="23"/>
      <c r="K4225" s="23"/>
      <c r="M4225" s="23"/>
      <c r="N4225" s="23"/>
      <c r="P4225" s="23"/>
    </row>
    <row r="4226" spans="2:16" x14ac:dyDescent="0.25">
      <c r="B4226" s="23"/>
      <c r="E4226" s="23"/>
      <c r="G4226" s="23"/>
      <c r="H4226" s="23"/>
      <c r="J4226" s="23"/>
      <c r="K4226" s="23"/>
      <c r="M4226" s="23"/>
      <c r="N4226" s="23"/>
      <c r="P4226" s="23"/>
    </row>
    <row r="4227" spans="2:16" x14ac:dyDescent="0.25">
      <c r="B4227" s="23"/>
      <c r="E4227" s="23"/>
      <c r="G4227" s="23"/>
      <c r="H4227" s="23"/>
      <c r="J4227" s="23"/>
      <c r="K4227" s="23"/>
      <c r="M4227" s="23"/>
      <c r="N4227" s="23"/>
      <c r="P4227" s="23"/>
    </row>
    <row r="4228" spans="2:16" x14ac:dyDescent="0.25">
      <c r="B4228" s="23"/>
      <c r="E4228" s="23"/>
      <c r="G4228" s="23"/>
      <c r="H4228" s="23"/>
      <c r="J4228" s="23"/>
      <c r="K4228" s="23"/>
      <c r="M4228" s="23"/>
      <c r="N4228" s="23"/>
      <c r="P4228" s="23"/>
    </row>
    <row r="4229" spans="2:16" x14ac:dyDescent="0.25">
      <c r="B4229" s="23"/>
      <c r="E4229" s="23"/>
      <c r="G4229" s="23"/>
      <c r="H4229" s="23"/>
      <c r="J4229" s="23"/>
      <c r="K4229" s="23"/>
      <c r="M4229" s="23"/>
      <c r="N4229" s="23"/>
      <c r="P4229" s="23"/>
    </row>
    <row r="4230" spans="2:16" x14ac:dyDescent="0.25">
      <c r="B4230" s="23"/>
      <c r="E4230" s="23"/>
      <c r="G4230" s="23"/>
      <c r="H4230" s="23"/>
      <c r="J4230" s="23"/>
      <c r="K4230" s="23"/>
      <c r="M4230" s="23"/>
      <c r="N4230" s="23"/>
      <c r="P4230" s="23"/>
    </row>
    <row r="4231" spans="2:16" x14ac:dyDescent="0.25">
      <c r="B4231" s="23"/>
      <c r="E4231" s="23"/>
      <c r="G4231" s="23"/>
      <c r="H4231" s="23"/>
      <c r="J4231" s="23"/>
      <c r="K4231" s="23"/>
      <c r="M4231" s="23"/>
      <c r="N4231" s="23"/>
      <c r="P4231" s="23"/>
    </row>
    <row r="4232" spans="2:16" x14ac:dyDescent="0.25">
      <c r="B4232" s="23"/>
      <c r="E4232" s="23"/>
      <c r="G4232" s="23"/>
      <c r="H4232" s="23"/>
      <c r="J4232" s="23"/>
      <c r="K4232" s="23"/>
      <c r="M4232" s="23"/>
      <c r="N4232" s="23"/>
      <c r="P4232" s="23"/>
    </row>
    <row r="4233" spans="2:16" x14ac:dyDescent="0.25">
      <c r="B4233" s="23"/>
      <c r="E4233" s="23"/>
      <c r="G4233" s="23"/>
      <c r="H4233" s="23"/>
      <c r="J4233" s="23"/>
      <c r="K4233" s="23"/>
      <c r="M4233" s="23"/>
      <c r="N4233" s="23"/>
      <c r="P4233" s="23"/>
    </row>
    <row r="4234" spans="2:16" x14ac:dyDescent="0.25">
      <c r="B4234" s="23"/>
      <c r="E4234" s="23"/>
      <c r="G4234" s="23"/>
      <c r="H4234" s="23"/>
      <c r="J4234" s="23"/>
      <c r="K4234" s="23"/>
      <c r="M4234" s="23"/>
      <c r="N4234" s="23"/>
      <c r="P4234" s="23"/>
    </row>
    <row r="4235" spans="2:16" x14ac:dyDescent="0.25">
      <c r="B4235" s="23"/>
      <c r="E4235" s="23"/>
      <c r="G4235" s="23"/>
      <c r="H4235" s="23"/>
      <c r="J4235" s="23"/>
      <c r="K4235" s="23"/>
      <c r="M4235" s="23"/>
      <c r="N4235" s="23"/>
      <c r="P4235" s="23"/>
    </row>
    <row r="4236" spans="2:16" x14ac:dyDescent="0.25">
      <c r="B4236" s="23"/>
      <c r="E4236" s="23"/>
      <c r="G4236" s="23"/>
      <c r="H4236" s="23"/>
      <c r="J4236" s="23"/>
      <c r="K4236" s="23"/>
      <c r="M4236" s="23"/>
      <c r="N4236" s="23"/>
      <c r="P4236" s="23"/>
    </row>
    <row r="4237" spans="2:16" x14ac:dyDescent="0.25">
      <c r="B4237" s="23"/>
      <c r="E4237" s="23"/>
      <c r="G4237" s="23"/>
      <c r="H4237" s="23"/>
      <c r="J4237" s="23"/>
      <c r="K4237" s="23"/>
      <c r="M4237" s="23"/>
      <c r="N4237" s="23"/>
      <c r="P4237" s="23"/>
    </row>
    <row r="4238" spans="2:16" x14ac:dyDescent="0.25">
      <c r="B4238" s="23"/>
      <c r="E4238" s="23"/>
      <c r="G4238" s="23"/>
      <c r="H4238" s="23"/>
      <c r="J4238" s="23"/>
      <c r="K4238" s="23"/>
      <c r="M4238" s="23"/>
      <c r="N4238" s="23"/>
      <c r="P4238" s="23"/>
    </row>
    <row r="4239" spans="2:16" x14ac:dyDescent="0.25">
      <c r="B4239" s="23"/>
      <c r="E4239" s="23"/>
      <c r="G4239" s="23"/>
      <c r="H4239" s="23"/>
      <c r="J4239" s="23"/>
      <c r="K4239" s="23"/>
      <c r="M4239" s="23"/>
      <c r="N4239" s="23"/>
      <c r="P4239" s="23"/>
    </row>
    <row r="4240" spans="2:16" x14ac:dyDescent="0.25">
      <c r="B4240" s="23"/>
      <c r="E4240" s="23"/>
      <c r="G4240" s="23"/>
      <c r="H4240" s="23"/>
      <c r="J4240" s="23"/>
      <c r="K4240" s="23"/>
      <c r="M4240" s="23"/>
      <c r="N4240" s="23"/>
      <c r="P4240" s="23"/>
    </row>
    <row r="4241" spans="2:16" x14ac:dyDescent="0.25">
      <c r="B4241" s="23"/>
      <c r="E4241" s="23"/>
      <c r="G4241" s="23"/>
      <c r="H4241" s="23"/>
      <c r="J4241" s="23"/>
      <c r="K4241" s="23"/>
      <c r="M4241" s="23"/>
      <c r="N4241" s="23"/>
      <c r="P4241" s="23"/>
    </row>
    <row r="4242" spans="2:16" x14ac:dyDescent="0.25">
      <c r="B4242" s="23"/>
      <c r="E4242" s="23"/>
      <c r="G4242" s="23"/>
      <c r="H4242" s="23"/>
      <c r="J4242" s="23"/>
      <c r="K4242" s="23"/>
      <c r="M4242" s="23"/>
      <c r="N4242" s="23"/>
      <c r="P4242" s="23"/>
    </row>
    <row r="4243" spans="2:16" x14ac:dyDescent="0.25">
      <c r="B4243" s="23"/>
      <c r="E4243" s="23"/>
      <c r="G4243" s="23"/>
      <c r="H4243" s="23"/>
      <c r="J4243" s="23"/>
      <c r="K4243" s="23"/>
      <c r="M4243" s="23"/>
      <c r="N4243" s="23"/>
      <c r="P4243" s="23"/>
    </row>
    <row r="4244" spans="2:16" x14ac:dyDescent="0.25">
      <c r="B4244" s="23"/>
      <c r="E4244" s="23"/>
      <c r="G4244" s="23"/>
      <c r="H4244" s="23"/>
      <c r="J4244" s="23"/>
      <c r="K4244" s="23"/>
      <c r="M4244" s="23"/>
      <c r="N4244" s="23"/>
      <c r="P4244" s="23"/>
    </row>
    <row r="4245" spans="2:16" x14ac:dyDescent="0.25">
      <c r="B4245" s="23"/>
      <c r="E4245" s="23"/>
      <c r="G4245" s="23"/>
      <c r="H4245" s="23"/>
      <c r="J4245" s="23"/>
      <c r="K4245" s="23"/>
      <c r="M4245" s="23"/>
      <c r="N4245" s="23"/>
      <c r="P4245" s="23"/>
    </row>
    <row r="4246" spans="2:16" x14ac:dyDescent="0.25">
      <c r="B4246" s="23"/>
      <c r="E4246" s="23"/>
      <c r="G4246" s="23"/>
      <c r="H4246" s="23"/>
      <c r="J4246" s="23"/>
      <c r="K4246" s="23"/>
      <c r="M4246" s="23"/>
      <c r="N4246" s="23"/>
      <c r="P4246" s="23"/>
    </row>
    <row r="4247" spans="2:16" x14ac:dyDescent="0.25">
      <c r="B4247" s="23"/>
      <c r="E4247" s="23"/>
      <c r="G4247" s="23"/>
      <c r="H4247" s="23"/>
      <c r="J4247" s="23"/>
      <c r="K4247" s="23"/>
      <c r="M4247" s="23"/>
      <c r="N4247" s="23"/>
      <c r="P4247" s="23"/>
    </row>
    <row r="4248" spans="2:16" x14ac:dyDescent="0.25">
      <c r="B4248" s="23"/>
      <c r="E4248" s="23"/>
      <c r="G4248" s="23"/>
      <c r="H4248" s="23"/>
      <c r="J4248" s="23"/>
      <c r="K4248" s="23"/>
      <c r="M4248" s="23"/>
      <c r="N4248" s="23"/>
      <c r="P4248" s="23"/>
    </row>
    <row r="4249" spans="2:16" x14ac:dyDescent="0.25">
      <c r="B4249" s="23"/>
      <c r="E4249" s="23"/>
      <c r="G4249" s="23"/>
      <c r="H4249" s="23"/>
      <c r="J4249" s="23"/>
      <c r="K4249" s="23"/>
      <c r="M4249" s="23"/>
      <c r="N4249" s="23"/>
      <c r="P4249" s="23"/>
    </row>
    <row r="4250" spans="2:16" x14ac:dyDescent="0.25">
      <c r="B4250" s="23"/>
      <c r="E4250" s="23"/>
      <c r="G4250" s="23"/>
      <c r="H4250" s="23"/>
      <c r="J4250" s="23"/>
      <c r="K4250" s="23"/>
      <c r="M4250" s="23"/>
      <c r="N4250" s="23"/>
      <c r="P4250" s="23"/>
    </row>
    <row r="4251" spans="2:16" x14ac:dyDescent="0.25">
      <c r="B4251" s="23"/>
      <c r="E4251" s="23"/>
      <c r="G4251" s="23"/>
      <c r="H4251" s="23"/>
      <c r="J4251" s="23"/>
      <c r="K4251" s="23"/>
      <c r="M4251" s="23"/>
      <c r="N4251" s="23"/>
      <c r="P4251" s="23"/>
    </row>
    <row r="4252" spans="2:16" x14ac:dyDescent="0.25">
      <c r="B4252" s="23"/>
      <c r="E4252" s="23"/>
      <c r="G4252" s="23"/>
      <c r="H4252" s="23"/>
      <c r="J4252" s="23"/>
      <c r="K4252" s="23"/>
      <c r="M4252" s="23"/>
      <c r="N4252" s="23"/>
      <c r="P4252" s="23"/>
    </row>
    <row r="4253" spans="2:16" x14ac:dyDescent="0.25">
      <c r="B4253" s="23"/>
      <c r="E4253" s="23"/>
      <c r="G4253" s="23"/>
      <c r="H4253" s="23"/>
      <c r="J4253" s="23"/>
      <c r="K4253" s="23"/>
      <c r="M4253" s="23"/>
      <c r="N4253" s="23"/>
      <c r="P4253" s="23"/>
    </row>
    <row r="4254" spans="2:16" x14ac:dyDescent="0.25">
      <c r="B4254" s="23"/>
      <c r="E4254" s="23"/>
      <c r="G4254" s="23"/>
      <c r="H4254" s="23"/>
      <c r="J4254" s="23"/>
      <c r="K4254" s="23"/>
      <c r="M4254" s="23"/>
      <c r="N4254" s="23"/>
      <c r="P4254" s="23"/>
    </row>
    <row r="4255" spans="2:16" x14ac:dyDescent="0.25">
      <c r="B4255" s="23"/>
      <c r="E4255" s="23"/>
      <c r="G4255" s="23"/>
      <c r="H4255" s="23"/>
      <c r="J4255" s="23"/>
      <c r="K4255" s="23"/>
      <c r="M4255" s="23"/>
      <c r="N4255" s="23"/>
      <c r="P4255" s="23"/>
    </row>
    <row r="4256" spans="2:16" x14ac:dyDescent="0.25">
      <c r="B4256" s="23"/>
      <c r="E4256" s="23"/>
      <c r="G4256" s="23"/>
      <c r="H4256" s="23"/>
      <c r="J4256" s="23"/>
      <c r="K4256" s="23"/>
      <c r="M4256" s="23"/>
      <c r="N4256" s="23"/>
      <c r="P4256" s="23"/>
    </row>
    <row r="4257" spans="2:16" x14ac:dyDescent="0.25">
      <c r="B4257" s="23"/>
      <c r="E4257" s="23"/>
      <c r="G4257" s="23"/>
      <c r="H4257" s="23"/>
      <c r="J4257" s="23"/>
      <c r="K4257" s="23"/>
      <c r="M4257" s="23"/>
      <c r="N4257" s="23"/>
      <c r="P4257" s="23"/>
    </row>
    <row r="4258" spans="2:16" x14ac:dyDescent="0.25">
      <c r="B4258" s="23"/>
      <c r="E4258" s="23"/>
      <c r="G4258" s="23"/>
      <c r="H4258" s="23"/>
      <c r="J4258" s="23"/>
      <c r="K4258" s="23"/>
      <c r="M4258" s="23"/>
      <c r="N4258" s="23"/>
      <c r="P4258" s="23"/>
    </row>
    <row r="4259" spans="2:16" x14ac:dyDescent="0.25">
      <c r="B4259" s="23"/>
      <c r="E4259" s="23"/>
      <c r="G4259" s="23"/>
      <c r="H4259" s="23"/>
      <c r="J4259" s="23"/>
      <c r="K4259" s="23"/>
      <c r="M4259" s="23"/>
      <c r="N4259" s="23"/>
      <c r="P4259" s="23"/>
    </row>
    <row r="4260" spans="2:16" x14ac:dyDescent="0.25">
      <c r="B4260" s="23"/>
      <c r="E4260" s="23"/>
      <c r="G4260" s="23"/>
      <c r="H4260" s="23"/>
      <c r="J4260" s="23"/>
      <c r="K4260" s="23"/>
      <c r="M4260" s="23"/>
      <c r="N4260" s="23"/>
      <c r="P4260" s="23"/>
    </row>
    <row r="4261" spans="2:16" x14ac:dyDescent="0.25">
      <c r="B4261" s="23"/>
      <c r="E4261" s="23"/>
      <c r="G4261" s="23"/>
      <c r="H4261" s="23"/>
      <c r="J4261" s="23"/>
      <c r="K4261" s="23"/>
      <c r="M4261" s="23"/>
      <c r="N4261" s="23"/>
      <c r="P4261" s="23"/>
    </row>
    <row r="4262" spans="2:16" x14ac:dyDescent="0.25">
      <c r="B4262" s="23"/>
      <c r="E4262" s="23"/>
      <c r="G4262" s="23"/>
      <c r="H4262" s="23"/>
      <c r="J4262" s="23"/>
      <c r="K4262" s="23"/>
      <c r="M4262" s="23"/>
      <c r="N4262" s="23"/>
      <c r="P4262" s="23"/>
    </row>
    <row r="4263" spans="2:16" x14ac:dyDescent="0.25">
      <c r="B4263" s="23"/>
      <c r="E4263" s="23"/>
      <c r="G4263" s="23"/>
      <c r="H4263" s="23"/>
      <c r="J4263" s="23"/>
      <c r="K4263" s="23"/>
      <c r="M4263" s="23"/>
      <c r="N4263" s="23"/>
      <c r="P4263" s="23"/>
    </row>
    <row r="4264" spans="2:16" x14ac:dyDescent="0.25">
      <c r="B4264" s="23"/>
      <c r="E4264" s="23"/>
      <c r="G4264" s="23"/>
      <c r="H4264" s="23"/>
      <c r="J4264" s="23"/>
      <c r="K4264" s="23"/>
      <c r="M4264" s="23"/>
      <c r="N4264" s="23"/>
      <c r="P4264" s="23"/>
    </row>
    <row r="4265" spans="2:16" x14ac:dyDescent="0.25">
      <c r="B4265" s="23"/>
      <c r="E4265" s="23"/>
      <c r="G4265" s="23"/>
      <c r="H4265" s="23"/>
      <c r="J4265" s="23"/>
      <c r="K4265" s="23"/>
      <c r="M4265" s="23"/>
      <c r="N4265" s="23"/>
      <c r="P4265" s="23"/>
    </row>
    <row r="4266" spans="2:16" x14ac:dyDescent="0.25">
      <c r="B4266" s="23"/>
      <c r="E4266" s="23"/>
      <c r="G4266" s="23"/>
      <c r="H4266" s="23"/>
      <c r="J4266" s="23"/>
      <c r="K4266" s="23"/>
      <c r="M4266" s="23"/>
      <c r="N4266" s="23"/>
      <c r="P4266" s="23"/>
    </row>
    <row r="4267" spans="2:16" x14ac:dyDescent="0.25">
      <c r="B4267" s="23"/>
      <c r="E4267" s="23"/>
      <c r="G4267" s="23"/>
      <c r="H4267" s="23"/>
      <c r="J4267" s="23"/>
      <c r="K4267" s="23"/>
      <c r="M4267" s="23"/>
      <c r="N4267" s="23"/>
      <c r="P4267" s="23"/>
    </row>
    <row r="4268" spans="2:16" x14ac:dyDescent="0.25">
      <c r="B4268" s="23"/>
      <c r="E4268" s="23"/>
      <c r="G4268" s="23"/>
      <c r="H4268" s="23"/>
      <c r="J4268" s="23"/>
      <c r="K4268" s="23"/>
      <c r="M4268" s="23"/>
      <c r="N4268" s="23"/>
      <c r="P4268" s="23"/>
    </row>
    <row r="4269" spans="2:16" x14ac:dyDescent="0.25">
      <c r="B4269" s="23"/>
      <c r="E4269" s="23"/>
      <c r="G4269" s="23"/>
      <c r="H4269" s="23"/>
      <c r="J4269" s="23"/>
      <c r="K4269" s="23"/>
      <c r="M4269" s="23"/>
      <c r="N4269" s="23"/>
      <c r="P4269" s="23"/>
    </row>
    <row r="4270" spans="2:16" x14ac:dyDescent="0.25">
      <c r="B4270" s="23"/>
      <c r="E4270" s="23"/>
      <c r="G4270" s="23"/>
      <c r="H4270" s="23"/>
      <c r="J4270" s="23"/>
      <c r="K4270" s="23"/>
      <c r="M4270" s="23"/>
      <c r="N4270" s="23"/>
      <c r="P4270" s="23"/>
    </row>
    <row r="4271" spans="2:16" x14ac:dyDescent="0.25">
      <c r="B4271" s="23"/>
      <c r="E4271" s="23"/>
      <c r="G4271" s="23"/>
      <c r="H4271" s="23"/>
      <c r="J4271" s="23"/>
      <c r="K4271" s="23"/>
      <c r="M4271" s="23"/>
      <c r="N4271" s="23"/>
      <c r="P4271" s="23"/>
    </row>
    <row r="4272" spans="2:16" x14ac:dyDescent="0.25">
      <c r="B4272" s="23"/>
      <c r="E4272" s="23"/>
      <c r="G4272" s="23"/>
      <c r="H4272" s="23"/>
      <c r="J4272" s="23"/>
      <c r="K4272" s="23"/>
      <c r="M4272" s="23"/>
      <c r="N4272" s="23"/>
      <c r="P4272" s="23"/>
    </row>
    <row r="4273" spans="2:16" x14ac:dyDescent="0.25">
      <c r="B4273" s="23"/>
      <c r="E4273" s="23"/>
      <c r="G4273" s="23"/>
      <c r="H4273" s="23"/>
      <c r="J4273" s="23"/>
      <c r="K4273" s="23"/>
      <c r="M4273" s="23"/>
      <c r="N4273" s="23"/>
      <c r="P4273" s="23"/>
    </row>
    <row r="4274" spans="2:16" x14ac:dyDescent="0.25">
      <c r="B4274" s="23"/>
      <c r="E4274" s="23"/>
      <c r="G4274" s="23"/>
      <c r="H4274" s="23"/>
      <c r="J4274" s="23"/>
      <c r="K4274" s="23"/>
      <c r="M4274" s="23"/>
      <c r="N4274" s="23"/>
      <c r="P4274" s="23"/>
    </row>
    <row r="4275" spans="2:16" x14ac:dyDescent="0.25">
      <c r="B4275" s="23"/>
      <c r="E4275" s="23"/>
      <c r="G4275" s="23"/>
      <c r="H4275" s="23"/>
      <c r="J4275" s="23"/>
      <c r="K4275" s="23"/>
      <c r="M4275" s="23"/>
      <c r="N4275" s="23"/>
      <c r="P4275" s="23"/>
    </row>
    <row r="4276" spans="2:16" x14ac:dyDescent="0.25">
      <c r="B4276" s="23"/>
      <c r="E4276" s="23"/>
      <c r="G4276" s="23"/>
      <c r="H4276" s="23"/>
      <c r="J4276" s="23"/>
      <c r="K4276" s="23"/>
      <c r="M4276" s="23"/>
      <c r="N4276" s="23"/>
      <c r="P4276" s="23"/>
    </row>
    <row r="4277" spans="2:16" x14ac:dyDescent="0.25">
      <c r="B4277" s="23"/>
      <c r="E4277" s="23"/>
      <c r="G4277" s="23"/>
      <c r="H4277" s="23"/>
      <c r="J4277" s="23"/>
      <c r="K4277" s="23"/>
      <c r="M4277" s="23"/>
      <c r="N4277" s="23"/>
      <c r="P4277" s="23"/>
    </row>
    <row r="4278" spans="2:16" x14ac:dyDescent="0.25">
      <c r="B4278" s="23"/>
      <c r="E4278" s="23"/>
      <c r="G4278" s="23"/>
      <c r="H4278" s="23"/>
      <c r="J4278" s="23"/>
      <c r="K4278" s="23"/>
      <c r="M4278" s="23"/>
      <c r="N4278" s="23"/>
      <c r="P4278" s="23"/>
    </row>
    <row r="4279" spans="2:16" x14ac:dyDescent="0.25">
      <c r="B4279" s="23"/>
      <c r="E4279" s="23"/>
      <c r="G4279" s="23"/>
      <c r="H4279" s="23"/>
      <c r="J4279" s="23"/>
      <c r="K4279" s="23"/>
      <c r="M4279" s="23"/>
      <c r="N4279" s="23"/>
      <c r="P4279" s="23"/>
    </row>
    <row r="4280" spans="2:16" x14ac:dyDescent="0.25">
      <c r="B4280" s="23"/>
      <c r="E4280" s="23"/>
      <c r="G4280" s="23"/>
      <c r="H4280" s="23"/>
      <c r="J4280" s="23"/>
      <c r="K4280" s="23"/>
      <c r="M4280" s="23"/>
      <c r="N4280" s="23"/>
      <c r="P4280" s="23"/>
    </row>
    <row r="4281" spans="2:16" x14ac:dyDescent="0.25">
      <c r="B4281" s="23"/>
      <c r="E4281" s="23"/>
      <c r="G4281" s="23"/>
      <c r="H4281" s="23"/>
      <c r="J4281" s="23"/>
      <c r="K4281" s="23"/>
      <c r="M4281" s="23"/>
      <c r="N4281" s="23"/>
      <c r="P4281" s="23"/>
    </row>
    <row r="4282" spans="2:16" x14ac:dyDescent="0.25">
      <c r="B4282" s="23"/>
      <c r="E4282" s="23"/>
      <c r="G4282" s="23"/>
      <c r="H4282" s="23"/>
      <c r="J4282" s="23"/>
      <c r="K4282" s="23"/>
      <c r="M4282" s="23"/>
      <c r="N4282" s="23"/>
      <c r="P4282" s="23"/>
    </row>
    <row r="4283" spans="2:16" x14ac:dyDescent="0.25">
      <c r="B4283" s="23"/>
      <c r="E4283" s="23"/>
      <c r="G4283" s="23"/>
      <c r="H4283" s="23"/>
      <c r="J4283" s="23"/>
      <c r="K4283" s="23"/>
      <c r="M4283" s="23"/>
      <c r="N4283" s="23"/>
      <c r="P4283" s="23"/>
    </row>
    <row r="4284" spans="2:16" x14ac:dyDescent="0.25">
      <c r="B4284" s="23"/>
      <c r="E4284" s="23"/>
      <c r="G4284" s="23"/>
      <c r="H4284" s="23"/>
      <c r="J4284" s="23"/>
      <c r="K4284" s="23"/>
      <c r="M4284" s="23"/>
      <c r="N4284" s="23"/>
      <c r="P4284" s="23"/>
    </row>
    <row r="4285" spans="2:16" x14ac:dyDescent="0.25">
      <c r="B4285" s="23"/>
      <c r="E4285" s="23"/>
      <c r="G4285" s="23"/>
      <c r="H4285" s="23"/>
      <c r="J4285" s="23"/>
      <c r="K4285" s="23"/>
      <c r="M4285" s="23"/>
      <c r="N4285" s="23"/>
      <c r="P4285" s="23"/>
    </row>
    <row r="4286" spans="2:16" x14ac:dyDescent="0.25">
      <c r="B4286" s="23"/>
      <c r="E4286" s="23"/>
      <c r="G4286" s="23"/>
      <c r="H4286" s="23"/>
      <c r="J4286" s="23"/>
      <c r="K4286" s="23"/>
      <c r="M4286" s="23"/>
      <c r="N4286" s="23"/>
      <c r="P4286" s="23"/>
    </row>
    <row r="4287" spans="2:16" x14ac:dyDescent="0.25">
      <c r="B4287" s="23"/>
      <c r="E4287" s="23"/>
      <c r="G4287" s="23"/>
      <c r="H4287" s="23"/>
      <c r="J4287" s="23"/>
      <c r="K4287" s="23"/>
      <c r="M4287" s="23"/>
      <c r="N4287" s="23"/>
      <c r="P4287" s="23"/>
    </row>
    <row r="4288" spans="2:16" x14ac:dyDescent="0.25">
      <c r="B4288" s="23"/>
      <c r="E4288" s="23"/>
      <c r="G4288" s="23"/>
      <c r="H4288" s="23"/>
      <c r="J4288" s="23"/>
      <c r="K4288" s="23"/>
      <c r="M4288" s="23"/>
      <c r="N4288" s="23"/>
      <c r="P4288" s="23"/>
    </row>
    <row r="4289" spans="2:16" x14ac:dyDescent="0.25">
      <c r="B4289" s="23"/>
      <c r="E4289" s="23"/>
      <c r="G4289" s="23"/>
      <c r="H4289" s="23"/>
      <c r="J4289" s="23"/>
      <c r="K4289" s="23"/>
      <c r="M4289" s="23"/>
      <c r="N4289" s="23"/>
      <c r="P4289" s="23"/>
    </row>
    <row r="4290" spans="2:16" x14ac:dyDescent="0.25">
      <c r="B4290" s="23"/>
      <c r="E4290" s="23"/>
      <c r="G4290" s="23"/>
      <c r="H4290" s="23"/>
      <c r="J4290" s="23"/>
      <c r="K4290" s="23"/>
      <c r="M4290" s="23"/>
      <c r="N4290" s="23"/>
      <c r="P4290" s="23"/>
    </row>
    <row r="4291" spans="2:16" x14ac:dyDescent="0.25">
      <c r="B4291" s="23"/>
      <c r="E4291" s="23"/>
      <c r="G4291" s="23"/>
      <c r="H4291" s="23"/>
      <c r="J4291" s="23"/>
      <c r="K4291" s="23"/>
      <c r="M4291" s="23"/>
      <c r="N4291" s="23"/>
      <c r="P4291" s="23"/>
    </row>
    <row r="4292" spans="2:16" x14ac:dyDescent="0.25">
      <c r="B4292" s="23"/>
      <c r="E4292" s="23"/>
      <c r="G4292" s="23"/>
      <c r="H4292" s="23"/>
      <c r="J4292" s="23"/>
      <c r="K4292" s="23"/>
      <c r="M4292" s="23"/>
      <c r="N4292" s="23"/>
      <c r="P4292" s="23"/>
    </row>
    <row r="4293" spans="2:16" x14ac:dyDescent="0.25">
      <c r="B4293" s="23"/>
      <c r="E4293" s="23"/>
      <c r="G4293" s="23"/>
      <c r="H4293" s="23"/>
      <c r="J4293" s="23"/>
      <c r="K4293" s="23"/>
      <c r="M4293" s="23"/>
      <c r="N4293" s="23"/>
      <c r="P4293" s="23"/>
    </row>
    <row r="4294" spans="2:16" x14ac:dyDescent="0.25">
      <c r="B4294" s="23"/>
      <c r="E4294" s="23"/>
      <c r="G4294" s="23"/>
      <c r="H4294" s="23"/>
      <c r="J4294" s="23"/>
      <c r="K4294" s="23"/>
      <c r="M4294" s="23"/>
      <c r="N4294" s="23"/>
      <c r="P4294" s="23"/>
    </row>
    <row r="4295" spans="2:16" x14ac:dyDescent="0.25">
      <c r="B4295" s="23"/>
      <c r="E4295" s="23"/>
      <c r="G4295" s="23"/>
      <c r="H4295" s="23"/>
      <c r="J4295" s="23"/>
      <c r="K4295" s="23"/>
      <c r="M4295" s="23"/>
      <c r="N4295" s="23"/>
      <c r="P4295" s="23"/>
    </row>
    <row r="4296" spans="2:16" x14ac:dyDescent="0.25">
      <c r="B4296" s="23"/>
      <c r="E4296" s="23"/>
      <c r="G4296" s="23"/>
      <c r="H4296" s="23"/>
      <c r="J4296" s="23"/>
      <c r="K4296" s="23"/>
      <c r="M4296" s="23"/>
      <c r="N4296" s="23"/>
      <c r="P4296" s="23"/>
    </row>
    <row r="4297" spans="2:16" x14ac:dyDescent="0.25">
      <c r="B4297" s="23"/>
      <c r="E4297" s="23"/>
      <c r="G4297" s="23"/>
      <c r="H4297" s="23"/>
      <c r="J4297" s="23"/>
      <c r="K4297" s="23"/>
      <c r="M4297" s="23"/>
      <c r="N4297" s="23"/>
      <c r="P4297" s="23"/>
    </row>
    <row r="4298" spans="2:16" x14ac:dyDescent="0.25">
      <c r="B4298" s="23"/>
      <c r="E4298" s="23"/>
      <c r="G4298" s="23"/>
      <c r="H4298" s="23"/>
      <c r="J4298" s="23"/>
      <c r="K4298" s="23"/>
      <c r="M4298" s="23"/>
      <c r="N4298" s="23"/>
      <c r="P4298" s="23"/>
    </row>
    <row r="4299" spans="2:16" x14ac:dyDescent="0.25">
      <c r="B4299" s="23"/>
      <c r="E4299" s="23"/>
      <c r="G4299" s="23"/>
      <c r="H4299" s="23"/>
      <c r="J4299" s="23"/>
      <c r="K4299" s="23"/>
      <c r="M4299" s="23"/>
      <c r="N4299" s="23"/>
      <c r="P4299" s="23"/>
    </row>
    <row r="4300" spans="2:16" x14ac:dyDescent="0.25">
      <c r="B4300" s="23"/>
      <c r="E4300" s="23"/>
      <c r="G4300" s="23"/>
      <c r="H4300" s="23"/>
      <c r="J4300" s="23"/>
      <c r="K4300" s="23"/>
      <c r="M4300" s="23"/>
      <c r="N4300" s="23"/>
      <c r="P4300" s="23"/>
    </row>
    <row r="4301" spans="2:16" x14ac:dyDescent="0.25">
      <c r="B4301" s="23"/>
      <c r="E4301" s="23"/>
      <c r="G4301" s="23"/>
      <c r="H4301" s="23"/>
      <c r="J4301" s="23"/>
      <c r="K4301" s="23"/>
      <c r="M4301" s="23"/>
      <c r="N4301" s="23"/>
      <c r="P4301" s="23"/>
    </row>
    <row r="4302" spans="2:16" x14ac:dyDescent="0.25">
      <c r="B4302" s="23"/>
      <c r="E4302" s="23"/>
      <c r="G4302" s="23"/>
      <c r="H4302" s="23"/>
      <c r="J4302" s="23"/>
      <c r="K4302" s="23"/>
      <c r="M4302" s="23"/>
      <c r="N4302" s="23"/>
      <c r="P4302" s="23"/>
    </row>
    <row r="4303" spans="2:16" x14ac:dyDescent="0.25">
      <c r="B4303" s="23"/>
      <c r="E4303" s="23"/>
      <c r="G4303" s="23"/>
      <c r="H4303" s="23"/>
      <c r="J4303" s="23"/>
      <c r="K4303" s="23"/>
      <c r="M4303" s="23"/>
      <c r="N4303" s="23"/>
      <c r="P4303" s="23"/>
    </row>
    <row r="4304" spans="2:16" x14ac:dyDescent="0.25">
      <c r="B4304" s="23"/>
      <c r="E4304" s="23"/>
      <c r="G4304" s="23"/>
      <c r="H4304" s="23"/>
      <c r="J4304" s="23"/>
      <c r="K4304" s="23"/>
      <c r="M4304" s="23"/>
      <c r="N4304" s="23"/>
      <c r="P4304" s="23"/>
    </row>
    <row r="4305" spans="2:16" x14ac:dyDescent="0.25">
      <c r="B4305" s="23"/>
      <c r="E4305" s="23"/>
      <c r="G4305" s="23"/>
      <c r="H4305" s="23"/>
      <c r="J4305" s="23"/>
      <c r="K4305" s="23"/>
      <c r="M4305" s="23"/>
      <c r="N4305" s="23"/>
      <c r="P4305" s="23"/>
    </row>
    <row r="4306" spans="2:16" x14ac:dyDescent="0.25">
      <c r="B4306" s="23"/>
      <c r="E4306" s="23"/>
      <c r="G4306" s="23"/>
      <c r="H4306" s="23"/>
      <c r="J4306" s="23"/>
      <c r="K4306" s="23"/>
      <c r="M4306" s="23"/>
      <c r="N4306" s="23"/>
      <c r="P4306" s="23"/>
    </row>
    <row r="4307" spans="2:16" x14ac:dyDescent="0.25">
      <c r="B4307" s="23"/>
      <c r="E4307" s="23"/>
      <c r="G4307" s="23"/>
      <c r="H4307" s="23"/>
      <c r="J4307" s="23"/>
      <c r="K4307" s="23"/>
      <c r="M4307" s="23"/>
      <c r="N4307" s="23"/>
      <c r="P4307" s="23"/>
    </row>
    <row r="4308" spans="2:16" x14ac:dyDescent="0.25">
      <c r="B4308" s="23"/>
      <c r="E4308" s="23"/>
      <c r="G4308" s="23"/>
      <c r="H4308" s="23"/>
      <c r="J4308" s="23"/>
      <c r="K4308" s="23"/>
      <c r="M4308" s="23"/>
      <c r="N4308" s="23"/>
      <c r="P4308" s="23"/>
    </row>
    <row r="4309" spans="2:16" x14ac:dyDescent="0.25">
      <c r="B4309" s="23"/>
      <c r="E4309" s="23"/>
      <c r="G4309" s="23"/>
      <c r="H4309" s="23"/>
      <c r="J4309" s="23"/>
      <c r="K4309" s="23"/>
      <c r="M4309" s="23"/>
      <c r="N4309" s="23"/>
      <c r="P4309" s="23"/>
    </row>
    <row r="4310" spans="2:16" x14ac:dyDescent="0.25">
      <c r="B4310" s="23"/>
      <c r="E4310" s="23"/>
      <c r="G4310" s="23"/>
      <c r="H4310" s="23"/>
      <c r="J4310" s="23"/>
      <c r="K4310" s="23"/>
      <c r="M4310" s="23"/>
      <c r="N4310" s="23"/>
      <c r="P4310" s="23"/>
    </row>
    <row r="4311" spans="2:16" x14ac:dyDescent="0.25">
      <c r="B4311" s="23"/>
      <c r="E4311" s="23"/>
      <c r="G4311" s="23"/>
      <c r="H4311" s="23"/>
      <c r="J4311" s="23"/>
      <c r="K4311" s="23"/>
      <c r="M4311" s="23"/>
      <c r="N4311" s="23"/>
      <c r="P4311" s="23"/>
    </row>
    <row r="4312" spans="2:16" x14ac:dyDescent="0.25">
      <c r="B4312" s="23"/>
      <c r="E4312" s="23"/>
      <c r="G4312" s="23"/>
      <c r="H4312" s="23"/>
      <c r="J4312" s="23"/>
      <c r="K4312" s="23"/>
      <c r="M4312" s="23"/>
      <c r="N4312" s="23"/>
      <c r="P4312" s="23"/>
    </row>
    <row r="4313" spans="2:16" x14ac:dyDescent="0.25">
      <c r="B4313" s="23"/>
      <c r="E4313" s="23"/>
      <c r="G4313" s="23"/>
      <c r="H4313" s="23"/>
      <c r="J4313" s="23"/>
      <c r="K4313" s="23"/>
      <c r="M4313" s="23"/>
      <c r="N4313" s="23"/>
      <c r="P4313" s="23"/>
    </row>
    <row r="4314" spans="2:16" x14ac:dyDescent="0.25">
      <c r="B4314" s="23"/>
      <c r="E4314" s="23"/>
      <c r="G4314" s="23"/>
      <c r="H4314" s="23"/>
      <c r="J4314" s="23"/>
      <c r="K4314" s="23"/>
      <c r="M4314" s="23"/>
      <c r="N4314" s="23"/>
      <c r="P4314" s="23"/>
    </row>
    <row r="4315" spans="2:16" x14ac:dyDescent="0.25">
      <c r="B4315" s="23"/>
      <c r="E4315" s="23"/>
      <c r="G4315" s="23"/>
      <c r="H4315" s="23"/>
      <c r="J4315" s="23"/>
      <c r="K4315" s="23"/>
      <c r="M4315" s="23"/>
      <c r="N4315" s="23"/>
      <c r="P4315" s="23"/>
    </row>
    <row r="4316" spans="2:16" x14ac:dyDescent="0.25">
      <c r="B4316" s="23"/>
      <c r="E4316" s="23"/>
      <c r="G4316" s="23"/>
      <c r="H4316" s="23"/>
      <c r="J4316" s="23"/>
      <c r="K4316" s="23"/>
      <c r="M4316" s="23"/>
      <c r="N4316" s="23"/>
      <c r="P4316" s="23"/>
    </row>
    <row r="4317" spans="2:16" x14ac:dyDescent="0.25">
      <c r="B4317" s="23"/>
      <c r="E4317" s="23"/>
      <c r="G4317" s="23"/>
      <c r="H4317" s="23"/>
      <c r="J4317" s="23"/>
      <c r="K4317" s="23"/>
      <c r="M4317" s="23"/>
      <c r="N4317" s="23"/>
      <c r="P4317" s="23"/>
    </row>
    <row r="4318" spans="2:16" x14ac:dyDescent="0.25">
      <c r="B4318" s="23"/>
      <c r="E4318" s="23"/>
      <c r="G4318" s="23"/>
      <c r="H4318" s="23"/>
      <c r="J4318" s="23"/>
      <c r="K4318" s="23"/>
      <c r="M4318" s="23"/>
      <c r="N4318" s="23"/>
      <c r="P4318" s="23"/>
    </row>
    <row r="4319" spans="2:16" x14ac:dyDescent="0.25">
      <c r="B4319" s="23"/>
      <c r="E4319" s="23"/>
      <c r="G4319" s="23"/>
      <c r="H4319" s="23"/>
      <c r="J4319" s="23"/>
      <c r="K4319" s="23"/>
      <c r="M4319" s="23"/>
      <c r="N4319" s="23"/>
      <c r="P4319" s="23"/>
    </row>
    <row r="4320" spans="2:16" x14ac:dyDescent="0.25">
      <c r="B4320" s="23"/>
      <c r="E4320" s="23"/>
      <c r="G4320" s="23"/>
      <c r="H4320" s="23"/>
      <c r="J4320" s="23"/>
      <c r="K4320" s="23"/>
      <c r="M4320" s="23"/>
      <c r="N4320" s="23"/>
      <c r="P4320" s="23"/>
    </row>
    <row r="4321" spans="2:16" x14ac:dyDescent="0.25">
      <c r="B4321" s="23"/>
      <c r="E4321" s="23"/>
      <c r="G4321" s="23"/>
      <c r="H4321" s="23"/>
      <c r="J4321" s="23"/>
      <c r="K4321" s="23"/>
      <c r="M4321" s="23"/>
      <c r="N4321" s="23"/>
      <c r="P4321" s="23"/>
    </row>
    <row r="4322" spans="2:16" x14ac:dyDescent="0.25">
      <c r="B4322" s="23"/>
      <c r="E4322" s="23"/>
      <c r="G4322" s="23"/>
      <c r="H4322" s="23"/>
      <c r="J4322" s="23"/>
      <c r="K4322" s="23"/>
      <c r="M4322" s="23"/>
      <c r="N4322" s="23"/>
      <c r="P4322" s="23"/>
    </row>
    <row r="4323" spans="2:16" x14ac:dyDescent="0.25">
      <c r="B4323" s="23"/>
      <c r="E4323" s="23"/>
      <c r="G4323" s="23"/>
      <c r="H4323" s="23"/>
      <c r="J4323" s="23"/>
      <c r="K4323" s="23"/>
      <c r="M4323" s="23"/>
      <c r="N4323" s="23"/>
      <c r="P4323" s="23"/>
    </row>
    <row r="4324" spans="2:16" x14ac:dyDescent="0.25">
      <c r="B4324" s="23"/>
      <c r="E4324" s="23"/>
      <c r="G4324" s="23"/>
      <c r="H4324" s="23"/>
      <c r="J4324" s="23"/>
      <c r="K4324" s="23"/>
      <c r="M4324" s="23"/>
      <c r="N4324" s="23"/>
      <c r="P4324" s="23"/>
    </row>
    <row r="4325" spans="2:16" x14ac:dyDescent="0.25">
      <c r="B4325" s="23"/>
      <c r="E4325" s="23"/>
      <c r="G4325" s="23"/>
      <c r="H4325" s="23"/>
      <c r="J4325" s="23"/>
      <c r="K4325" s="23"/>
      <c r="M4325" s="23"/>
      <c r="N4325" s="23"/>
      <c r="P4325" s="23"/>
    </row>
    <row r="4326" spans="2:16" x14ac:dyDescent="0.25">
      <c r="B4326" s="23"/>
      <c r="E4326" s="23"/>
      <c r="G4326" s="23"/>
      <c r="H4326" s="23"/>
      <c r="J4326" s="23"/>
      <c r="K4326" s="23"/>
      <c r="M4326" s="23"/>
      <c r="N4326" s="23"/>
      <c r="P4326" s="23"/>
    </row>
    <row r="4327" spans="2:16" x14ac:dyDescent="0.25">
      <c r="B4327" s="23"/>
      <c r="E4327" s="23"/>
      <c r="G4327" s="23"/>
      <c r="H4327" s="23"/>
      <c r="J4327" s="23"/>
      <c r="K4327" s="23"/>
      <c r="M4327" s="23"/>
      <c r="N4327" s="23"/>
      <c r="P4327" s="23"/>
    </row>
    <row r="4328" spans="2:16" x14ac:dyDescent="0.25">
      <c r="B4328" s="23"/>
      <c r="E4328" s="23"/>
      <c r="G4328" s="23"/>
      <c r="H4328" s="23"/>
      <c r="J4328" s="23"/>
      <c r="K4328" s="23"/>
      <c r="M4328" s="23"/>
      <c r="N4328" s="23"/>
      <c r="P4328" s="23"/>
    </row>
    <row r="4329" spans="2:16" x14ac:dyDescent="0.25">
      <c r="B4329" s="23"/>
      <c r="E4329" s="23"/>
      <c r="G4329" s="23"/>
      <c r="H4329" s="23"/>
      <c r="J4329" s="23"/>
      <c r="K4329" s="23"/>
      <c r="M4329" s="23"/>
      <c r="N4329" s="23"/>
      <c r="P4329" s="23"/>
    </row>
    <row r="4330" spans="2:16" x14ac:dyDescent="0.25">
      <c r="B4330" s="23"/>
      <c r="E4330" s="23"/>
      <c r="G4330" s="23"/>
      <c r="H4330" s="23"/>
      <c r="J4330" s="23"/>
      <c r="K4330" s="23"/>
      <c r="M4330" s="23"/>
      <c r="N4330" s="23"/>
      <c r="P4330" s="23"/>
    </row>
    <row r="4331" spans="2:16" x14ac:dyDescent="0.25">
      <c r="B4331" s="23"/>
      <c r="E4331" s="23"/>
      <c r="G4331" s="23"/>
      <c r="H4331" s="23"/>
      <c r="J4331" s="23"/>
      <c r="K4331" s="23"/>
      <c r="M4331" s="23"/>
      <c r="N4331" s="23"/>
      <c r="P4331" s="23"/>
    </row>
    <row r="4332" spans="2:16" x14ac:dyDescent="0.25">
      <c r="B4332" s="23"/>
      <c r="E4332" s="23"/>
      <c r="G4332" s="23"/>
      <c r="H4332" s="23"/>
      <c r="J4332" s="23"/>
      <c r="K4332" s="23"/>
      <c r="M4332" s="23"/>
      <c r="N4332" s="23"/>
      <c r="P4332" s="23"/>
    </row>
    <row r="4333" spans="2:16" x14ac:dyDescent="0.25">
      <c r="B4333" s="23"/>
      <c r="E4333" s="23"/>
      <c r="G4333" s="23"/>
      <c r="H4333" s="23"/>
      <c r="J4333" s="23"/>
      <c r="K4333" s="23"/>
      <c r="M4333" s="23"/>
      <c r="N4333" s="23"/>
      <c r="P4333" s="23"/>
    </row>
    <row r="4334" spans="2:16" x14ac:dyDescent="0.25">
      <c r="B4334" s="23"/>
      <c r="E4334" s="23"/>
      <c r="G4334" s="23"/>
      <c r="H4334" s="23"/>
      <c r="J4334" s="23"/>
      <c r="K4334" s="23"/>
      <c r="M4334" s="23"/>
      <c r="N4334" s="23"/>
      <c r="P4334" s="23"/>
    </row>
    <row r="4335" spans="2:16" x14ac:dyDescent="0.25">
      <c r="B4335" s="23"/>
      <c r="E4335" s="23"/>
      <c r="G4335" s="23"/>
      <c r="H4335" s="23"/>
      <c r="J4335" s="23"/>
      <c r="K4335" s="23"/>
      <c r="M4335" s="23"/>
      <c r="N4335" s="23"/>
      <c r="P4335" s="23"/>
    </row>
    <row r="4336" spans="2:16" x14ac:dyDescent="0.25">
      <c r="B4336" s="23"/>
      <c r="E4336" s="23"/>
      <c r="G4336" s="23"/>
      <c r="H4336" s="23"/>
      <c r="J4336" s="23"/>
      <c r="K4336" s="23"/>
      <c r="M4336" s="23"/>
      <c r="N4336" s="23"/>
      <c r="P4336" s="23"/>
    </row>
    <row r="4337" spans="2:16" x14ac:dyDescent="0.25">
      <c r="B4337" s="23"/>
      <c r="E4337" s="23"/>
      <c r="G4337" s="23"/>
      <c r="H4337" s="23"/>
      <c r="J4337" s="23"/>
      <c r="K4337" s="23"/>
      <c r="M4337" s="23"/>
      <c r="N4337" s="23"/>
      <c r="P4337" s="23"/>
    </row>
    <row r="4338" spans="2:16" x14ac:dyDescent="0.25">
      <c r="B4338" s="23"/>
      <c r="E4338" s="23"/>
      <c r="G4338" s="23"/>
      <c r="H4338" s="23"/>
      <c r="J4338" s="23"/>
      <c r="K4338" s="23"/>
      <c r="M4338" s="23"/>
      <c r="N4338" s="23"/>
      <c r="P4338" s="23"/>
    </row>
    <row r="4339" spans="2:16" x14ac:dyDescent="0.25">
      <c r="B4339" s="23"/>
      <c r="E4339" s="23"/>
      <c r="G4339" s="23"/>
      <c r="H4339" s="23"/>
      <c r="J4339" s="23"/>
      <c r="K4339" s="23"/>
      <c r="M4339" s="23"/>
      <c r="N4339" s="23"/>
      <c r="P4339" s="23"/>
    </row>
    <row r="4340" spans="2:16" x14ac:dyDescent="0.25">
      <c r="B4340" s="23"/>
      <c r="E4340" s="23"/>
      <c r="G4340" s="23"/>
      <c r="H4340" s="23"/>
      <c r="J4340" s="23"/>
      <c r="K4340" s="23"/>
      <c r="M4340" s="23"/>
      <c r="N4340" s="23"/>
      <c r="P4340" s="23"/>
    </row>
    <row r="4341" spans="2:16" x14ac:dyDescent="0.25">
      <c r="B4341" s="23"/>
      <c r="E4341" s="23"/>
      <c r="G4341" s="23"/>
      <c r="H4341" s="23"/>
      <c r="J4341" s="23"/>
      <c r="K4341" s="23"/>
      <c r="M4341" s="23"/>
      <c r="N4341" s="23"/>
      <c r="P4341" s="23"/>
    </row>
    <row r="4342" spans="2:16" x14ac:dyDescent="0.25">
      <c r="B4342" s="23"/>
      <c r="E4342" s="23"/>
      <c r="G4342" s="23"/>
      <c r="H4342" s="23"/>
      <c r="J4342" s="23"/>
      <c r="K4342" s="23"/>
      <c r="M4342" s="23"/>
      <c r="N4342" s="23"/>
      <c r="P4342" s="23"/>
    </row>
    <row r="4343" spans="2:16" x14ac:dyDescent="0.25">
      <c r="B4343" s="23"/>
      <c r="E4343" s="23"/>
      <c r="G4343" s="23"/>
      <c r="H4343" s="23"/>
      <c r="J4343" s="23"/>
      <c r="K4343" s="23"/>
      <c r="M4343" s="23"/>
      <c r="N4343" s="23"/>
      <c r="P4343" s="23"/>
    </row>
    <row r="4344" spans="2:16" x14ac:dyDescent="0.25">
      <c r="B4344" s="23"/>
      <c r="E4344" s="23"/>
      <c r="G4344" s="23"/>
      <c r="H4344" s="23"/>
      <c r="J4344" s="23"/>
      <c r="K4344" s="23"/>
      <c r="M4344" s="23"/>
      <c r="N4344" s="23"/>
      <c r="P4344" s="23"/>
    </row>
    <row r="4345" spans="2:16" x14ac:dyDescent="0.25">
      <c r="B4345" s="23"/>
      <c r="E4345" s="23"/>
      <c r="G4345" s="23"/>
      <c r="H4345" s="23"/>
      <c r="J4345" s="23"/>
      <c r="K4345" s="23"/>
      <c r="M4345" s="23"/>
      <c r="N4345" s="23"/>
      <c r="P4345" s="23"/>
    </row>
    <row r="4346" spans="2:16" x14ac:dyDescent="0.25">
      <c r="B4346" s="23"/>
      <c r="E4346" s="23"/>
      <c r="G4346" s="23"/>
      <c r="H4346" s="23"/>
      <c r="J4346" s="23"/>
      <c r="K4346" s="23"/>
      <c r="M4346" s="23"/>
      <c r="N4346" s="23"/>
      <c r="P4346" s="23"/>
    </row>
    <row r="4347" spans="2:16" x14ac:dyDescent="0.25">
      <c r="B4347" s="23"/>
      <c r="E4347" s="23"/>
      <c r="G4347" s="23"/>
      <c r="H4347" s="23"/>
      <c r="J4347" s="23"/>
      <c r="K4347" s="23"/>
      <c r="M4347" s="23"/>
      <c r="N4347" s="23"/>
      <c r="P4347" s="23"/>
    </row>
    <row r="4348" spans="2:16" x14ac:dyDescent="0.25">
      <c r="B4348" s="23"/>
      <c r="E4348" s="23"/>
      <c r="G4348" s="23"/>
      <c r="H4348" s="23"/>
      <c r="J4348" s="23"/>
      <c r="K4348" s="23"/>
      <c r="M4348" s="23"/>
      <c r="N4348" s="23"/>
      <c r="P4348" s="23"/>
    </row>
    <row r="4349" spans="2:16" x14ac:dyDescent="0.25">
      <c r="B4349" s="23"/>
      <c r="E4349" s="23"/>
      <c r="G4349" s="23"/>
      <c r="H4349" s="23"/>
      <c r="J4349" s="23"/>
      <c r="K4349" s="23"/>
      <c r="M4349" s="23"/>
      <c r="N4349" s="23"/>
      <c r="P4349" s="23"/>
    </row>
    <row r="4350" spans="2:16" x14ac:dyDescent="0.25">
      <c r="B4350" s="23"/>
      <c r="E4350" s="23"/>
      <c r="G4350" s="23"/>
      <c r="H4350" s="23"/>
      <c r="J4350" s="23"/>
      <c r="K4350" s="23"/>
      <c r="M4350" s="23"/>
      <c r="N4350" s="23"/>
      <c r="P4350" s="23"/>
    </row>
    <row r="4351" spans="2:16" x14ac:dyDescent="0.25">
      <c r="B4351" s="23"/>
      <c r="E4351" s="23"/>
      <c r="G4351" s="23"/>
      <c r="H4351" s="23"/>
      <c r="J4351" s="23"/>
      <c r="K4351" s="23"/>
      <c r="M4351" s="23"/>
      <c r="N4351" s="23"/>
      <c r="P4351" s="23"/>
    </row>
    <row r="4352" spans="2:16" x14ac:dyDescent="0.25">
      <c r="B4352" s="23"/>
      <c r="E4352" s="23"/>
      <c r="G4352" s="23"/>
      <c r="H4352" s="23"/>
      <c r="J4352" s="23"/>
      <c r="K4352" s="23"/>
      <c r="M4352" s="23"/>
      <c r="N4352" s="23"/>
      <c r="P4352" s="23"/>
    </row>
    <row r="4353" spans="2:16" x14ac:dyDescent="0.25">
      <c r="B4353" s="23"/>
      <c r="E4353" s="23"/>
      <c r="G4353" s="23"/>
      <c r="H4353" s="23"/>
      <c r="J4353" s="23"/>
      <c r="K4353" s="23"/>
      <c r="M4353" s="23"/>
      <c r="N4353" s="23"/>
      <c r="P4353" s="23"/>
    </row>
    <row r="4354" spans="2:16" x14ac:dyDescent="0.25">
      <c r="B4354" s="23"/>
      <c r="E4354" s="23"/>
      <c r="G4354" s="23"/>
      <c r="H4354" s="23"/>
      <c r="J4354" s="23"/>
      <c r="K4354" s="23"/>
      <c r="M4354" s="23"/>
      <c r="N4354" s="23"/>
      <c r="P4354" s="23"/>
    </row>
    <row r="4355" spans="2:16" x14ac:dyDescent="0.25">
      <c r="B4355" s="23"/>
      <c r="E4355" s="23"/>
      <c r="G4355" s="23"/>
      <c r="H4355" s="23"/>
      <c r="J4355" s="23"/>
      <c r="K4355" s="23"/>
      <c r="M4355" s="23"/>
      <c r="N4355" s="23"/>
      <c r="P4355" s="23"/>
    </row>
    <row r="4356" spans="2:16" x14ac:dyDescent="0.25">
      <c r="B4356" s="23"/>
      <c r="E4356" s="23"/>
      <c r="G4356" s="23"/>
      <c r="H4356" s="23"/>
      <c r="J4356" s="23"/>
      <c r="K4356" s="23"/>
      <c r="M4356" s="23"/>
      <c r="N4356" s="23"/>
      <c r="P4356" s="23"/>
    </row>
    <row r="4357" spans="2:16" x14ac:dyDescent="0.25">
      <c r="B4357" s="23"/>
      <c r="E4357" s="23"/>
      <c r="G4357" s="23"/>
      <c r="H4357" s="23"/>
      <c r="J4357" s="23"/>
      <c r="K4357" s="23"/>
      <c r="M4357" s="23"/>
      <c r="N4357" s="23"/>
      <c r="P4357" s="23"/>
    </row>
    <row r="4358" spans="2:16" x14ac:dyDescent="0.25">
      <c r="B4358" s="23"/>
      <c r="E4358" s="23"/>
      <c r="G4358" s="23"/>
      <c r="H4358" s="23"/>
      <c r="J4358" s="23"/>
      <c r="K4358" s="23"/>
      <c r="M4358" s="23"/>
      <c r="N4358" s="23"/>
      <c r="P4358" s="23"/>
    </row>
    <row r="4359" spans="2:16" x14ac:dyDescent="0.25">
      <c r="B4359" s="23"/>
      <c r="E4359" s="23"/>
      <c r="G4359" s="23"/>
      <c r="H4359" s="23"/>
      <c r="J4359" s="23"/>
      <c r="K4359" s="23"/>
      <c r="M4359" s="23"/>
      <c r="N4359" s="23"/>
      <c r="P4359" s="23"/>
    </row>
    <row r="4360" spans="2:16" x14ac:dyDescent="0.25">
      <c r="B4360" s="23"/>
      <c r="E4360" s="23"/>
      <c r="G4360" s="23"/>
      <c r="H4360" s="23"/>
      <c r="J4360" s="23"/>
      <c r="K4360" s="23"/>
      <c r="M4360" s="23"/>
      <c r="N4360" s="23"/>
      <c r="P4360" s="23"/>
    </row>
    <row r="4361" spans="2:16" x14ac:dyDescent="0.25">
      <c r="B4361" s="23"/>
      <c r="E4361" s="23"/>
      <c r="G4361" s="23"/>
      <c r="H4361" s="23"/>
      <c r="J4361" s="23"/>
      <c r="K4361" s="23"/>
      <c r="M4361" s="23"/>
      <c r="N4361" s="23"/>
      <c r="P4361" s="23"/>
    </row>
    <row r="4362" spans="2:16" x14ac:dyDescent="0.25">
      <c r="B4362" s="23"/>
      <c r="E4362" s="23"/>
      <c r="G4362" s="23"/>
      <c r="H4362" s="23"/>
      <c r="J4362" s="23"/>
      <c r="K4362" s="23"/>
      <c r="M4362" s="23"/>
      <c r="N4362" s="23"/>
      <c r="P4362" s="23"/>
    </row>
    <row r="4363" spans="2:16" x14ac:dyDescent="0.25">
      <c r="B4363" s="23"/>
      <c r="E4363" s="23"/>
      <c r="G4363" s="23"/>
      <c r="H4363" s="23"/>
      <c r="J4363" s="23"/>
      <c r="K4363" s="23"/>
      <c r="M4363" s="23"/>
      <c r="N4363" s="23"/>
      <c r="P4363" s="23"/>
    </row>
    <row r="4364" spans="2:16" x14ac:dyDescent="0.25">
      <c r="B4364" s="23"/>
      <c r="E4364" s="23"/>
      <c r="G4364" s="23"/>
      <c r="H4364" s="23"/>
      <c r="J4364" s="23"/>
      <c r="K4364" s="23"/>
      <c r="M4364" s="23"/>
      <c r="N4364" s="23"/>
      <c r="P4364" s="23"/>
    </row>
    <row r="4365" spans="2:16" x14ac:dyDescent="0.25">
      <c r="B4365" s="23"/>
      <c r="E4365" s="23"/>
      <c r="G4365" s="23"/>
      <c r="H4365" s="23"/>
      <c r="J4365" s="23"/>
      <c r="K4365" s="23"/>
      <c r="M4365" s="23"/>
      <c r="N4365" s="23"/>
      <c r="P4365" s="23"/>
    </row>
    <row r="4366" spans="2:16" x14ac:dyDescent="0.25">
      <c r="B4366" s="23"/>
      <c r="E4366" s="23"/>
      <c r="G4366" s="23"/>
      <c r="H4366" s="23"/>
      <c r="J4366" s="23"/>
      <c r="K4366" s="23"/>
      <c r="M4366" s="23"/>
      <c r="N4366" s="23"/>
      <c r="P4366" s="23"/>
    </row>
    <row r="4367" spans="2:16" x14ac:dyDescent="0.25">
      <c r="B4367" s="23"/>
      <c r="E4367" s="23"/>
      <c r="G4367" s="23"/>
      <c r="H4367" s="23"/>
      <c r="J4367" s="23"/>
      <c r="K4367" s="23"/>
      <c r="M4367" s="23"/>
      <c r="N4367" s="23"/>
      <c r="P4367" s="23"/>
    </row>
    <row r="4368" spans="2:16" x14ac:dyDescent="0.25">
      <c r="B4368" s="23"/>
      <c r="E4368" s="23"/>
      <c r="G4368" s="23"/>
      <c r="H4368" s="23"/>
      <c r="J4368" s="23"/>
      <c r="K4368" s="23"/>
      <c r="M4368" s="23"/>
      <c r="N4368" s="23"/>
      <c r="P4368" s="23"/>
    </row>
    <row r="4369" spans="2:16" x14ac:dyDescent="0.25">
      <c r="B4369" s="23"/>
      <c r="E4369" s="23"/>
      <c r="G4369" s="23"/>
      <c r="H4369" s="23"/>
      <c r="J4369" s="23"/>
      <c r="K4369" s="23"/>
      <c r="M4369" s="23"/>
      <c r="N4369" s="23"/>
      <c r="P4369" s="23"/>
    </row>
    <row r="4370" spans="2:16" x14ac:dyDescent="0.25">
      <c r="B4370" s="23"/>
      <c r="E4370" s="23"/>
      <c r="G4370" s="23"/>
      <c r="H4370" s="23"/>
      <c r="J4370" s="23"/>
      <c r="K4370" s="23"/>
      <c r="M4370" s="23"/>
      <c r="N4370" s="23"/>
      <c r="P4370" s="23"/>
    </row>
    <row r="4371" spans="2:16" x14ac:dyDescent="0.25">
      <c r="B4371" s="23"/>
      <c r="E4371" s="23"/>
      <c r="G4371" s="23"/>
      <c r="H4371" s="23"/>
      <c r="J4371" s="23"/>
      <c r="K4371" s="23"/>
      <c r="M4371" s="23"/>
      <c r="N4371" s="23"/>
      <c r="P4371" s="23"/>
    </row>
    <row r="4372" spans="2:16" x14ac:dyDescent="0.25">
      <c r="B4372" s="23"/>
      <c r="E4372" s="23"/>
      <c r="G4372" s="23"/>
      <c r="H4372" s="23"/>
      <c r="J4372" s="23"/>
      <c r="K4372" s="23"/>
      <c r="M4372" s="23"/>
      <c r="N4372" s="23"/>
      <c r="P4372" s="23"/>
    </row>
    <row r="4373" spans="2:16" x14ac:dyDescent="0.25">
      <c r="B4373" s="23"/>
      <c r="E4373" s="23"/>
      <c r="G4373" s="23"/>
      <c r="H4373" s="23"/>
      <c r="J4373" s="23"/>
      <c r="K4373" s="23"/>
      <c r="M4373" s="23"/>
      <c r="N4373" s="23"/>
      <c r="P4373" s="23"/>
    </row>
    <row r="4374" spans="2:16" x14ac:dyDescent="0.25">
      <c r="B4374" s="23"/>
      <c r="E4374" s="23"/>
      <c r="G4374" s="23"/>
      <c r="H4374" s="23"/>
      <c r="J4374" s="23"/>
      <c r="K4374" s="23"/>
      <c r="M4374" s="23"/>
      <c r="N4374" s="23"/>
      <c r="P4374" s="23"/>
    </row>
    <row r="4375" spans="2:16" x14ac:dyDescent="0.25">
      <c r="B4375" s="23"/>
      <c r="E4375" s="23"/>
      <c r="G4375" s="23"/>
      <c r="H4375" s="23"/>
      <c r="J4375" s="23"/>
      <c r="K4375" s="23"/>
      <c r="M4375" s="23"/>
      <c r="N4375" s="23"/>
      <c r="P4375" s="23"/>
    </row>
    <row r="4376" spans="2:16" x14ac:dyDescent="0.25">
      <c r="B4376" s="23"/>
      <c r="E4376" s="23"/>
      <c r="G4376" s="23"/>
      <c r="H4376" s="23"/>
      <c r="J4376" s="23"/>
      <c r="K4376" s="23"/>
      <c r="M4376" s="23"/>
      <c r="N4376" s="23"/>
      <c r="P4376" s="23"/>
    </row>
    <row r="4377" spans="2:16" x14ac:dyDescent="0.25">
      <c r="B4377" s="23"/>
      <c r="E4377" s="23"/>
      <c r="G4377" s="23"/>
      <c r="H4377" s="23"/>
      <c r="J4377" s="23"/>
      <c r="K4377" s="23"/>
      <c r="M4377" s="23"/>
      <c r="N4377" s="23"/>
      <c r="P4377" s="23"/>
    </row>
    <row r="4378" spans="2:16" x14ac:dyDescent="0.25">
      <c r="B4378" s="23"/>
      <c r="E4378" s="23"/>
      <c r="G4378" s="23"/>
      <c r="H4378" s="23"/>
      <c r="J4378" s="23"/>
      <c r="K4378" s="23"/>
      <c r="M4378" s="23"/>
      <c r="N4378" s="23"/>
      <c r="P4378" s="23"/>
    </row>
    <row r="4379" spans="2:16" x14ac:dyDescent="0.25">
      <c r="B4379" s="23"/>
      <c r="E4379" s="23"/>
      <c r="G4379" s="23"/>
      <c r="H4379" s="23"/>
      <c r="J4379" s="23"/>
      <c r="K4379" s="23"/>
      <c r="M4379" s="23"/>
      <c r="N4379" s="23"/>
      <c r="P4379" s="23"/>
    </row>
    <row r="4380" spans="2:16" x14ac:dyDescent="0.25">
      <c r="B4380" s="23"/>
      <c r="E4380" s="23"/>
      <c r="G4380" s="23"/>
      <c r="H4380" s="23"/>
      <c r="J4380" s="23"/>
      <c r="K4380" s="23"/>
      <c r="M4380" s="23"/>
      <c r="N4380" s="23"/>
      <c r="P4380" s="23"/>
    </row>
    <row r="4381" spans="2:16" x14ac:dyDescent="0.25">
      <c r="B4381" s="23"/>
      <c r="E4381" s="23"/>
      <c r="G4381" s="23"/>
      <c r="H4381" s="23"/>
      <c r="J4381" s="23"/>
      <c r="K4381" s="23"/>
      <c r="M4381" s="23"/>
      <c r="N4381" s="23"/>
      <c r="P4381" s="23"/>
    </row>
    <row r="4382" spans="2:16" x14ac:dyDescent="0.25">
      <c r="B4382" s="23"/>
      <c r="E4382" s="23"/>
      <c r="G4382" s="23"/>
      <c r="H4382" s="23"/>
      <c r="J4382" s="23"/>
      <c r="K4382" s="23"/>
      <c r="M4382" s="23"/>
      <c r="N4382" s="23"/>
      <c r="P4382" s="23"/>
    </row>
    <row r="4383" spans="2:16" x14ac:dyDescent="0.25">
      <c r="B4383" s="23"/>
      <c r="E4383" s="23"/>
      <c r="G4383" s="23"/>
      <c r="H4383" s="23"/>
      <c r="J4383" s="23"/>
      <c r="K4383" s="23"/>
      <c r="M4383" s="23"/>
      <c r="N4383" s="23"/>
      <c r="P4383" s="23"/>
    </row>
    <row r="4384" spans="2:16" x14ac:dyDescent="0.25">
      <c r="B4384" s="23"/>
      <c r="E4384" s="23"/>
      <c r="G4384" s="23"/>
      <c r="H4384" s="23"/>
      <c r="J4384" s="23"/>
      <c r="K4384" s="23"/>
      <c r="M4384" s="23"/>
      <c r="N4384" s="23"/>
      <c r="P4384" s="23"/>
    </row>
    <row r="4385" spans="2:16" x14ac:dyDescent="0.25">
      <c r="B4385" s="23"/>
      <c r="E4385" s="23"/>
      <c r="G4385" s="23"/>
      <c r="H4385" s="23"/>
      <c r="J4385" s="23"/>
      <c r="K4385" s="23"/>
      <c r="M4385" s="23"/>
      <c r="N4385" s="23"/>
      <c r="P4385" s="23"/>
    </row>
    <row r="4386" spans="2:16" x14ac:dyDescent="0.25">
      <c r="B4386" s="23"/>
      <c r="E4386" s="23"/>
      <c r="G4386" s="23"/>
      <c r="H4386" s="23"/>
      <c r="J4386" s="23"/>
      <c r="K4386" s="23"/>
      <c r="M4386" s="23"/>
      <c r="N4386" s="23"/>
      <c r="P4386" s="23"/>
    </row>
    <row r="4387" spans="2:16" x14ac:dyDescent="0.25">
      <c r="B4387" s="23"/>
      <c r="E4387" s="23"/>
      <c r="G4387" s="23"/>
      <c r="H4387" s="23"/>
      <c r="J4387" s="23"/>
      <c r="K4387" s="23"/>
      <c r="M4387" s="23"/>
      <c r="N4387" s="23"/>
      <c r="P4387" s="23"/>
    </row>
    <row r="4388" spans="2:16" x14ac:dyDescent="0.25">
      <c r="B4388" s="23"/>
      <c r="E4388" s="23"/>
      <c r="G4388" s="23"/>
      <c r="H4388" s="23"/>
      <c r="J4388" s="23"/>
      <c r="K4388" s="23"/>
      <c r="M4388" s="23"/>
      <c r="N4388" s="23"/>
      <c r="P4388" s="23"/>
    </row>
    <row r="4389" spans="2:16" x14ac:dyDescent="0.25">
      <c r="B4389" s="23"/>
      <c r="E4389" s="23"/>
      <c r="G4389" s="23"/>
      <c r="H4389" s="23"/>
      <c r="J4389" s="23"/>
      <c r="K4389" s="23"/>
      <c r="M4389" s="23"/>
      <c r="N4389" s="23"/>
      <c r="P4389" s="23"/>
    </row>
    <row r="4390" spans="2:16" x14ac:dyDescent="0.25">
      <c r="B4390" s="23"/>
      <c r="E4390" s="23"/>
      <c r="G4390" s="23"/>
      <c r="H4390" s="23"/>
      <c r="J4390" s="23"/>
      <c r="K4390" s="23"/>
      <c r="M4390" s="23"/>
      <c r="N4390" s="23"/>
      <c r="P4390" s="23"/>
    </row>
    <row r="4391" spans="2:16" x14ac:dyDescent="0.25">
      <c r="B4391" s="23"/>
      <c r="E4391" s="23"/>
      <c r="G4391" s="23"/>
      <c r="H4391" s="23"/>
      <c r="J4391" s="23"/>
      <c r="K4391" s="23"/>
      <c r="M4391" s="23"/>
      <c r="N4391" s="23"/>
      <c r="P4391" s="23"/>
    </row>
    <row r="4392" spans="2:16" x14ac:dyDescent="0.25">
      <c r="B4392" s="23"/>
      <c r="E4392" s="23"/>
      <c r="G4392" s="23"/>
      <c r="H4392" s="23"/>
      <c r="J4392" s="23"/>
      <c r="K4392" s="23"/>
      <c r="M4392" s="23"/>
      <c r="N4392" s="23"/>
      <c r="P4392" s="23"/>
    </row>
    <row r="4393" spans="2:16" x14ac:dyDescent="0.25">
      <c r="B4393" s="23"/>
      <c r="E4393" s="23"/>
      <c r="G4393" s="23"/>
      <c r="H4393" s="23"/>
      <c r="J4393" s="23"/>
      <c r="K4393" s="23"/>
      <c r="M4393" s="23"/>
      <c r="N4393" s="23"/>
      <c r="P4393" s="23"/>
    </row>
    <row r="4394" spans="2:16" x14ac:dyDescent="0.25">
      <c r="B4394" s="23"/>
      <c r="E4394" s="23"/>
      <c r="G4394" s="23"/>
      <c r="H4394" s="23"/>
      <c r="J4394" s="23"/>
      <c r="K4394" s="23"/>
      <c r="M4394" s="23"/>
      <c r="N4394" s="23"/>
      <c r="P4394" s="23"/>
    </row>
    <row r="4395" spans="2:16" x14ac:dyDescent="0.25">
      <c r="B4395" s="23"/>
      <c r="E4395" s="23"/>
      <c r="G4395" s="23"/>
      <c r="H4395" s="23"/>
      <c r="J4395" s="23"/>
      <c r="K4395" s="23"/>
      <c r="M4395" s="23"/>
      <c r="N4395" s="23"/>
      <c r="P4395" s="23"/>
    </row>
    <row r="4396" spans="2:16" x14ac:dyDescent="0.25">
      <c r="B4396" s="23"/>
      <c r="E4396" s="23"/>
      <c r="G4396" s="23"/>
      <c r="H4396" s="23"/>
      <c r="J4396" s="23"/>
      <c r="K4396" s="23"/>
      <c r="M4396" s="23"/>
      <c r="N4396" s="23"/>
      <c r="P4396" s="23"/>
    </row>
    <row r="4397" spans="2:16" x14ac:dyDescent="0.25">
      <c r="B4397" s="23"/>
      <c r="E4397" s="23"/>
      <c r="G4397" s="23"/>
      <c r="H4397" s="23"/>
      <c r="J4397" s="23"/>
      <c r="K4397" s="23"/>
      <c r="M4397" s="23"/>
      <c r="N4397" s="23"/>
      <c r="P4397" s="23"/>
    </row>
    <row r="4398" spans="2:16" x14ac:dyDescent="0.25">
      <c r="B4398" s="23"/>
      <c r="E4398" s="23"/>
      <c r="G4398" s="23"/>
      <c r="H4398" s="23"/>
      <c r="J4398" s="23"/>
      <c r="K4398" s="23"/>
      <c r="M4398" s="23"/>
      <c r="N4398" s="23"/>
      <c r="P4398" s="23"/>
    </row>
    <row r="4399" spans="2:16" x14ac:dyDescent="0.25">
      <c r="B4399" s="23"/>
      <c r="E4399" s="23"/>
      <c r="G4399" s="23"/>
      <c r="H4399" s="23"/>
      <c r="J4399" s="23"/>
      <c r="K4399" s="23"/>
      <c r="M4399" s="23"/>
      <c r="N4399" s="23"/>
      <c r="P4399" s="23"/>
    </row>
    <row r="4400" spans="2:16" x14ac:dyDescent="0.25">
      <c r="B4400" s="23"/>
      <c r="E4400" s="23"/>
      <c r="G4400" s="23"/>
      <c r="H4400" s="23"/>
      <c r="J4400" s="23"/>
      <c r="K4400" s="23"/>
      <c r="M4400" s="23"/>
      <c r="N4400" s="23"/>
      <c r="P4400" s="23"/>
    </row>
    <row r="4401" spans="2:16" x14ac:dyDescent="0.25">
      <c r="B4401" s="23"/>
      <c r="E4401" s="23"/>
      <c r="G4401" s="23"/>
      <c r="H4401" s="23"/>
      <c r="J4401" s="23"/>
      <c r="K4401" s="23"/>
      <c r="M4401" s="23"/>
      <c r="N4401" s="23"/>
      <c r="P4401" s="23"/>
    </row>
    <row r="4402" spans="2:16" x14ac:dyDescent="0.25">
      <c r="B4402" s="23"/>
      <c r="E4402" s="23"/>
      <c r="G4402" s="23"/>
      <c r="H4402" s="23"/>
      <c r="J4402" s="23"/>
      <c r="K4402" s="23"/>
      <c r="M4402" s="23"/>
      <c r="N4402" s="23"/>
      <c r="P4402" s="23"/>
    </row>
    <row r="4403" spans="2:16" x14ac:dyDescent="0.25">
      <c r="B4403" s="23"/>
      <c r="E4403" s="23"/>
      <c r="G4403" s="23"/>
      <c r="H4403" s="23"/>
      <c r="J4403" s="23"/>
      <c r="K4403" s="23"/>
      <c r="M4403" s="23"/>
      <c r="N4403" s="23"/>
      <c r="P4403" s="23"/>
    </row>
    <row r="4404" spans="2:16" x14ac:dyDescent="0.25">
      <c r="B4404" s="23"/>
      <c r="E4404" s="23"/>
      <c r="G4404" s="23"/>
      <c r="H4404" s="23"/>
      <c r="J4404" s="23"/>
      <c r="K4404" s="23"/>
      <c r="M4404" s="23"/>
      <c r="N4404" s="23"/>
      <c r="P4404" s="23"/>
    </row>
    <row r="4405" spans="2:16" x14ac:dyDescent="0.25">
      <c r="B4405" s="23"/>
      <c r="E4405" s="23"/>
      <c r="G4405" s="23"/>
      <c r="H4405" s="23"/>
      <c r="J4405" s="23"/>
      <c r="K4405" s="23"/>
      <c r="M4405" s="23"/>
      <c r="N4405" s="23"/>
      <c r="P4405" s="23"/>
    </row>
    <row r="4406" spans="2:16" x14ac:dyDescent="0.25">
      <c r="B4406" s="23"/>
      <c r="E4406" s="23"/>
      <c r="G4406" s="23"/>
      <c r="H4406" s="23"/>
      <c r="J4406" s="23"/>
      <c r="K4406" s="23"/>
      <c r="M4406" s="23"/>
      <c r="N4406" s="23"/>
      <c r="P4406" s="23"/>
    </row>
    <row r="4407" spans="2:16" x14ac:dyDescent="0.25">
      <c r="B4407" s="23"/>
      <c r="E4407" s="23"/>
      <c r="G4407" s="23"/>
      <c r="H4407" s="23"/>
      <c r="J4407" s="23"/>
      <c r="K4407" s="23"/>
      <c r="M4407" s="23"/>
      <c r="N4407" s="23"/>
      <c r="P4407" s="23"/>
    </row>
    <row r="4408" spans="2:16" x14ac:dyDescent="0.25">
      <c r="B4408" s="23"/>
      <c r="E4408" s="23"/>
      <c r="G4408" s="23"/>
      <c r="H4408" s="23"/>
      <c r="J4408" s="23"/>
      <c r="K4408" s="23"/>
      <c r="M4408" s="23"/>
      <c r="N4408" s="23"/>
      <c r="P4408" s="23"/>
    </row>
    <row r="4409" spans="2:16" x14ac:dyDescent="0.25">
      <c r="B4409" s="23"/>
      <c r="E4409" s="23"/>
      <c r="G4409" s="23"/>
      <c r="H4409" s="23"/>
      <c r="J4409" s="23"/>
      <c r="K4409" s="23"/>
      <c r="M4409" s="23"/>
      <c r="N4409" s="23"/>
      <c r="P4409" s="23"/>
    </row>
    <row r="4410" spans="2:16" x14ac:dyDescent="0.25">
      <c r="B4410" s="23"/>
      <c r="E4410" s="23"/>
      <c r="G4410" s="23"/>
      <c r="H4410" s="23"/>
      <c r="J4410" s="23"/>
      <c r="K4410" s="23"/>
      <c r="M4410" s="23"/>
      <c r="N4410" s="23"/>
      <c r="P4410" s="23"/>
    </row>
    <row r="4411" spans="2:16" x14ac:dyDescent="0.25">
      <c r="B4411" s="23"/>
      <c r="E4411" s="23"/>
      <c r="G4411" s="23"/>
      <c r="H4411" s="23"/>
      <c r="J4411" s="23"/>
      <c r="K4411" s="23"/>
      <c r="M4411" s="23"/>
      <c r="N4411" s="23"/>
      <c r="P4411" s="23"/>
    </row>
    <row r="4412" spans="2:16" x14ac:dyDescent="0.25">
      <c r="B4412" s="23"/>
      <c r="E4412" s="23"/>
      <c r="G4412" s="23"/>
      <c r="H4412" s="23"/>
      <c r="J4412" s="23"/>
      <c r="K4412" s="23"/>
      <c r="M4412" s="23"/>
      <c r="N4412" s="23"/>
      <c r="P4412" s="23"/>
    </row>
    <row r="4413" spans="2:16" x14ac:dyDescent="0.25">
      <c r="B4413" s="23"/>
      <c r="E4413" s="23"/>
      <c r="G4413" s="23"/>
      <c r="H4413" s="23"/>
      <c r="J4413" s="23"/>
      <c r="K4413" s="23"/>
      <c r="M4413" s="23"/>
      <c r="N4413" s="23"/>
      <c r="P4413" s="23"/>
    </row>
    <row r="4414" spans="2:16" x14ac:dyDescent="0.25">
      <c r="B4414" s="23"/>
      <c r="E4414" s="23"/>
      <c r="G4414" s="23"/>
      <c r="H4414" s="23"/>
      <c r="J4414" s="23"/>
      <c r="K4414" s="23"/>
      <c r="M4414" s="23"/>
      <c r="N4414" s="23"/>
      <c r="P4414" s="23"/>
    </row>
    <row r="4415" spans="2:16" x14ac:dyDescent="0.25">
      <c r="B4415" s="23"/>
      <c r="E4415" s="23"/>
      <c r="G4415" s="23"/>
      <c r="H4415" s="23"/>
      <c r="J4415" s="23"/>
      <c r="K4415" s="23"/>
      <c r="M4415" s="23"/>
      <c r="N4415" s="23"/>
      <c r="P4415" s="23"/>
    </row>
    <row r="4416" spans="2:16" x14ac:dyDescent="0.25">
      <c r="B4416" s="23"/>
      <c r="E4416" s="23"/>
      <c r="G4416" s="23"/>
      <c r="H4416" s="23"/>
      <c r="J4416" s="23"/>
      <c r="K4416" s="23"/>
      <c r="M4416" s="23"/>
      <c r="N4416" s="23"/>
      <c r="P4416" s="23"/>
    </row>
    <row r="4417" spans="2:16" x14ac:dyDescent="0.25">
      <c r="B4417" s="23"/>
      <c r="E4417" s="23"/>
      <c r="G4417" s="23"/>
      <c r="H4417" s="23"/>
      <c r="J4417" s="23"/>
      <c r="K4417" s="23"/>
      <c r="M4417" s="23"/>
      <c r="N4417" s="23"/>
      <c r="P4417" s="23"/>
    </row>
    <row r="4418" spans="2:16" x14ac:dyDescent="0.25">
      <c r="B4418" s="23"/>
      <c r="E4418" s="23"/>
      <c r="G4418" s="23"/>
      <c r="H4418" s="23"/>
      <c r="J4418" s="23"/>
      <c r="K4418" s="23"/>
      <c r="M4418" s="23"/>
      <c r="N4418" s="23"/>
      <c r="P4418" s="23"/>
    </row>
    <row r="4419" spans="2:16" x14ac:dyDescent="0.25">
      <c r="B4419" s="23"/>
      <c r="E4419" s="23"/>
      <c r="G4419" s="23"/>
      <c r="H4419" s="23"/>
      <c r="J4419" s="23"/>
      <c r="K4419" s="23"/>
      <c r="M4419" s="23"/>
      <c r="N4419" s="23"/>
      <c r="P4419" s="23"/>
    </row>
    <row r="4420" spans="2:16" x14ac:dyDescent="0.25">
      <c r="B4420" s="23"/>
      <c r="E4420" s="23"/>
      <c r="G4420" s="23"/>
      <c r="H4420" s="23"/>
      <c r="J4420" s="23"/>
      <c r="K4420" s="23"/>
      <c r="M4420" s="23"/>
      <c r="N4420" s="23"/>
      <c r="P4420" s="23"/>
    </row>
    <row r="4421" spans="2:16" x14ac:dyDescent="0.25">
      <c r="B4421" s="23"/>
      <c r="E4421" s="23"/>
      <c r="G4421" s="23"/>
      <c r="H4421" s="23"/>
      <c r="J4421" s="23"/>
      <c r="K4421" s="23"/>
      <c r="M4421" s="23"/>
      <c r="N4421" s="23"/>
      <c r="P4421" s="23"/>
    </row>
    <row r="4422" spans="2:16" x14ac:dyDescent="0.25">
      <c r="B4422" s="23"/>
      <c r="E4422" s="23"/>
      <c r="G4422" s="23"/>
      <c r="H4422" s="23"/>
      <c r="J4422" s="23"/>
      <c r="K4422" s="23"/>
      <c r="M4422" s="23"/>
      <c r="N4422" s="23"/>
      <c r="P4422" s="23"/>
    </row>
    <row r="4423" spans="2:16" x14ac:dyDescent="0.25">
      <c r="B4423" s="23"/>
      <c r="E4423" s="23"/>
      <c r="G4423" s="23"/>
      <c r="H4423" s="23"/>
      <c r="J4423" s="23"/>
      <c r="K4423" s="23"/>
      <c r="M4423" s="23"/>
      <c r="N4423" s="23"/>
      <c r="P4423" s="23"/>
    </row>
    <row r="4424" spans="2:16" x14ac:dyDescent="0.25">
      <c r="B4424" s="23"/>
      <c r="E4424" s="23"/>
      <c r="G4424" s="23"/>
      <c r="H4424" s="23"/>
      <c r="J4424" s="23"/>
      <c r="K4424" s="23"/>
      <c r="M4424" s="23"/>
      <c r="N4424" s="23"/>
      <c r="P4424" s="23"/>
    </row>
    <row r="4425" spans="2:16" x14ac:dyDescent="0.25">
      <c r="B4425" s="23"/>
      <c r="E4425" s="23"/>
      <c r="G4425" s="23"/>
      <c r="H4425" s="23"/>
      <c r="J4425" s="23"/>
      <c r="K4425" s="23"/>
      <c r="M4425" s="23"/>
      <c r="N4425" s="23"/>
      <c r="P4425" s="23"/>
    </row>
    <row r="4426" spans="2:16" x14ac:dyDescent="0.25">
      <c r="B4426" s="23"/>
      <c r="E4426" s="23"/>
      <c r="G4426" s="23"/>
      <c r="H4426" s="23"/>
      <c r="J4426" s="23"/>
      <c r="K4426" s="23"/>
      <c r="M4426" s="23"/>
      <c r="N4426" s="23"/>
      <c r="P4426" s="23"/>
    </row>
    <row r="4427" spans="2:16" x14ac:dyDescent="0.25">
      <c r="B4427" s="23"/>
      <c r="E4427" s="23"/>
      <c r="G4427" s="23"/>
      <c r="H4427" s="23"/>
      <c r="J4427" s="23"/>
      <c r="K4427" s="23"/>
      <c r="M4427" s="23"/>
      <c r="N4427" s="23"/>
      <c r="P4427" s="23"/>
    </row>
    <row r="4428" spans="2:16" x14ac:dyDescent="0.25">
      <c r="B4428" s="23"/>
      <c r="E4428" s="23"/>
      <c r="G4428" s="23"/>
      <c r="H4428" s="23"/>
      <c r="J4428" s="23"/>
      <c r="K4428" s="23"/>
      <c r="M4428" s="23"/>
      <c r="N4428" s="23"/>
      <c r="P4428" s="23"/>
    </row>
    <row r="4429" spans="2:16" x14ac:dyDescent="0.25">
      <c r="B4429" s="23"/>
      <c r="E4429" s="23"/>
      <c r="G4429" s="23"/>
      <c r="H4429" s="23"/>
      <c r="J4429" s="23"/>
      <c r="K4429" s="23"/>
      <c r="M4429" s="23"/>
      <c r="N4429" s="23"/>
      <c r="P4429" s="23"/>
    </row>
    <row r="4430" spans="2:16" x14ac:dyDescent="0.25">
      <c r="B4430" s="23"/>
      <c r="E4430" s="23"/>
      <c r="G4430" s="23"/>
      <c r="H4430" s="23"/>
      <c r="J4430" s="23"/>
      <c r="K4430" s="23"/>
      <c r="M4430" s="23"/>
      <c r="N4430" s="23"/>
      <c r="P4430" s="23"/>
    </row>
    <row r="4431" spans="2:16" x14ac:dyDescent="0.25">
      <c r="B4431" s="23"/>
      <c r="E4431" s="23"/>
      <c r="G4431" s="23"/>
      <c r="H4431" s="23"/>
      <c r="J4431" s="23"/>
      <c r="K4431" s="23"/>
      <c r="M4431" s="23"/>
      <c r="N4431" s="23"/>
      <c r="P4431" s="23"/>
    </row>
    <row r="4432" spans="2:16" x14ac:dyDescent="0.25">
      <c r="B4432" s="23"/>
      <c r="E4432" s="23"/>
      <c r="G4432" s="23"/>
      <c r="H4432" s="23"/>
      <c r="J4432" s="23"/>
      <c r="K4432" s="23"/>
      <c r="M4432" s="23"/>
      <c r="N4432" s="23"/>
      <c r="P4432" s="23"/>
    </row>
    <row r="4433" spans="2:16" x14ac:dyDescent="0.25">
      <c r="B4433" s="23"/>
      <c r="E4433" s="23"/>
      <c r="G4433" s="23"/>
      <c r="H4433" s="23"/>
      <c r="J4433" s="23"/>
      <c r="K4433" s="23"/>
      <c r="M4433" s="23"/>
      <c r="N4433" s="23"/>
      <c r="P4433" s="23"/>
    </row>
    <row r="4434" spans="2:16" x14ac:dyDescent="0.25">
      <c r="B4434" s="23"/>
      <c r="E4434" s="23"/>
      <c r="G4434" s="23"/>
      <c r="H4434" s="23"/>
      <c r="J4434" s="23"/>
      <c r="K4434" s="23"/>
      <c r="M4434" s="23"/>
      <c r="N4434" s="23"/>
      <c r="P4434" s="23"/>
    </row>
    <row r="4435" spans="2:16" x14ac:dyDescent="0.25">
      <c r="B4435" s="23"/>
      <c r="E4435" s="23"/>
      <c r="G4435" s="23"/>
      <c r="H4435" s="23"/>
      <c r="J4435" s="23"/>
      <c r="K4435" s="23"/>
      <c r="M4435" s="23"/>
      <c r="N4435" s="23"/>
      <c r="P4435" s="23"/>
    </row>
    <row r="4436" spans="2:16" x14ac:dyDescent="0.25">
      <c r="B4436" s="23"/>
      <c r="E4436" s="23"/>
      <c r="G4436" s="23"/>
      <c r="H4436" s="23"/>
      <c r="J4436" s="23"/>
      <c r="K4436" s="23"/>
      <c r="M4436" s="23"/>
      <c r="N4436" s="23"/>
      <c r="P4436" s="23"/>
    </row>
    <row r="4437" spans="2:16" x14ac:dyDescent="0.25">
      <c r="B4437" s="23"/>
      <c r="E4437" s="23"/>
      <c r="G4437" s="23"/>
      <c r="H4437" s="23"/>
      <c r="J4437" s="23"/>
      <c r="K4437" s="23"/>
      <c r="M4437" s="23"/>
      <c r="N4437" s="23"/>
      <c r="P4437" s="23"/>
    </row>
    <row r="4438" spans="2:16" x14ac:dyDescent="0.25">
      <c r="B4438" s="23"/>
      <c r="E4438" s="23"/>
      <c r="G4438" s="23"/>
      <c r="H4438" s="23"/>
      <c r="J4438" s="23"/>
      <c r="K4438" s="23"/>
      <c r="M4438" s="23"/>
      <c r="N4438" s="23"/>
      <c r="P4438" s="23"/>
    </row>
    <row r="4439" spans="2:16" x14ac:dyDescent="0.25">
      <c r="B4439" s="23"/>
      <c r="E4439" s="23"/>
      <c r="G4439" s="23"/>
      <c r="H4439" s="23"/>
      <c r="J4439" s="23"/>
      <c r="K4439" s="23"/>
      <c r="M4439" s="23"/>
      <c r="N4439" s="23"/>
      <c r="P4439" s="23"/>
    </row>
    <row r="4440" spans="2:16" x14ac:dyDescent="0.25">
      <c r="B4440" s="23"/>
      <c r="E4440" s="23"/>
      <c r="G4440" s="23"/>
      <c r="H4440" s="23"/>
      <c r="J4440" s="23"/>
      <c r="K4440" s="23"/>
      <c r="M4440" s="23"/>
      <c r="N4440" s="23"/>
      <c r="P4440" s="23"/>
    </row>
    <row r="4441" spans="2:16" x14ac:dyDescent="0.25">
      <c r="B4441" s="23"/>
      <c r="E4441" s="23"/>
      <c r="G4441" s="23"/>
      <c r="H4441" s="23"/>
      <c r="J4441" s="23"/>
      <c r="K4441" s="23"/>
      <c r="M4441" s="23"/>
      <c r="N4441" s="23"/>
      <c r="P4441" s="23"/>
    </row>
    <row r="4442" spans="2:16" x14ac:dyDescent="0.25">
      <c r="B4442" s="23"/>
      <c r="E4442" s="23"/>
      <c r="G4442" s="23"/>
      <c r="H4442" s="23"/>
      <c r="J4442" s="23"/>
      <c r="K4442" s="23"/>
      <c r="M4442" s="23"/>
      <c r="N4442" s="23"/>
      <c r="P4442" s="23"/>
    </row>
    <row r="4443" spans="2:16" x14ac:dyDescent="0.25">
      <c r="B4443" s="23"/>
      <c r="E4443" s="23"/>
      <c r="G4443" s="23"/>
      <c r="H4443" s="23"/>
      <c r="J4443" s="23"/>
      <c r="K4443" s="23"/>
      <c r="M4443" s="23"/>
      <c r="N4443" s="23"/>
      <c r="P4443" s="23"/>
    </row>
    <row r="4444" spans="2:16" x14ac:dyDescent="0.25">
      <c r="B4444" s="23"/>
      <c r="E4444" s="23"/>
      <c r="G4444" s="23"/>
      <c r="H4444" s="23"/>
      <c r="J4444" s="23"/>
      <c r="K4444" s="23"/>
      <c r="M4444" s="23"/>
      <c r="N4444" s="23"/>
      <c r="P4444" s="23"/>
    </row>
    <row r="4445" spans="2:16" x14ac:dyDescent="0.25">
      <c r="B4445" s="23"/>
      <c r="E4445" s="23"/>
      <c r="G4445" s="23"/>
      <c r="H4445" s="23"/>
      <c r="J4445" s="23"/>
      <c r="K4445" s="23"/>
      <c r="M4445" s="23"/>
      <c r="N4445" s="23"/>
      <c r="P4445" s="23"/>
    </row>
    <row r="4446" spans="2:16" x14ac:dyDescent="0.25">
      <c r="B4446" s="23"/>
      <c r="E4446" s="23"/>
      <c r="G4446" s="23"/>
      <c r="H4446" s="23"/>
      <c r="J4446" s="23"/>
      <c r="K4446" s="23"/>
      <c r="M4446" s="23"/>
      <c r="N4446" s="23"/>
      <c r="P4446" s="23"/>
    </row>
    <row r="4447" spans="2:16" x14ac:dyDescent="0.25">
      <c r="B4447" s="23"/>
      <c r="E4447" s="23"/>
      <c r="G4447" s="23"/>
      <c r="H4447" s="23"/>
      <c r="J4447" s="23"/>
      <c r="K4447" s="23"/>
      <c r="M4447" s="23"/>
      <c r="N4447" s="23"/>
      <c r="P4447" s="23"/>
    </row>
    <row r="4448" spans="2:16" x14ac:dyDescent="0.25">
      <c r="B4448" s="23"/>
      <c r="E4448" s="23"/>
      <c r="G4448" s="23"/>
      <c r="H4448" s="23"/>
      <c r="J4448" s="23"/>
      <c r="K4448" s="23"/>
      <c r="M4448" s="23"/>
      <c r="N4448" s="23"/>
      <c r="P4448" s="23"/>
    </row>
    <row r="4449" spans="2:16" x14ac:dyDescent="0.25">
      <c r="B4449" s="23"/>
      <c r="E4449" s="23"/>
      <c r="G4449" s="23"/>
      <c r="H4449" s="23"/>
      <c r="J4449" s="23"/>
      <c r="K4449" s="23"/>
      <c r="M4449" s="23"/>
      <c r="N4449" s="23"/>
      <c r="P4449" s="23"/>
    </row>
    <row r="4450" spans="2:16" x14ac:dyDescent="0.25">
      <c r="B4450" s="23"/>
      <c r="E4450" s="23"/>
      <c r="G4450" s="23"/>
      <c r="H4450" s="23"/>
      <c r="J4450" s="23"/>
      <c r="K4450" s="23"/>
      <c r="M4450" s="23"/>
      <c r="N4450" s="23"/>
      <c r="P4450" s="23"/>
    </row>
    <row r="4451" spans="2:16" x14ac:dyDescent="0.25">
      <c r="B4451" s="23"/>
      <c r="E4451" s="23"/>
      <c r="G4451" s="23"/>
      <c r="H4451" s="23"/>
      <c r="J4451" s="23"/>
      <c r="K4451" s="23"/>
      <c r="M4451" s="23"/>
      <c r="N4451" s="23"/>
      <c r="P4451" s="23"/>
    </row>
    <row r="4452" spans="2:16" x14ac:dyDescent="0.25">
      <c r="B4452" s="23"/>
      <c r="E4452" s="23"/>
      <c r="G4452" s="23"/>
      <c r="H4452" s="23"/>
      <c r="J4452" s="23"/>
      <c r="K4452" s="23"/>
      <c r="M4452" s="23"/>
      <c r="N4452" s="23"/>
      <c r="P4452" s="23"/>
    </row>
    <row r="4453" spans="2:16" x14ac:dyDescent="0.25">
      <c r="B4453" s="23"/>
      <c r="E4453" s="23"/>
      <c r="G4453" s="23"/>
      <c r="H4453" s="23"/>
      <c r="J4453" s="23"/>
      <c r="K4453" s="23"/>
      <c r="M4453" s="23"/>
      <c r="N4453" s="23"/>
      <c r="P4453" s="23"/>
    </row>
    <row r="4454" spans="2:16" x14ac:dyDescent="0.25">
      <c r="B4454" s="23"/>
      <c r="E4454" s="23"/>
      <c r="G4454" s="23"/>
      <c r="H4454" s="23"/>
      <c r="J4454" s="23"/>
      <c r="K4454" s="23"/>
      <c r="M4454" s="23"/>
      <c r="N4454" s="23"/>
      <c r="P4454" s="23"/>
    </row>
    <row r="4455" spans="2:16" x14ac:dyDescent="0.25">
      <c r="B4455" s="23"/>
      <c r="E4455" s="23"/>
      <c r="G4455" s="23"/>
      <c r="H4455" s="23"/>
      <c r="J4455" s="23"/>
      <c r="K4455" s="23"/>
      <c r="M4455" s="23"/>
      <c r="N4455" s="23"/>
      <c r="P4455" s="23"/>
    </row>
    <row r="4456" spans="2:16" x14ac:dyDescent="0.25">
      <c r="B4456" s="23"/>
      <c r="E4456" s="23"/>
      <c r="G4456" s="23"/>
      <c r="H4456" s="23"/>
      <c r="J4456" s="23"/>
      <c r="K4456" s="23"/>
      <c r="M4456" s="23"/>
      <c r="N4456" s="23"/>
      <c r="P4456" s="23"/>
    </row>
    <row r="4457" spans="2:16" x14ac:dyDescent="0.25">
      <c r="B4457" s="23"/>
      <c r="E4457" s="23"/>
      <c r="G4457" s="23"/>
      <c r="H4457" s="23"/>
      <c r="J4457" s="23"/>
      <c r="K4457" s="23"/>
      <c r="M4457" s="23"/>
      <c r="N4457" s="23"/>
      <c r="P4457" s="23"/>
    </row>
    <row r="4458" spans="2:16" x14ac:dyDescent="0.25">
      <c r="B4458" s="23"/>
      <c r="E4458" s="23"/>
      <c r="G4458" s="23"/>
      <c r="H4458" s="23"/>
      <c r="J4458" s="23"/>
      <c r="K4458" s="23"/>
      <c r="M4458" s="23"/>
      <c r="N4458" s="23"/>
      <c r="P4458" s="23"/>
    </row>
    <row r="4459" spans="2:16" x14ac:dyDescent="0.25">
      <c r="B4459" s="23"/>
      <c r="E4459" s="23"/>
      <c r="G4459" s="23"/>
      <c r="H4459" s="23"/>
      <c r="J4459" s="23"/>
      <c r="K4459" s="23"/>
      <c r="M4459" s="23"/>
      <c r="N4459" s="23"/>
      <c r="P4459" s="23"/>
    </row>
    <row r="4460" spans="2:16" x14ac:dyDescent="0.25">
      <c r="B4460" s="23"/>
      <c r="E4460" s="23"/>
      <c r="G4460" s="23"/>
      <c r="H4460" s="23"/>
      <c r="J4460" s="23"/>
      <c r="K4460" s="23"/>
      <c r="M4460" s="23"/>
      <c r="N4460" s="23"/>
      <c r="P4460" s="23"/>
    </row>
    <row r="4461" spans="2:16" x14ac:dyDescent="0.25">
      <c r="B4461" s="23"/>
      <c r="E4461" s="23"/>
      <c r="G4461" s="23"/>
      <c r="H4461" s="23"/>
      <c r="J4461" s="23"/>
      <c r="K4461" s="23"/>
      <c r="M4461" s="23"/>
      <c r="N4461" s="23"/>
      <c r="P4461" s="23"/>
    </row>
    <row r="4462" spans="2:16" x14ac:dyDescent="0.25">
      <c r="B4462" s="23"/>
      <c r="E4462" s="23"/>
      <c r="G4462" s="23"/>
      <c r="H4462" s="23"/>
      <c r="J4462" s="23"/>
      <c r="K4462" s="23"/>
      <c r="M4462" s="23"/>
      <c r="N4462" s="23"/>
      <c r="P4462" s="23"/>
    </row>
    <row r="4463" spans="2:16" x14ac:dyDescent="0.25">
      <c r="B4463" s="23"/>
      <c r="E4463" s="23"/>
      <c r="G4463" s="23"/>
      <c r="H4463" s="23"/>
      <c r="J4463" s="23"/>
      <c r="K4463" s="23"/>
      <c r="M4463" s="23"/>
      <c r="N4463" s="23"/>
      <c r="P4463" s="23"/>
    </row>
    <row r="4464" spans="2:16" x14ac:dyDescent="0.25">
      <c r="B4464" s="23"/>
      <c r="E4464" s="23"/>
      <c r="G4464" s="23"/>
      <c r="H4464" s="23"/>
      <c r="J4464" s="23"/>
      <c r="K4464" s="23"/>
      <c r="M4464" s="23"/>
      <c r="N4464" s="23"/>
      <c r="P4464" s="23"/>
    </row>
    <row r="4465" spans="2:16" x14ac:dyDescent="0.25">
      <c r="B4465" s="23"/>
      <c r="E4465" s="23"/>
      <c r="G4465" s="23"/>
      <c r="H4465" s="23"/>
      <c r="J4465" s="23"/>
      <c r="K4465" s="23"/>
      <c r="M4465" s="23"/>
      <c r="N4465" s="23"/>
      <c r="P4465" s="23"/>
    </row>
    <row r="4466" spans="2:16" x14ac:dyDescent="0.25">
      <c r="B4466" s="23"/>
      <c r="E4466" s="23"/>
      <c r="G4466" s="23"/>
      <c r="H4466" s="23"/>
      <c r="J4466" s="23"/>
      <c r="K4466" s="23"/>
      <c r="M4466" s="23"/>
      <c r="N4466" s="23"/>
      <c r="P4466" s="23"/>
    </row>
    <row r="4467" spans="2:16" x14ac:dyDescent="0.25">
      <c r="B4467" s="23"/>
      <c r="E4467" s="23"/>
      <c r="G4467" s="23"/>
      <c r="H4467" s="23"/>
      <c r="J4467" s="23"/>
      <c r="K4467" s="23"/>
      <c r="M4467" s="23"/>
      <c r="N4467" s="23"/>
      <c r="P4467" s="23"/>
    </row>
    <row r="4468" spans="2:16" x14ac:dyDescent="0.25">
      <c r="B4468" s="23"/>
      <c r="E4468" s="23"/>
      <c r="G4468" s="23"/>
      <c r="H4468" s="23"/>
      <c r="J4468" s="23"/>
      <c r="K4468" s="23"/>
      <c r="M4468" s="23"/>
      <c r="N4468" s="23"/>
      <c r="P4468" s="23"/>
    </row>
    <row r="4469" spans="2:16" x14ac:dyDescent="0.25">
      <c r="B4469" s="23"/>
      <c r="E4469" s="23"/>
      <c r="G4469" s="23"/>
      <c r="H4469" s="23"/>
      <c r="J4469" s="23"/>
      <c r="K4469" s="23"/>
      <c r="M4469" s="23"/>
      <c r="N4469" s="23"/>
      <c r="P4469" s="23"/>
    </row>
    <row r="4470" spans="2:16" x14ac:dyDescent="0.25">
      <c r="B4470" s="23"/>
      <c r="E4470" s="23"/>
      <c r="G4470" s="23"/>
      <c r="H4470" s="23"/>
      <c r="J4470" s="23"/>
      <c r="K4470" s="23"/>
      <c r="M4470" s="23"/>
      <c r="N4470" s="23"/>
      <c r="P4470" s="23"/>
    </row>
    <row r="4471" spans="2:16" x14ac:dyDescent="0.25">
      <c r="B4471" s="23"/>
      <c r="E4471" s="23"/>
      <c r="G4471" s="23"/>
      <c r="H4471" s="23"/>
      <c r="J4471" s="23"/>
      <c r="K4471" s="23"/>
      <c r="M4471" s="23"/>
      <c r="N4471" s="23"/>
      <c r="P4471" s="23"/>
    </row>
    <row r="4472" spans="2:16" x14ac:dyDescent="0.25">
      <c r="B4472" s="23"/>
      <c r="E4472" s="23"/>
      <c r="G4472" s="23"/>
      <c r="H4472" s="23"/>
      <c r="J4472" s="23"/>
      <c r="K4472" s="23"/>
      <c r="M4472" s="23"/>
      <c r="N4472" s="23"/>
      <c r="P4472" s="23"/>
    </row>
    <row r="4473" spans="2:16" x14ac:dyDescent="0.25">
      <c r="B4473" s="23"/>
      <c r="E4473" s="23"/>
      <c r="G4473" s="23"/>
      <c r="H4473" s="23"/>
      <c r="J4473" s="23"/>
      <c r="K4473" s="23"/>
      <c r="M4473" s="23"/>
      <c r="N4473" s="23"/>
      <c r="P4473" s="23"/>
    </row>
    <row r="4474" spans="2:16" x14ac:dyDescent="0.25">
      <c r="B4474" s="23"/>
      <c r="E4474" s="23"/>
      <c r="G4474" s="23"/>
      <c r="H4474" s="23"/>
      <c r="J4474" s="23"/>
      <c r="K4474" s="23"/>
      <c r="M4474" s="23"/>
      <c r="N4474" s="23"/>
      <c r="P4474" s="23"/>
    </row>
    <row r="4475" spans="2:16" x14ac:dyDescent="0.25">
      <c r="B4475" s="23"/>
      <c r="E4475" s="23"/>
      <c r="G4475" s="23"/>
      <c r="H4475" s="23"/>
      <c r="J4475" s="23"/>
      <c r="K4475" s="23"/>
      <c r="M4475" s="23"/>
      <c r="N4475" s="23"/>
      <c r="P4475" s="23"/>
    </row>
    <row r="4476" spans="2:16" x14ac:dyDescent="0.25">
      <c r="B4476" s="23"/>
      <c r="E4476" s="23"/>
      <c r="G4476" s="23"/>
      <c r="H4476" s="23"/>
      <c r="J4476" s="23"/>
      <c r="K4476" s="23"/>
      <c r="M4476" s="23"/>
      <c r="N4476" s="23"/>
      <c r="P4476" s="23"/>
    </row>
    <row r="4477" spans="2:16" x14ac:dyDescent="0.25">
      <c r="B4477" s="23"/>
      <c r="E4477" s="23"/>
      <c r="G4477" s="23"/>
      <c r="H4477" s="23"/>
      <c r="J4477" s="23"/>
      <c r="K4477" s="23"/>
      <c r="M4477" s="23"/>
      <c r="N4477" s="23"/>
      <c r="P4477" s="23"/>
    </row>
    <row r="4478" spans="2:16" x14ac:dyDescent="0.25">
      <c r="B4478" s="23"/>
      <c r="E4478" s="23"/>
      <c r="G4478" s="23"/>
      <c r="H4478" s="23"/>
      <c r="J4478" s="23"/>
      <c r="K4478" s="23"/>
      <c r="M4478" s="23"/>
      <c r="N4478" s="23"/>
      <c r="P4478" s="23"/>
    </row>
    <row r="4479" spans="2:16" x14ac:dyDescent="0.25">
      <c r="B4479" s="23"/>
      <c r="E4479" s="23"/>
      <c r="G4479" s="23"/>
      <c r="H4479" s="23"/>
      <c r="J4479" s="23"/>
      <c r="K4479" s="23"/>
      <c r="M4479" s="23"/>
      <c r="N4479" s="23"/>
      <c r="P4479" s="23"/>
    </row>
    <row r="4480" spans="2:16" x14ac:dyDescent="0.25">
      <c r="B4480" s="23"/>
      <c r="E4480" s="23"/>
      <c r="G4480" s="23"/>
      <c r="H4480" s="23"/>
      <c r="J4480" s="23"/>
      <c r="K4480" s="23"/>
      <c r="M4480" s="23"/>
      <c r="N4480" s="23"/>
      <c r="P4480" s="23"/>
    </row>
    <row r="4481" spans="2:16" x14ac:dyDescent="0.25">
      <c r="B4481" s="23"/>
      <c r="E4481" s="23"/>
      <c r="G4481" s="23"/>
      <c r="H4481" s="23"/>
      <c r="J4481" s="23"/>
      <c r="K4481" s="23"/>
      <c r="M4481" s="23"/>
      <c r="N4481" s="23"/>
      <c r="P4481" s="23"/>
    </row>
    <row r="4482" spans="2:16" x14ac:dyDescent="0.25">
      <c r="B4482" s="23"/>
      <c r="E4482" s="23"/>
      <c r="G4482" s="23"/>
      <c r="H4482" s="23"/>
      <c r="J4482" s="23"/>
      <c r="K4482" s="23"/>
      <c r="M4482" s="23"/>
      <c r="N4482" s="23"/>
      <c r="P4482" s="23"/>
    </row>
    <row r="4483" spans="2:16" x14ac:dyDescent="0.25">
      <c r="B4483" s="23"/>
      <c r="E4483" s="23"/>
      <c r="G4483" s="23"/>
      <c r="H4483" s="23"/>
      <c r="J4483" s="23"/>
      <c r="K4483" s="23"/>
      <c r="M4483" s="23"/>
      <c r="N4483" s="23"/>
      <c r="P4483" s="23"/>
    </row>
    <row r="4484" spans="2:16" x14ac:dyDescent="0.25">
      <c r="B4484" s="23"/>
      <c r="E4484" s="23"/>
      <c r="G4484" s="23"/>
      <c r="H4484" s="23"/>
      <c r="J4484" s="23"/>
      <c r="K4484" s="23"/>
      <c r="M4484" s="23"/>
      <c r="N4484" s="23"/>
      <c r="P4484" s="23"/>
    </row>
    <row r="4485" spans="2:16" x14ac:dyDescent="0.25">
      <c r="B4485" s="23"/>
      <c r="E4485" s="23"/>
      <c r="G4485" s="23"/>
      <c r="H4485" s="23"/>
      <c r="J4485" s="23"/>
      <c r="K4485" s="23"/>
      <c r="M4485" s="23"/>
      <c r="N4485" s="23"/>
      <c r="P4485" s="23"/>
    </row>
    <row r="4486" spans="2:16" x14ac:dyDescent="0.25">
      <c r="B4486" s="23"/>
      <c r="E4486" s="23"/>
      <c r="G4486" s="23"/>
      <c r="H4486" s="23"/>
      <c r="J4486" s="23"/>
      <c r="K4486" s="23"/>
      <c r="M4486" s="23"/>
      <c r="N4486" s="23"/>
      <c r="P4486" s="23"/>
    </row>
    <row r="4487" spans="2:16" x14ac:dyDescent="0.25">
      <c r="B4487" s="23"/>
      <c r="E4487" s="23"/>
      <c r="G4487" s="23"/>
      <c r="H4487" s="23"/>
      <c r="J4487" s="23"/>
      <c r="K4487" s="23"/>
      <c r="M4487" s="23"/>
      <c r="N4487" s="23"/>
      <c r="P4487" s="23"/>
    </row>
    <row r="4488" spans="2:16" x14ac:dyDescent="0.25">
      <c r="B4488" s="23"/>
      <c r="E4488" s="23"/>
      <c r="G4488" s="23"/>
      <c r="H4488" s="23"/>
      <c r="J4488" s="23"/>
      <c r="K4488" s="23"/>
      <c r="M4488" s="23"/>
      <c r="N4488" s="23"/>
      <c r="P4488" s="23"/>
    </row>
    <row r="4489" spans="2:16" x14ac:dyDescent="0.25">
      <c r="B4489" s="23"/>
      <c r="E4489" s="23"/>
      <c r="G4489" s="23"/>
      <c r="H4489" s="23"/>
      <c r="J4489" s="23"/>
      <c r="K4489" s="23"/>
      <c r="M4489" s="23"/>
      <c r="N4489" s="23"/>
      <c r="P4489" s="23"/>
    </row>
    <row r="4490" spans="2:16" x14ac:dyDescent="0.25">
      <c r="B4490" s="23"/>
      <c r="E4490" s="23"/>
      <c r="G4490" s="23"/>
      <c r="H4490" s="23"/>
      <c r="J4490" s="23"/>
      <c r="K4490" s="23"/>
      <c r="M4490" s="23"/>
      <c r="N4490" s="23"/>
      <c r="P4490" s="23"/>
    </row>
    <row r="4491" spans="2:16" x14ac:dyDescent="0.25">
      <c r="B4491" s="23"/>
      <c r="E4491" s="23"/>
      <c r="G4491" s="23"/>
      <c r="H4491" s="23"/>
      <c r="J4491" s="23"/>
      <c r="K4491" s="23"/>
      <c r="M4491" s="23"/>
      <c r="N4491" s="23"/>
      <c r="P4491" s="23"/>
    </row>
    <row r="4492" spans="2:16" x14ac:dyDescent="0.25">
      <c r="B4492" s="23"/>
      <c r="E4492" s="23"/>
      <c r="G4492" s="23"/>
      <c r="H4492" s="23"/>
      <c r="J4492" s="23"/>
      <c r="K4492" s="23"/>
      <c r="M4492" s="23"/>
      <c r="N4492" s="23"/>
      <c r="P4492" s="23"/>
    </row>
    <row r="4493" spans="2:16" x14ac:dyDescent="0.25">
      <c r="B4493" s="23"/>
      <c r="E4493" s="23"/>
      <c r="G4493" s="23"/>
      <c r="H4493" s="23"/>
      <c r="J4493" s="23"/>
      <c r="K4493" s="23"/>
      <c r="M4493" s="23"/>
      <c r="N4493" s="23"/>
      <c r="P4493" s="23"/>
    </row>
    <row r="4494" spans="2:16" x14ac:dyDescent="0.25">
      <c r="B4494" s="23"/>
      <c r="E4494" s="23"/>
      <c r="G4494" s="23"/>
      <c r="H4494" s="23"/>
      <c r="J4494" s="23"/>
      <c r="K4494" s="23"/>
      <c r="M4494" s="23"/>
      <c r="N4494" s="23"/>
      <c r="P4494" s="23"/>
    </row>
    <row r="4495" spans="2:16" x14ac:dyDescent="0.25">
      <c r="B4495" s="23"/>
      <c r="E4495" s="23"/>
      <c r="G4495" s="23"/>
      <c r="H4495" s="23"/>
      <c r="J4495" s="23"/>
      <c r="K4495" s="23"/>
      <c r="M4495" s="23"/>
      <c r="N4495" s="23"/>
      <c r="P4495" s="23"/>
    </row>
    <row r="4496" spans="2:16" x14ac:dyDescent="0.25">
      <c r="B4496" s="23"/>
      <c r="E4496" s="23"/>
      <c r="G4496" s="23"/>
      <c r="H4496" s="23"/>
      <c r="J4496" s="23"/>
      <c r="K4496" s="23"/>
      <c r="M4496" s="23"/>
      <c r="N4496" s="23"/>
      <c r="P4496" s="23"/>
    </row>
    <row r="4497" spans="2:16" x14ac:dyDescent="0.25">
      <c r="B4497" s="23"/>
      <c r="E4497" s="23"/>
      <c r="G4497" s="23"/>
      <c r="H4497" s="23"/>
      <c r="J4497" s="23"/>
      <c r="K4497" s="23"/>
      <c r="M4497" s="23"/>
      <c r="N4497" s="23"/>
      <c r="P4497" s="23"/>
    </row>
    <row r="4498" spans="2:16" x14ac:dyDescent="0.25">
      <c r="B4498" s="23"/>
      <c r="E4498" s="23"/>
      <c r="G4498" s="23"/>
      <c r="H4498" s="23"/>
      <c r="J4498" s="23"/>
      <c r="K4498" s="23"/>
      <c r="M4498" s="23"/>
      <c r="N4498" s="23"/>
      <c r="P4498" s="23"/>
    </row>
    <row r="4499" spans="2:16" x14ac:dyDescent="0.25">
      <c r="B4499" s="23"/>
      <c r="E4499" s="23"/>
      <c r="G4499" s="23"/>
      <c r="H4499" s="23"/>
      <c r="J4499" s="23"/>
      <c r="K4499" s="23"/>
      <c r="M4499" s="23"/>
      <c r="N4499" s="23"/>
      <c r="P4499" s="23"/>
    </row>
    <row r="4500" spans="2:16" x14ac:dyDescent="0.25">
      <c r="B4500" s="23"/>
      <c r="E4500" s="23"/>
      <c r="G4500" s="23"/>
      <c r="H4500" s="23"/>
      <c r="J4500" s="23"/>
      <c r="K4500" s="23"/>
      <c r="M4500" s="23"/>
      <c r="N4500" s="23"/>
      <c r="P4500" s="23"/>
    </row>
    <row r="4501" spans="2:16" x14ac:dyDescent="0.25">
      <c r="B4501" s="23"/>
      <c r="E4501" s="23"/>
      <c r="G4501" s="23"/>
      <c r="H4501" s="23"/>
      <c r="J4501" s="23"/>
      <c r="K4501" s="23"/>
      <c r="M4501" s="23"/>
      <c r="N4501" s="23"/>
      <c r="P4501" s="23"/>
    </row>
    <row r="4502" spans="2:16" x14ac:dyDescent="0.25">
      <c r="B4502" s="23"/>
      <c r="E4502" s="23"/>
      <c r="G4502" s="23"/>
      <c r="H4502" s="23"/>
      <c r="J4502" s="23"/>
      <c r="K4502" s="23"/>
      <c r="M4502" s="23"/>
      <c r="N4502" s="23"/>
      <c r="P4502" s="23"/>
    </row>
    <row r="4503" spans="2:16" x14ac:dyDescent="0.25">
      <c r="B4503" s="23"/>
      <c r="E4503" s="23"/>
      <c r="G4503" s="23"/>
      <c r="H4503" s="23"/>
      <c r="J4503" s="23"/>
      <c r="K4503" s="23"/>
      <c r="M4503" s="23"/>
      <c r="N4503" s="23"/>
      <c r="P4503" s="23"/>
    </row>
    <row r="4504" spans="2:16" x14ac:dyDescent="0.25">
      <c r="B4504" s="23"/>
      <c r="E4504" s="23"/>
      <c r="G4504" s="23"/>
      <c r="H4504" s="23"/>
      <c r="J4504" s="23"/>
      <c r="K4504" s="23"/>
      <c r="M4504" s="23"/>
      <c r="N4504" s="23"/>
      <c r="P4504" s="23"/>
    </row>
    <row r="4505" spans="2:16" x14ac:dyDescent="0.25">
      <c r="B4505" s="23"/>
      <c r="E4505" s="23"/>
      <c r="G4505" s="23"/>
      <c r="H4505" s="23"/>
      <c r="J4505" s="23"/>
      <c r="K4505" s="23"/>
      <c r="M4505" s="23"/>
      <c r="N4505" s="23"/>
      <c r="P4505" s="23"/>
    </row>
    <row r="4506" spans="2:16" x14ac:dyDescent="0.25">
      <c r="B4506" s="23"/>
      <c r="E4506" s="23"/>
      <c r="G4506" s="23"/>
      <c r="H4506" s="23"/>
      <c r="J4506" s="23"/>
      <c r="K4506" s="23"/>
      <c r="M4506" s="23"/>
      <c r="N4506" s="23"/>
      <c r="P4506" s="23"/>
    </row>
    <row r="4507" spans="2:16" x14ac:dyDescent="0.25">
      <c r="B4507" s="23"/>
      <c r="E4507" s="23"/>
      <c r="G4507" s="23"/>
      <c r="H4507" s="23"/>
      <c r="J4507" s="23"/>
      <c r="K4507" s="23"/>
      <c r="M4507" s="23"/>
      <c r="N4507" s="23"/>
      <c r="P4507" s="23"/>
    </row>
    <row r="4508" spans="2:16" x14ac:dyDescent="0.25">
      <c r="B4508" s="23"/>
      <c r="E4508" s="23"/>
      <c r="G4508" s="23"/>
      <c r="H4508" s="23"/>
      <c r="J4508" s="23"/>
      <c r="K4508" s="23"/>
      <c r="M4508" s="23"/>
      <c r="N4508" s="23"/>
      <c r="P4508" s="23"/>
    </row>
    <row r="4509" spans="2:16" x14ac:dyDescent="0.25">
      <c r="B4509" s="23"/>
      <c r="E4509" s="23"/>
      <c r="G4509" s="23"/>
      <c r="H4509" s="23"/>
      <c r="J4509" s="23"/>
      <c r="K4509" s="23"/>
      <c r="M4509" s="23"/>
      <c r="N4509" s="23"/>
      <c r="P4509" s="23"/>
    </row>
    <row r="4510" spans="2:16" x14ac:dyDescent="0.25">
      <c r="B4510" s="23"/>
      <c r="E4510" s="23"/>
      <c r="G4510" s="23"/>
      <c r="H4510" s="23"/>
      <c r="J4510" s="23"/>
      <c r="K4510" s="23"/>
      <c r="M4510" s="23"/>
      <c r="N4510" s="23"/>
      <c r="P4510" s="23"/>
    </row>
    <row r="4511" spans="2:16" x14ac:dyDescent="0.25">
      <c r="B4511" s="23"/>
      <c r="E4511" s="23"/>
      <c r="G4511" s="23"/>
      <c r="H4511" s="23"/>
      <c r="J4511" s="23"/>
      <c r="K4511" s="23"/>
      <c r="M4511" s="23"/>
      <c r="N4511" s="23"/>
      <c r="P4511" s="23"/>
    </row>
    <row r="4512" spans="2:16" x14ac:dyDescent="0.25">
      <c r="B4512" s="23"/>
      <c r="E4512" s="23"/>
      <c r="G4512" s="23"/>
      <c r="H4512" s="23"/>
      <c r="J4512" s="23"/>
      <c r="K4512" s="23"/>
      <c r="M4512" s="23"/>
      <c r="N4512" s="23"/>
      <c r="P4512" s="23"/>
    </row>
    <row r="4513" spans="2:16" x14ac:dyDescent="0.25">
      <c r="B4513" s="23"/>
      <c r="E4513" s="23"/>
      <c r="G4513" s="23"/>
      <c r="H4513" s="23"/>
      <c r="J4513" s="23"/>
      <c r="K4513" s="23"/>
      <c r="M4513" s="23"/>
      <c r="N4513" s="23"/>
      <c r="P4513" s="23"/>
    </row>
    <row r="4514" spans="2:16" x14ac:dyDescent="0.25">
      <c r="B4514" s="23"/>
      <c r="E4514" s="23"/>
      <c r="G4514" s="23"/>
      <c r="H4514" s="23"/>
      <c r="J4514" s="23"/>
      <c r="K4514" s="23"/>
      <c r="M4514" s="23"/>
      <c r="N4514" s="23"/>
      <c r="P4514" s="23"/>
    </row>
    <row r="4515" spans="2:16" x14ac:dyDescent="0.25">
      <c r="B4515" s="23"/>
      <c r="E4515" s="23"/>
      <c r="G4515" s="23"/>
      <c r="H4515" s="23"/>
      <c r="J4515" s="23"/>
      <c r="K4515" s="23"/>
      <c r="M4515" s="23"/>
      <c r="N4515" s="23"/>
      <c r="P4515" s="23"/>
    </row>
    <row r="4516" spans="2:16" x14ac:dyDescent="0.25">
      <c r="B4516" s="23"/>
      <c r="E4516" s="23"/>
      <c r="G4516" s="23"/>
      <c r="H4516" s="23"/>
      <c r="J4516" s="23"/>
      <c r="K4516" s="23"/>
      <c r="M4516" s="23"/>
      <c r="N4516" s="23"/>
      <c r="P4516" s="23"/>
    </row>
    <row r="4517" spans="2:16" x14ac:dyDescent="0.25">
      <c r="B4517" s="23"/>
      <c r="E4517" s="23"/>
      <c r="G4517" s="23"/>
      <c r="H4517" s="23"/>
      <c r="J4517" s="23"/>
      <c r="K4517" s="23"/>
      <c r="M4517" s="23"/>
      <c r="N4517" s="23"/>
      <c r="P4517" s="23"/>
    </row>
    <row r="4518" spans="2:16" x14ac:dyDescent="0.25">
      <c r="B4518" s="23"/>
      <c r="E4518" s="23"/>
      <c r="G4518" s="23"/>
      <c r="H4518" s="23"/>
      <c r="J4518" s="23"/>
      <c r="K4518" s="23"/>
      <c r="M4518" s="23"/>
      <c r="N4518" s="23"/>
      <c r="P4518" s="23"/>
    </row>
    <row r="4519" spans="2:16" x14ac:dyDescent="0.25">
      <c r="B4519" s="23"/>
      <c r="E4519" s="23"/>
      <c r="G4519" s="23"/>
      <c r="H4519" s="23"/>
      <c r="J4519" s="23"/>
      <c r="K4519" s="23"/>
      <c r="M4519" s="23"/>
      <c r="N4519" s="23"/>
      <c r="P4519" s="23"/>
    </row>
    <row r="4520" spans="2:16" x14ac:dyDescent="0.25">
      <c r="B4520" s="23"/>
      <c r="E4520" s="23"/>
      <c r="G4520" s="23"/>
      <c r="H4520" s="23"/>
      <c r="J4520" s="23"/>
      <c r="K4520" s="23"/>
      <c r="M4520" s="23"/>
      <c r="N4520" s="23"/>
      <c r="P4520" s="23"/>
    </row>
    <row r="4521" spans="2:16" x14ac:dyDescent="0.25">
      <c r="B4521" s="23"/>
      <c r="E4521" s="23"/>
      <c r="G4521" s="23"/>
      <c r="H4521" s="23"/>
      <c r="J4521" s="23"/>
      <c r="K4521" s="23"/>
      <c r="M4521" s="23"/>
      <c r="N4521" s="23"/>
      <c r="P4521" s="23"/>
    </row>
    <row r="4522" spans="2:16" x14ac:dyDescent="0.25">
      <c r="B4522" s="23"/>
      <c r="E4522" s="23"/>
      <c r="G4522" s="23"/>
      <c r="H4522" s="23"/>
      <c r="J4522" s="23"/>
      <c r="K4522" s="23"/>
      <c r="M4522" s="23"/>
      <c r="N4522" s="23"/>
      <c r="P4522" s="23"/>
    </row>
    <row r="4523" spans="2:16" x14ac:dyDescent="0.25">
      <c r="B4523" s="23"/>
      <c r="E4523" s="23"/>
      <c r="G4523" s="23"/>
      <c r="H4523" s="23"/>
      <c r="J4523" s="23"/>
      <c r="K4523" s="23"/>
      <c r="M4523" s="23"/>
      <c r="N4523" s="23"/>
      <c r="P4523" s="23"/>
    </row>
    <row r="4524" spans="2:16" x14ac:dyDescent="0.25">
      <c r="B4524" s="23"/>
      <c r="E4524" s="23"/>
      <c r="G4524" s="23"/>
      <c r="H4524" s="23"/>
      <c r="J4524" s="23"/>
      <c r="K4524" s="23"/>
      <c r="M4524" s="23"/>
      <c r="N4524" s="23"/>
      <c r="P4524" s="23"/>
    </row>
    <row r="4525" spans="2:16" x14ac:dyDescent="0.25">
      <c r="B4525" s="23"/>
      <c r="E4525" s="23"/>
      <c r="G4525" s="23"/>
      <c r="H4525" s="23"/>
      <c r="J4525" s="23"/>
      <c r="K4525" s="23"/>
      <c r="M4525" s="23"/>
      <c r="N4525" s="23"/>
      <c r="P4525" s="23"/>
    </row>
    <row r="4526" spans="2:16" x14ac:dyDescent="0.25">
      <c r="B4526" s="23"/>
      <c r="E4526" s="23"/>
      <c r="G4526" s="23"/>
      <c r="H4526" s="23"/>
      <c r="J4526" s="23"/>
      <c r="K4526" s="23"/>
      <c r="M4526" s="23"/>
      <c r="N4526" s="23"/>
      <c r="P4526" s="23"/>
    </row>
    <row r="4527" spans="2:16" x14ac:dyDescent="0.25">
      <c r="B4527" s="23"/>
      <c r="E4527" s="23"/>
      <c r="G4527" s="23"/>
      <c r="H4527" s="23"/>
      <c r="J4527" s="23"/>
      <c r="K4527" s="23"/>
      <c r="M4527" s="23"/>
      <c r="N4527" s="23"/>
      <c r="P4527" s="23"/>
    </row>
    <row r="4528" spans="2:16" x14ac:dyDescent="0.25">
      <c r="B4528" s="23"/>
      <c r="E4528" s="23"/>
      <c r="G4528" s="23"/>
      <c r="H4528" s="23"/>
      <c r="J4528" s="23"/>
      <c r="K4528" s="23"/>
      <c r="M4528" s="23"/>
      <c r="N4528" s="23"/>
      <c r="P4528" s="23"/>
    </row>
    <row r="4529" spans="2:16" x14ac:dyDescent="0.25">
      <c r="B4529" s="23"/>
      <c r="E4529" s="23"/>
      <c r="G4529" s="23"/>
      <c r="H4529" s="23"/>
      <c r="J4529" s="23"/>
      <c r="K4529" s="23"/>
      <c r="M4529" s="23"/>
      <c r="N4529" s="23"/>
      <c r="P4529" s="23"/>
    </row>
    <row r="4530" spans="2:16" x14ac:dyDescent="0.25">
      <c r="B4530" s="23"/>
      <c r="E4530" s="23"/>
      <c r="G4530" s="23"/>
      <c r="H4530" s="23"/>
      <c r="J4530" s="23"/>
      <c r="K4530" s="23"/>
      <c r="M4530" s="23"/>
      <c r="N4530" s="23"/>
      <c r="P4530" s="23"/>
    </row>
    <row r="4531" spans="2:16" x14ac:dyDescent="0.25">
      <c r="B4531" s="23"/>
      <c r="E4531" s="23"/>
      <c r="G4531" s="23"/>
      <c r="H4531" s="23"/>
      <c r="J4531" s="23"/>
      <c r="K4531" s="23"/>
      <c r="M4531" s="23"/>
      <c r="N4531" s="23"/>
      <c r="P4531" s="23"/>
    </row>
    <row r="4532" spans="2:16" x14ac:dyDescent="0.25">
      <c r="B4532" s="23"/>
      <c r="E4532" s="23"/>
      <c r="G4532" s="23"/>
      <c r="H4532" s="23"/>
      <c r="J4532" s="23"/>
      <c r="K4532" s="23"/>
      <c r="M4532" s="23"/>
      <c r="N4532" s="23"/>
      <c r="P4532" s="23"/>
    </row>
    <row r="4533" spans="2:16" x14ac:dyDescent="0.25">
      <c r="B4533" s="23"/>
      <c r="E4533" s="23"/>
      <c r="G4533" s="23"/>
      <c r="H4533" s="23"/>
      <c r="J4533" s="23"/>
      <c r="K4533" s="23"/>
      <c r="M4533" s="23"/>
      <c r="N4533" s="23"/>
      <c r="P4533" s="23"/>
    </row>
    <row r="4534" spans="2:16" x14ac:dyDescent="0.25">
      <c r="B4534" s="23"/>
      <c r="E4534" s="23"/>
      <c r="G4534" s="23"/>
      <c r="H4534" s="23"/>
      <c r="J4534" s="23"/>
      <c r="K4534" s="23"/>
      <c r="M4534" s="23"/>
      <c r="N4534" s="23"/>
      <c r="P4534" s="23"/>
    </row>
    <row r="4535" spans="2:16" x14ac:dyDescent="0.25">
      <c r="B4535" s="23"/>
      <c r="E4535" s="23"/>
      <c r="G4535" s="23"/>
      <c r="H4535" s="23"/>
      <c r="J4535" s="23"/>
      <c r="K4535" s="23"/>
      <c r="M4535" s="23"/>
      <c r="N4535" s="23"/>
      <c r="P4535" s="23"/>
    </row>
    <row r="4536" spans="2:16" x14ac:dyDescent="0.25">
      <c r="B4536" s="23"/>
      <c r="E4536" s="23"/>
      <c r="G4536" s="23"/>
      <c r="H4536" s="23"/>
      <c r="J4536" s="23"/>
      <c r="K4536" s="23"/>
      <c r="M4536" s="23"/>
      <c r="N4536" s="23"/>
      <c r="P4536" s="23"/>
    </row>
    <row r="4537" spans="2:16" x14ac:dyDescent="0.25">
      <c r="B4537" s="23"/>
      <c r="E4537" s="23"/>
      <c r="G4537" s="23"/>
      <c r="H4537" s="23"/>
      <c r="J4537" s="23"/>
      <c r="K4537" s="23"/>
      <c r="M4537" s="23"/>
      <c r="N4537" s="23"/>
      <c r="P4537" s="23"/>
    </row>
    <row r="4538" spans="2:16" x14ac:dyDescent="0.25">
      <c r="B4538" s="23"/>
      <c r="E4538" s="23"/>
      <c r="G4538" s="23"/>
      <c r="H4538" s="23"/>
      <c r="J4538" s="23"/>
      <c r="K4538" s="23"/>
      <c r="M4538" s="23"/>
      <c r="N4538" s="23"/>
      <c r="P4538" s="23"/>
    </row>
    <row r="4539" spans="2:16" x14ac:dyDescent="0.25">
      <c r="B4539" s="23"/>
      <c r="E4539" s="23"/>
      <c r="G4539" s="23"/>
      <c r="H4539" s="23"/>
      <c r="J4539" s="23"/>
      <c r="K4539" s="23"/>
      <c r="M4539" s="23"/>
      <c r="N4539" s="23"/>
      <c r="P4539" s="23"/>
    </row>
    <row r="4540" spans="2:16" x14ac:dyDescent="0.25">
      <c r="B4540" s="23"/>
      <c r="E4540" s="23"/>
      <c r="G4540" s="23"/>
      <c r="H4540" s="23"/>
      <c r="J4540" s="23"/>
      <c r="K4540" s="23"/>
      <c r="M4540" s="23"/>
      <c r="N4540" s="23"/>
      <c r="P4540" s="23"/>
    </row>
    <row r="4541" spans="2:16" x14ac:dyDescent="0.25">
      <c r="B4541" s="23"/>
      <c r="E4541" s="23"/>
      <c r="G4541" s="23"/>
      <c r="H4541" s="23"/>
      <c r="J4541" s="23"/>
      <c r="K4541" s="23"/>
      <c r="M4541" s="23"/>
      <c r="N4541" s="23"/>
      <c r="P4541" s="23"/>
    </row>
    <row r="4542" spans="2:16" x14ac:dyDescent="0.25">
      <c r="B4542" s="23"/>
      <c r="E4542" s="23"/>
      <c r="G4542" s="23"/>
      <c r="H4542" s="23"/>
      <c r="J4542" s="23"/>
      <c r="K4542" s="23"/>
      <c r="M4542" s="23"/>
      <c r="N4542" s="23"/>
      <c r="P4542" s="23"/>
    </row>
    <row r="4543" spans="2:16" x14ac:dyDescent="0.25">
      <c r="B4543" s="23"/>
      <c r="E4543" s="23"/>
      <c r="G4543" s="23"/>
      <c r="H4543" s="23"/>
      <c r="J4543" s="23"/>
      <c r="K4543" s="23"/>
      <c r="M4543" s="23"/>
      <c r="N4543" s="23"/>
      <c r="P4543" s="23"/>
    </row>
    <row r="4544" spans="2:16" x14ac:dyDescent="0.25">
      <c r="B4544" s="23"/>
      <c r="E4544" s="23"/>
      <c r="G4544" s="23"/>
      <c r="H4544" s="23"/>
      <c r="J4544" s="23"/>
      <c r="K4544" s="23"/>
      <c r="M4544" s="23"/>
      <c r="N4544" s="23"/>
      <c r="P4544" s="23"/>
    </row>
    <row r="4545" spans="2:16" x14ac:dyDescent="0.25">
      <c r="B4545" s="23"/>
      <c r="E4545" s="23"/>
      <c r="G4545" s="23"/>
      <c r="H4545" s="23"/>
      <c r="J4545" s="23"/>
      <c r="K4545" s="23"/>
      <c r="M4545" s="23"/>
      <c r="N4545" s="23"/>
      <c r="P4545" s="23"/>
    </row>
    <row r="4546" spans="2:16" x14ac:dyDescent="0.25">
      <c r="B4546" s="23"/>
      <c r="E4546" s="23"/>
      <c r="G4546" s="23"/>
      <c r="H4546" s="23"/>
      <c r="J4546" s="23"/>
      <c r="K4546" s="23"/>
      <c r="M4546" s="23"/>
      <c r="N4546" s="23"/>
      <c r="P4546" s="23"/>
    </row>
    <row r="4547" spans="2:16" x14ac:dyDescent="0.25">
      <c r="B4547" s="23"/>
      <c r="E4547" s="23"/>
      <c r="G4547" s="23"/>
      <c r="H4547" s="23"/>
      <c r="J4547" s="23"/>
      <c r="K4547" s="23"/>
      <c r="M4547" s="23"/>
      <c r="N4547" s="23"/>
      <c r="P4547" s="23"/>
    </row>
    <row r="4548" spans="2:16" x14ac:dyDescent="0.25">
      <c r="B4548" s="23"/>
      <c r="E4548" s="23"/>
      <c r="G4548" s="23"/>
      <c r="H4548" s="23"/>
      <c r="J4548" s="23"/>
      <c r="K4548" s="23"/>
      <c r="M4548" s="23"/>
      <c r="N4548" s="23"/>
      <c r="P4548" s="23"/>
    </row>
    <row r="4549" spans="2:16" x14ac:dyDescent="0.25">
      <c r="B4549" s="23"/>
      <c r="E4549" s="23"/>
      <c r="G4549" s="23"/>
      <c r="H4549" s="23"/>
      <c r="J4549" s="23"/>
      <c r="K4549" s="23"/>
      <c r="M4549" s="23"/>
      <c r="N4549" s="23"/>
      <c r="P4549" s="23"/>
    </row>
    <row r="4550" spans="2:16" x14ac:dyDescent="0.25">
      <c r="B4550" s="23"/>
      <c r="E4550" s="23"/>
      <c r="G4550" s="23"/>
      <c r="H4550" s="23"/>
      <c r="J4550" s="23"/>
      <c r="K4550" s="23"/>
      <c r="M4550" s="23"/>
      <c r="N4550" s="23"/>
      <c r="P4550" s="23"/>
    </row>
    <row r="4551" spans="2:16" x14ac:dyDescent="0.25">
      <c r="B4551" s="23"/>
      <c r="E4551" s="23"/>
      <c r="G4551" s="23"/>
      <c r="H4551" s="23"/>
      <c r="J4551" s="23"/>
      <c r="K4551" s="23"/>
      <c r="M4551" s="23"/>
      <c r="N4551" s="23"/>
      <c r="P4551" s="23"/>
    </row>
    <row r="4552" spans="2:16" x14ac:dyDescent="0.25">
      <c r="B4552" s="23"/>
      <c r="E4552" s="23"/>
      <c r="G4552" s="23"/>
      <c r="H4552" s="23"/>
      <c r="J4552" s="23"/>
      <c r="K4552" s="23"/>
      <c r="M4552" s="23"/>
      <c r="N4552" s="23"/>
      <c r="P4552" s="23"/>
    </row>
    <row r="4553" spans="2:16" x14ac:dyDescent="0.25">
      <c r="B4553" s="23"/>
      <c r="E4553" s="23"/>
      <c r="G4553" s="23"/>
      <c r="H4553" s="23"/>
      <c r="J4553" s="23"/>
      <c r="K4553" s="23"/>
      <c r="M4553" s="23"/>
      <c r="N4553" s="23"/>
      <c r="P4553" s="23"/>
    </row>
    <row r="4554" spans="2:16" x14ac:dyDescent="0.25">
      <c r="B4554" s="23"/>
      <c r="E4554" s="23"/>
      <c r="G4554" s="23"/>
      <c r="H4554" s="23"/>
      <c r="J4554" s="23"/>
      <c r="K4554" s="23"/>
      <c r="M4554" s="23"/>
      <c r="N4554" s="23"/>
      <c r="P4554" s="23"/>
    </row>
    <row r="4555" spans="2:16" x14ac:dyDescent="0.25">
      <c r="B4555" s="23"/>
      <c r="E4555" s="23"/>
      <c r="G4555" s="23"/>
      <c r="H4555" s="23"/>
      <c r="J4555" s="23"/>
      <c r="K4555" s="23"/>
      <c r="M4555" s="23"/>
      <c r="N4555" s="23"/>
      <c r="P4555" s="23"/>
    </row>
    <row r="4556" spans="2:16" x14ac:dyDescent="0.25">
      <c r="B4556" s="23"/>
      <c r="E4556" s="23"/>
      <c r="G4556" s="23"/>
      <c r="H4556" s="23"/>
      <c r="J4556" s="23"/>
      <c r="K4556" s="23"/>
      <c r="M4556" s="23"/>
      <c r="N4556" s="23"/>
      <c r="P4556" s="23"/>
    </row>
    <row r="4557" spans="2:16" x14ac:dyDescent="0.25">
      <c r="B4557" s="23"/>
      <c r="E4557" s="23"/>
      <c r="G4557" s="23"/>
      <c r="H4557" s="23"/>
      <c r="J4557" s="23"/>
      <c r="K4557" s="23"/>
      <c r="M4557" s="23"/>
      <c r="N4557" s="23"/>
      <c r="P4557" s="23"/>
    </row>
    <row r="4558" spans="2:16" x14ac:dyDescent="0.25">
      <c r="B4558" s="23"/>
      <c r="E4558" s="23"/>
      <c r="G4558" s="23"/>
      <c r="H4558" s="23"/>
      <c r="J4558" s="23"/>
      <c r="K4558" s="23"/>
      <c r="M4558" s="23"/>
      <c r="N4558" s="23"/>
      <c r="P4558" s="23"/>
    </row>
    <row r="4559" spans="2:16" x14ac:dyDescent="0.25">
      <c r="B4559" s="23"/>
      <c r="E4559" s="23"/>
      <c r="G4559" s="23"/>
      <c r="H4559" s="23"/>
      <c r="J4559" s="23"/>
      <c r="K4559" s="23"/>
      <c r="M4559" s="23"/>
      <c r="N4559" s="23"/>
      <c r="P4559" s="23"/>
    </row>
    <row r="4560" spans="2:16" x14ac:dyDescent="0.25">
      <c r="B4560" s="23"/>
      <c r="E4560" s="23"/>
      <c r="G4560" s="23"/>
      <c r="H4560" s="23"/>
      <c r="J4560" s="23"/>
      <c r="K4560" s="23"/>
      <c r="M4560" s="23"/>
      <c r="N4560" s="23"/>
      <c r="P4560" s="23"/>
    </row>
    <row r="4561" spans="2:16" x14ac:dyDescent="0.25">
      <c r="B4561" s="23"/>
      <c r="E4561" s="23"/>
      <c r="G4561" s="23"/>
      <c r="H4561" s="23"/>
      <c r="J4561" s="23"/>
      <c r="K4561" s="23"/>
      <c r="M4561" s="23"/>
      <c r="N4561" s="23"/>
      <c r="P4561" s="23"/>
    </row>
    <row r="4562" spans="2:16" x14ac:dyDescent="0.25">
      <c r="B4562" s="23"/>
      <c r="E4562" s="23"/>
      <c r="G4562" s="23"/>
      <c r="H4562" s="23"/>
      <c r="J4562" s="23"/>
      <c r="K4562" s="23"/>
      <c r="M4562" s="23"/>
      <c r="N4562" s="23"/>
      <c r="P4562" s="23"/>
    </row>
    <row r="4563" spans="2:16" x14ac:dyDescent="0.25">
      <c r="B4563" s="23"/>
      <c r="E4563" s="23"/>
      <c r="G4563" s="23"/>
      <c r="H4563" s="23"/>
      <c r="J4563" s="23"/>
      <c r="K4563" s="23"/>
      <c r="M4563" s="23"/>
      <c r="N4563" s="23"/>
      <c r="P4563" s="23"/>
    </row>
    <row r="4564" spans="2:16" x14ac:dyDescent="0.25">
      <c r="B4564" s="23"/>
      <c r="E4564" s="23"/>
      <c r="G4564" s="23"/>
      <c r="H4564" s="23"/>
      <c r="J4564" s="23"/>
      <c r="K4564" s="23"/>
      <c r="M4564" s="23"/>
      <c r="N4564" s="23"/>
      <c r="P4564" s="23"/>
    </row>
    <row r="4565" spans="2:16" x14ac:dyDescent="0.25">
      <c r="B4565" s="23"/>
      <c r="E4565" s="23"/>
      <c r="G4565" s="23"/>
      <c r="H4565" s="23"/>
      <c r="J4565" s="23"/>
      <c r="K4565" s="23"/>
      <c r="M4565" s="23"/>
      <c r="N4565" s="23"/>
      <c r="P4565" s="23"/>
    </row>
    <row r="4566" spans="2:16" x14ac:dyDescent="0.25">
      <c r="B4566" s="23"/>
      <c r="E4566" s="23"/>
      <c r="G4566" s="23"/>
      <c r="H4566" s="23"/>
      <c r="J4566" s="23"/>
      <c r="K4566" s="23"/>
      <c r="M4566" s="23"/>
      <c r="N4566" s="23"/>
      <c r="P4566" s="23"/>
    </row>
    <row r="4567" spans="2:16" x14ac:dyDescent="0.25">
      <c r="B4567" s="23"/>
      <c r="E4567" s="23"/>
      <c r="G4567" s="23"/>
      <c r="H4567" s="23"/>
      <c r="J4567" s="23"/>
      <c r="K4567" s="23"/>
      <c r="M4567" s="23"/>
      <c r="N4567" s="23"/>
      <c r="P4567" s="23"/>
    </row>
    <row r="4568" spans="2:16" x14ac:dyDescent="0.25">
      <c r="B4568" s="23"/>
      <c r="E4568" s="23"/>
      <c r="G4568" s="23"/>
      <c r="H4568" s="23"/>
      <c r="J4568" s="23"/>
      <c r="K4568" s="23"/>
      <c r="M4568" s="23"/>
      <c r="N4568" s="23"/>
      <c r="P4568" s="23"/>
    </row>
    <row r="4569" spans="2:16" x14ac:dyDescent="0.25">
      <c r="B4569" s="23"/>
      <c r="E4569" s="23"/>
      <c r="G4569" s="23"/>
      <c r="H4569" s="23"/>
      <c r="J4569" s="23"/>
      <c r="K4569" s="23"/>
      <c r="M4569" s="23"/>
      <c r="N4569" s="23"/>
      <c r="P4569" s="23"/>
    </row>
    <row r="4570" spans="2:16" x14ac:dyDescent="0.25">
      <c r="B4570" s="23"/>
      <c r="E4570" s="23"/>
      <c r="G4570" s="23"/>
      <c r="H4570" s="23"/>
      <c r="J4570" s="23"/>
      <c r="K4570" s="23"/>
      <c r="M4570" s="23"/>
      <c r="N4570" s="23"/>
      <c r="P4570" s="23"/>
    </row>
    <row r="4571" spans="2:16" x14ac:dyDescent="0.25">
      <c r="B4571" s="23"/>
      <c r="E4571" s="23"/>
      <c r="G4571" s="23"/>
      <c r="H4571" s="23"/>
      <c r="J4571" s="23"/>
      <c r="K4571" s="23"/>
      <c r="M4571" s="23"/>
      <c r="N4571" s="23"/>
      <c r="P4571" s="23"/>
    </row>
    <row r="4572" spans="2:16" x14ac:dyDescent="0.25">
      <c r="B4572" s="23"/>
      <c r="E4572" s="23"/>
      <c r="G4572" s="23"/>
      <c r="H4572" s="23"/>
      <c r="J4572" s="23"/>
      <c r="K4572" s="23"/>
      <c r="M4572" s="23"/>
      <c r="N4572" s="23"/>
      <c r="P4572" s="23"/>
    </row>
    <row r="4573" spans="2:16" x14ac:dyDescent="0.25">
      <c r="B4573" s="23"/>
      <c r="E4573" s="23"/>
      <c r="G4573" s="23"/>
      <c r="H4573" s="23"/>
      <c r="J4573" s="23"/>
      <c r="K4573" s="23"/>
      <c r="M4573" s="23"/>
      <c r="N4573" s="23"/>
      <c r="P4573" s="23"/>
    </row>
    <row r="4574" spans="2:16" x14ac:dyDescent="0.25">
      <c r="B4574" s="23"/>
      <c r="E4574" s="23"/>
      <c r="G4574" s="23"/>
      <c r="H4574" s="23"/>
      <c r="J4574" s="23"/>
      <c r="K4574" s="23"/>
      <c r="M4574" s="23"/>
      <c r="N4574" s="23"/>
      <c r="P4574" s="23"/>
    </row>
    <row r="4575" spans="2:16" x14ac:dyDescent="0.25">
      <c r="B4575" s="23"/>
      <c r="E4575" s="23"/>
      <c r="G4575" s="23"/>
      <c r="H4575" s="23"/>
      <c r="J4575" s="23"/>
      <c r="K4575" s="23"/>
      <c r="M4575" s="23"/>
      <c r="N4575" s="23"/>
      <c r="P4575" s="23"/>
    </row>
    <row r="4576" spans="2:16" x14ac:dyDescent="0.25">
      <c r="B4576" s="23"/>
      <c r="E4576" s="23"/>
      <c r="G4576" s="23"/>
      <c r="H4576" s="23"/>
      <c r="J4576" s="23"/>
      <c r="K4576" s="23"/>
      <c r="M4576" s="23"/>
      <c r="N4576" s="23"/>
      <c r="P4576" s="23"/>
    </row>
    <row r="4577" spans="2:16" x14ac:dyDescent="0.25">
      <c r="B4577" s="23"/>
      <c r="E4577" s="23"/>
      <c r="G4577" s="23"/>
      <c r="H4577" s="23"/>
      <c r="J4577" s="23"/>
      <c r="K4577" s="23"/>
      <c r="M4577" s="23"/>
      <c r="N4577" s="23"/>
      <c r="P4577" s="23"/>
    </row>
    <row r="4578" spans="2:16" x14ac:dyDescent="0.25">
      <c r="B4578" s="23"/>
      <c r="E4578" s="23"/>
      <c r="G4578" s="23"/>
      <c r="H4578" s="23"/>
      <c r="J4578" s="23"/>
      <c r="K4578" s="23"/>
      <c r="M4578" s="23"/>
      <c r="N4578" s="23"/>
      <c r="P4578" s="23"/>
    </row>
    <row r="4579" spans="2:16" x14ac:dyDescent="0.25">
      <c r="B4579" s="23"/>
      <c r="E4579" s="23"/>
      <c r="G4579" s="23"/>
      <c r="H4579" s="23"/>
      <c r="J4579" s="23"/>
      <c r="K4579" s="23"/>
      <c r="M4579" s="23"/>
      <c r="N4579" s="23"/>
      <c r="P4579" s="23"/>
    </row>
    <row r="4580" spans="2:16" x14ac:dyDescent="0.25">
      <c r="B4580" s="23"/>
      <c r="E4580" s="23"/>
      <c r="G4580" s="23"/>
      <c r="H4580" s="23"/>
      <c r="J4580" s="23"/>
      <c r="K4580" s="23"/>
      <c r="M4580" s="23"/>
      <c r="N4580" s="23"/>
      <c r="P4580" s="23"/>
    </row>
    <row r="4581" spans="2:16" x14ac:dyDescent="0.25">
      <c r="B4581" s="23"/>
      <c r="E4581" s="23"/>
      <c r="G4581" s="23"/>
      <c r="H4581" s="23"/>
      <c r="J4581" s="23"/>
      <c r="K4581" s="23"/>
      <c r="M4581" s="23"/>
      <c r="N4581" s="23"/>
      <c r="P4581" s="23"/>
    </row>
    <row r="4582" spans="2:16" x14ac:dyDescent="0.25">
      <c r="B4582" s="23"/>
      <c r="E4582" s="23"/>
      <c r="G4582" s="23"/>
      <c r="H4582" s="23"/>
      <c r="J4582" s="23"/>
      <c r="K4582" s="23"/>
      <c r="M4582" s="23"/>
      <c r="N4582" s="23"/>
      <c r="P4582" s="23"/>
    </row>
    <row r="4583" spans="2:16" x14ac:dyDescent="0.25">
      <c r="B4583" s="23"/>
      <c r="E4583" s="23"/>
      <c r="G4583" s="23"/>
      <c r="H4583" s="23"/>
      <c r="J4583" s="23"/>
      <c r="K4583" s="23"/>
      <c r="M4583" s="23"/>
      <c r="N4583" s="23"/>
      <c r="P4583" s="23"/>
    </row>
    <row r="4584" spans="2:16" x14ac:dyDescent="0.25">
      <c r="B4584" s="23"/>
      <c r="E4584" s="23"/>
      <c r="G4584" s="23"/>
      <c r="H4584" s="23"/>
      <c r="J4584" s="23"/>
      <c r="K4584" s="23"/>
      <c r="M4584" s="23"/>
      <c r="N4584" s="23"/>
      <c r="P4584" s="23"/>
    </row>
    <row r="4585" spans="2:16" x14ac:dyDescent="0.25">
      <c r="B4585" s="23"/>
      <c r="E4585" s="23"/>
      <c r="G4585" s="23"/>
      <c r="H4585" s="23"/>
      <c r="J4585" s="23"/>
      <c r="K4585" s="23"/>
      <c r="M4585" s="23"/>
      <c r="N4585" s="23"/>
      <c r="P4585" s="23"/>
    </row>
    <row r="4586" spans="2:16" x14ac:dyDescent="0.25">
      <c r="B4586" s="23"/>
      <c r="E4586" s="23"/>
      <c r="G4586" s="23"/>
      <c r="H4586" s="23"/>
      <c r="J4586" s="23"/>
      <c r="K4586" s="23"/>
      <c r="M4586" s="23"/>
      <c r="N4586" s="23"/>
      <c r="P4586" s="23"/>
    </row>
    <row r="4587" spans="2:16" x14ac:dyDescent="0.25">
      <c r="B4587" s="23"/>
      <c r="E4587" s="23"/>
      <c r="G4587" s="23"/>
      <c r="H4587" s="23"/>
      <c r="J4587" s="23"/>
      <c r="K4587" s="23"/>
      <c r="M4587" s="23"/>
      <c r="N4587" s="23"/>
      <c r="P4587" s="23"/>
    </row>
    <row r="4588" spans="2:16" x14ac:dyDescent="0.25">
      <c r="B4588" s="23"/>
      <c r="E4588" s="23"/>
      <c r="G4588" s="23"/>
      <c r="H4588" s="23"/>
      <c r="J4588" s="23"/>
      <c r="K4588" s="23"/>
      <c r="M4588" s="23"/>
      <c r="N4588" s="23"/>
      <c r="P4588" s="23"/>
    </row>
    <row r="4589" spans="2:16" x14ac:dyDescent="0.25">
      <c r="B4589" s="23"/>
      <c r="E4589" s="23"/>
      <c r="G4589" s="23"/>
      <c r="H4589" s="23"/>
      <c r="J4589" s="23"/>
      <c r="K4589" s="23"/>
      <c r="M4589" s="23"/>
      <c r="N4589" s="23"/>
      <c r="P4589" s="23"/>
    </row>
    <row r="4590" spans="2:16" x14ac:dyDescent="0.25">
      <c r="B4590" s="23"/>
      <c r="E4590" s="23"/>
      <c r="G4590" s="23"/>
      <c r="H4590" s="23"/>
      <c r="J4590" s="23"/>
      <c r="K4590" s="23"/>
      <c r="M4590" s="23"/>
      <c r="N4590" s="23"/>
      <c r="P4590" s="23"/>
    </row>
    <row r="4591" spans="2:16" x14ac:dyDescent="0.25">
      <c r="B4591" s="23"/>
      <c r="E4591" s="23"/>
      <c r="G4591" s="23"/>
      <c r="H4591" s="23"/>
      <c r="J4591" s="23"/>
      <c r="K4591" s="23"/>
      <c r="M4591" s="23"/>
      <c r="N4591" s="23"/>
      <c r="P4591" s="23"/>
    </row>
    <row r="4592" spans="2:16" x14ac:dyDescent="0.25">
      <c r="B4592" s="23"/>
      <c r="E4592" s="23"/>
      <c r="G4592" s="23"/>
      <c r="H4592" s="23"/>
      <c r="J4592" s="23"/>
      <c r="K4592" s="23"/>
      <c r="M4592" s="23"/>
      <c r="N4592" s="23"/>
      <c r="P4592" s="23"/>
    </row>
    <row r="4593" spans="2:16" x14ac:dyDescent="0.25">
      <c r="B4593" s="23"/>
      <c r="E4593" s="23"/>
      <c r="G4593" s="23"/>
      <c r="H4593" s="23"/>
      <c r="J4593" s="23"/>
      <c r="K4593" s="23"/>
      <c r="M4593" s="23"/>
      <c r="N4593" s="23"/>
      <c r="P4593" s="23"/>
    </row>
    <row r="4594" spans="2:16" x14ac:dyDescent="0.25">
      <c r="B4594" s="23"/>
      <c r="E4594" s="23"/>
      <c r="G4594" s="23"/>
      <c r="H4594" s="23"/>
      <c r="J4594" s="23"/>
      <c r="K4594" s="23"/>
      <c r="M4594" s="23"/>
      <c r="N4594" s="23"/>
      <c r="P4594" s="23"/>
    </row>
    <row r="4595" spans="2:16" x14ac:dyDescent="0.25">
      <c r="B4595" s="23"/>
      <c r="E4595" s="23"/>
      <c r="G4595" s="23"/>
      <c r="H4595" s="23"/>
      <c r="J4595" s="23"/>
      <c r="K4595" s="23"/>
      <c r="M4595" s="23"/>
      <c r="N4595" s="23"/>
      <c r="P4595" s="23"/>
    </row>
    <row r="4596" spans="2:16" x14ac:dyDescent="0.25">
      <c r="B4596" s="23"/>
      <c r="E4596" s="23"/>
      <c r="G4596" s="23"/>
      <c r="H4596" s="23"/>
      <c r="J4596" s="23"/>
      <c r="K4596" s="23"/>
      <c r="M4596" s="23"/>
      <c r="N4596" s="23"/>
      <c r="P4596" s="23"/>
    </row>
    <row r="4597" spans="2:16" x14ac:dyDescent="0.25">
      <c r="B4597" s="23"/>
      <c r="E4597" s="23"/>
      <c r="G4597" s="23"/>
      <c r="H4597" s="23"/>
      <c r="J4597" s="23"/>
      <c r="K4597" s="23"/>
      <c r="M4597" s="23"/>
      <c r="N4597" s="23"/>
      <c r="P4597" s="23"/>
    </row>
    <row r="4598" spans="2:16" x14ac:dyDescent="0.25">
      <c r="B4598" s="23"/>
      <c r="E4598" s="23"/>
      <c r="G4598" s="23"/>
      <c r="H4598" s="23"/>
      <c r="J4598" s="23"/>
      <c r="K4598" s="23"/>
      <c r="M4598" s="23"/>
      <c r="N4598" s="23"/>
      <c r="P4598" s="23"/>
    </row>
    <row r="4599" spans="2:16" x14ac:dyDescent="0.25">
      <c r="B4599" s="23"/>
      <c r="E4599" s="23"/>
      <c r="G4599" s="23"/>
      <c r="H4599" s="23"/>
      <c r="J4599" s="23"/>
      <c r="K4599" s="23"/>
      <c r="M4599" s="23"/>
      <c r="N4599" s="23"/>
      <c r="P4599" s="23"/>
    </row>
    <row r="4600" spans="2:16" x14ac:dyDescent="0.25">
      <c r="B4600" s="23"/>
      <c r="E4600" s="23"/>
      <c r="G4600" s="23"/>
      <c r="H4600" s="23"/>
      <c r="J4600" s="23"/>
      <c r="K4600" s="23"/>
      <c r="M4600" s="23"/>
      <c r="N4600" s="23"/>
      <c r="P4600" s="23"/>
    </row>
    <row r="4601" spans="2:16" x14ac:dyDescent="0.25">
      <c r="B4601" s="23"/>
      <c r="E4601" s="23"/>
      <c r="G4601" s="23"/>
      <c r="H4601" s="23"/>
      <c r="J4601" s="23"/>
      <c r="K4601" s="23"/>
      <c r="M4601" s="23"/>
      <c r="N4601" s="23"/>
      <c r="P4601" s="23"/>
    </row>
    <row r="4602" spans="2:16" x14ac:dyDescent="0.25">
      <c r="B4602" s="23"/>
      <c r="E4602" s="23"/>
      <c r="G4602" s="23"/>
      <c r="H4602" s="23"/>
      <c r="J4602" s="23"/>
      <c r="K4602" s="23"/>
      <c r="M4602" s="23"/>
      <c r="N4602" s="23"/>
      <c r="P4602" s="23"/>
    </row>
    <row r="4603" spans="2:16" x14ac:dyDescent="0.25">
      <c r="B4603" s="23"/>
      <c r="E4603" s="23"/>
      <c r="G4603" s="23"/>
      <c r="H4603" s="23"/>
      <c r="J4603" s="23"/>
      <c r="K4603" s="23"/>
      <c r="M4603" s="23"/>
      <c r="N4603" s="23"/>
      <c r="P4603" s="23"/>
    </row>
    <row r="4604" spans="2:16" x14ac:dyDescent="0.25">
      <c r="B4604" s="23"/>
      <c r="E4604" s="23"/>
      <c r="G4604" s="23"/>
      <c r="H4604" s="23"/>
      <c r="J4604" s="23"/>
      <c r="K4604" s="23"/>
      <c r="M4604" s="23"/>
      <c r="N4604" s="23"/>
      <c r="P4604" s="23"/>
    </row>
    <row r="4605" spans="2:16" x14ac:dyDescent="0.25">
      <c r="B4605" s="23"/>
      <c r="E4605" s="23"/>
      <c r="G4605" s="23"/>
      <c r="H4605" s="23"/>
      <c r="J4605" s="23"/>
      <c r="K4605" s="23"/>
      <c r="M4605" s="23"/>
      <c r="N4605" s="23"/>
      <c r="P4605" s="23"/>
    </row>
    <row r="4606" spans="2:16" x14ac:dyDescent="0.25">
      <c r="B4606" s="23"/>
      <c r="E4606" s="23"/>
      <c r="G4606" s="23"/>
      <c r="H4606" s="23"/>
      <c r="J4606" s="23"/>
      <c r="K4606" s="23"/>
      <c r="M4606" s="23"/>
      <c r="N4606" s="23"/>
      <c r="P4606" s="23"/>
    </row>
    <row r="4607" spans="2:16" x14ac:dyDescent="0.25">
      <c r="B4607" s="23"/>
      <c r="E4607" s="23"/>
      <c r="G4607" s="23"/>
      <c r="H4607" s="23"/>
      <c r="J4607" s="23"/>
      <c r="K4607" s="23"/>
      <c r="M4607" s="23"/>
      <c r="N4607" s="23"/>
      <c r="P4607" s="23"/>
    </row>
    <row r="4608" spans="2:16" x14ac:dyDescent="0.25">
      <c r="B4608" s="23"/>
      <c r="E4608" s="23"/>
      <c r="G4608" s="23"/>
      <c r="H4608" s="23"/>
      <c r="J4608" s="23"/>
      <c r="K4608" s="23"/>
      <c r="M4608" s="23"/>
      <c r="N4608" s="23"/>
      <c r="P4608" s="23"/>
    </row>
    <row r="4609" spans="2:16" x14ac:dyDescent="0.25">
      <c r="B4609" s="23"/>
      <c r="E4609" s="23"/>
      <c r="G4609" s="23"/>
      <c r="H4609" s="23"/>
      <c r="J4609" s="23"/>
      <c r="K4609" s="23"/>
      <c r="M4609" s="23"/>
      <c r="N4609" s="23"/>
      <c r="P4609" s="23"/>
    </row>
    <row r="4610" spans="2:16" x14ac:dyDescent="0.25">
      <c r="B4610" s="23"/>
      <c r="E4610" s="23"/>
      <c r="G4610" s="23"/>
      <c r="H4610" s="23"/>
      <c r="J4610" s="23"/>
      <c r="K4610" s="23"/>
      <c r="M4610" s="23"/>
      <c r="N4610" s="23"/>
      <c r="P4610" s="23"/>
    </row>
    <row r="4611" spans="2:16" x14ac:dyDescent="0.25">
      <c r="B4611" s="23"/>
      <c r="E4611" s="23"/>
      <c r="G4611" s="23"/>
      <c r="H4611" s="23"/>
      <c r="J4611" s="23"/>
      <c r="K4611" s="23"/>
      <c r="M4611" s="23"/>
      <c r="N4611" s="23"/>
      <c r="P4611" s="23"/>
    </row>
    <row r="4612" spans="2:16" x14ac:dyDescent="0.25">
      <c r="B4612" s="23"/>
      <c r="E4612" s="23"/>
      <c r="G4612" s="23"/>
      <c r="H4612" s="23"/>
      <c r="J4612" s="23"/>
      <c r="K4612" s="23"/>
      <c r="M4612" s="23"/>
      <c r="N4612" s="23"/>
      <c r="P4612" s="23"/>
    </row>
    <row r="4613" spans="2:16" x14ac:dyDescent="0.25">
      <c r="B4613" s="23"/>
      <c r="E4613" s="23"/>
      <c r="G4613" s="23"/>
      <c r="H4613" s="23"/>
      <c r="J4613" s="23"/>
      <c r="K4613" s="23"/>
      <c r="M4613" s="23"/>
      <c r="N4613" s="23"/>
      <c r="P4613" s="23"/>
    </row>
    <row r="4614" spans="2:16" x14ac:dyDescent="0.25">
      <c r="B4614" s="23"/>
      <c r="E4614" s="23"/>
      <c r="G4614" s="23"/>
      <c r="H4614" s="23"/>
      <c r="J4614" s="23"/>
      <c r="K4614" s="23"/>
      <c r="M4614" s="23"/>
      <c r="N4614" s="23"/>
      <c r="P4614" s="23"/>
    </row>
    <row r="4615" spans="2:16" x14ac:dyDescent="0.25">
      <c r="B4615" s="23"/>
      <c r="E4615" s="23"/>
      <c r="G4615" s="23"/>
      <c r="H4615" s="23"/>
      <c r="J4615" s="23"/>
      <c r="K4615" s="23"/>
      <c r="M4615" s="23"/>
      <c r="N4615" s="23"/>
      <c r="P4615" s="23"/>
    </row>
    <row r="4616" spans="2:16" x14ac:dyDescent="0.25">
      <c r="B4616" s="23"/>
      <c r="E4616" s="23"/>
      <c r="G4616" s="23"/>
      <c r="H4616" s="23"/>
      <c r="J4616" s="23"/>
      <c r="K4616" s="23"/>
      <c r="M4616" s="23"/>
      <c r="N4616" s="23"/>
      <c r="P4616" s="23"/>
    </row>
    <row r="4617" spans="2:16" x14ac:dyDescent="0.25">
      <c r="B4617" s="23"/>
      <c r="E4617" s="23"/>
      <c r="G4617" s="23"/>
      <c r="H4617" s="23"/>
      <c r="J4617" s="23"/>
      <c r="K4617" s="23"/>
      <c r="M4617" s="23"/>
      <c r="N4617" s="23"/>
      <c r="P4617" s="23"/>
    </row>
    <row r="4618" spans="2:16" x14ac:dyDescent="0.25">
      <c r="B4618" s="23"/>
      <c r="E4618" s="23"/>
      <c r="G4618" s="23"/>
      <c r="H4618" s="23"/>
      <c r="J4618" s="23"/>
      <c r="K4618" s="23"/>
      <c r="M4618" s="23"/>
      <c r="N4618" s="23"/>
      <c r="P4618" s="23"/>
    </row>
    <row r="4619" spans="2:16" x14ac:dyDescent="0.25">
      <c r="B4619" s="23"/>
      <c r="E4619" s="23"/>
      <c r="G4619" s="23"/>
      <c r="H4619" s="23"/>
      <c r="J4619" s="23"/>
      <c r="K4619" s="23"/>
      <c r="M4619" s="23"/>
      <c r="N4619" s="23"/>
      <c r="P4619" s="23"/>
    </row>
    <row r="4620" spans="2:16" x14ac:dyDescent="0.25">
      <c r="B4620" s="23"/>
      <c r="E4620" s="23"/>
      <c r="G4620" s="23"/>
      <c r="H4620" s="23"/>
      <c r="J4620" s="23"/>
      <c r="K4620" s="23"/>
      <c r="M4620" s="23"/>
      <c r="N4620" s="23"/>
      <c r="P4620" s="23"/>
    </row>
    <row r="4621" spans="2:16" x14ac:dyDescent="0.25">
      <c r="B4621" s="23"/>
      <c r="E4621" s="23"/>
      <c r="G4621" s="23"/>
      <c r="H4621" s="23"/>
      <c r="J4621" s="23"/>
      <c r="K4621" s="23"/>
      <c r="M4621" s="23"/>
      <c r="N4621" s="23"/>
      <c r="P4621" s="23"/>
    </row>
    <row r="4622" spans="2:16" x14ac:dyDescent="0.25">
      <c r="B4622" s="23"/>
      <c r="E4622" s="23"/>
      <c r="G4622" s="23"/>
      <c r="H4622" s="23"/>
      <c r="J4622" s="23"/>
      <c r="K4622" s="23"/>
      <c r="M4622" s="23"/>
      <c r="N4622" s="23"/>
      <c r="P4622" s="23"/>
    </row>
    <row r="4623" spans="2:16" x14ac:dyDescent="0.25">
      <c r="B4623" s="23"/>
      <c r="E4623" s="23"/>
      <c r="G4623" s="23"/>
      <c r="H4623" s="23"/>
      <c r="J4623" s="23"/>
      <c r="K4623" s="23"/>
      <c r="M4623" s="23"/>
      <c r="N4623" s="23"/>
      <c r="P4623" s="23"/>
    </row>
    <row r="4624" spans="2:16" x14ac:dyDescent="0.25">
      <c r="B4624" s="23"/>
      <c r="E4624" s="23"/>
      <c r="G4624" s="23"/>
      <c r="H4624" s="23"/>
      <c r="J4624" s="23"/>
      <c r="K4624" s="23"/>
      <c r="M4624" s="23"/>
      <c r="N4624" s="23"/>
      <c r="P4624" s="23"/>
    </row>
    <row r="4625" spans="2:16" x14ac:dyDescent="0.25">
      <c r="B4625" s="23"/>
      <c r="E4625" s="23"/>
      <c r="G4625" s="23"/>
      <c r="H4625" s="23"/>
      <c r="J4625" s="23"/>
      <c r="K4625" s="23"/>
      <c r="M4625" s="23"/>
      <c r="N4625" s="23"/>
      <c r="P4625" s="23"/>
    </row>
    <row r="4626" spans="2:16" x14ac:dyDescent="0.25">
      <c r="B4626" s="23"/>
      <c r="E4626" s="23"/>
      <c r="G4626" s="23"/>
      <c r="H4626" s="23"/>
      <c r="J4626" s="23"/>
      <c r="K4626" s="23"/>
      <c r="M4626" s="23"/>
      <c r="N4626" s="23"/>
      <c r="P4626" s="23"/>
    </row>
    <row r="4627" spans="2:16" x14ac:dyDescent="0.25">
      <c r="B4627" s="23"/>
      <c r="E4627" s="23"/>
      <c r="G4627" s="23"/>
      <c r="H4627" s="23"/>
      <c r="J4627" s="23"/>
      <c r="K4627" s="23"/>
      <c r="M4627" s="23"/>
      <c r="N4627" s="23"/>
      <c r="P4627" s="23"/>
    </row>
    <row r="4628" spans="2:16" x14ac:dyDescent="0.25">
      <c r="B4628" s="23"/>
      <c r="E4628" s="23"/>
      <c r="G4628" s="23"/>
      <c r="H4628" s="23"/>
      <c r="J4628" s="23"/>
      <c r="K4628" s="23"/>
      <c r="M4628" s="23"/>
      <c r="N4628" s="23"/>
      <c r="P4628" s="23"/>
    </row>
    <row r="4629" spans="2:16" x14ac:dyDescent="0.25">
      <c r="B4629" s="23"/>
      <c r="E4629" s="23"/>
      <c r="G4629" s="23"/>
      <c r="H4629" s="23"/>
      <c r="J4629" s="23"/>
      <c r="K4629" s="23"/>
      <c r="M4629" s="23"/>
      <c r="N4629" s="23"/>
      <c r="P4629" s="23"/>
    </row>
    <row r="4630" spans="2:16" x14ac:dyDescent="0.25">
      <c r="B4630" s="23"/>
      <c r="E4630" s="23"/>
      <c r="G4630" s="23"/>
      <c r="H4630" s="23"/>
      <c r="J4630" s="23"/>
      <c r="K4630" s="23"/>
      <c r="M4630" s="23"/>
      <c r="N4630" s="23"/>
      <c r="P4630" s="23"/>
    </row>
    <row r="4631" spans="2:16" x14ac:dyDescent="0.25">
      <c r="B4631" s="23"/>
      <c r="E4631" s="23"/>
      <c r="G4631" s="23"/>
      <c r="H4631" s="23"/>
      <c r="J4631" s="23"/>
      <c r="K4631" s="23"/>
      <c r="M4631" s="23"/>
      <c r="N4631" s="23"/>
      <c r="P4631" s="23"/>
    </row>
    <row r="4632" spans="2:16" x14ac:dyDescent="0.25">
      <c r="B4632" s="23"/>
      <c r="E4632" s="23"/>
      <c r="G4632" s="23"/>
      <c r="H4632" s="23"/>
      <c r="J4632" s="23"/>
      <c r="K4632" s="23"/>
      <c r="M4632" s="23"/>
      <c r="N4632" s="23"/>
      <c r="P4632" s="23"/>
    </row>
    <row r="4633" spans="2:16" x14ac:dyDescent="0.25">
      <c r="B4633" s="23"/>
      <c r="E4633" s="23"/>
      <c r="G4633" s="23"/>
      <c r="H4633" s="23"/>
      <c r="J4633" s="23"/>
      <c r="K4633" s="23"/>
      <c r="M4633" s="23"/>
      <c r="N4633" s="23"/>
      <c r="P4633" s="23"/>
    </row>
    <row r="4634" spans="2:16" x14ac:dyDescent="0.25">
      <c r="B4634" s="23"/>
      <c r="E4634" s="23"/>
      <c r="G4634" s="23"/>
      <c r="H4634" s="23"/>
      <c r="J4634" s="23"/>
      <c r="K4634" s="23"/>
      <c r="M4634" s="23"/>
      <c r="N4634" s="23"/>
      <c r="P4634" s="23"/>
    </row>
    <row r="4635" spans="2:16" x14ac:dyDescent="0.25">
      <c r="B4635" s="23"/>
      <c r="E4635" s="23"/>
      <c r="G4635" s="23"/>
      <c r="H4635" s="23"/>
      <c r="J4635" s="23"/>
      <c r="K4635" s="23"/>
      <c r="M4635" s="23"/>
      <c r="N4635" s="23"/>
      <c r="P4635" s="23"/>
    </row>
    <row r="4636" spans="2:16" x14ac:dyDescent="0.25">
      <c r="B4636" s="23"/>
      <c r="E4636" s="23"/>
      <c r="G4636" s="23"/>
      <c r="H4636" s="23"/>
      <c r="J4636" s="23"/>
      <c r="K4636" s="23"/>
      <c r="M4636" s="23"/>
      <c r="N4636" s="23"/>
      <c r="P4636" s="23"/>
    </row>
    <row r="4637" spans="2:16" x14ac:dyDescent="0.25">
      <c r="B4637" s="23"/>
      <c r="E4637" s="23"/>
      <c r="G4637" s="23"/>
      <c r="H4637" s="23"/>
      <c r="J4637" s="23"/>
      <c r="K4637" s="23"/>
      <c r="M4637" s="23"/>
      <c r="N4637" s="23"/>
      <c r="P4637" s="23"/>
    </row>
    <row r="4638" spans="2:16" x14ac:dyDescent="0.25">
      <c r="B4638" s="23"/>
      <c r="E4638" s="23"/>
      <c r="G4638" s="23"/>
      <c r="H4638" s="23"/>
      <c r="J4638" s="23"/>
      <c r="K4638" s="23"/>
      <c r="M4638" s="23"/>
      <c r="N4638" s="23"/>
      <c r="P4638" s="23"/>
    </row>
    <row r="4639" spans="2:16" x14ac:dyDescent="0.25">
      <c r="B4639" s="23"/>
      <c r="E4639" s="23"/>
      <c r="G4639" s="23"/>
      <c r="H4639" s="23"/>
      <c r="J4639" s="23"/>
      <c r="K4639" s="23"/>
      <c r="M4639" s="23"/>
      <c r="N4639" s="23"/>
      <c r="P4639" s="23"/>
    </row>
    <row r="4640" spans="2:16" x14ac:dyDescent="0.25">
      <c r="B4640" s="23"/>
      <c r="E4640" s="23"/>
      <c r="G4640" s="23"/>
      <c r="H4640" s="23"/>
      <c r="J4640" s="23"/>
      <c r="K4640" s="23"/>
      <c r="M4640" s="23"/>
      <c r="N4640" s="23"/>
      <c r="P4640" s="23"/>
    </row>
    <row r="4641" spans="2:16" x14ac:dyDescent="0.25">
      <c r="B4641" s="23"/>
      <c r="E4641" s="23"/>
      <c r="G4641" s="23"/>
      <c r="H4641" s="23"/>
      <c r="J4641" s="23"/>
      <c r="K4641" s="23"/>
      <c r="M4641" s="23"/>
      <c r="N4641" s="23"/>
      <c r="P4641" s="23"/>
    </row>
    <row r="4642" spans="2:16" x14ac:dyDescent="0.25">
      <c r="B4642" s="23"/>
      <c r="E4642" s="23"/>
      <c r="G4642" s="23"/>
      <c r="H4642" s="23"/>
      <c r="J4642" s="23"/>
      <c r="K4642" s="23"/>
      <c r="M4642" s="23"/>
      <c r="N4642" s="23"/>
      <c r="P4642" s="23"/>
    </row>
    <row r="4643" spans="2:16" x14ac:dyDescent="0.25">
      <c r="B4643" s="23"/>
      <c r="E4643" s="23"/>
      <c r="G4643" s="23"/>
      <c r="H4643" s="23"/>
      <c r="J4643" s="23"/>
      <c r="K4643" s="23"/>
      <c r="M4643" s="23"/>
      <c r="N4643" s="23"/>
      <c r="P4643" s="23"/>
    </row>
    <row r="4644" spans="2:16" x14ac:dyDescent="0.25">
      <c r="B4644" s="23"/>
      <c r="E4644" s="23"/>
      <c r="G4644" s="23"/>
      <c r="H4644" s="23"/>
      <c r="J4644" s="23"/>
      <c r="K4644" s="23"/>
      <c r="M4644" s="23"/>
      <c r="N4644" s="23"/>
      <c r="P4644" s="23"/>
    </row>
    <row r="4645" spans="2:16" x14ac:dyDescent="0.25">
      <c r="B4645" s="23"/>
      <c r="E4645" s="23"/>
      <c r="G4645" s="23"/>
      <c r="H4645" s="23"/>
      <c r="J4645" s="23"/>
      <c r="K4645" s="23"/>
      <c r="M4645" s="23"/>
      <c r="N4645" s="23"/>
      <c r="P4645" s="23"/>
    </row>
    <row r="4646" spans="2:16" x14ac:dyDescent="0.25">
      <c r="B4646" s="23"/>
      <c r="E4646" s="23"/>
      <c r="G4646" s="23"/>
      <c r="H4646" s="23"/>
      <c r="J4646" s="23"/>
      <c r="K4646" s="23"/>
      <c r="M4646" s="23"/>
      <c r="N4646" s="23"/>
      <c r="P4646" s="23"/>
    </row>
    <row r="4647" spans="2:16" x14ac:dyDescent="0.25">
      <c r="B4647" s="23"/>
      <c r="E4647" s="23"/>
      <c r="G4647" s="23"/>
      <c r="H4647" s="23"/>
      <c r="J4647" s="23"/>
      <c r="K4647" s="23"/>
      <c r="M4647" s="23"/>
      <c r="N4647" s="23"/>
      <c r="P4647" s="23"/>
    </row>
    <row r="4648" spans="2:16" x14ac:dyDescent="0.25">
      <c r="B4648" s="23"/>
      <c r="E4648" s="23"/>
      <c r="G4648" s="23"/>
      <c r="H4648" s="23"/>
      <c r="J4648" s="23"/>
      <c r="K4648" s="23"/>
      <c r="M4648" s="23"/>
      <c r="N4648" s="23"/>
      <c r="P4648" s="23"/>
    </row>
    <row r="4649" spans="2:16" x14ac:dyDescent="0.25">
      <c r="B4649" s="23"/>
      <c r="E4649" s="23"/>
      <c r="G4649" s="23"/>
      <c r="H4649" s="23"/>
      <c r="J4649" s="23"/>
      <c r="K4649" s="23"/>
      <c r="M4649" s="23"/>
      <c r="N4649" s="23"/>
      <c r="P4649" s="23"/>
    </row>
    <row r="4650" spans="2:16" x14ac:dyDescent="0.25">
      <c r="B4650" s="23"/>
      <c r="E4650" s="23"/>
      <c r="G4650" s="23"/>
      <c r="H4650" s="23"/>
      <c r="J4650" s="23"/>
      <c r="K4650" s="23"/>
      <c r="M4650" s="23"/>
      <c r="N4650" s="23"/>
      <c r="P4650" s="23"/>
    </row>
    <row r="4651" spans="2:16" x14ac:dyDescent="0.25">
      <c r="B4651" s="23"/>
      <c r="E4651" s="23"/>
      <c r="G4651" s="23"/>
      <c r="H4651" s="23"/>
      <c r="J4651" s="23"/>
      <c r="K4651" s="23"/>
      <c r="M4651" s="23"/>
      <c r="N4651" s="23"/>
      <c r="P4651" s="23"/>
    </row>
    <row r="4652" spans="2:16" x14ac:dyDescent="0.25">
      <c r="B4652" s="23"/>
      <c r="E4652" s="23"/>
      <c r="G4652" s="23"/>
      <c r="H4652" s="23"/>
      <c r="J4652" s="23"/>
      <c r="K4652" s="23"/>
      <c r="M4652" s="23"/>
      <c r="N4652" s="23"/>
      <c r="P4652" s="23"/>
    </row>
    <row r="4653" spans="2:16" x14ac:dyDescent="0.25">
      <c r="B4653" s="23"/>
      <c r="E4653" s="23"/>
      <c r="G4653" s="23"/>
      <c r="H4653" s="23"/>
      <c r="J4653" s="23"/>
      <c r="K4653" s="23"/>
      <c r="M4653" s="23"/>
      <c r="N4653" s="23"/>
      <c r="P4653" s="23"/>
    </row>
    <row r="4654" spans="2:16" x14ac:dyDescent="0.25">
      <c r="B4654" s="23"/>
      <c r="E4654" s="23"/>
      <c r="G4654" s="23"/>
      <c r="H4654" s="23"/>
      <c r="J4654" s="23"/>
      <c r="K4654" s="23"/>
      <c r="M4654" s="23"/>
      <c r="N4654" s="23"/>
      <c r="P4654" s="23"/>
    </row>
    <row r="4655" spans="2:16" x14ac:dyDescent="0.25">
      <c r="B4655" s="23"/>
      <c r="E4655" s="23"/>
      <c r="G4655" s="23"/>
      <c r="H4655" s="23"/>
      <c r="J4655" s="23"/>
      <c r="K4655" s="23"/>
      <c r="M4655" s="23"/>
      <c r="N4655" s="23"/>
      <c r="P4655" s="23"/>
    </row>
    <row r="4656" spans="2:16" x14ac:dyDescent="0.25">
      <c r="B4656" s="23"/>
      <c r="E4656" s="23"/>
      <c r="G4656" s="23"/>
      <c r="H4656" s="23"/>
      <c r="J4656" s="23"/>
      <c r="K4656" s="23"/>
      <c r="M4656" s="23"/>
      <c r="N4656" s="23"/>
      <c r="P4656" s="23"/>
    </row>
    <row r="4657" spans="2:16" x14ac:dyDescent="0.25">
      <c r="B4657" s="23"/>
      <c r="E4657" s="23"/>
      <c r="G4657" s="23"/>
      <c r="H4657" s="23"/>
      <c r="J4657" s="23"/>
      <c r="K4657" s="23"/>
      <c r="M4657" s="23"/>
      <c r="N4657" s="23"/>
      <c r="P4657" s="23"/>
    </row>
    <row r="4658" spans="2:16" x14ac:dyDescent="0.25">
      <c r="B4658" s="23"/>
      <c r="E4658" s="23"/>
      <c r="G4658" s="23"/>
      <c r="H4658" s="23"/>
      <c r="J4658" s="23"/>
      <c r="K4658" s="23"/>
      <c r="M4658" s="23"/>
      <c r="N4658" s="23"/>
      <c r="P4658" s="23"/>
    </row>
    <row r="4659" spans="2:16" x14ac:dyDescent="0.25">
      <c r="B4659" s="23"/>
      <c r="E4659" s="23"/>
      <c r="G4659" s="23"/>
      <c r="H4659" s="23"/>
      <c r="J4659" s="23"/>
      <c r="K4659" s="23"/>
      <c r="M4659" s="23"/>
      <c r="N4659" s="23"/>
      <c r="P4659" s="23"/>
    </row>
    <row r="4660" spans="2:16" x14ac:dyDescent="0.25">
      <c r="B4660" s="23"/>
      <c r="E4660" s="23"/>
      <c r="G4660" s="23"/>
      <c r="H4660" s="23"/>
      <c r="J4660" s="23"/>
      <c r="K4660" s="23"/>
      <c r="M4660" s="23"/>
      <c r="N4660" s="23"/>
      <c r="P4660" s="23"/>
    </row>
    <row r="4661" spans="2:16" x14ac:dyDescent="0.25">
      <c r="B4661" s="23"/>
      <c r="E4661" s="23"/>
      <c r="G4661" s="23"/>
      <c r="H4661" s="23"/>
      <c r="J4661" s="23"/>
      <c r="K4661" s="23"/>
      <c r="M4661" s="23"/>
      <c r="N4661" s="23"/>
      <c r="P4661" s="23"/>
    </row>
    <row r="4662" spans="2:16" x14ac:dyDescent="0.25">
      <c r="B4662" s="23"/>
      <c r="E4662" s="23"/>
      <c r="G4662" s="23"/>
      <c r="H4662" s="23"/>
      <c r="J4662" s="23"/>
      <c r="K4662" s="23"/>
      <c r="M4662" s="23"/>
      <c r="N4662" s="23"/>
      <c r="P4662" s="23"/>
    </row>
    <row r="4663" spans="2:16" x14ac:dyDescent="0.25">
      <c r="B4663" s="23"/>
      <c r="E4663" s="23"/>
      <c r="G4663" s="23"/>
      <c r="H4663" s="23"/>
      <c r="J4663" s="23"/>
      <c r="K4663" s="23"/>
      <c r="M4663" s="23"/>
      <c r="N4663" s="23"/>
      <c r="P4663" s="23"/>
    </row>
    <row r="4664" spans="2:16" x14ac:dyDescent="0.25">
      <c r="B4664" s="23"/>
      <c r="E4664" s="23"/>
      <c r="G4664" s="23"/>
      <c r="H4664" s="23"/>
      <c r="J4664" s="23"/>
      <c r="K4664" s="23"/>
      <c r="M4664" s="23"/>
      <c r="N4664" s="23"/>
      <c r="P4664" s="23"/>
    </row>
    <row r="4665" spans="2:16" x14ac:dyDescent="0.25">
      <c r="B4665" s="23"/>
      <c r="E4665" s="23"/>
      <c r="G4665" s="23"/>
      <c r="H4665" s="23"/>
      <c r="J4665" s="23"/>
      <c r="K4665" s="23"/>
      <c r="M4665" s="23"/>
      <c r="N4665" s="23"/>
      <c r="P4665" s="23"/>
    </row>
    <row r="4666" spans="2:16" x14ac:dyDescent="0.25">
      <c r="B4666" s="23"/>
      <c r="E4666" s="23"/>
      <c r="G4666" s="23"/>
      <c r="H4666" s="23"/>
      <c r="J4666" s="23"/>
      <c r="K4666" s="23"/>
      <c r="M4666" s="23"/>
      <c r="N4666" s="23"/>
      <c r="P4666" s="23"/>
    </row>
    <row r="4667" spans="2:16" x14ac:dyDescent="0.25">
      <c r="B4667" s="23"/>
      <c r="E4667" s="23"/>
      <c r="G4667" s="23"/>
      <c r="H4667" s="23"/>
      <c r="J4667" s="23"/>
      <c r="K4667" s="23"/>
      <c r="M4667" s="23"/>
      <c r="N4667" s="23"/>
      <c r="P4667" s="23"/>
    </row>
    <row r="4668" spans="2:16" x14ac:dyDescent="0.25">
      <c r="B4668" s="23"/>
      <c r="E4668" s="23"/>
      <c r="G4668" s="23"/>
      <c r="H4668" s="23"/>
      <c r="J4668" s="23"/>
      <c r="K4668" s="23"/>
      <c r="M4668" s="23"/>
      <c r="N4668" s="23"/>
      <c r="P4668" s="23"/>
    </row>
    <row r="4669" spans="2:16" x14ac:dyDescent="0.25">
      <c r="B4669" s="23"/>
      <c r="E4669" s="23"/>
      <c r="G4669" s="23"/>
      <c r="H4669" s="23"/>
      <c r="J4669" s="23"/>
      <c r="K4669" s="23"/>
      <c r="M4669" s="23"/>
      <c r="N4669" s="23"/>
      <c r="P4669" s="23"/>
    </row>
    <row r="4670" spans="2:16" x14ac:dyDescent="0.25">
      <c r="B4670" s="23"/>
      <c r="E4670" s="23"/>
      <c r="G4670" s="23"/>
      <c r="H4670" s="23"/>
      <c r="J4670" s="23"/>
      <c r="K4670" s="23"/>
      <c r="M4670" s="23"/>
      <c r="N4670" s="23"/>
      <c r="P4670" s="23"/>
    </row>
    <row r="4671" spans="2:16" x14ac:dyDescent="0.25">
      <c r="B4671" s="23"/>
      <c r="E4671" s="23"/>
      <c r="G4671" s="23"/>
      <c r="H4671" s="23"/>
      <c r="J4671" s="23"/>
      <c r="K4671" s="23"/>
      <c r="M4671" s="23"/>
      <c r="N4671" s="23"/>
      <c r="P4671" s="23"/>
    </row>
    <row r="4672" spans="2:16" x14ac:dyDescent="0.25">
      <c r="B4672" s="23"/>
      <c r="E4672" s="23"/>
      <c r="G4672" s="23"/>
      <c r="H4672" s="23"/>
      <c r="J4672" s="23"/>
      <c r="K4672" s="23"/>
      <c r="M4672" s="23"/>
      <c r="N4672" s="23"/>
      <c r="P4672" s="23"/>
    </row>
    <row r="4673" spans="2:16" x14ac:dyDescent="0.25">
      <c r="B4673" s="23"/>
      <c r="E4673" s="23"/>
      <c r="G4673" s="23"/>
      <c r="H4673" s="23"/>
      <c r="J4673" s="23"/>
      <c r="K4673" s="23"/>
      <c r="M4673" s="23"/>
      <c r="N4673" s="23"/>
      <c r="P4673" s="23"/>
    </row>
    <row r="4674" spans="2:16" x14ac:dyDescent="0.25">
      <c r="B4674" s="23"/>
      <c r="E4674" s="23"/>
      <c r="G4674" s="23"/>
      <c r="H4674" s="23"/>
      <c r="J4674" s="23"/>
      <c r="K4674" s="23"/>
      <c r="M4674" s="23"/>
      <c r="N4674" s="23"/>
      <c r="P4674" s="23"/>
    </row>
    <row r="4675" spans="2:16" x14ac:dyDescent="0.25">
      <c r="B4675" s="23"/>
      <c r="E4675" s="23"/>
      <c r="G4675" s="23"/>
      <c r="H4675" s="23"/>
      <c r="J4675" s="23"/>
      <c r="K4675" s="23"/>
      <c r="M4675" s="23"/>
      <c r="N4675" s="23"/>
      <c r="P4675" s="23"/>
    </row>
    <row r="4676" spans="2:16" x14ac:dyDescent="0.25">
      <c r="B4676" s="23"/>
      <c r="E4676" s="23"/>
      <c r="G4676" s="23"/>
      <c r="H4676" s="23"/>
      <c r="J4676" s="23"/>
      <c r="K4676" s="23"/>
      <c r="M4676" s="23"/>
      <c r="N4676" s="23"/>
      <c r="P4676" s="23"/>
    </row>
    <row r="4677" spans="2:16" x14ac:dyDescent="0.25">
      <c r="B4677" s="23"/>
      <c r="E4677" s="23"/>
      <c r="G4677" s="23"/>
      <c r="H4677" s="23"/>
      <c r="J4677" s="23"/>
      <c r="K4677" s="23"/>
      <c r="M4677" s="23"/>
      <c r="N4677" s="23"/>
      <c r="P4677" s="23"/>
    </row>
    <row r="4678" spans="2:16" x14ac:dyDescent="0.25">
      <c r="B4678" s="23"/>
      <c r="E4678" s="23"/>
      <c r="G4678" s="23"/>
      <c r="H4678" s="23"/>
      <c r="J4678" s="23"/>
      <c r="K4678" s="23"/>
      <c r="M4678" s="23"/>
      <c r="N4678" s="23"/>
      <c r="P4678" s="23"/>
    </row>
    <row r="4679" spans="2:16" x14ac:dyDescent="0.25">
      <c r="B4679" s="23"/>
      <c r="E4679" s="23"/>
      <c r="G4679" s="23"/>
      <c r="H4679" s="23"/>
      <c r="J4679" s="23"/>
      <c r="K4679" s="23"/>
      <c r="M4679" s="23"/>
      <c r="N4679" s="23"/>
      <c r="P4679" s="23"/>
    </row>
    <row r="4680" spans="2:16" x14ac:dyDescent="0.25">
      <c r="B4680" s="23"/>
      <c r="E4680" s="23"/>
      <c r="G4680" s="23"/>
      <c r="H4680" s="23"/>
      <c r="J4680" s="23"/>
      <c r="K4680" s="23"/>
      <c r="M4680" s="23"/>
      <c r="N4680" s="23"/>
      <c r="P4680" s="23"/>
    </row>
    <row r="4681" spans="2:16" x14ac:dyDescent="0.25">
      <c r="B4681" s="23"/>
      <c r="E4681" s="23"/>
      <c r="G4681" s="23"/>
      <c r="H4681" s="23"/>
      <c r="J4681" s="23"/>
      <c r="K4681" s="23"/>
      <c r="M4681" s="23"/>
      <c r="N4681" s="23"/>
      <c r="P4681" s="23"/>
    </row>
    <row r="4682" spans="2:16" x14ac:dyDescent="0.25">
      <c r="B4682" s="23"/>
      <c r="E4682" s="23"/>
      <c r="G4682" s="23"/>
      <c r="H4682" s="23"/>
      <c r="J4682" s="23"/>
      <c r="K4682" s="23"/>
      <c r="M4682" s="23"/>
      <c r="N4682" s="23"/>
      <c r="P4682" s="23"/>
    </row>
    <row r="4683" spans="2:16" x14ac:dyDescent="0.25">
      <c r="B4683" s="23"/>
      <c r="E4683" s="23"/>
      <c r="G4683" s="23"/>
      <c r="H4683" s="23"/>
      <c r="J4683" s="23"/>
      <c r="K4683" s="23"/>
      <c r="M4683" s="23"/>
      <c r="N4683" s="23"/>
      <c r="P4683" s="23"/>
    </row>
    <row r="4684" spans="2:16" x14ac:dyDescent="0.25">
      <c r="B4684" s="23"/>
      <c r="E4684" s="23"/>
      <c r="G4684" s="23"/>
      <c r="H4684" s="23"/>
      <c r="J4684" s="23"/>
      <c r="K4684" s="23"/>
      <c r="M4684" s="23"/>
      <c r="N4684" s="23"/>
      <c r="P4684" s="23"/>
    </row>
    <row r="4685" spans="2:16" x14ac:dyDescent="0.25">
      <c r="B4685" s="23"/>
      <c r="E4685" s="23"/>
      <c r="G4685" s="23"/>
      <c r="H4685" s="23"/>
      <c r="J4685" s="23"/>
      <c r="K4685" s="23"/>
      <c r="M4685" s="23"/>
      <c r="N4685" s="23"/>
      <c r="P4685" s="23"/>
    </row>
    <row r="4686" spans="2:16" x14ac:dyDescent="0.25">
      <c r="B4686" s="23"/>
      <c r="E4686" s="23"/>
      <c r="G4686" s="23"/>
      <c r="H4686" s="23"/>
      <c r="J4686" s="23"/>
      <c r="K4686" s="23"/>
      <c r="M4686" s="23"/>
      <c r="N4686" s="23"/>
      <c r="P4686" s="23"/>
    </row>
    <row r="4687" spans="2:16" x14ac:dyDescent="0.25">
      <c r="B4687" s="23"/>
      <c r="E4687" s="23"/>
      <c r="G4687" s="23"/>
      <c r="H4687" s="23"/>
      <c r="J4687" s="23"/>
      <c r="K4687" s="23"/>
      <c r="M4687" s="23"/>
      <c r="N4687" s="23"/>
      <c r="P4687" s="23"/>
    </row>
    <row r="4688" spans="2:16" x14ac:dyDescent="0.25">
      <c r="B4688" s="23"/>
      <c r="E4688" s="23"/>
      <c r="G4688" s="23"/>
      <c r="H4688" s="23"/>
      <c r="J4688" s="23"/>
      <c r="K4688" s="23"/>
      <c r="M4688" s="23"/>
      <c r="N4688" s="23"/>
      <c r="P4688" s="23"/>
    </row>
    <row r="4689" spans="2:16" x14ac:dyDescent="0.25">
      <c r="B4689" s="23"/>
      <c r="E4689" s="23"/>
      <c r="G4689" s="23"/>
      <c r="H4689" s="23"/>
      <c r="J4689" s="23"/>
      <c r="K4689" s="23"/>
      <c r="M4689" s="23"/>
      <c r="N4689" s="23"/>
      <c r="P4689" s="23"/>
    </row>
    <row r="4690" spans="2:16" x14ac:dyDescent="0.25">
      <c r="B4690" s="23"/>
      <c r="E4690" s="23"/>
      <c r="G4690" s="23"/>
      <c r="H4690" s="23"/>
      <c r="J4690" s="23"/>
      <c r="K4690" s="23"/>
      <c r="M4690" s="23"/>
      <c r="N4690" s="23"/>
      <c r="P4690" s="23"/>
    </row>
    <row r="4691" spans="2:16" x14ac:dyDescent="0.25">
      <c r="B4691" s="23"/>
      <c r="E4691" s="23"/>
      <c r="G4691" s="23"/>
      <c r="H4691" s="23"/>
      <c r="J4691" s="23"/>
      <c r="K4691" s="23"/>
      <c r="M4691" s="23"/>
      <c r="N4691" s="23"/>
      <c r="P4691" s="23"/>
    </row>
    <row r="4692" spans="2:16" x14ac:dyDescent="0.25">
      <c r="B4692" s="23"/>
      <c r="E4692" s="23"/>
      <c r="G4692" s="23"/>
      <c r="H4692" s="23"/>
      <c r="J4692" s="23"/>
      <c r="K4692" s="23"/>
      <c r="M4692" s="23"/>
      <c r="N4692" s="23"/>
      <c r="P4692" s="23"/>
    </row>
    <row r="4693" spans="2:16" x14ac:dyDescent="0.25">
      <c r="B4693" s="23"/>
      <c r="E4693" s="23"/>
      <c r="G4693" s="23"/>
      <c r="H4693" s="23"/>
      <c r="J4693" s="23"/>
      <c r="K4693" s="23"/>
      <c r="M4693" s="23"/>
      <c r="N4693" s="23"/>
      <c r="P4693" s="23"/>
    </row>
    <row r="4694" spans="2:16" x14ac:dyDescent="0.25">
      <c r="B4694" s="23"/>
      <c r="E4694" s="23"/>
      <c r="G4694" s="23"/>
      <c r="H4694" s="23"/>
      <c r="J4694" s="23"/>
      <c r="K4694" s="23"/>
      <c r="M4694" s="23"/>
      <c r="N4694" s="23"/>
      <c r="P4694" s="23"/>
    </row>
    <row r="4695" spans="2:16" x14ac:dyDescent="0.25">
      <c r="B4695" s="23"/>
      <c r="E4695" s="23"/>
      <c r="G4695" s="23"/>
      <c r="H4695" s="23"/>
      <c r="J4695" s="23"/>
      <c r="K4695" s="23"/>
      <c r="M4695" s="23"/>
      <c r="N4695" s="23"/>
      <c r="P4695" s="23"/>
    </row>
    <row r="4696" spans="2:16" x14ac:dyDescent="0.25">
      <c r="B4696" s="23"/>
      <c r="E4696" s="23"/>
      <c r="G4696" s="23"/>
      <c r="H4696" s="23"/>
      <c r="J4696" s="23"/>
      <c r="K4696" s="23"/>
      <c r="M4696" s="23"/>
      <c r="N4696" s="23"/>
      <c r="P4696" s="23"/>
    </row>
    <row r="4697" spans="2:16" x14ac:dyDescent="0.25">
      <c r="B4697" s="23"/>
      <c r="E4697" s="23"/>
      <c r="G4697" s="23"/>
      <c r="H4697" s="23"/>
      <c r="J4697" s="23"/>
      <c r="K4697" s="23"/>
      <c r="M4697" s="23"/>
      <c r="N4697" s="23"/>
      <c r="P4697" s="23"/>
    </row>
    <row r="4698" spans="2:16" x14ac:dyDescent="0.25">
      <c r="B4698" s="23"/>
      <c r="E4698" s="23"/>
      <c r="G4698" s="23"/>
      <c r="H4698" s="23"/>
      <c r="J4698" s="23"/>
      <c r="K4698" s="23"/>
      <c r="M4698" s="23"/>
      <c r="N4698" s="23"/>
      <c r="P4698" s="23"/>
    </row>
    <row r="4699" spans="2:16" x14ac:dyDescent="0.25">
      <c r="B4699" s="23"/>
      <c r="E4699" s="23"/>
      <c r="G4699" s="23"/>
      <c r="H4699" s="23"/>
      <c r="J4699" s="23"/>
      <c r="K4699" s="23"/>
      <c r="M4699" s="23"/>
      <c r="N4699" s="23"/>
      <c r="P4699" s="23"/>
    </row>
    <row r="4700" spans="2:16" x14ac:dyDescent="0.25">
      <c r="B4700" s="23"/>
      <c r="E4700" s="23"/>
      <c r="G4700" s="23"/>
      <c r="H4700" s="23"/>
      <c r="J4700" s="23"/>
      <c r="K4700" s="23"/>
      <c r="M4700" s="23"/>
      <c r="N4700" s="23"/>
      <c r="P4700" s="23"/>
    </row>
    <row r="4701" spans="2:16" x14ac:dyDescent="0.25">
      <c r="B4701" s="23"/>
      <c r="E4701" s="23"/>
      <c r="G4701" s="23"/>
      <c r="H4701" s="23"/>
      <c r="J4701" s="23"/>
      <c r="K4701" s="23"/>
      <c r="M4701" s="23"/>
      <c r="N4701" s="23"/>
      <c r="P4701" s="23"/>
    </row>
    <row r="4702" spans="2:16" x14ac:dyDescent="0.25">
      <c r="B4702" s="23"/>
      <c r="E4702" s="23"/>
      <c r="G4702" s="23"/>
      <c r="H4702" s="23"/>
      <c r="J4702" s="23"/>
      <c r="K4702" s="23"/>
      <c r="M4702" s="23"/>
      <c r="N4702" s="23"/>
      <c r="P4702" s="23"/>
    </row>
    <row r="4703" spans="2:16" x14ac:dyDescent="0.25">
      <c r="B4703" s="23"/>
      <c r="E4703" s="23"/>
      <c r="G4703" s="23"/>
      <c r="H4703" s="23"/>
      <c r="J4703" s="23"/>
      <c r="K4703" s="23"/>
      <c r="M4703" s="23"/>
      <c r="N4703" s="23"/>
      <c r="P4703" s="23"/>
    </row>
    <row r="4704" spans="2:16" x14ac:dyDescent="0.25">
      <c r="B4704" s="23"/>
      <c r="E4704" s="23"/>
      <c r="G4704" s="23"/>
      <c r="H4704" s="23"/>
      <c r="J4704" s="23"/>
      <c r="K4704" s="23"/>
      <c r="M4704" s="23"/>
      <c r="N4704" s="23"/>
      <c r="P4704" s="23"/>
    </row>
    <row r="4705" spans="2:16" x14ac:dyDescent="0.25">
      <c r="B4705" s="23"/>
      <c r="E4705" s="23"/>
      <c r="G4705" s="23"/>
      <c r="H4705" s="23"/>
      <c r="J4705" s="23"/>
      <c r="K4705" s="23"/>
      <c r="M4705" s="23"/>
      <c r="N4705" s="23"/>
      <c r="P4705" s="23"/>
    </row>
    <row r="4706" spans="2:16" x14ac:dyDescent="0.25">
      <c r="B4706" s="23"/>
      <c r="E4706" s="23"/>
      <c r="G4706" s="23"/>
      <c r="H4706" s="23"/>
      <c r="J4706" s="23"/>
      <c r="K4706" s="23"/>
      <c r="M4706" s="23"/>
      <c r="N4706" s="23"/>
      <c r="P4706" s="23"/>
    </row>
    <row r="4707" spans="2:16" x14ac:dyDescent="0.25">
      <c r="B4707" s="23"/>
      <c r="E4707" s="23"/>
      <c r="G4707" s="23"/>
      <c r="H4707" s="23"/>
      <c r="J4707" s="23"/>
      <c r="K4707" s="23"/>
      <c r="M4707" s="23"/>
      <c r="N4707" s="23"/>
      <c r="P4707" s="23"/>
    </row>
    <row r="4708" spans="2:16" x14ac:dyDescent="0.25">
      <c r="B4708" s="23"/>
      <c r="E4708" s="23"/>
      <c r="G4708" s="23"/>
      <c r="H4708" s="23"/>
      <c r="J4708" s="23"/>
      <c r="K4708" s="23"/>
      <c r="M4708" s="23"/>
      <c r="N4708" s="23"/>
      <c r="P4708" s="23"/>
    </row>
    <row r="4709" spans="2:16" x14ac:dyDescent="0.25">
      <c r="B4709" s="23"/>
      <c r="E4709" s="23"/>
      <c r="G4709" s="23"/>
      <c r="H4709" s="23"/>
      <c r="J4709" s="23"/>
      <c r="K4709" s="23"/>
      <c r="M4709" s="23"/>
      <c r="N4709" s="23"/>
      <c r="P4709" s="23"/>
    </row>
    <row r="4710" spans="2:16" x14ac:dyDescent="0.25">
      <c r="B4710" s="23"/>
      <c r="E4710" s="23"/>
      <c r="G4710" s="23"/>
      <c r="H4710" s="23"/>
      <c r="J4710" s="23"/>
      <c r="K4710" s="23"/>
      <c r="M4710" s="23"/>
      <c r="N4710" s="23"/>
      <c r="P4710" s="23"/>
    </row>
    <row r="4711" spans="2:16" x14ac:dyDescent="0.25">
      <c r="B4711" s="23"/>
      <c r="E4711" s="23"/>
      <c r="G4711" s="23"/>
      <c r="H4711" s="23"/>
      <c r="J4711" s="23"/>
      <c r="K4711" s="23"/>
      <c r="M4711" s="23"/>
      <c r="N4711" s="23"/>
      <c r="P4711" s="23"/>
    </row>
    <row r="4712" spans="2:16" x14ac:dyDescent="0.25">
      <c r="B4712" s="23"/>
      <c r="E4712" s="23"/>
      <c r="G4712" s="23"/>
      <c r="H4712" s="23"/>
      <c r="J4712" s="23"/>
      <c r="K4712" s="23"/>
      <c r="M4712" s="23"/>
      <c r="N4712" s="23"/>
      <c r="P4712" s="23"/>
    </row>
    <row r="4713" spans="2:16" x14ac:dyDescent="0.25">
      <c r="B4713" s="23"/>
      <c r="E4713" s="23"/>
      <c r="G4713" s="23"/>
      <c r="H4713" s="23"/>
      <c r="J4713" s="23"/>
      <c r="K4713" s="23"/>
      <c r="M4713" s="23"/>
      <c r="N4713" s="23"/>
      <c r="P4713" s="23"/>
    </row>
    <row r="4714" spans="2:16" x14ac:dyDescent="0.25">
      <c r="B4714" s="23"/>
      <c r="E4714" s="23"/>
      <c r="G4714" s="23"/>
      <c r="H4714" s="23"/>
      <c r="J4714" s="23"/>
      <c r="K4714" s="23"/>
      <c r="M4714" s="23"/>
      <c r="N4714" s="23"/>
      <c r="P4714" s="23"/>
    </row>
    <row r="4715" spans="2:16" x14ac:dyDescent="0.25">
      <c r="B4715" s="23"/>
      <c r="E4715" s="23"/>
      <c r="G4715" s="23"/>
      <c r="H4715" s="23"/>
      <c r="J4715" s="23"/>
      <c r="K4715" s="23"/>
      <c r="M4715" s="23"/>
      <c r="N4715" s="23"/>
      <c r="P4715" s="23"/>
    </row>
    <row r="4716" spans="2:16" x14ac:dyDescent="0.25">
      <c r="B4716" s="23"/>
      <c r="E4716" s="23"/>
      <c r="G4716" s="23"/>
      <c r="H4716" s="23"/>
      <c r="J4716" s="23"/>
      <c r="K4716" s="23"/>
      <c r="M4716" s="23"/>
      <c r="N4716" s="23"/>
      <c r="P4716" s="23"/>
    </row>
    <row r="4717" spans="2:16" x14ac:dyDescent="0.25">
      <c r="B4717" s="23"/>
      <c r="E4717" s="23"/>
      <c r="G4717" s="23"/>
      <c r="H4717" s="23"/>
      <c r="J4717" s="23"/>
      <c r="K4717" s="23"/>
      <c r="M4717" s="23"/>
      <c r="N4717" s="23"/>
      <c r="P4717" s="23"/>
    </row>
    <row r="4718" spans="2:16" x14ac:dyDescent="0.25">
      <c r="B4718" s="23"/>
      <c r="E4718" s="23"/>
      <c r="G4718" s="23"/>
      <c r="H4718" s="23"/>
      <c r="J4718" s="23"/>
      <c r="K4718" s="23"/>
      <c r="M4718" s="23"/>
      <c r="N4718" s="23"/>
      <c r="P4718" s="23"/>
    </row>
    <row r="4719" spans="2:16" x14ac:dyDescent="0.25">
      <c r="B4719" s="23"/>
      <c r="E4719" s="23"/>
      <c r="G4719" s="23"/>
      <c r="H4719" s="23"/>
      <c r="J4719" s="23"/>
      <c r="K4719" s="23"/>
      <c r="M4719" s="23"/>
      <c r="N4719" s="23"/>
      <c r="P4719" s="23"/>
    </row>
    <row r="4720" spans="2:16" x14ac:dyDescent="0.25">
      <c r="B4720" s="23"/>
      <c r="E4720" s="23"/>
      <c r="G4720" s="23"/>
      <c r="H4720" s="23"/>
      <c r="J4720" s="23"/>
      <c r="K4720" s="23"/>
      <c r="M4720" s="23"/>
      <c r="N4720" s="23"/>
      <c r="P4720" s="23"/>
    </row>
    <row r="4721" spans="2:16" x14ac:dyDescent="0.25">
      <c r="B4721" s="23"/>
      <c r="E4721" s="23"/>
      <c r="G4721" s="23"/>
      <c r="H4721" s="23"/>
      <c r="J4721" s="23"/>
      <c r="K4721" s="23"/>
      <c r="M4721" s="23"/>
      <c r="N4721" s="23"/>
      <c r="P4721" s="23"/>
    </row>
    <row r="4722" spans="2:16" x14ac:dyDescent="0.25">
      <c r="B4722" s="23"/>
      <c r="E4722" s="23"/>
      <c r="G4722" s="23"/>
      <c r="H4722" s="23"/>
      <c r="J4722" s="23"/>
      <c r="K4722" s="23"/>
      <c r="M4722" s="23"/>
      <c r="N4722" s="23"/>
      <c r="P4722" s="23"/>
    </row>
    <row r="4723" spans="2:16" x14ac:dyDescent="0.25">
      <c r="B4723" s="23"/>
      <c r="E4723" s="23"/>
      <c r="G4723" s="23"/>
      <c r="H4723" s="23"/>
      <c r="J4723" s="23"/>
      <c r="K4723" s="23"/>
      <c r="M4723" s="23"/>
      <c r="N4723" s="23"/>
      <c r="P4723" s="23"/>
    </row>
    <row r="4724" spans="2:16" x14ac:dyDescent="0.25">
      <c r="B4724" s="23"/>
      <c r="E4724" s="23"/>
      <c r="G4724" s="23"/>
      <c r="H4724" s="23"/>
      <c r="J4724" s="23"/>
      <c r="K4724" s="23"/>
      <c r="M4724" s="23"/>
      <c r="N4724" s="23"/>
      <c r="P4724" s="23"/>
    </row>
    <row r="4725" spans="2:16" x14ac:dyDescent="0.25">
      <c r="B4725" s="23"/>
      <c r="E4725" s="23"/>
      <c r="G4725" s="23"/>
      <c r="H4725" s="23"/>
      <c r="J4725" s="23"/>
      <c r="K4725" s="23"/>
      <c r="M4725" s="23"/>
      <c r="N4725" s="23"/>
      <c r="P4725" s="23"/>
    </row>
    <row r="4726" spans="2:16" x14ac:dyDescent="0.25">
      <c r="B4726" s="23"/>
      <c r="E4726" s="23"/>
      <c r="G4726" s="23"/>
      <c r="H4726" s="23"/>
      <c r="J4726" s="23"/>
      <c r="K4726" s="23"/>
      <c r="M4726" s="23"/>
      <c r="N4726" s="23"/>
      <c r="P4726" s="23"/>
    </row>
    <row r="4727" spans="2:16" x14ac:dyDescent="0.25">
      <c r="B4727" s="23"/>
      <c r="E4727" s="23"/>
      <c r="G4727" s="23"/>
      <c r="H4727" s="23"/>
      <c r="J4727" s="23"/>
      <c r="K4727" s="23"/>
      <c r="M4727" s="23"/>
      <c r="N4727" s="23"/>
      <c r="P4727" s="23"/>
    </row>
    <row r="4728" spans="2:16" x14ac:dyDescent="0.25">
      <c r="B4728" s="23"/>
      <c r="E4728" s="23"/>
      <c r="G4728" s="23"/>
      <c r="H4728" s="23"/>
      <c r="J4728" s="23"/>
      <c r="K4728" s="23"/>
      <c r="M4728" s="23"/>
      <c r="N4728" s="23"/>
      <c r="P4728" s="23"/>
    </row>
    <row r="4729" spans="2:16" x14ac:dyDescent="0.25">
      <c r="B4729" s="23"/>
      <c r="E4729" s="23"/>
      <c r="G4729" s="23"/>
      <c r="H4729" s="23"/>
      <c r="J4729" s="23"/>
      <c r="K4729" s="23"/>
      <c r="M4729" s="23"/>
      <c r="N4729" s="23"/>
      <c r="P4729" s="23"/>
    </row>
    <row r="4730" spans="2:16" x14ac:dyDescent="0.25">
      <c r="B4730" s="23"/>
      <c r="E4730" s="23"/>
      <c r="G4730" s="23"/>
      <c r="H4730" s="23"/>
      <c r="J4730" s="23"/>
      <c r="K4730" s="23"/>
      <c r="M4730" s="23"/>
      <c r="N4730" s="23"/>
      <c r="P4730" s="23"/>
    </row>
    <row r="4731" spans="2:16" x14ac:dyDescent="0.25">
      <c r="B4731" s="23"/>
      <c r="E4731" s="23"/>
      <c r="G4731" s="23"/>
      <c r="H4731" s="23"/>
      <c r="J4731" s="23"/>
      <c r="K4731" s="23"/>
      <c r="M4731" s="23"/>
      <c r="N4731" s="23"/>
      <c r="P4731" s="23"/>
    </row>
    <row r="4732" spans="2:16" x14ac:dyDescent="0.25">
      <c r="B4732" s="23"/>
      <c r="E4732" s="23"/>
      <c r="G4732" s="23"/>
      <c r="H4732" s="23"/>
      <c r="J4732" s="23"/>
      <c r="K4732" s="23"/>
      <c r="M4732" s="23"/>
      <c r="N4732" s="23"/>
      <c r="P4732" s="23"/>
    </row>
    <row r="4733" spans="2:16" x14ac:dyDescent="0.25">
      <c r="B4733" s="23"/>
      <c r="E4733" s="23"/>
      <c r="G4733" s="23"/>
      <c r="H4733" s="23"/>
      <c r="J4733" s="23"/>
      <c r="K4733" s="23"/>
      <c r="M4733" s="23"/>
      <c r="N4733" s="23"/>
      <c r="P4733" s="23"/>
    </row>
    <row r="4734" spans="2:16" x14ac:dyDescent="0.25">
      <c r="B4734" s="23"/>
      <c r="E4734" s="23"/>
      <c r="G4734" s="23"/>
      <c r="H4734" s="23"/>
      <c r="J4734" s="23"/>
      <c r="K4734" s="23"/>
      <c r="M4734" s="23"/>
      <c r="N4734" s="23"/>
      <c r="P4734" s="23"/>
    </row>
    <row r="4735" spans="2:16" x14ac:dyDescent="0.25">
      <c r="B4735" s="23"/>
      <c r="E4735" s="23"/>
      <c r="G4735" s="23"/>
      <c r="H4735" s="23"/>
      <c r="J4735" s="23"/>
      <c r="K4735" s="23"/>
      <c r="M4735" s="23"/>
      <c r="N4735" s="23"/>
      <c r="P4735" s="23"/>
    </row>
    <row r="4736" spans="2:16" x14ac:dyDescent="0.25">
      <c r="B4736" s="23"/>
      <c r="E4736" s="23"/>
      <c r="G4736" s="23"/>
      <c r="H4736" s="23"/>
      <c r="J4736" s="23"/>
      <c r="K4736" s="23"/>
      <c r="M4736" s="23"/>
      <c r="N4736" s="23"/>
      <c r="P4736" s="23"/>
    </row>
    <row r="4737" spans="2:16" x14ac:dyDescent="0.25">
      <c r="B4737" s="23"/>
      <c r="E4737" s="23"/>
      <c r="G4737" s="23"/>
      <c r="H4737" s="23"/>
      <c r="J4737" s="23"/>
      <c r="K4737" s="23"/>
      <c r="M4737" s="23"/>
      <c r="N4737" s="23"/>
      <c r="P4737" s="23"/>
    </row>
    <row r="4738" spans="2:16" x14ac:dyDescent="0.25">
      <c r="B4738" s="23"/>
      <c r="E4738" s="23"/>
      <c r="G4738" s="23"/>
      <c r="H4738" s="23"/>
      <c r="J4738" s="23"/>
      <c r="K4738" s="23"/>
      <c r="M4738" s="23"/>
      <c r="N4738" s="23"/>
      <c r="P4738" s="23"/>
    </row>
    <row r="4739" spans="2:16" x14ac:dyDescent="0.25">
      <c r="B4739" s="23"/>
      <c r="E4739" s="23"/>
      <c r="G4739" s="23"/>
      <c r="H4739" s="23"/>
      <c r="J4739" s="23"/>
      <c r="K4739" s="23"/>
      <c r="M4739" s="23"/>
      <c r="N4739" s="23"/>
      <c r="P4739" s="23"/>
    </row>
    <row r="4740" spans="2:16" x14ac:dyDescent="0.25">
      <c r="B4740" s="23"/>
      <c r="E4740" s="23"/>
      <c r="G4740" s="23"/>
      <c r="H4740" s="23"/>
      <c r="J4740" s="23"/>
      <c r="K4740" s="23"/>
      <c r="M4740" s="23"/>
      <c r="N4740" s="23"/>
      <c r="P4740" s="23"/>
    </row>
    <row r="4741" spans="2:16" x14ac:dyDescent="0.25">
      <c r="B4741" s="23"/>
      <c r="E4741" s="23"/>
      <c r="G4741" s="23"/>
      <c r="H4741" s="23"/>
      <c r="J4741" s="23"/>
      <c r="K4741" s="23"/>
      <c r="M4741" s="23"/>
      <c r="N4741" s="23"/>
      <c r="P4741" s="23"/>
    </row>
    <row r="4742" spans="2:16" x14ac:dyDescent="0.25">
      <c r="B4742" s="23"/>
      <c r="E4742" s="23"/>
      <c r="G4742" s="23"/>
      <c r="H4742" s="23"/>
      <c r="J4742" s="23"/>
      <c r="K4742" s="23"/>
      <c r="M4742" s="23"/>
      <c r="N4742" s="23"/>
      <c r="P4742" s="23"/>
    </row>
    <row r="4743" spans="2:16" x14ac:dyDescent="0.25">
      <c r="B4743" s="23"/>
      <c r="E4743" s="23"/>
      <c r="G4743" s="23"/>
      <c r="H4743" s="23"/>
      <c r="J4743" s="23"/>
      <c r="K4743" s="23"/>
      <c r="M4743" s="23"/>
      <c r="N4743" s="23"/>
      <c r="P4743" s="23"/>
    </row>
    <row r="4744" spans="2:16" x14ac:dyDescent="0.25">
      <c r="B4744" s="23"/>
      <c r="E4744" s="23"/>
      <c r="G4744" s="23"/>
      <c r="H4744" s="23"/>
      <c r="J4744" s="23"/>
      <c r="K4744" s="23"/>
      <c r="M4744" s="23"/>
      <c r="N4744" s="23"/>
      <c r="P4744" s="23"/>
    </row>
    <row r="4745" spans="2:16" x14ac:dyDescent="0.25">
      <c r="B4745" s="23"/>
      <c r="E4745" s="23"/>
      <c r="G4745" s="23"/>
      <c r="H4745" s="23"/>
      <c r="J4745" s="23"/>
      <c r="K4745" s="23"/>
      <c r="M4745" s="23"/>
      <c r="N4745" s="23"/>
      <c r="P4745" s="23"/>
    </row>
    <row r="4746" spans="2:16" x14ac:dyDescent="0.25">
      <c r="B4746" s="23"/>
      <c r="E4746" s="23"/>
      <c r="G4746" s="23"/>
      <c r="H4746" s="23"/>
      <c r="J4746" s="23"/>
      <c r="K4746" s="23"/>
      <c r="M4746" s="23"/>
      <c r="N4746" s="23"/>
      <c r="P4746" s="23"/>
    </row>
    <row r="4747" spans="2:16" x14ac:dyDescent="0.25">
      <c r="B4747" s="23"/>
      <c r="E4747" s="23"/>
      <c r="G4747" s="23"/>
      <c r="H4747" s="23"/>
      <c r="J4747" s="23"/>
      <c r="K4747" s="23"/>
      <c r="M4747" s="23"/>
      <c r="N4747" s="23"/>
      <c r="P4747" s="23"/>
    </row>
    <row r="4748" spans="2:16" x14ac:dyDescent="0.25">
      <c r="B4748" s="23"/>
      <c r="E4748" s="23"/>
      <c r="G4748" s="23"/>
      <c r="H4748" s="23"/>
      <c r="J4748" s="23"/>
      <c r="K4748" s="23"/>
      <c r="M4748" s="23"/>
      <c r="N4748" s="23"/>
      <c r="P4748" s="23"/>
    </row>
    <row r="4749" spans="2:16" x14ac:dyDescent="0.25">
      <c r="B4749" s="23"/>
      <c r="E4749" s="23"/>
      <c r="G4749" s="23"/>
      <c r="H4749" s="23"/>
      <c r="J4749" s="23"/>
      <c r="K4749" s="23"/>
      <c r="M4749" s="23"/>
      <c r="N4749" s="23"/>
      <c r="P4749" s="23"/>
    </row>
    <row r="4750" spans="2:16" x14ac:dyDescent="0.25">
      <c r="B4750" s="23"/>
      <c r="E4750" s="23"/>
      <c r="G4750" s="23"/>
      <c r="H4750" s="23"/>
      <c r="J4750" s="23"/>
      <c r="K4750" s="23"/>
      <c r="M4750" s="23"/>
      <c r="N4750" s="23"/>
      <c r="P4750" s="23"/>
    </row>
    <row r="4751" spans="2:16" x14ac:dyDescent="0.25">
      <c r="B4751" s="23"/>
      <c r="E4751" s="23"/>
      <c r="G4751" s="23"/>
      <c r="H4751" s="23"/>
      <c r="J4751" s="23"/>
      <c r="K4751" s="23"/>
      <c r="M4751" s="23"/>
      <c r="N4751" s="23"/>
      <c r="P4751" s="23"/>
    </row>
    <row r="4752" spans="2:16" x14ac:dyDescent="0.25">
      <c r="B4752" s="23"/>
      <c r="E4752" s="23"/>
      <c r="G4752" s="23"/>
      <c r="H4752" s="23"/>
      <c r="J4752" s="23"/>
      <c r="K4752" s="23"/>
      <c r="M4752" s="23"/>
      <c r="N4752" s="23"/>
      <c r="P4752" s="23"/>
    </row>
    <row r="4753" spans="2:16" x14ac:dyDescent="0.25">
      <c r="B4753" s="23"/>
      <c r="E4753" s="23"/>
      <c r="G4753" s="23"/>
      <c r="H4753" s="23"/>
      <c r="J4753" s="23"/>
      <c r="K4753" s="23"/>
      <c r="M4753" s="23"/>
      <c r="N4753" s="23"/>
      <c r="P4753" s="23"/>
    </row>
    <row r="4754" spans="2:16" x14ac:dyDescent="0.25">
      <c r="B4754" s="23"/>
      <c r="E4754" s="23"/>
      <c r="G4754" s="23"/>
      <c r="H4754" s="23"/>
      <c r="J4754" s="23"/>
      <c r="K4754" s="23"/>
      <c r="M4754" s="23"/>
      <c r="N4754" s="23"/>
      <c r="P4754" s="23"/>
    </row>
    <row r="4755" spans="2:16" x14ac:dyDescent="0.25">
      <c r="B4755" s="23"/>
      <c r="E4755" s="23"/>
      <c r="G4755" s="23"/>
      <c r="H4755" s="23"/>
      <c r="J4755" s="23"/>
      <c r="K4755" s="23"/>
      <c r="M4755" s="23"/>
      <c r="N4755" s="23"/>
      <c r="P4755" s="23"/>
    </row>
    <row r="4756" spans="2:16" x14ac:dyDescent="0.25">
      <c r="B4756" s="23"/>
      <c r="E4756" s="23"/>
      <c r="G4756" s="23"/>
      <c r="H4756" s="23"/>
      <c r="J4756" s="23"/>
      <c r="K4756" s="23"/>
      <c r="M4756" s="23"/>
      <c r="N4756" s="23"/>
      <c r="P4756" s="23"/>
    </row>
    <row r="4757" spans="2:16" x14ac:dyDescent="0.25">
      <c r="B4757" s="23"/>
      <c r="E4757" s="23"/>
      <c r="G4757" s="23"/>
      <c r="H4757" s="23"/>
      <c r="J4757" s="23"/>
      <c r="K4757" s="23"/>
      <c r="M4757" s="23"/>
      <c r="N4757" s="23"/>
      <c r="P4757" s="23"/>
    </row>
    <row r="4758" spans="2:16" x14ac:dyDescent="0.25">
      <c r="B4758" s="23"/>
      <c r="E4758" s="23"/>
      <c r="G4758" s="23"/>
      <c r="H4758" s="23"/>
      <c r="J4758" s="23"/>
      <c r="K4758" s="23"/>
      <c r="M4758" s="23"/>
      <c r="N4758" s="23"/>
      <c r="P4758" s="23"/>
    </row>
    <row r="4759" spans="2:16" x14ac:dyDescent="0.25">
      <c r="B4759" s="23"/>
      <c r="E4759" s="23"/>
      <c r="G4759" s="23"/>
      <c r="H4759" s="23"/>
      <c r="J4759" s="23"/>
      <c r="K4759" s="23"/>
      <c r="M4759" s="23"/>
      <c r="N4759" s="23"/>
      <c r="P4759" s="23"/>
    </row>
    <row r="4760" spans="2:16" x14ac:dyDescent="0.25">
      <c r="B4760" s="23"/>
      <c r="E4760" s="23"/>
      <c r="G4760" s="23"/>
      <c r="H4760" s="23"/>
      <c r="J4760" s="23"/>
      <c r="K4760" s="23"/>
      <c r="M4760" s="23"/>
      <c r="N4760" s="23"/>
      <c r="P4760" s="23"/>
    </row>
    <row r="4761" spans="2:16" x14ac:dyDescent="0.25">
      <c r="B4761" s="23"/>
      <c r="E4761" s="23"/>
      <c r="G4761" s="23"/>
      <c r="H4761" s="23"/>
      <c r="J4761" s="23"/>
      <c r="K4761" s="23"/>
      <c r="M4761" s="23"/>
      <c r="N4761" s="23"/>
      <c r="P4761" s="23"/>
    </row>
    <row r="4762" spans="2:16" x14ac:dyDescent="0.25">
      <c r="B4762" s="23"/>
      <c r="E4762" s="23"/>
      <c r="G4762" s="23"/>
      <c r="H4762" s="23"/>
      <c r="J4762" s="23"/>
      <c r="K4762" s="23"/>
      <c r="M4762" s="23"/>
      <c r="N4762" s="23"/>
      <c r="P4762" s="23"/>
    </row>
    <row r="4763" spans="2:16" x14ac:dyDescent="0.25">
      <c r="B4763" s="23"/>
      <c r="E4763" s="23"/>
      <c r="G4763" s="23"/>
      <c r="H4763" s="23"/>
      <c r="J4763" s="23"/>
      <c r="K4763" s="23"/>
      <c r="M4763" s="23"/>
      <c r="N4763" s="23"/>
      <c r="P4763" s="23"/>
    </row>
    <row r="4764" spans="2:16" x14ac:dyDescent="0.25">
      <c r="B4764" s="23"/>
      <c r="E4764" s="23"/>
      <c r="G4764" s="23"/>
      <c r="H4764" s="23"/>
      <c r="J4764" s="23"/>
      <c r="K4764" s="23"/>
      <c r="M4764" s="23"/>
      <c r="N4764" s="23"/>
      <c r="P4764" s="23"/>
    </row>
    <row r="4765" spans="2:16" x14ac:dyDescent="0.25">
      <c r="B4765" s="23"/>
      <c r="E4765" s="23"/>
      <c r="G4765" s="23"/>
      <c r="H4765" s="23"/>
      <c r="J4765" s="23"/>
      <c r="K4765" s="23"/>
      <c r="M4765" s="23"/>
      <c r="N4765" s="23"/>
      <c r="P4765" s="23"/>
    </row>
    <row r="4766" spans="2:16" x14ac:dyDescent="0.25">
      <c r="B4766" s="23"/>
      <c r="E4766" s="23"/>
      <c r="G4766" s="23"/>
      <c r="H4766" s="23"/>
      <c r="J4766" s="23"/>
      <c r="K4766" s="23"/>
      <c r="M4766" s="23"/>
      <c r="N4766" s="23"/>
      <c r="P4766" s="23"/>
    </row>
    <row r="4767" spans="2:16" x14ac:dyDescent="0.25">
      <c r="B4767" s="23"/>
      <c r="E4767" s="23"/>
      <c r="G4767" s="23"/>
      <c r="H4767" s="23"/>
      <c r="J4767" s="23"/>
      <c r="K4767" s="23"/>
      <c r="M4767" s="23"/>
      <c r="N4767" s="23"/>
      <c r="P4767" s="23"/>
    </row>
    <row r="4768" spans="2:16" x14ac:dyDescent="0.25">
      <c r="B4768" s="23"/>
      <c r="E4768" s="23"/>
      <c r="G4768" s="23"/>
      <c r="H4768" s="23"/>
      <c r="J4768" s="23"/>
      <c r="K4768" s="23"/>
      <c r="M4768" s="23"/>
      <c r="N4768" s="23"/>
      <c r="P4768" s="23"/>
    </row>
    <row r="4769" spans="2:16" x14ac:dyDescent="0.25">
      <c r="B4769" s="23"/>
      <c r="E4769" s="23"/>
      <c r="G4769" s="23"/>
      <c r="H4769" s="23"/>
      <c r="J4769" s="23"/>
      <c r="K4769" s="23"/>
      <c r="M4769" s="23"/>
      <c r="N4769" s="23"/>
      <c r="P4769" s="23"/>
    </row>
    <row r="4770" spans="2:16" x14ac:dyDescent="0.25">
      <c r="B4770" s="23"/>
      <c r="E4770" s="23"/>
      <c r="G4770" s="23"/>
      <c r="H4770" s="23"/>
      <c r="J4770" s="23"/>
      <c r="K4770" s="23"/>
      <c r="M4770" s="23"/>
      <c r="N4770" s="23"/>
      <c r="P4770" s="23"/>
    </row>
    <row r="4771" spans="2:16" x14ac:dyDescent="0.25">
      <c r="B4771" s="23"/>
      <c r="E4771" s="23"/>
      <c r="G4771" s="23"/>
      <c r="H4771" s="23"/>
      <c r="J4771" s="23"/>
      <c r="K4771" s="23"/>
      <c r="M4771" s="23"/>
      <c r="N4771" s="23"/>
      <c r="P4771" s="23"/>
    </row>
    <row r="4772" spans="2:16" x14ac:dyDescent="0.25">
      <c r="B4772" s="23"/>
      <c r="E4772" s="23"/>
      <c r="G4772" s="23"/>
      <c r="H4772" s="23"/>
      <c r="J4772" s="23"/>
      <c r="K4772" s="23"/>
      <c r="M4772" s="23"/>
      <c r="N4772" s="23"/>
      <c r="P4772" s="23"/>
    </row>
    <row r="4773" spans="2:16" x14ac:dyDescent="0.25">
      <c r="B4773" s="23"/>
      <c r="E4773" s="23"/>
      <c r="G4773" s="23"/>
      <c r="H4773" s="23"/>
      <c r="J4773" s="23"/>
      <c r="K4773" s="23"/>
      <c r="M4773" s="23"/>
      <c r="N4773" s="23"/>
      <c r="P4773" s="23"/>
    </row>
    <row r="4774" spans="2:16" x14ac:dyDescent="0.25">
      <c r="B4774" s="23"/>
      <c r="E4774" s="23"/>
      <c r="G4774" s="23"/>
      <c r="H4774" s="23"/>
      <c r="J4774" s="23"/>
      <c r="K4774" s="23"/>
      <c r="M4774" s="23"/>
      <c r="N4774" s="23"/>
      <c r="P4774" s="23"/>
    </row>
    <row r="4775" spans="2:16" x14ac:dyDescent="0.25">
      <c r="B4775" s="23"/>
      <c r="E4775" s="23"/>
      <c r="G4775" s="23"/>
      <c r="H4775" s="23"/>
      <c r="J4775" s="23"/>
      <c r="K4775" s="23"/>
      <c r="M4775" s="23"/>
      <c r="N4775" s="23"/>
      <c r="P4775" s="23"/>
    </row>
    <row r="4776" spans="2:16" x14ac:dyDescent="0.25">
      <c r="B4776" s="23"/>
      <c r="E4776" s="23"/>
      <c r="G4776" s="23"/>
      <c r="H4776" s="23"/>
      <c r="J4776" s="23"/>
      <c r="K4776" s="23"/>
      <c r="M4776" s="23"/>
      <c r="N4776" s="23"/>
      <c r="P4776" s="23"/>
    </row>
    <row r="4777" spans="2:16" x14ac:dyDescent="0.25">
      <c r="B4777" s="23"/>
      <c r="E4777" s="23"/>
      <c r="G4777" s="23"/>
      <c r="H4777" s="23"/>
      <c r="J4777" s="23"/>
      <c r="K4777" s="23"/>
      <c r="M4777" s="23"/>
      <c r="N4777" s="23"/>
      <c r="P4777" s="23"/>
    </row>
    <row r="4778" spans="2:16" x14ac:dyDescent="0.25">
      <c r="B4778" s="23"/>
      <c r="E4778" s="23"/>
      <c r="G4778" s="23"/>
      <c r="H4778" s="23"/>
      <c r="J4778" s="23"/>
      <c r="K4778" s="23"/>
      <c r="M4778" s="23"/>
      <c r="N4778" s="23"/>
      <c r="P4778" s="23"/>
    </row>
    <row r="4779" spans="2:16" x14ac:dyDescent="0.25">
      <c r="B4779" s="23"/>
      <c r="E4779" s="23"/>
      <c r="G4779" s="23"/>
      <c r="H4779" s="23"/>
      <c r="J4779" s="23"/>
      <c r="K4779" s="23"/>
      <c r="M4779" s="23"/>
      <c r="N4779" s="23"/>
      <c r="P4779" s="23"/>
    </row>
    <row r="4780" spans="2:16" x14ac:dyDescent="0.25">
      <c r="B4780" s="23"/>
      <c r="E4780" s="23"/>
      <c r="G4780" s="23"/>
      <c r="H4780" s="23"/>
      <c r="J4780" s="23"/>
      <c r="K4780" s="23"/>
      <c r="M4780" s="23"/>
      <c r="N4780" s="23"/>
      <c r="P4780" s="23"/>
    </row>
    <row r="4781" spans="2:16" x14ac:dyDescent="0.25">
      <c r="B4781" s="23"/>
      <c r="E4781" s="23"/>
      <c r="G4781" s="23"/>
      <c r="H4781" s="23"/>
      <c r="J4781" s="23"/>
      <c r="K4781" s="23"/>
      <c r="M4781" s="23"/>
      <c r="N4781" s="23"/>
      <c r="P4781" s="23"/>
    </row>
    <row r="4782" spans="2:16" x14ac:dyDescent="0.25">
      <c r="B4782" s="23"/>
      <c r="E4782" s="23"/>
      <c r="G4782" s="23"/>
      <c r="H4782" s="23"/>
      <c r="J4782" s="23"/>
      <c r="K4782" s="23"/>
      <c r="M4782" s="23"/>
      <c r="N4782" s="23"/>
      <c r="P4782" s="23"/>
    </row>
    <row r="4783" spans="2:16" x14ac:dyDescent="0.25">
      <c r="B4783" s="23"/>
      <c r="E4783" s="23"/>
      <c r="G4783" s="23"/>
      <c r="H4783" s="23"/>
      <c r="J4783" s="23"/>
      <c r="K4783" s="23"/>
      <c r="M4783" s="23"/>
      <c r="N4783" s="23"/>
      <c r="P4783" s="23"/>
    </row>
    <row r="4784" spans="2:16" x14ac:dyDescent="0.25">
      <c r="B4784" s="23"/>
      <c r="E4784" s="23"/>
      <c r="G4784" s="23"/>
      <c r="H4784" s="23"/>
      <c r="J4784" s="23"/>
      <c r="K4784" s="23"/>
      <c r="M4784" s="23"/>
      <c r="N4784" s="23"/>
      <c r="P4784" s="23"/>
    </row>
    <row r="4785" spans="2:16" x14ac:dyDescent="0.25">
      <c r="B4785" s="23"/>
      <c r="E4785" s="23"/>
      <c r="G4785" s="23"/>
      <c r="H4785" s="23"/>
      <c r="J4785" s="23"/>
      <c r="K4785" s="23"/>
      <c r="M4785" s="23"/>
      <c r="N4785" s="23"/>
      <c r="P4785" s="23"/>
    </row>
    <row r="4786" spans="2:16" x14ac:dyDescent="0.25">
      <c r="B4786" s="23"/>
      <c r="E4786" s="23"/>
      <c r="G4786" s="23"/>
      <c r="H4786" s="23"/>
      <c r="J4786" s="23"/>
      <c r="K4786" s="23"/>
      <c r="M4786" s="23"/>
      <c r="N4786" s="23"/>
      <c r="P4786" s="23"/>
    </row>
    <row r="4787" spans="2:16" x14ac:dyDescent="0.25">
      <c r="B4787" s="23"/>
      <c r="E4787" s="23"/>
      <c r="G4787" s="23"/>
      <c r="H4787" s="23"/>
      <c r="J4787" s="23"/>
      <c r="K4787" s="23"/>
      <c r="M4787" s="23"/>
      <c r="N4787" s="23"/>
      <c r="P4787" s="23"/>
    </row>
    <row r="4788" spans="2:16" x14ac:dyDescent="0.25">
      <c r="B4788" s="23"/>
      <c r="E4788" s="23"/>
      <c r="G4788" s="23"/>
      <c r="H4788" s="23"/>
      <c r="J4788" s="23"/>
      <c r="K4788" s="23"/>
      <c r="M4788" s="23"/>
      <c r="N4788" s="23"/>
      <c r="P4788" s="23"/>
    </row>
    <row r="4789" spans="2:16" x14ac:dyDescent="0.25">
      <c r="B4789" s="23"/>
      <c r="E4789" s="23"/>
      <c r="G4789" s="23"/>
      <c r="H4789" s="23"/>
      <c r="J4789" s="23"/>
      <c r="K4789" s="23"/>
      <c r="M4789" s="23"/>
      <c r="N4789" s="23"/>
      <c r="P4789" s="23"/>
    </row>
    <row r="4790" spans="2:16" x14ac:dyDescent="0.25">
      <c r="B4790" s="23"/>
      <c r="E4790" s="23"/>
      <c r="G4790" s="23"/>
      <c r="H4790" s="23"/>
      <c r="J4790" s="23"/>
      <c r="K4790" s="23"/>
      <c r="M4790" s="23"/>
      <c r="N4790" s="23"/>
      <c r="P4790" s="23"/>
    </row>
    <row r="4791" spans="2:16" x14ac:dyDescent="0.25">
      <c r="B4791" s="23"/>
      <c r="E4791" s="23"/>
      <c r="G4791" s="23"/>
      <c r="H4791" s="23"/>
      <c r="J4791" s="23"/>
      <c r="K4791" s="23"/>
      <c r="M4791" s="23"/>
      <c r="N4791" s="23"/>
      <c r="P4791" s="23"/>
    </row>
    <row r="4792" spans="2:16" x14ac:dyDescent="0.25">
      <c r="B4792" s="23"/>
      <c r="E4792" s="23"/>
      <c r="G4792" s="23"/>
      <c r="H4792" s="23"/>
      <c r="J4792" s="23"/>
      <c r="K4792" s="23"/>
      <c r="M4792" s="23"/>
      <c r="N4792" s="23"/>
      <c r="P4792" s="23"/>
    </row>
    <row r="4793" spans="2:16" x14ac:dyDescent="0.25">
      <c r="B4793" s="23"/>
      <c r="E4793" s="23"/>
      <c r="G4793" s="23"/>
      <c r="H4793" s="23"/>
      <c r="J4793" s="23"/>
      <c r="K4793" s="23"/>
      <c r="M4793" s="23"/>
      <c r="N4793" s="23"/>
      <c r="P4793" s="23"/>
    </row>
    <row r="4794" spans="2:16" x14ac:dyDescent="0.25">
      <c r="B4794" s="23"/>
      <c r="E4794" s="23"/>
      <c r="G4794" s="23"/>
      <c r="H4794" s="23"/>
      <c r="J4794" s="23"/>
      <c r="K4794" s="23"/>
      <c r="M4794" s="23"/>
      <c r="N4794" s="23"/>
      <c r="P4794" s="23"/>
    </row>
    <row r="4795" spans="2:16" x14ac:dyDescent="0.25">
      <c r="B4795" s="23"/>
      <c r="E4795" s="23"/>
      <c r="G4795" s="23"/>
      <c r="H4795" s="23"/>
      <c r="J4795" s="23"/>
      <c r="K4795" s="23"/>
      <c r="M4795" s="23"/>
      <c r="N4795" s="23"/>
      <c r="P4795" s="23"/>
    </row>
    <row r="4796" spans="2:16" x14ac:dyDescent="0.25">
      <c r="B4796" s="23"/>
      <c r="E4796" s="23"/>
      <c r="G4796" s="23"/>
      <c r="H4796" s="23"/>
      <c r="J4796" s="23"/>
      <c r="K4796" s="23"/>
      <c r="M4796" s="23"/>
      <c r="N4796" s="23"/>
      <c r="P4796" s="23"/>
    </row>
    <row r="4797" spans="2:16" x14ac:dyDescent="0.25">
      <c r="B4797" s="23"/>
      <c r="E4797" s="23"/>
      <c r="G4797" s="23"/>
      <c r="H4797" s="23"/>
      <c r="J4797" s="23"/>
      <c r="K4797" s="23"/>
      <c r="M4797" s="23"/>
      <c r="N4797" s="23"/>
      <c r="P4797" s="23"/>
    </row>
    <row r="4798" spans="2:16" x14ac:dyDescent="0.25">
      <c r="B4798" s="23"/>
      <c r="E4798" s="23"/>
      <c r="G4798" s="23"/>
      <c r="H4798" s="23"/>
      <c r="J4798" s="23"/>
      <c r="K4798" s="23"/>
      <c r="M4798" s="23"/>
      <c r="N4798" s="23"/>
      <c r="P4798" s="23"/>
    </row>
    <row r="4799" spans="2:16" x14ac:dyDescent="0.25">
      <c r="B4799" s="23"/>
      <c r="E4799" s="23"/>
      <c r="G4799" s="23"/>
      <c r="H4799" s="23"/>
      <c r="J4799" s="23"/>
      <c r="K4799" s="23"/>
      <c r="M4799" s="23"/>
      <c r="N4799" s="23"/>
      <c r="P4799" s="23"/>
    </row>
    <row r="4800" spans="2:16" x14ac:dyDescent="0.25">
      <c r="B4800" s="23"/>
      <c r="E4800" s="23"/>
      <c r="G4800" s="23"/>
      <c r="H4800" s="23"/>
      <c r="J4800" s="23"/>
      <c r="K4800" s="23"/>
      <c r="M4800" s="23"/>
      <c r="N4800" s="23"/>
      <c r="P4800" s="23"/>
    </row>
    <row r="4801" spans="2:16" x14ac:dyDescent="0.25">
      <c r="B4801" s="23"/>
      <c r="E4801" s="23"/>
      <c r="G4801" s="23"/>
      <c r="H4801" s="23"/>
      <c r="J4801" s="23"/>
      <c r="K4801" s="23"/>
      <c r="M4801" s="23"/>
      <c r="N4801" s="23"/>
      <c r="P4801" s="23"/>
    </row>
    <row r="4802" spans="2:16" x14ac:dyDescent="0.25">
      <c r="B4802" s="23"/>
      <c r="E4802" s="23"/>
      <c r="G4802" s="23"/>
      <c r="H4802" s="23"/>
      <c r="J4802" s="23"/>
      <c r="K4802" s="23"/>
      <c r="M4802" s="23"/>
      <c r="N4802" s="23"/>
      <c r="P4802" s="23"/>
    </row>
    <row r="4803" spans="2:16" x14ac:dyDescent="0.25">
      <c r="B4803" s="23"/>
      <c r="E4803" s="23"/>
      <c r="G4803" s="23"/>
      <c r="H4803" s="23"/>
      <c r="J4803" s="23"/>
      <c r="K4803" s="23"/>
      <c r="M4803" s="23"/>
      <c r="N4803" s="23"/>
      <c r="P4803" s="23"/>
    </row>
    <row r="4804" spans="2:16" x14ac:dyDescent="0.25">
      <c r="B4804" s="23"/>
      <c r="E4804" s="23"/>
      <c r="G4804" s="23"/>
      <c r="H4804" s="23"/>
      <c r="J4804" s="23"/>
      <c r="K4804" s="23"/>
      <c r="M4804" s="23"/>
      <c r="N4804" s="23"/>
      <c r="P4804" s="23"/>
    </row>
    <row r="4805" spans="2:16" x14ac:dyDescent="0.25">
      <c r="B4805" s="23"/>
      <c r="E4805" s="23"/>
      <c r="G4805" s="23"/>
      <c r="H4805" s="23"/>
      <c r="J4805" s="23"/>
      <c r="K4805" s="23"/>
      <c r="M4805" s="23"/>
      <c r="N4805" s="23"/>
      <c r="P4805" s="23"/>
    </row>
    <row r="4806" spans="2:16" x14ac:dyDescent="0.25">
      <c r="B4806" s="23"/>
      <c r="E4806" s="23"/>
      <c r="G4806" s="23"/>
      <c r="H4806" s="23"/>
      <c r="J4806" s="23"/>
      <c r="K4806" s="23"/>
      <c r="M4806" s="23"/>
      <c r="N4806" s="23"/>
      <c r="P4806" s="23"/>
    </row>
    <row r="4807" spans="2:16" x14ac:dyDescent="0.25">
      <c r="B4807" s="23"/>
      <c r="E4807" s="23"/>
      <c r="G4807" s="23"/>
      <c r="H4807" s="23"/>
      <c r="J4807" s="23"/>
      <c r="K4807" s="23"/>
      <c r="M4807" s="23"/>
      <c r="N4807" s="23"/>
      <c r="P4807" s="23"/>
    </row>
    <row r="4808" spans="2:16" x14ac:dyDescent="0.25">
      <c r="B4808" s="23"/>
      <c r="E4808" s="23"/>
      <c r="G4808" s="23"/>
      <c r="H4808" s="23"/>
      <c r="J4808" s="23"/>
      <c r="K4808" s="23"/>
      <c r="M4808" s="23"/>
      <c r="N4808" s="23"/>
      <c r="P4808" s="23"/>
    </row>
    <row r="4809" spans="2:16" x14ac:dyDescent="0.25">
      <c r="B4809" s="23"/>
      <c r="E4809" s="23"/>
      <c r="G4809" s="23"/>
      <c r="H4809" s="23"/>
      <c r="J4809" s="23"/>
      <c r="K4809" s="23"/>
      <c r="M4809" s="23"/>
      <c r="N4809" s="23"/>
      <c r="P4809" s="23"/>
    </row>
    <row r="4810" spans="2:16" x14ac:dyDescent="0.25">
      <c r="B4810" s="23"/>
      <c r="E4810" s="23"/>
      <c r="G4810" s="23"/>
      <c r="H4810" s="23"/>
      <c r="J4810" s="23"/>
      <c r="K4810" s="23"/>
      <c r="M4810" s="23"/>
      <c r="N4810" s="23"/>
      <c r="P4810" s="23"/>
    </row>
    <row r="4811" spans="2:16" x14ac:dyDescent="0.25">
      <c r="B4811" s="23"/>
      <c r="E4811" s="23"/>
      <c r="G4811" s="23"/>
      <c r="H4811" s="23"/>
      <c r="J4811" s="23"/>
      <c r="K4811" s="23"/>
      <c r="M4811" s="23"/>
      <c r="N4811" s="23"/>
      <c r="P4811" s="23"/>
    </row>
    <row r="4812" spans="2:16" x14ac:dyDescent="0.25">
      <c r="B4812" s="23"/>
      <c r="E4812" s="23"/>
      <c r="G4812" s="23"/>
      <c r="H4812" s="23"/>
      <c r="J4812" s="23"/>
      <c r="K4812" s="23"/>
      <c r="M4812" s="23"/>
      <c r="N4812" s="23"/>
      <c r="P4812" s="23"/>
    </row>
    <row r="4813" spans="2:16" x14ac:dyDescent="0.25">
      <c r="B4813" s="23"/>
      <c r="E4813" s="23"/>
      <c r="G4813" s="23"/>
      <c r="H4813" s="23"/>
      <c r="J4813" s="23"/>
      <c r="K4813" s="23"/>
      <c r="M4813" s="23"/>
      <c r="N4813" s="23"/>
      <c r="P4813" s="23"/>
    </row>
    <row r="4814" spans="2:16" x14ac:dyDescent="0.25">
      <c r="B4814" s="23"/>
      <c r="E4814" s="23"/>
      <c r="G4814" s="23"/>
      <c r="H4814" s="23"/>
      <c r="J4814" s="23"/>
      <c r="K4814" s="23"/>
      <c r="M4814" s="23"/>
      <c r="N4814" s="23"/>
      <c r="P4814" s="23"/>
    </row>
    <row r="4815" spans="2:16" x14ac:dyDescent="0.25">
      <c r="B4815" s="23"/>
      <c r="E4815" s="23"/>
      <c r="G4815" s="23"/>
      <c r="H4815" s="23"/>
      <c r="J4815" s="23"/>
      <c r="K4815" s="23"/>
      <c r="M4815" s="23"/>
      <c r="N4815" s="23"/>
      <c r="P4815" s="23"/>
    </row>
    <row r="4816" spans="2:16" x14ac:dyDescent="0.25">
      <c r="B4816" s="23"/>
      <c r="E4816" s="23"/>
      <c r="G4816" s="23"/>
      <c r="H4816" s="23"/>
      <c r="J4816" s="23"/>
      <c r="K4816" s="23"/>
      <c r="M4816" s="23"/>
      <c r="N4816" s="23"/>
      <c r="P4816" s="23"/>
    </row>
    <row r="4817" spans="2:16" x14ac:dyDescent="0.25">
      <c r="B4817" s="23"/>
      <c r="E4817" s="23"/>
      <c r="G4817" s="23"/>
      <c r="H4817" s="23"/>
      <c r="J4817" s="23"/>
      <c r="K4817" s="23"/>
      <c r="M4817" s="23"/>
      <c r="N4817" s="23"/>
      <c r="P4817" s="23"/>
    </row>
    <row r="4818" spans="2:16" x14ac:dyDescent="0.25">
      <c r="B4818" s="23"/>
      <c r="E4818" s="23"/>
      <c r="G4818" s="23"/>
      <c r="H4818" s="23"/>
      <c r="J4818" s="23"/>
      <c r="K4818" s="23"/>
      <c r="M4818" s="23"/>
      <c r="N4818" s="23"/>
      <c r="P4818" s="23"/>
    </row>
    <row r="4819" spans="2:16" x14ac:dyDescent="0.25">
      <c r="B4819" s="23"/>
      <c r="E4819" s="23"/>
      <c r="G4819" s="23"/>
      <c r="H4819" s="23"/>
      <c r="J4819" s="23"/>
      <c r="K4819" s="23"/>
      <c r="M4819" s="23"/>
      <c r="N4819" s="23"/>
      <c r="P4819" s="23"/>
    </row>
    <row r="4820" spans="2:16" x14ac:dyDescent="0.25">
      <c r="B4820" s="23"/>
      <c r="E4820" s="23"/>
      <c r="G4820" s="23"/>
      <c r="H4820" s="23"/>
      <c r="J4820" s="23"/>
      <c r="K4820" s="23"/>
      <c r="M4820" s="23"/>
      <c r="N4820" s="23"/>
      <c r="P4820" s="23"/>
    </row>
    <row r="4821" spans="2:16" x14ac:dyDescent="0.25">
      <c r="B4821" s="23"/>
      <c r="E4821" s="23"/>
      <c r="G4821" s="23"/>
      <c r="H4821" s="23"/>
      <c r="J4821" s="23"/>
      <c r="K4821" s="23"/>
      <c r="M4821" s="23"/>
      <c r="N4821" s="23"/>
      <c r="P4821" s="23"/>
    </row>
    <row r="4822" spans="2:16" x14ac:dyDescent="0.25">
      <c r="B4822" s="23"/>
      <c r="E4822" s="23"/>
      <c r="G4822" s="23"/>
      <c r="H4822" s="23"/>
      <c r="J4822" s="23"/>
      <c r="K4822" s="23"/>
      <c r="M4822" s="23"/>
      <c r="N4822" s="23"/>
      <c r="P4822" s="23"/>
    </row>
    <row r="4823" spans="2:16" x14ac:dyDescent="0.25">
      <c r="B4823" s="23"/>
      <c r="E4823" s="23"/>
      <c r="G4823" s="23"/>
      <c r="H4823" s="23"/>
      <c r="J4823" s="23"/>
      <c r="K4823" s="23"/>
      <c r="M4823" s="23"/>
      <c r="N4823" s="23"/>
      <c r="P4823" s="23"/>
    </row>
    <row r="4824" spans="2:16" x14ac:dyDescent="0.25">
      <c r="B4824" s="23"/>
      <c r="E4824" s="23"/>
      <c r="G4824" s="23"/>
      <c r="H4824" s="23"/>
      <c r="J4824" s="23"/>
      <c r="K4824" s="23"/>
      <c r="M4824" s="23"/>
      <c r="N4824" s="23"/>
      <c r="P4824" s="23"/>
    </row>
    <row r="4825" spans="2:16" x14ac:dyDescent="0.25">
      <c r="B4825" s="23"/>
      <c r="E4825" s="23"/>
      <c r="G4825" s="23"/>
      <c r="H4825" s="23"/>
      <c r="J4825" s="23"/>
      <c r="K4825" s="23"/>
      <c r="M4825" s="23"/>
      <c r="N4825" s="23"/>
      <c r="P4825" s="23"/>
    </row>
    <row r="4826" spans="2:16" x14ac:dyDescent="0.25">
      <c r="B4826" s="23"/>
      <c r="E4826" s="23"/>
      <c r="G4826" s="23"/>
      <c r="H4826" s="23"/>
      <c r="J4826" s="23"/>
      <c r="K4826" s="23"/>
      <c r="M4826" s="23"/>
      <c r="N4826" s="23"/>
      <c r="P4826" s="23"/>
    </row>
    <row r="4827" spans="2:16" x14ac:dyDescent="0.25">
      <c r="B4827" s="23"/>
      <c r="E4827" s="23"/>
      <c r="G4827" s="23"/>
      <c r="H4827" s="23"/>
      <c r="J4827" s="23"/>
      <c r="K4827" s="23"/>
      <c r="M4827" s="23"/>
      <c r="N4827" s="23"/>
      <c r="P4827" s="23"/>
    </row>
    <row r="4828" spans="2:16" x14ac:dyDescent="0.25">
      <c r="B4828" s="23"/>
      <c r="E4828" s="23"/>
      <c r="G4828" s="23"/>
      <c r="H4828" s="23"/>
      <c r="J4828" s="23"/>
      <c r="K4828" s="23"/>
      <c r="M4828" s="23"/>
      <c r="N4828" s="23"/>
      <c r="P4828" s="23"/>
    </row>
    <row r="4829" spans="2:16" x14ac:dyDescent="0.25">
      <c r="B4829" s="23"/>
      <c r="E4829" s="23"/>
      <c r="G4829" s="23"/>
      <c r="H4829" s="23"/>
      <c r="J4829" s="23"/>
      <c r="K4829" s="23"/>
      <c r="M4829" s="23"/>
      <c r="N4829" s="23"/>
      <c r="P4829" s="23"/>
    </row>
    <row r="4830" spans="2:16" x14ac:dyDescent="0.25">
      <c r="B4830" s="23"/>
      <c r="E4830" s="23"/>
      <c r="G4830" s="23"/>
      <c r="H4830" s="23"/>
      <c r="J4830" s="23"/>
      <c r="K4830" s="23"/>
      <c r="M4830" s="23"/>
      <c r="N4830" s="23"/>
      <c r="P4830" s="23"/>
    </row>
    <row r="4831" spans="2:16" x14ac:dyDescent="0.25">
      <c r="B4831" s="23"/>
      <c r="E4831" s="23"/>
      <c r="G4831" s="23"/>
      <c r="H4831" s="23"/>
      <c r="J4831" s="23"/>
      <c r="K4831" s="23"/>
      <c r="M4831" s="23"/>
      <c r="N4831" s="23"/>
      <c r="P4831" s="23"/>
    </row>
    <row r="4832" spans="2:16" x14ac:dyDescent="0.25">
      <c r="B4832" s="23"/>
      <c r="E4832" s="23"/>
      <c r="G4832" s="23"/>
      <c r="H4832" s="23"/>
      <c r="J4832" s="23"/>
      <c r="K4832" s="23"/>
      <c r="M4832" s="23"/>
      <c r="N4832" s="23"/>
      <c r="P4832" s="23"/>
    </row>
    <row r="4833" spans="2:16" x14ac:dyDescent="0.25">
      <c r="B4833" s="23"/>
      <c r="E4833" s="23"/>
      <c r="G4833" s="23"/>
      <c r="H4833" s="23"/>
      <c r="J4833" s="23"/>
      <c r="K4833" s="23"/>
      <c r="M4833" s="23"/>
      <c r="N4833" s="23"/>
      <c r="P4833" s="23"/>
    </row>
    <row r="4834" spans="2:16" x14ac:dyDescent="0.25">
      <c r="B4834" s="23"/>
      <c r="E4834" s="23"/>
      <c r="G4834" s="23"/>
      <c r="H4834" s="23"/>
      <c r="J4834" s="23"/>
      <c r="K4834" s="23"/>
      <c r="M4834" s="23"/>
      <c r="N4834" s="23"/>
      <c r="P4834" s="23"/>
    </row>
    <row r="4835" spans="2:16" x14ac:dyDescent="0.25">
      <c r="B4835" s="23"/>
      <c r="E4835" s="23"/>
      <c r="G4835" s="23"/>
      <c r="H4835" s="23"/>
      <c r="J4835" s="23"/>
      <c r="K4835" s="23"/>
      <c r="M4835" s="23"/>
      <c r="N4835" s="23"/>
      <c r="P4835" s="23"/>
    </row>
    <row r="4836" spans="2:16" x14ac:dyDescent="0.25">
      <c r="B4836" s="23"/>
      <c r="E4836" s="23"/>
      <c r="G4836" s="23"/>
      <c r="H4836" s="23"/>
      <c r="J4836" s="23"/>
      <c r="K4836" s="23"/>
      <c r="M4836" s="23"/>
      <c r="N4836" s="23"/>
      <c r="P4836" s="23"/>
    </row>
    <row r="4837" spans="2:16" x14ac:dyDescent="0.25">
      <c r="B4837" s="23"/>
      <c r="E4837" s="23"/>
      <c r="G4837" s="23"/>
      <c r="H4837" s="23"/>
      <c r="J4837" s="23"/>
      <c r="K4837" s="23"/>
      <c r="M4837" s="23"/>
      <c r="N4837" s="23"/>
      <c r="P4837" s="23"/>
    </row>
    <row r="4838" spans="2:16" x14ac:dyDescent="0.25">
      <c r="B4838" s="23"/>
      <c r="E4838" s="23"/>
      <c r="G4838" s="23"/>
      <c r="H4838" s="23"/>
      <c r="J4838" s="23"/>
      <c r="K4838" s="23"/>
      <c r="M4838" s="23"/>
      <c r="N4838" s="23"/>
      <c r="P4838" s="23"/>
    </row>
    <row r="4839" spans="2:16" x14ac:dyDescent="0.25">
      <c r="B4839" s="23"/>
      <c r="E4839" s="23"/>
      <c r="G4839" s="23"/>
      <c r="H4839" s="23"/>
      <c r="J4839" s="23"/>
      <c r="K4839" s="23"/>
      <c r="M4839" s="23"/>
      <c r="N4839" s="23"/>
      <c r="P4839" s="23"/>
    </row>
    <row r="4840" spans="2:16" x14ac:dyDescent="0.25">
      <c r="B4840" s="23"/>
      <c r="E4840" s="23"/>
      <c r="G4840" s="23"/>
      <c r="H4840" s="23"/>
      <c r="J4840" s="23"/>
      <c r="K4840" s="23"/>
      <c r="M4840" s="23"/>
      <c r="N4840" s="23"/>
      <c r="P4840" s="23"/>
    </row>
    <row r="4841" spans="2:16" x14ac:dyDescent="0.25">
      <c r="B4841" s="23"/>
      <c r="E4841" s="23"/>
      <c r="G4841" s="23"/>
      <c r="H4841" s="23"/>
      <c r="J4841" s="23"/>
      <c r="K4841" s="23"/>
      <c r="M4841" s="23"/>
      <c r="N4841" s="23"/>
      <c r="P4841" s="23"/>
    </row>
    <row r="4842" spans="2:16" x14ac:dyDescent="0.25">
      <c r="B4842" s="23"/>
      <c r="E4842" s="23"/>
      <c r="G4842" s="23"/>
      <c r="H4842" s="23"/>
      <c r="J4842" s="23"/>
      <c r="K4842" s="23"/>
      <c r="M4842" s="23"/>
      <c r="N4842" s="23"/>
      <c r="P4842" s="23"/>
    </row>
    <row r="4843" spans="2:16" x14ac:dyDescent="0.25">
      <c r="B4843" s="23"/>
      <c r="E4843" s="23"/>
      <c r="G4843" s="23"/>
      <c r="H4843" s="23"/>
      <c r="J4843" s="23"/>
      <c r="K4843" s="23"/>
      <c r="M4843" s="23"/>
      <c r="N4843" s="23"/>
      <c r="P4843" s="23"/>
    </row>
    <row r="4844" spans="2:16" x14ac:dyDescent="0.25">
      <c r="B4844" s="23"/>
      <c r="E4844" s="23"/>
      <c r="G4844" s="23"/>
      <c r="H4844" s="23"/>
      <c r="J4844" s="23"/>
      <c r="K4844" s="23"/>
      <c r="M4844" s="23"/>
      <c r="N4844" s="23"/>
      <c r="P4844" s="23"/>
    </row>
    <row r="4845" spans="2:16" x14ac:dyDescent="0.25">
      <c r="B4845" s="23"/>
      <c r="E4845" s="23"/>
      <c r="G4845" s="23"/>
      <c r="H4845" s="23"/>
      <c r="J4845" s="23"/>
      <c r="K4845" s="23"/>
      <c r="M4845" s="23"/>
      <c r="N4845" s="23"/>
      <c r="P4845" s="23"/>
    </row>
    <row r="4846" spans="2:16" x14ac:dyDescent="0.25">
      <c r="B4846" s="23"/>
      <c r="E4846" s="23"/>
      <c r="G4846" s="23"/>
      <c r="H4846" s="23"/>
      <c r="J4846" s="23"/>
      <c r="K4846" s="23"/>
      <c r="M4846" s="23"/>
      <c r="N4846" s="23"/>
      <c r="P4846" s="23"/>
    </row>
    <row r="4847" spans="2:16" x14ac:dyDescent="0.25">
      <c r="B4847" s="23"/>
      <c r="E4847" s="23"/>
      <c r="G4847" s="23"/>
      <c r="H4847" s="23"/>
      <c r="J4847" s="23"/>
      <c r="K4847" s="23"/>
      <c r="M4847" s="23"/>
      <c r="N4847" s="23"/>
      <c r="P4847" s="23"/>
    </row>
    <row r="4848" spans="2:16" x14ac:dyDescent="0.25">
      <c r="B4848" s="23"/>
      <c r="E4848" s="23"/>
      <c r="G4848" s="23"/>
      <c r="H4848" s="23"/>
      <c r="J4848" s="23"/>
      <c r="K4848" s="23"/>
      <c r="M4848" s="23"/>
      <c r="N4848" s="23"/>
      <c r="P4848" s="23"/>
    </row>
    <row r="4849" spans="2:16" x14ac:dyDescent="0.25">
      <c r="B4849" s="23"/>
      <c r="E4849" s="23"/>
      <c r="G4849" s="23"/>
      <c r="H4849" s="23"/>
      <c r="J4849" s="23"/>
      <c r="K4849" s="23"/>
      <c r="M4849" s="23"/>
      <c r="N4849" s="23"/>
      <c r="P4849" s="23"/>
    </row>
    <row r="4850" spans="2:16" x14ac:dyDescent="0.25">
      <c r="B4850" s="23"/>
      <c r="E4850" s="23"/>
      <c r="G4850" s="23"/>
      <c r="H4850" s="23"/>
      <c r="J4850" s="23"/>
      <c r="K4850" s="23"/>
      <c r="M4850" s="23"/>
      <c r="N4850" s="23"/>
      <c r="P4850" s="23"/>
    </row>
    <row r="4851" spans="2:16" x14ac:dyDescent="0.25">
      <c r="B4851" s="23"/>
      <c r="E4851" s="23"/>
      <c r="G4851" s="23"/>
      <c r="H4851" s="23"/>
      <c r="J4851" s="23"/>
      <c r="K4851" s="23"/>
      <c r="M4851" s="23"/>
      <c r="N4851" s="23"/>
      <c r="P4851" s="23"/>
    </row>
    <row r="4852" spans="2:16" x14ac:dyDescent="0.25">
      <c r="B4852" s="23"/>
      <c r="E4852" s="23"/>
      <c r="G4852" s="23"/>
      <c r="H4852" s="23"/>
      <c r="J4852" s="23"/>
      <c r="K4852" s="23"/>
      <c r="M4852" s="23"/>
      <c r="N4852" s="23"/>
      <c r="P4852" s="23"/>
    </row>
    <row r="4853" spans="2:16" x14ac:dyDescent="0.25">
      <c r="B4853" s="23"/>
      <c r="E4853" s="23"/>
      <c r="G4853" s="23"/>
      <c r="H4853" s="23"/>
      <c r="J4853" s="23"/>
      <c r="K4853" s="23"/>
      <c r="M4853" s="23"/>
      <c r="N4853" s="23"/>
      <c r="P4853" s="23"/>
    </row>
    <row r="4854" spans="2:16" x14ac:dyDescent="0.25">
      <c r="B4854" s="23"/>
      <c r="E4854" s="23"/>
      <c r="G4854" s="23"/>
      <c r="H4854" s="23"/>
      <c r="J4854" s="23"/>
      <c r="K4854" s="23"/>
      <c r="M4854" s="23"/>
      <c r="N4854" s="23"/>
      <c r="P4854" s="23"/>
    </row>
    <row r="4855" spans="2:16" x14ac:dyDescent="0.25">
      <c r="B4855" s="23"/>
      <c r="E4855" s="23"/>
      <c r="G4855" s="23"/>
      <c r="H4855" s="23"/>
      <c r="J4855" s="23"/>
      <c r="K4855" s="23"/>
      <c r="M4855" s="23"/>
      <c r="N4855" s="23"/>
      <c r="P4855" s="23"/>
    </row>
    <row r="4856" spans="2:16" x14ac:dyDescent="0.25">
      <c r="B4856" s="23"/>
      <c r="E4856" s="23"/>
      <c r="G4856" s="23"/>
      <c r="H4856" s="23"/>
      <c r="J4856" s="23"/>
      <c r="K4856" s="23"/>
      <c r="M4856" s="23"/>
      <c r="N4856" s="23"/>
      <c r="P4856" s="23"/>
    </row>
    <row r="4857" spans="2:16" x14ac:dyDescent="0.25">
      <c r="B4857" s="23"/>
      <c r="E4857" s="23"/>
      <c r="G4857" s="23"/>
      <c r="H4857" s="23"/>
      <c r="J4857" s="23"/>
      <c r="K4857" s="23"/>
      <c r="M4857" s="23"/>
      <c r="N4857" s="23"/>
      <c r="P4857" s="23"/>
    </row>
    <row r="4858" spans="2:16" x14ac:dyDescent="0.25">
      <c r="B4858" s="23"/>
      <c r="E4858" s="23"/>
      <c r="G4858" s="23"/>
      <c r="H4858" s="23"/>
      <c r="J4858" s="23"/>
      <c r="K4858" s="23"/>
      <c r="M4858" s="23"/>
      <c r="N4858" s="23"/>
      <c r="P4858" s="23"/>
    </row>
    <row r="4859" spans="2:16" x14ac:dyDescent="0.25">
      <c r="B4859" s="23"/>
      <c r="E4859" s="23"/>
      <c r="G4859" s="23"/>
      <c r="H4859" s="23"/>
      <c r="J4859" s="23"/>
      <c r="K4859" s="23"/>
      <c r="M4859" s="23"/>
      <c r="N4859" s="23"/>
      <c r="P4859" s="23"/>
    </row>
    <row r="4860" spans="2:16" x14ac:dyDescent="0.25">
      <c r="B4860" s="23"/>
      <c r="E4860" s="23"/>
      <c r="G4860" s="23"/>
      <c r="H4860" s="23"/>
      <c r="J4860" s="23"/>
      <c r="K4860" s="23"/>
      <c r="M4860" s="23"/>
      <c r="N4860" s="23"/>
      <c r="P4860" s="23"/>
    </row>
    <row r="4861" spans="2:16" x14ac:dyDescent="0.25">
      <c r="B4861" s="23"/>
      <c r="E4861" s="23"/>
      <c r="G4861" s="23"/>
      <c r="H4861" s="23"/>
      <c r="J4861" s="23"/>
      <c r="K4861" s="23"/>
      <c r="M4861" s="23"/>
      <c r="N4861" s="23"/>
      <c r="P4861" s="23"/>
    </row>
    <row r="4862" spans="2:16" x14ac:dyDescent="0.25">
      <c r="B4862" s="23"/>
      <c r="E4862" s="23"/>
      <c r="G4862" s="23"/>
      <c r="H4862" s="23"/>
      <c r="J4862" s="23"/>
      <c r="K4862" s="23"/>
      <c r="M4862" s="23"/>
      <c r="N4862" s="23"/>
      <c r="P4862" s="23"/>
    </row>
    <row r="4863" spans="2:16" x14ac:dyDescent="0.25">
      <c r="B4863" s="23"/>
      <c r="E4863" s="23"/>
      <c r="G4863" s="23"/>
      <c r="H4863" s="23"/>
      <c r="J4863" s="23"/>
      <c r="K4863" s="23"/>
      <c r="M4863" s="23"/>
      <c r="N4863" s="23"/>
      <c r="P4863" s="23"/>
    </row>
    <row r="4864" spans="2:16" x14ac:dyDescent="0.25">
      <c r="B4864" s="23"/>
      <c r="E4864" s="23"/>
      <c r="G4864" s="23"/>
      <c r="H4864" s="23"/>
      <c r="J4864" s="23"/>
      <c r="K4864" s="23"/>
      <c r="M4864" s="23"/>
      <c r="N4864" s="23"/>
      <c r="P4864" s="23"/>
    </row>
    <row r="4865" spans="2:16" x14ac:dyDescent="0.25">
      <c r="B4865" s="23"/>
      <c r="E4865" s="23"/>
      <c r="G4865" s="23"/>
      <c r="H4865" s="23"/>
      <c r="J4865" s="23"/>
      <c r="K4865" s="23"/>
      <c r="M4865" s="23"/>
      <c r="N4865" s="23"/>
      <c r="P4865" s="23"/>
    </row>
    <row r="4866" spans="2:16" x14ac:dyDescent="0.25">
      <c r="B4866" s="23"/>
      <c r="E4866" s="23"/>
      <c r="G4866" s="23"/>
      <c r="H4866" s="23"/>
      <c r="J4866" s="23"/>
      <c r="K4866" s="23"/>
      <c r="M4866" s="23"/>
      <c r="N4866" s="23"/>
      <c r="P4866" s="23"/>
    </row>
    <row r="4867" spans="2:16" x14ac:dyDescent="0.25">
      <c r="B4867" s="23"/>
      <c r="E4867" s="23"/>
      <c r="G4867" s="23"/>
      <c r="H4867" s="23"/>
      <c r="J4867" s="23"/>
      <c r="K4867" s="23"/>
      <c r="M4867" s="23"/>
      <c r="N4867" s="23"/>
      <c r="P4867" s="23"/>
    </row>
    <row r="4868" spans="2:16" x14ac:dyDescent="0.25">
      <c r="B4868" s="23"/>
      <c r="E4868" s="23"/>
      <c r="G4868" s="23"/>
      <c r="H4868" s="23"/>
      <c r="J4868" s="23"/>
      <c r="K4868" s="23"/>
      <c r="M4868" s="23"/>
      <c r="N4868" s="23"/>
      <c r="P4868" s="23"/>
    </row>
    <row r="4869" spans="2:16" x14ac:dyDescent="0.25">
      <c r="B4869" s="23"/>
      <c r="E4869" s="23"/>
      <c r="G4869" s="23"/>
      <c r="H4869" s="23"/>
      <c r="J4869" s="23"/>
      <c r="K4869" s="23"/>
      <c r="M4869" s="23"/>
      <c r="N4869" s="23"/>
      <c r="P4869" s="23"/>
    </row>
    <row r="4870" spans="2:16" x14ac:dyDescent="0.25">
      <c r="B4870" s="23"/>
      <c r="E4870" s="23"/>
      <c r="G4870" s="23"/>
      <c r="H4870" s="23"/>
      <c r="J4870" s="23"/>
      <c r="K4870" s="23"/>
      <c r="M4870" s="23"/>
      <c r="N4870" s="23"/>
      <c r="P4870" s="23"/>
    </row>
    <row r="4871" spans="2:16" x14ac:dyDescent="0.25">
      <c r="B4871" s="23"/>
      <c r="E4871" s="23"/>
      <c r="G4871" s="23"/>
      <c r="H4871" s="23"/>
      <c r="J4871" s="23"/>
      <c r="K4871" s="23"/>
      <c r="M4871" s="23"/>
      <c r="N4871" s="23"/>
      <c r="P4871" s="23"/>
    </row>
    <row r="4872" spans="2:16" x14ac:dyDescent="0.25">
      <c r="B4872" s="23"/>
      <c r="E4872" s="23"/>
      <c r="G4872" s="23"/>
      <c r="H4872" s="23"/>
      <c r="J4872" s="23"/>
      <c r="K4872" s="23"/>
      <c r="M4872" s="23"/>
      <c r="N4872" s="23"/>
      <c r="P4872" s="23"/>
    </row>
    <row r="4873" spans="2:16" x14ac:dyDescent="0.25">
      <c r="B4873" s="23"/>
      <c r="E4873" s="23"/>
      <c r="G4873" s="23"/>
      <c r="H4873" s="23"/>
      <c r="J4873" s="23"/>
      <c r="K4873" s="23"/>
      <c r="M4873" s="23"/>
      <c r="N4873" s="23"/>
      <c r="P4873" s="23"/>
    </row>
    <row r="4874" spans="2:16" x14ac:dyDescent="0.25">
      <c r="B4874" s="23"/>
      <c r="E4874" s="23"/>
      <c r="G4874" s="23"/>
      <c r="H4874" s="23"/>
      <c r="J4874" s="23"/>
      <c r="K4874" s="23"/>
      <c r="M4874" s="23"/>
      <c r="N4874" s="23"/>
      <c r="P4874" s="23"/>
    </row>
    <row r="4875" spans="2:16" x14ac:dyDescent="0.25">
      <c r="B4875" s="23"/>
      <c r="E4875" s="23"/>
      <c r="G4875" s="23"/>
      <c r="H4875" s="23"/>
      <c r="J4875" s="23"/>
      <c r="K4875" s="23"/>
      <c r="M4875" s="23"/>
      <c r="N4875" s="23"/>
      <c r="P4875" s="23"/>
    </row>
    <row r="4876" spans="2:16" x14ac:dyDescent="0.25">
      <c r="B4876" s="23"/>
      <c r="E4876" s="23"/>
      <c r="G4876" s="23"/>
      <c r="H4876" s="23"/>
      <c r="J4876" s="23"/>
      <c r="K4876" s="23"/>
      <c r="M4876" s="23"/>
      <c r="N4876" s="23"/>
      <c r="P4876" s="23"/>
    </row>
    <row r="4877" spans="2:16" x14ac:dyDescent="0.25">
      <c r="B4877" s="23"/>
      <c r="E4877" s="23"/>
      <c r="G4877" s="23"/>
      <c r="H4877" s="23"/>
      <c r="J4877" s="23"/>
      <c r="K4877" s="23"/>
      <c r="M4877" s="23"/>
      <c r="N4877" s="23"/>
      <c r="P4877" s="23"/>
    </row>
    <row r="4878" spans="2:16" x14ac:dyDescent="0.25">
      <c r="B4878" s="23"/>
      <c r="E4878" s="23"/>
      <c r="G4878" s="23"/>
      <c r="H4878" s="23"/>
      <c r="J4878" s="23"/>
      <c r="K4878" s="23"/>
      <c r="M4878" s="23"/>
      <c r="N4878" s="23"/>
      <c r="P4878" s="23"/>
    </row>
    <row r="4879" spans="2:16" x14ac:dyDescent="0.25">
      <c r="B4879" s="23"/>
      <c r="E4879" s="23"/>
      <c r="G4879" s="23"/>
      <c r="H4879" s="23"/>
      <c r="J4879" s="23"/>
      <c r="K4879" s="23"/>
      <c r="M4879" s="23"/>
      <c r="N4879" s="23"/>
      <c r="P4879" s="23"/>
    </row>
    <row r="4880" spans="2:16" x14ac:dyDescent="0.25">
      <c r="B4880" s="23"/>
      <c r="E4880" s="23"/>
      <c r="G4880" s="23"/>
      <c r="H4880" s="23"/>
      <c r="J4880" s="23"/>
      <c r="K4880" s="23"/>
      <c r="M4880" s="23"/>
      <c r="N4880" s="23"/>
      <c r="P4880" s="23"/>
    </row>
    <row r="4881" spans="2:16" x14ac:dyDescent="0.25">
      <c r="B4881" s="23"/>
      <c r="E4881" s="23"/>
      <c r="G4881" s="23"/>
      <c r="H4881" s="23"/>
      <c r="J4881" s="23"/>
      <c r="K4881" s="23"/>
      <c r="M4881" s="23"/>
      <c r="N4881" s="23"/>
      <c r="P4881" s="23"/>
    </row>
    <row r="4882" spans="2:16" x14ac:dyDescent="0.25">
      <c r="B4882" s="23"/>
      <c r="E4882" s="23"/>
      <c r="G4882" s="23"/>
      <c r="H4882" s="23"/>
      <c r="J4882" s="23"/>
      <c r="K4882" s="23"/>
      <c r="M4882" s="23"/>
      <c r="N4882" s="23"/>
      <c r="P4882" s="23"/>
    </row>
    <row r="4883" spans="2:16" x14ac:dyDescent="0.25">
      <c r="B4883" s="23"/>
      <c r="E4883" s="23"/>
      <c r="G4883" s="23"/>
      <c r="H4883" s="23"/>
      <c r="J4883" s="23"/>
      <c r="K4883" s="23"/>
      <c r="M4883" s="23"/>
      <c r="N4883" s="23"/>
      <c r="P4883" s="23"/>
    </row>
    <row r="4884" spans="2:16" x14ac:dyDescent="0.25">
      <c r="B4884" s="23"/>
      <c r="E4884" s="23"/>
      <c r="G4884" s="23"/>
      <c r="H4884" s="23"/>
      <c r="J4884" s="23"/>
      <c r="K4884" s="23"/>
      <c r="M4884" s="23"/>
      <c r="N4884" s="23"/>
      <c r="P4884" s="23"/>
    </row>
    <row r="4885" spans="2:16" x14ac:dyDescent="0.25">
      <c r="B4885" s="23"/>
      <c r="E4885" s="23"/>
      <c r="G4885" s="23"/>
      <c r="H4885" s="23"/>
      <c r="J4885" s="23"/>
      <c r="K4885" s="23"/>
      <c r="M4885" s="23"/>
      <c r="N4885" s="23"/>
      <c r="P4885" s="23"/>
    </row>
    <row r="4886" spans="2:16" x14ac:dyDescent="0.25">
      <c r="B4886" s="23"/>
      <c r="E4886" s="23"/>
      <c r="G4886" s="23"/>
      <c r="H4886" s="23"/>
      <c r="J4886" s="23"/>
      <c r="K4886" s="23"/>
      <c r="M4886" s="23"/>
      <c r="N4886" s="23"/>
      <c r="P4886" s="23"/>
    </row>
    <row r="4887" spans="2:16" x14ac:dyDescent="0.25">
      <c r="B4887" s="23"/>
      <c r="E4887" s="23"/>
      <c r="G4887" s="23"/>
      <c r="H4887" s="23"/>
      <c r="J4887" s="23"/>
      <c r="K4887" s="23"/>
      <c r="M4887" s="23"/>
      <c r="N4887" s="23"/>
      <c r="P4887" s="23"/>
    </row>
    <row r="4888" spans="2:16" x14ac:dyDescent="0.25">
      <c r="B4888" s="23"/>
      <c r="E4888" s="23"/>
      <c r="G4888" s="23"/>
      <c r="H4888" s="23"/>
      <c r="J4888" s="23"/>
      <c r="K4888" s="23"/>
      <c r="M4888" s="23"/>
      <c r="N4888" s="23"/>
      <c r="P4888" s="23"/>
    </row>
    <row r="4889" spans="2:16" x14ac:dyDescent="0.25">
      <c r="B4889" s="23"/>
      <c r="E4889" s="23"/>
      <c r="G4889" s="23"/>
      <c r="H4889" s="23"/>
      <c r="J4889" s="23"/>
      <c r="K4889" s="23"/>
      <c r="M4889" s="23"/>
      <c r="N4889" s="23"/>
      <c r="P4889" s="23"/>
    </row>
    <row r="4890" spans="2:16" x14ac:dyDescent="0.25">
      <c r="B4890" s="23"/>
      <c r="E4890" s="23"/>
      <c r="G4890" s="23"/>
      <c r="H4890" s="23"/>
      <c r="J4890" s="23"/>
      <c r="K4890" s="23"/>
      <c r="M4890" s="23"/>
      <c r="N4890" s="23"/>
      <c r="P4890" s="23"/>
    </row>
    <row r="4891" spans="2:16" x14ac:dyDescent="0.25">
      <c r="B4891" s="23"/>
      <c r="E4891" s="23"/>
      <c r="G4891" s="23"/>
      <c r="H4891" s="23"/>
      <c r="J4891" s="23"/>
      <c r="K4891" s="23"/>
      <c r="M4891" s="23"/>
      <c r="N4891" s="23"/>
      <c r="P4891" s="23"/>
    </row>
    <row r="4892" spans="2:16" x14ac:dyDescent="0.25">
      <c r="B4892" s="23"/>
      <c r="E4892" s="23"/>
      <c r="G4892" s="23"/>
      <c r="H4892" s="23"/>
      <c r="J4892" s="23"/>
      <c r="K4892" s="23"/>
      <c r="M4892" s="23"/>
      <c r="N4892" s="23"/>
      <c r="P4892" s="23"/>
    </row>
    <row r="4893" spans="2:16" x14ac:dyDescent="0.25">
      <c r="B4893" s="23"/>
      <c r="E4893" s="23"/>
      <c r="G4893" s="23"/>
      <c r="H4893" s="23"/>
      <c r="J4893" s="23"/>
      <c r="K4893" s="23"/>
      <c r="M4893" s="23"/>
      <c r="N4893" s="23"/>
      <c r="P4893" s="23"/>
    </row>
    <row r="4894" spans="2:16" x14ac:dyDescent="0.25">
      <c r="B4894" s="23"/>
      <c r="E4894" s="23"/>
      <c r="G4894" s="23"/>
      <c r="H4894" s="23"/>
      <c r="J4894" s="23"/>
      <c r="K4894" s="23"/>
      <c r="M4894" s="23"/>
      <c r="N4894" s="23"/>
      <c r="P4894" s="23"/>
    </row>
    <row r="4895" spans="2:16" x14ac:dyDescent="0.25">
      <c r="B4895" s="23"/>
      <c r="E4895" s="23"/>
      <c r="G4895" s="23"/>
      <c r="H4895" s="23"/>
      <c r="J4895" s="23"/>
      <c r="K4895" s="23"/>
      <c r="M4895" s="23"/>
      <c r="N4895" s="23"/>
      <c r="P4895" s="23"/>
    </row>
    <row r="4896" spans="2:16" x14ac:dyDescent="0.25">
      <c r="B4896" s="23"/>
      <c r="E4896" s="23"/>
      <c r="G4896" s="23"/>
      <c r="H4896" s="23"/>
      <c r="J4896" s="23"/>
      <c r="K4896" s="23"/>
      <c r="M4896" s="23"/>
      <c r="N4896" s="23"/>
      <c r="P4896" s="23"/>
    </row>
    <row r="4897" spans="2:16" x14ac:dyDescent="0.25">
      <c r="B4897" s="23"/>
      <c r="E4897" s="23"/>
      <c r="G4897" s="23"/>
      <c r="H4897" s="23"/>
      <c r="J4897" s="23"/>
      <c r="K4897" s="23"/>
      <c r="M4897" s="23"/>
      <c r="N4897" s="23"/>
      <c r="P4897" s="23"/>
    </row>
    <row r="4898" spans="2:16" x14ac:dyDescent="0.25">
      <c r="B4898" s="23"/>
      <c r="E4898" s="23"/>
      <c r="G4898" s="23"/>
      <c r="H4898" s="23"/>
      <c r="J4898" s="23"/>
      <c r="K4898" s="23"/>
      <c r="M4898" s="23"/>
      <c r="N4898" s="23"/>
      <c r="P4898" s="23"/>
    </row>
    <row r="4899" spans="2:16" x14ac:dyDescent="0.25">
      <c r="B4899" s="23"/>
      <c r="E4899" s="23"/>
      <c r="G4899" s="23"/>
      <c r="H4899" s="23"/>
      <c r="J4899" s="23"/>
      <c r="K4899" s="23"/>
      <c r="M4899" s="23"/>
      <c r="N4899" s="23"/>
      <c r="P4899" s="23"/>
    </row>
    <row r="4900" spans="2:16" x14ac:dyDescent="0.25">
      <c r="B4900" s="23"/>
      <c r="E4900" s="23"/>
      <c r="G4900" s="23"/>
      <c r="H4900" s="23"/>
      <c r="J4900" s="23"/>
      <c r="K4900" s="23"/>
      <c r="M4900" s="23"/>
      <c r="N4900" s="23"/>
      <c r="P4900" s="23"/>
    </row>
    <row r="4901" spans="2:16" x14ac:dyDescent="0.25">
      <c r="B4901" s="23"/>
      <c r="E4901" s="23"/>
      <c r="G4901" s="23"/>
      <c r="H4901" s="23"/>
      <c r="J4901" s="23"/>
      <c r="K4901" s="23"/>
      <c r="M4901" s="23"/>
      <c r="N4901" s="23"/>
      <c r="P4901" s="23"/>
    </row>
    <row r="4902" spans="2:16" x14ac:dyDescent="0.25">
      <c r="B4902" s="23"/>
      <c r="E4902" s="23"/>
      <c r="G4902" s="23"/>
      <c r="H4902" s="23"/>
      <c r="J4902" s="23"/>
      <c r="K4902" s="23"/>
      <c r="M4902" s="23"/>
      <c r="N4902" s="23"/>
      <c r="P4902" s="23"/>
    </row>
    <row r="4903" spans="2:16" x14ac:dyDescent="0.25">
      <c r="B4903" s="23"/>
      <c r="E4903" s="23"/>
      <c r="G4903" s="23"/>
      <c r="H4903" s="23"/>
      <c r="J4903" s="23"/>
      <c r="K4903" s="23"/>
      <c r="M4903" s="23"/>
      <c r="N4903" s="23"/>
      <c r="P4903" s="23"/>
    </row>
    <row r="4904" spans="2:16" x14ac:dyDescent="0.25">
      <c r="B4904" s="23"/>
      <c r="E4904" s="23"/>
      <c r="G4904" s="23"/>
      <c r="H4904" s="23"/>
      <c r="J4904" s="23"/>
      <c r="K4904" s="23"/>
      <c r="M4904" s="23"/>
      <c r="N4904" s="23"/>
      <c r="P4904" s="23"/>
    </row>
    <row r="4905" spans="2:16" x14ac:dyDescent="0.25">
      <c r="B4905" s="23"/>
      <c r="E4905" s="23"/>
      <c r="G4905" s="23"/>
      <c r="H4905" s="23"/>
      <c r="J4905" s="23"/>
      <c r="K4905" s="23"/>
      <c r="M4905" s="23"/>
      <c r="N4905" s="23"/>
      <c r="P4905" s="23"/>
    </row>
    <row r="4906" spans="2:16" x14ac:dyDescent="0.25">
      <c r="B4906" s="23"/>
      <c r="E4906" s="23"/>
      <c r="G4906" s="23"/>
      <c r="H4906" s="23"/>
      <c r="J4906" s="23"/>
      <c r="K4906" s="23"/>
      <c r="M4906" s="23"/>
      <c r="N4906" s="23"/>
      <c r="P4906" s="23"/>
    </row>
    <row r="4907" spans="2:16" x14ac:dyDescent="0.25">
      <c r="B4907" s="23"/>
      <c r="E4907" s="23"/>
      <c r="G4907" s="23"/>
      <c r="H4907" s="23"/>
      <c r="J4907" s="23"/>
      <c r="K4907" s="23"/>
      <c r="M4907" s="23"/>
      <c r="N4907" s="23"/>
      <c r="P4907" s="23"/>
    </row>
    <row r="4908" spans="2:16" x14ac:dyDescent="0.25">
      <c r="B4908" s="23"/>
      <c r="E4908" s="23"/>
      <c r="G4908" s="23"/>
      <c r="H4908" s="23"/>
      <c r="J4908" s="23"/>
      <c r="K4908" s="23"/>
      <c r="M4908" s="23"/>
      <c r="N4908" s="23"/>
      <c r="P4908" s="23"/>
    </row>
    <row r="4909" spans="2:16" x14ac:dyDescent="0.25">
      <c r="B4909" s="23"/>
      <c r="E4909" s="23"/>
      <c r="G4909" s="23"/>
      <c r="H4909" s="23"/>
      <c r="J4909" s="23"/>
      <c r="K4909" s="23"/>
      <c r="M4909" s="23"/>
      <c r="N4909" s="23"/>
      <c r="P4909" s="23"/>
    </row>
    <row r="4910" spans="2:16" x14ac:dyDescent="0.25">
      <c r="B4910" s="23"/>
      <c r="E4910" s="23"/>
      <c r="G4910" s="23"/>
      <c r="H4910" s="23"/>
      <c r="J4910" s="23"/>
      <c r="K4910" s="23"/>
      <c r="M4910" s="23"/>
      <c r="N4910" s="23"/>
      <c r="P4910" s="23"/>
    </row>
    <row r="4911" spans="2:16" x14ac:dyDescent="0.25">
      <c r="B4911" s="23"/>
      <c r="E4911" s="23"/>
      <c r="G4911" s="23"/>
      <c r="H4911" s="23"/>
      <c r="J4911" s="23"/>
      <c r="K4911" s="23"/>
      <c r="M4911" s="23"/>
      <c r="N4911" s="23"/>
      <c r="P4911" s="23"/>
    </row>
    <row r="4912" spans="2:16" x14ac:dyDescent="0.25">
      <c r="B4912" s="23"/>
      <c r="E4912" s="23"/>
      <c r="G4912" s="23"/>
      <c r="H4912" s="23"/>
      <c r="J4912" s="23"/>
      <c r="K4912" s="23"/>
      <c r="M4912" s="23"/>
      <c r="N4912" s="23"/>
      <c r="P4912" s="23"/>
    </row>
    <row r="4913" spans="2:16" x14ac:dyDescent="0.25">
      <c r="B4913" s="23"/>
      <c r="E4913" s="23"/>
      <c r="G4913" s="23"/>
      <c r="H4913" s="23"/>
      <c r="J4913" s="23"/>
      <c r="K4913" s="23"/>
      <c r="M4913" s="23"/>
      <c r="N4913" s="23"/>
      <c r="P4913" s="23"/>
    </row>
    <row r="4914" spans="2:16" x14ac:dyDescent="0.25">
      <c r="B4914" s="23"/>
      <c r="E4914" s="23"/>
      <c r="G4914" s="23"/>
      <c r="H4914" s="23"/>
      <c r="J4914" s="23"/>
      <c r="K4914" s="23"/>
      <c r="M4914" s="23"/>
      <c r="N4914" s="23"/>
      <c r="P4914" s="23"/>
    </row>
    <row r="4915" spans="2:16" x14ac:dyDescent="0.25">
      <c r="B4915" s="23"/>
      <c r="E4915" s="23"/>
      <c r="G4915" s="23"/>
      <c r="H4915" s="23"/>
      <c r="J4915" s="23"/>
      <c r="K4915" s="23"/>
      <c r="M4915" s="23"/>
      <c r="N4915" s="23"/>
      <c r="P4915" s="23"/>
    </row>
    <row r="4916" spans="2:16" x14ac:dyDescent="0.25">
      <c r="B4916" s="23"/>
      <c r="E4916" s="23"/>
      <c r="G4916" s="23"/>
      <c r="H4916" s="23"/>
      <c r="J4916" s="23"/>
      <c r="K4916" s="23"/>
      <c r="M4916" s="23"/>
      <c r="N4916" s="23"/>
      <c r="P4916" s="23"/>
    </row>
    <row r="4917" spans="2:16" x14ac:dyDescent="0.25">
      <c r="B4917" s="23"/>
      <c r="E4917" s="23"/>
      <c r="G4917" s="23"/>
      <c r="H4917" s="23"/>
      <c r="J4917" s="23"/>
      <c r="K4917" s="23"/>
      <c r="M4917" s="23"/>
      <c r="N4917" s="23"/>
      <c r="P4917" s="23"/>
    </row>
    <row r="4918" spans="2:16" x14ac:dyDescent="0.25">
      <c r="B4918" s="23"/>
      <c r="E4918" s="23"/>
      <c r="G4918" s="23"/>
      <c r="H4918" s="23"/>
      <c r="J4918" s="23"/>
      <c r="K4918" s="23"/>
      <c r="M4918" s="23"/>
      <c r="N4918" s="23"/>
      <c r="P4918" s="23"/>
    </row>
    <row r="4919" spans="2:16" x14ac:dyDescent="0.25">
      <c r="B4919" s="23"/>
      <c r="E4919" s="23"/>
      <c r="G4919" s="23"/>
      <c r="H4919" s="23"/>
      <c r="J4919" s="23"/>
      <c r="K4919" s="23"/>
      <c r="M4919" s="23"/>
      <c r="N4919" s="23"/>
      <c r="P4919" s="23"/>
    </row>
    <row r="4920" spans="2:16" x14ac:dyDescent="0.25">
      <c r="B4920" s="23"/>
      <c r="E4920" s="23"/>
      <c r="G4920" s="23"/>
      <c r="H4920" s="23"/>
      <c r="J4920" s="23"/>
      <c r="K4920" s="23"/>
      <c r="M4920" s="23"/>
      <c r="N4920" s="23"/>
      <c r="P4920" s="23"/>
    </row>
    <row r="4921" spans="2:16" x14ac:dyDescent="0.25">
      <c r="B4921" s="23"/>
      <c r="E4921" s="23"/>
      <c r="G4921" s="23"/>
      <c r="H4921" s="23"/>
      <c r="J4921" s="23"/>
      <c r="K4921" s="23"/>
      <c r="M4921" s="23"/>
      <c r="N4921" s="23"/>
      <c r="P4921" s="23"/>
    </row>
    <row r="4922" spans="2:16" x14ac:dyDescent="0.25">
      <c r="B4922" s="23"/>
      <c r="E4922" s="23"/>
      <c r="G4922" s="23"/>
      <c r="H4922" s="23"/>
      <c r="J4922" s="23"/>
      <c r="K4922" s="23"/>
      <c r="M4922" s="23"/>
      <c r="N4922" s="23"/>
      <c r="P4922" s="23"/>
    </row>
    <row r="4923" spans="2:16" x14ac:dyDescent="0.25">
      <c r="B4923" s="23"/>
      <c r="E4923" s="23"/>
      <c r="G4923" s="23"/>
      <c r="H4923" s="23"/>
      <c r="J4923" s="23"/>
      <c r="K4923" s="23"/>
      <c r="M4923" s="23"/>
      <c r="N4923" s="23"/>
      <c r="P4923" s="23"/>
    </row>
    <row r="4924" spans="2:16" x14ac:dyDescent="0.25">
      <c r="B4924" s="23"/>
      <c r="E4924" s="23"/>
      <c r="G4924" s="23"/>
      <c r="H4924" s="23"/>
      <c r="J4924" s="23"/>
      <c r="K4924" s="23"/>
      <c r="M4924" s="23"/>
      <c r="N4924" s="23"/>
      <c r="P4924" s="23"/>
    </row>
    <row r="4925" spans="2:16" x14ac:dyDescent="0.25">
      <c r="B4925" s="23"/>
      <c r="E4925" s="23"/>
      <c r="G4925" s="23"/>
      <c r="H4925" s="23"/>
      <c r="J4925" s="23"/>
      <c r="K4925" s="23"/>
      <c r="M4925" s="23"/>
      <c r="N4925" s="23"/>
      <c r="P4925" s="23"/>
    </row>
    <row r="4926" spans="2:16" x14ac:dyDescent="0.25">
      <c r="B4926" s="23"/>
      <c r="E4926" s="23"/>
      <c r="G4926" s="23"/>
      <c r="H4926" s="23"/>
      <c r="J4926" s="23"/>
      <c r="K4926" s="23"/>
      <c r="M4926" s="23"/>
      <c r="N4926" s="23"/>
      <c r="P4926" s="23"/>
    </row>
    <row r="4927" spans="2:16" x14ac:dyDescent="0.25">
      <c r="B4927" s="23"/>
      <c r="E4927" s="23"/>
      <c r="G4927" s="23"/>
      <c r="H4927" s="23"/>
      <c r="J4927" s="23"/>
      <c r="K4927" s="23"/>
      <c r="M4927" s="23"/>
      <c r="N4927" s="23"/>
      <c r="P4927" s="23"/>
    </row>
    <row r="4928" spans="2:16" x14ac:dyDescent="0.25">
      <c r="B4928" s="23"/>
      <c r="E4928" s="23"/>
      <c r="G4928" s="23"/>
      <c r="H4928" s="23"/>
      <c r="J4928" s="23"/>
      <c r="K4928" s="23"/>
      <c r="M4928" s="23"/>
      <c r="N4928" s="23"/>
      <c r="P4928" s="23"/>
    </row>
    <row r="4929" spans="2:16" x14ac:dyDescent="0.25">
      <c r="B4929" s="23"/>
      <c r="E4929" s="23"/>
      <c r="G4929" s="23"/>
      <c r="H4929" s="23"/>
      <c r="J4929" s="23"/>
      <c r="K4929" s="23"/>
      <c r="M4929" s="23"/>
      <c r="N4929" s="23"/>
      <c r="P4929" s="23"/>
    </row>
    <row r="4930" spans="2:16" x14ac:dyDescent="0.25">
      <c r="B4930" s="23"/>
      <c r="E4930" s="23"/>
      <c r="G4930" s="23"/>
      <c r="H4930" s="23"/>
      <c r="J4930" s="23"/>
      <c r="K4930" s="23"/>
      <c r="M4930" s="23"/>
      <c r="N4930" s="23"/>
      <c r="P4930" s="23"/>
    </row>
    <row r="4931" spans="2:16" x14ac:dyDescent="0.25">
      <c r="B4931" s="23"/>
      <c r="E4931" s="23"/>
      <c r="G4931" s="23"/>
      <c r="H4931" s="23"/>
      <c r="J4931" s="23"/>
      <c r="K4931" s="23"/>
      <c r="M4931" s="23"/>
      <c r="N4931" s="23"/>
      <c r="P4931" s="23"/>
    </row>
    <row r="4932" spans="2:16" x14ac:dyDescent="0.25">
      <c r="B4932" s="23"/>
      <c r="E4932" s="23"/>
      <c r="G4932" s="23"/>
      <c r="H4932" s="23"/>
      <c r="J4932" s="23"/>
      <c r="K4932" s="23"/>
      <c r="M4932" s="23"/>
      <c r="N4932" s="23"/>
      <c r="P4932" s="23"/>
    </row>
    <row r="4933" spans="2:16" x14ac:dyDescent="0.25">
      <c r="B4933" s="23"/>
      <c r="E4933" s="23"/>
      <c r="G4933" s="23"/>
      <c r="H4933" s="23"/>
      <c r="J4933" s="23"/>
      <c r="K4933" s="23"/>
      <c r="M4933" s="23"/>
      <c r="N4933" s="23"/>
      <c r="P4933" s="23"/>
    </row>
    <row r="4934" spans="2:16" x14ac:dyDescent="0.25">
      <c r="B4934" s="23"/>
      <c r="E4934" s="23"/>
      <c r="G4934" s="23"/>
      <c r="H4934" s="23"/>
      <c r="J4934" s="23"/>
      <c r="K4934" s="23"/>
      <c r="M4934" s="23"/>
      <c r="N4934" s="23"/>
      <c r="P4934" s="23"/>
    </row>
    <row r="4935" spans="2:16" x14ac:dyDescent="0.25">
      <c r="B4935" s="23"/>
      <c r="E4935" s="23"/>
      <c r="G4935" s="23"/>
      <c r="H4935" s="23"/>
      <c r="J4935" s="23"/>
      <c r="K4935" s="23"/>
      <c r="M4935" s="23"/>
      <c r="N4935" s="23"/>
      <c r="P4935" s="23"/>
    </row>
    <row r="4936" spans="2:16" x14ac:dyDescent="0.25">
      <c r="B4936" s="23"/>
      <c r="E4936" s="23"/>
      <c r="G4936" s="23"/>
      <c r="H4936" s="23"/>
      <c r="J4936" s="23"/>
      <c r="K4936" s="23"/>
      <c r="M4936" s="23"/>
      <c r="N4936" s="23"/>
      <c r="P4936" s="23"/>
    </row>
    <row r="4937" spans="2:16" x14ac:dyDescent="0.25">
      <c r="B4937" s="23"/>
      <c r="E4937" s="23"/>
      <c r="G4937" s="23"/>
      <c r="H4937" s="23"/>
      <c r="J4937" s="23"/>
      <c r="K4937" s="23"/>
      <c r="M4937" s="23"/>
      <c r="N4937" s="23"/>
      <c r="P4937" s="23"/>
    </row>
    <row r="4938" spans="2:16" x14ac:dyDescent="0.25">
      <c r="B4938" s="23"/>
      <c r="E4938" s="23"/>
      <c r="G4938" s="23"/>
      <c r="H4938" s="23"/>
      <c r="J4938" s="23"/>
      <c r="K4938" s="23"/>
      <c r="M4938" s="23"/>
      <c r="N4938" s="23"/>
      <c r="P4938" s="23"/>
    </row>
    <row r="4939" spans="2:16" x14ac:dyDescent="0.25">
      <c r="B4939" s="23"/>
      <c r="E4939" s="23"/>
      <c r="G4939" s="23"/>
      <c r="H4939" s="23"/>
      <c r="J4939" s="23"/>
      <c r="K4939" s="23"/>
      <c r="M4939" s="23"/>
      <c r="N4939" s="23"/>
      <c r="P4939" s="23"/>
    </row>
    <row r="4940" spans="2:16" x14ac:dyDescent="0.25">
      <c r="B4940" s="23"/>
      <c r="E4940" s="23"/>
      <c r="G4940" s="23"/>
      <c r="H4940" s="23"/>
      <c r="J4940" s="23"/>
      <c r="K4940" s="23"/>
      <c r="M4940" s="23"/>
      <c r="N4940" s="23"/>
      <c r="P4940" s="23"/>
    </row>
    <row r="4941" spans="2:16" x14ac:dyDescent="0.25">
      <c r="B4941" s="23"/>
      <c r="E4941" s="23"/>
      <c r="G4941" s="23"/>
      <c r="H4941" s="23"/>
      <c r="J4941" s="23"/>
      <c r="K4941" s="23"/>
      <c r="M4941" s="23"/>
      <c r="N4941" s="23"/>
      <c r="P4941" s="23"/>
    </row>
    <row r="4942" spans="2:16" x14ac:dyDescent="0.25">
      <c r="B4942" s="23"/>
      <c r="E4942" s="23"/>
      <c r="G4942" s="23"/>
      <c r="H4942" s="23"/>
      <c r="J4942" s="23"/>
      <c r="K4942" s="23"/>
      <c r="M4942" s="23"/>
      <c r="N4942" s="23"/>
      <c r="P4942" s="23"/>
    </row>
    <row r="4943" spans="2:16" x14ac:dyDescent="0.25">
      <c r="B4943" s="23"/>
      <c r="E4943" s="23"/>
      <c r="G4943" s="23"/>
      <c r="H4943" s="23"/>
      <c r="J4943" s="23"/>
      <c r="K4943" s="23"/>
      <c r="M4943" s="23"/>
      <c r="N4943" s="23"/>
      <c r="P4943" s="23"/>
    </row>
    <row r="4944" spans="2:16" x14ac:dyDescent="0.25">
      <c r="B4944" s="23"/>
      <c r="E4944" s="23"/>
      <c r="G4944" s="23"/>
      <c r="H4944" s="23"/>
      <c r="J4944" s="23"/>
      <c r="K4944" s="23"/>
      <c r="M4944" s="23"/>
      <c r="N4944" s="23"/>
      <c r="P4944" s="23"/>
    </row>
    <row r="4945" spans="2:16" x14ac:dyDescent="0.25">
      <c r="B4945" s="23"/>
      <c r="E4945" s="23"/>
      <c r="G4945" s="23"/>
      <c r="H4945" s="23"/>
      <c r="J4945" s="23"/>
      <c r="K4945" s="23"/>
      <c r="M4945" s="23"/>
      <c r="N4945" s="23"/>
      <c r="P4945" s="23"/>
    </row>
    <row r="4946" spans="2:16" x14ac:dyDescent="0.25">
      <c r="B4946" s="23"/>
      <c r="E4946" s="23"/>
      <c r="G4946" s="23"/>
      <c r="H4946" s="23"/>
      <c r="J4946" s="23"/>
      <c r="K4946" s="23"/>
      <c r="M4946" s="23"/>
      <c r="N4946" s="23"/>
      <c r="P4946" s="23"/>
    </row>
    <row r="4947" spans="2:16" x14ac:dyDescent="0.25">
      <c r="B4947" s="23"/>
      <c r="E4947" s="23"/>
      <c r="G4947" s="23"/>
      <c r="H4947" s="23"/>
      <c r="J4947" s="23"/>
      <c r="K4947" s="23"/>
      <c r="M4947" s="23"/>
      <c r="N4947" s="23"/>
      <c r="P4947" s="23"/>
    </row>
    <row r="4948" spans="2:16" x14ac:dyDescent="0.25">
      <c r="B4948" s="23"/>
      <c r="E4948" s="23"/>
      <c r="G4948" s="23"/>
      <c r="H4948" s="23"/>
      <c r="J4948" s="23"/>
      <c r="K4948" s="23"/>
      <c r="M4948" s="23"/>
      <c r="N4948" s="23"/>
      <c r="P4948" s="23"/>
    </row>
    <row r="4949" spans="2:16" x14ac:dyDescent="0.25">
      <c r="B4949" s="23"/>
      <c r="E4949" s="23"/>
      <c r="G4949" s="23"/>
      <c r="H4949" s="23"/>
      <c r="J4949" s="23"/>
      <c r="K4949" s="23"/>
      <c r="M4949" s="23"/>
      <c r="N4949" s="23"/>
      <c r="P4949" s="23"/>
    </row>
    <row r="4950" spans="2:16" x14ac:dyDescent="0.25">
      <c r="B4950" s="23"/>
      <c r="E4950" s="23"/>
      <c r="G4950" s="23"/>
      <c r="H4950" s="23"/>
      <c r="J4950" s="23"/>
      <c r="K4950" s="23"/>
      <c r="M4950" s="23"/>
      <c r="N4950" s="23"/>
      <c r="P4950" s="23"/>
    </row>
    <row r="4951" spans="2:16" x14ac:dyDescent="0.25">
      <c r="B4951" s="23"/>
      <c r="E4951" s="23"/>
      <c r="G4951" s="23"/>
      <c r="H4951" s="23"/>
      <c r="J4951" s="23"/>
      <c r="K4951" s="23"/>
      <c r="M4951" s="23"/>
      <c r="N4951" s="23"/>
      <c r="P4951" s="23"/>
    </row>
    <row r="4952" spans="2:16" x14ac:dyDescent="0.25">
      <c r="B4952" s="23"/>
      <c r="E4952" s="23"/>
      <c r="G4952" s="23"/>
      <c r="H4952" s="23"/>
      <c r="J4952" s="23"/>
      <c r="K4952" s="23"/>
      <c r="M4952" s="23"/>
      <c r="N4952" s="23"/>
      <c r="P4952" s="23"/>
    </row>
    <row r="4953" spans="2:16" x14ac:dyDescent="0.25">
      <c r="B4953" s="23"/>
      <c r="E4953" s="23"/>
      <c r="G4953" s="23"/>
      <c r="H4953" s="23"/>
      <c r="J4953" s="23"/>
      <c r="K4953" s="23"/>
      <c r="M4953" s="23"/>
      <c r="N4953" s="23"/>
      <c r="P4953" s="23"/>
    </row>
    <row r="4954" spans="2:16" x14ac:dyDescent="0.25">
      <c r="B4954" s="23"/>
      <c r="E4954" s="23"/>
      <c r="G4954" s="23"/>
      <c r="H4954" s="23"/>
      <c r="J4954" s="23"/>
      <c r="K4954" s="23"/>
      <c r="M4954" s="23"/>
      <c r="N4954" s="23"/>
      <c r="P4954" s="23"/>
    </row>
    <row r="4955" spans="2:16" x14ac:dyDescent="0.25">
      <c r="B4955" s="23"/>
      <c r="E4955" s="23"/>
      <c r="G4955" s="23"/>
      <c r="H4955" s="23"/>
      <c r="J4955" s="23"/>
      <c r="K4955" s="23"/>
      <c r="M4955" s="23"/>
      <c r="N4955" s="23"/>
      <c r="P4955" s="23"/>
    </row>
    <row r="4956" spans="2:16" x14ac:dyDescent="0.25">
      <c r="B4956" s="23"/>
      <c r="E4956" s="23"/>
      <c r="G4956" s="23"/>
      <c r="H4956" s="23"/>
      <c r="J4956" s="23"/>
      <c r="K4956" s="23"/>
      <c r="M4956" s="23"/>
      <c r="N4956" s="23"/>
      <c r="P4956" s="23"/>
    </row>
    <row r="4957" spans="2:16" x14ac:dyDescent="0.25">
      <c r="B4957" s="23"/>
      <c r="E4957" s="23"/>
      <c r="G4957" s="23"/>
      <c r="H4957" s="23"/>
      <c r="J4957" s="23"/>
      <c r="K4957" s="23"/>
      <c r="M4957" s="23"/>
      <c r="N4957" s="23"/>
      <c r="P4957" s="23"/>
    </row>
    <row r="4958" spans="2:16" x14ac:dyDescent="0.25">
      <c r="B4958" s="23"/>
      <c r="E4958" s="23"/>
      <c r="G4958" s="23"/>
      <c r="H4958" s="23"/>
      <c r="J4958" s="23"/>
      <c r="K4958" s="23"/>
      <c r="M4958" s="23"/>
      <c r="N4958" s="23"/>
      <c r="P4958" s="23"/>
    </row>
    <row r="4959" spans="2:16" x14ac:dyDescent="0.25">
      <c r="B4959" s="23"/>
      <c r="E4959" s="23"/>
      <c r="G4959" s="23"/>
      <c r="H4959" s="23"/>
      <c r="J4959" s="23"/>
      <c r="K4959" s="23"/>
      <c r="M4959" s="23"/>
      <c r="N4959" s="23"/>
      <c r="P4959" s="23"/>
    </row>
    <row r="4960" spans="2:16" x14ac:dyDescent="0.25">
      <c r="B4960" s="23"/>
      <c r="E4960" s="23"/>
      <c r="G4960" s="23"/>
      <c r="H4960" s="23"/>
      <c r="J4960" s="23"/>
      <c r="K4960" s="23"/>
      <c r="M4960" s="23"/>
      <c r="N4960" s="23"/>
      <c r="P4960" s="23"/>
    </row>
    <row r="4961" spans="2:16" x14ac:dyDescent="0.25">
      <c r="B4961" s="23"/>
      <c r="E4961" s="23"/>
      <c r="G4961" s="23"/>
      <c r="H4961" s="23"/>
      <c r="J4961" s="23"/>
      <c r="K4961" s="23"/>
      <c r="M4961" s="23"/>
      <c r="N4961" s="23"/>
      <c r="P4961" s="23"/>
    </row>
    <row r="4962" spans="2:16" x14ac:dyDescent="0.25">
      <c r="B4962" s="23"/>
      <c r="E4962" s="23"/>
      <c r="G4962" s="23"/>
      <c r="H4962" s="23"/>
      <c r="J4962" s="23"/>
      <c r="K4962" s="23"/>
      <c r="M4962" s="23"/>
      <c r="N4962" s="23"/>
      <c r="P4962" s="23"/>
    </row>
    <row r="4963" spans="2:16" x14ac:dyDescent="0.25">
      <c r="B4963" s="23"/>
      <c r="E4963" s="23"/>
      <c r="G4963" s="23"/>
      <c r="H4963" s="23"/>
      <c r="J4963" s="23"/>
      <c r="K4963" s="23"/>
      <c r="M4963" s="23"/>
      <c r="N4963" s="23"/>
      <c r="P4963" s="23"/>
    </row>
    <row r="4964" spans="2:16" x14ac:dyDescent="0.25">
      <c r="B4964" s="23"/>
      <c r="E4964" s="23"/>
      <c r="G4964" s="23"/>
      <c r="H4964" s="23"/>
      <c r="J4964" s="23"/>
      <c r="K4964" s="23"/>
      <c r="M4964" s="23"/>
      <c r="N4964" s="23"/>
      <c r="P4964" s="23"/>
    </row>
    <row r="4965" spans="2:16" x14ac:dyDescent="0.25">
      <c r="B4965" s="23"/>
      <c r="E4965" s="23"/>
      <c r="G4965" s="23"/>
      <c r="H4965" s="23"/>
      <c r="J4965" s="23"/>
      <c r="K4965" s="23"/>
      <c r="M4965" s="23"/>
      <c r="N4965" s="23"/>
      <c r="P4965" s="23"/>
    </row>
    <row r="4966" spans="2:16" x14ac:dyDescent="0.25">
      <c r="B4966" s="23"/>
      <c r="E4966" s="23"/>
      <c r="G4966" s="23"/>
      <c r="H4966" s="23"/>
      <c r="J4966" s="23"/>
      <c r="K4966" s="23"/>
      <c r="M4966" s="23"/>
      <c r="N4966" s="23"/>
      <c r="P4966" s="23"/>
    </row>
    <row r="4967" spans="2:16" x14ac:dyDescent="0.25">
      <c r="B4967" s="23"/>
      <c r="E4967" s="23"/>
      <c r="G4967" s="23"/>
      <c r="H4967" s="23"/>
      <c r="J4967" s="23"/>
      <c r="K4967" s="23"/>
      <c r="M4967" s="23"/>
      <c r="N4967" s="23"/>
      <c r="P4967" s="23"/>
    </row>
    <row r="4968" spans="2:16" x14ac:dyDescent="0.25">
      <c r="B4968" s="23"/>
      <c r="E4968" s="23"/>
      <c r="G4968" s="23"/>
      <c r="H4968" s="23"/>
      <c r="J4968" s="23"/>
      <c r="K4968" s="23"/>
      <c r="M4968" s="23"/>
      <c r="N4968" s="23"/>
      <c r="P4968" s="23"/>
    </row>
    <row r="4969" spans="2:16" x14ac:dyDescent="0.25">
      <c r="B4969" s="23"/>
      <c r="E4969" s="23"/>
      <c r="G4969" s="23"/>
      <c r="H4969" s="23"/>
      <c r="J4969" s="23"/>
      <c r="K4969" s="23"/>
      <c r="M4969" s="23"/>
      <c r="N4969" s="23"/>
      <c r="P4969" s="23"/>
    </row>
    <row r="4970" spans="2:16" x14ac:dyDescent="0.25">
      <c r="B4970" s="23"/>
      <c r="E4970" s="23"/>
      <c r="G4970" s="23"/>
      <c r="H4970" s="23"/>
      <c r="J4970" s="23"/>
      <c r="K4970" s="23"/>
      <c r="M4970" s="23"/>
      <c r="N4970" s="23"/>
      <c r="P4970" s="23"/>
    </row>
    <row r="4971" spans="2:16" x14ac:dyDescent="0.25">
      <c r="B4971" s="23"/>
      <c r="E4971" s="23"/>
      <c r="G4971" s="23"/>
      <c r="H4971" s="23"/>
      <c r="J4971" s="23"/>
      <c r="K4971" s="23"/>
      <c r="M4971" s="23"/>
      <c r="N4971" s="23"/>
      <c r="P4971" s="23"/>
    </row>
    <row r="4972" spans="2:16" x14ac:dyDescent="0.25">
      <c r="B4972" s="23"/>
      <c r="E4972" s="23"/>
      <c r="G4972" s="23"/>
      <c r="H4972" s="23"/>
      <c r="J4972" s="23"/>
      <c r="K4972" s="23"/>
      <c r="M4972" s="23"/>
      <c r="N4972" s="23"/>
      <c r="P4972" s="23"/>
    </row>
    <row r="4973" spans="2:16" x14ac:dyDescent="0.25">
      <c r="B4973" s="23"/>
      <c r="E4973" s="23"/>
      <c r="G4973" s="23"/>
      <c r="H4973" s="23"/>
      <c r="J4973" s="23"/>
      <c r="K4973" s="23"/>
      <c r="M4973" s="23"/>
      <c r="N4973" s="23"/>
      <c r="P4973" s="23"/>
    </row>
    <row r="4974" spans="2:16" x14ac:dyDescent="0.25">
      <c r="B4974" s="23"/>
      <c r="E4974" s="23"/>
      <c r="G4974" s="23"/>
      <c r="H4974" s="23"/>
      <c r="J4974" s="23"/>
      <c r="K4974" s="23"/>
      <c r="M4974" s="23"/>
      <c r="N4974" s="23"/>
      <c r="P4974" s="23"/>
    </row>
    <row r="4975" spans="2:16" x14ac:dyDescent="0.25">
      <c r="B4975" s="23"/>
      <c r="E4975" s="23"/>
      <c r="G4975" s="23"/>
      <c r="H4975" s="23"/>
      <c r="J4975" s="23"/>
      <c r="K4975" s="23"/>
      <c r="M4975" s="23"/>
      <c r="N4975" s="23"/>
      <c r="P4975" s="23"/>
    </row>
    <row r="4976" spans="2:16" x14ac:dyDescent="0.25">
      <c r="B4976" s="23"/>
      <c r="E4976" s="23"/>
      <c r="G4976" s="23"/>
      <c r="H4976" s="23"/>
      <c r="J4976" s="23"/>
      <c r="K4976" s="23"/>
      <c r="M4976" s="23"/>
      <c r="N4976" s="23"/>
      <c r="P4976" s="23"/>
    </row>
    <row r="4977" spans="2:16" x14ac:dyDescent="0.25">
      <c r="B4977" s="23"/>
      <c r="E4977" s="23"/>
      <c r="G4977" s="23"/>
      <c r="H4977" s="23"/>
      <c r="J4977" s="23"/>
      <c r="K4977" s="23"/>
      <c r="M4977" s="23"/>
      <c r="N4977" s="23"/>
      <c r="P4977" s="23"/>
    </row>
    <row r="4978" spans="2:16" x14ac:dyDescent="0.25">
      <c r="B4978" s="23"/>
      <c r="E4978" s="23"/>
      <c r="G4978" s="23"/>
      <c r="H4978" s="23"/>
      <c r="J4978" s="23"/>
      <c r="K4978" s="23"/>
      <c r="M4978" s="23"/>
      <c r="N4978" s="23"/>
      <c r="P4978" s="23"/>
    </row>
    <row r="4979" spans="2:16" x14ac:dyDescent="0.25">
      <c r="B4979" s="23"/>
      <c r="E4979" s="23"/>
      <c r="G4979" s="23"/>
      <c r="H4979" s="23"/>
      <c r="J4979" s="23"/>
      <c r="K4979" s="23"/>
      <c r="M4979" s="23"/>
      <c r="N4979" s="23"/>
      <c r="P4979" s="23"/>
    </row>
    <row r="4980" spans="2:16" x14ac:dyDescent="0.25">
      <c r="B4980" s="23"/>
      <c r="E4980" s="23"/>
      <c r="G4980" s="23"/>
      <c r="H4980" s="23"/>
      <c r="J4980" s="23"/>
      <c r="K4980" s="23"/>
      <c r="M4980" s="23"/>
      <c r="N4980" s="23"/>
      <c r="P4980" s="23"/>
    </row>
    <row r="4981" spans="2:16" x14ac:dyDescent="0.25">
      <c r="B4981" s="23"/>
      <c r="E4981" s="23"/>
      <c r="G4981" s="23"/>
      <c r="H4981" s="23"/>
      <c r="J4981" s="23"/>
      <c r="K4981" s="23"/>
      <c r="M4981" s="23"/>
      <c r="N4981" s="23"/>
      <c r="P4981" s="23"/>
    </row>
    <row r="4982" spans="2:16" x14ac:dyDescent="0.25">
      <c r="B4982" s="23"/>
      <c r="E4982" s="23"/>
      <c r="G4982" s="23"/>
      <c r="H4982" s="23"/>
      <c r="J4982" s="23"/>
      <c r="K4982" s="23"/>
      <c r="M4982" s="23"/>
      <c r="N4982" s="23"/>
      <c r="P4982" s="23"/>
    </row>
    <row r="4983" spans="2:16" x14ac:dyDescent="0.25">
      <c r="B4983" s="23"/>
      <c r="E4983" s="23"/>
      <c r="G4983" s="23"/>
      <c r="H4983" s="23"/>
      <c r="J4983" s="23"/>
      <c r="K4983" s="23"/>
      <c r="M4983" s="23"/>
      <c r="N4983" s="23"/>
      <c r="P4983" s="23"/>
    </row>
    <row r="4984" spans="2:16" x14ac:dyDescent="0.25">
      <c r="B4984" s="23"/>
      <c r="E4984" s="23"/>
      <c r="G4984" s="23"/>
      <c r="H4984" s="23"/>
      <c r="J4984" s="23"/>
      <c r="K4984" s="23"/>
      <c r="M4984" s="23"/>
      <c r="N4984" s="23"/>
      <c r="P4984" s="23"/>
    </row>
    <row r="4985" spans="2:16" x14ac:dyDescent="0.25">
      <c r="B4985" s="23"/>
      <c r="E4985" s="23"/>
      <c r="G4985" s="23"/>
      <c r="H4985" s="23"/>
      <c r="J4985" s="23"/>
      <c r="K4985" s="23"/>
      <c r="M4985" s="23"/>
      <c r="N4985" s="23"/>
      <c r="P4985" s="23"/>
    </row>
    <row r="4986" spans="2:16" x14ac:dyDescent="0.25">
      <c r="B4986" s="23"/>
      <c r="E4986" s="23"/>
      <c r="G4986" s="23"/>
      <c r="H4986" s="23"/>
      <c r="J4986" s="23"/>
      <c r="K4986" s="23"/>
      <c r="M4986" s="23"/>
      <c r="N4986" s="23"/>
      <c r="P4986" s="23"/>
    </row>
    <row r="4987" spans="2:16" x14ac:dyDescent="0.25">
      <c r="B4987" s="23"/>
      <c r="E4987" s="23"/>
      <c r="G4987" s="23"/>
      <c r="H4987" s="23"/>
      <c r="J4987" s="23"/>
      <c r="K4987" s="23"/>
      <c r="M4987" s="23"/>
      <c r="N4987" s="23"/>
      <c r="P4987" s="23"/>
    </row>
    <row r="4988" spans="2:16" x14ac:dyDescent="0.25">
      <c r="B4988" s="23"/>
      <c r="E4988" s="23"/>
      <c r="G4988" s="23"/>
      <c r="H4988" s="23"/>
      <c r="J4988" s="23"/>
      <c r="K4988" s="23"/>
      <c r="M4988" s="23"/>
      <c r="N4988" s="23"/>
      <c r="P4988" s="23"/>
    </row>
    <row r="4989" spans="2:16" x14ac:dyDescent="0.25">
      <c r="B4989" s="23"/>
      <c r="E4989" s="23"/>
      <c r="G4989" s="23"/>
      <c r="H4989" s="23"/>
      <c r="J4989" s="23"/>
      <c r="K4989" s="23"/>
      <c r="M4989" s="23"/>
      <c r="N4989" s="23"/>
      <c r="P4989" s="23"/>
    </row>
    <row r="4990" spans="2:16" x14ac:dyDescent="0.25">
      <c r="B4990" s="23"/>
      <c r="E4990" s="23"/>
      <c r="G4990" s="23"/>
      <c r="H4990" s="23"/>
      <c r="J4990" s="23"/>
      <c r="K4990" s="23"/>
      <c r="M4990" s="23"/>
      <c r="N4990" s="23"/>
      <c r="P4990" s="23"/>
    </row>
    <row r="4991" spans="2:16" x14ac:dyDescent="0.25">
      <c r="B4991" s="23"/>
      <c r="E4991" s="23"/>
      <c r="G4991" s="23"/>
      <c r="H4991" s="23"/>
      <c r="J4991" s="23"/>
      <c r="K4991" s="23"/>
      <c r="M4991" s="23"/>
      <c r="N4991" s="23"/>
      <c r="P4991" s="23"/>
    </row>
    <row r="4992" spans="2:16" x14ac:dyDescent="0.25">
      <c r="B4992" s="23"/>
      <c r="E4992" s="23"/>
      <c r="G4992" s="23"/>
      <c r="H4992" s="23"/>
      <c r="J4992" s="23"/>
      <c r="K4992" s="23"/>
      <c r="M4992" s="23"/>
      <c r="N4992" s="23"/>
      <c r="P4992" s="23"/>
    </row>
    <row r="4993" spans="2:16" x14ac:dyDescent="0.25">
      <c r="B4993" s="23"/>
      <c r="E4993" s="23"/>
      <c r="G4993" s="23"/>
      <c r="H4993" s="23"/>
      <c r="J4993" s="23"/>
      <c r="K4993" s="23"/>
      <c r="M4993" s="23"/>
      <c r="N4993" s="23"/>
      <c r="P4993" s="23"/>
    </row>
    <row r="4994" spans="2:16" x14ac:dyDescent="0.25">
      <c r="B4994" s="23"/>
      <c r="E4994" s="23"/>
      <c r="G4994" s="23"/>
      <c r="H4994" s="23"/>
      <c r="J4994" s="23"/>
      <c r="K4994" s="23"/>
      <c r="M4994" s="23"/>
      <c r="N4994" s="23"/>
      <c r="P4994" s="23"/>
    </row>
    <row r="4995" spans="2:16" x14ac:dyDescent="0.25">
      <c r="B4995" s="23"/>
      <c r="E4995" s="23"/>
      <c r="G4995" s="23"/>
      <c r="H4995" s="23"/>
      <c r="J4995" s="23"/>
      <c r="K4995" s="23"/>
      <c r="M4995" s="23"/>
      <c r="N4995" s="23"/>
      <c r="P4995" s="23"/>
    </row>
    <row r="4996" spans="2:16" x14ac:dyDescent="0.25">
      <c r="B4996" s="23"/>
      <c r="E4996" s="23"/>
      <c r="G4996" s="23"/>
      <c r="H4996" s="23"/>
      <c r="J4996" s="23"/>
      <c r="K4996" s="23"/>
      <c r="M4996" s="23"/>
      <c r="N4996" s="23"/>
      <c r="P4996" s="23"/>
    </row>
    <row r="4997" spans="2:16" x14ac:dyDescent="0.25">
      <c r="B4997" s="23"/>
      <c r="E4997" s="23"/>
      <c r="G4997" s="23"/>
      <c r="H4997" s="23"/>
      <c r="J4997" s="23"/>
      <c r="K4997" s="23"/>
      <c r="M4997" s="23"/>
      <c r="N4997" s="23"/>
      <c r="P4997" s="23"/>
    </row>
    <row r="4998" spans="2:16" x14ac:dyDescent="0.25">
      <c r="B4998" s="23"/>
      <c r="E4998" s="23"/>
      <c r="G4998" s="23"/>
      <c r="H4998" s="23"/>
      <c r="J4998" s="23"/>
      <c r="K4998" s="23"/>
      <c r="M4998" s="23"/>
      <c r="N4998" s="23"/>
      <c r="P4998" s="23"/>
    </row>
    <row r="4999" spans="2:16" x14ac:dyDescent="0.25">
      <c r="B4999" s="23"/>
      <c r="E4999" s="23"/>
      <c r="G4999" s="23"/>
      <c r="H4999" s="23"/>
      <c r="J4999" s="23"/>
      <c r="K4999" s="23"/>
      <c r="M4999" s="23"/>
      <c r="N4999" s="23"/>
      <c r="P4999" s="23"/>
    </row>
    <row r="5000" spans="2:16" x14ac:dyDescent="0.25">
      <c r="B5000" s="23"/>
      <c r="E5000" s="23"/>
      <c r="G5000" s="23"/>
      <c r="H5000" s="23"/>
      <c r="J5000" s="23"/>
      <c r="K5000" s="23"/>
      <c r="M5000" s="23"/>
      <c r="N5000" s="23"/>
      <c r="P5000" s="23"/>
    </row>
    <row r="5001" spans="2:16" x14ac:dyDescent="0.25">
      <c r="B5001" s="23"/>
      <c r="E5001" s="23"/>
      <c r="G5001" s="23"/>
      <c r="H5001" s="23"/>
      <c r="J5001" s="23"/>
      <c r="K5001" s="23"/>
      <c r="M5001" s="23"/>
      <c r="N5001" s="23"/>
      <c r="P5001" s="23"/>
    </row>
    <row r="5002" spans="2:16" x14ac:dyDescent="0.25">
      <c r="B5002" s="23"/>
      <c r="E5002" s="23"/>
      <c r="G5002" s="23"/>
      <c r="H5002" s="23"/>
      <c r="J5002" s="23"/>
      <c r="K5002" s="23"/>
      <c r="M5002" s="23"/>
      <c r="N5002" s="23"/>
      <c r="P5002" s="23"/>
    </row>
    <row r="5003" spans="2:16" x14ac:dyDescent="0.25">
      <c r="B5003" s="23"/>
      <c r="E5003" s="23"/>
      <c r="G5003" s="23"/>
      <c r="H5003" s="23"/>
      <c r="J5003" s="23"/>
      <c r="K5003" s="23"/>
      <c r="M5003" s="23"/>
      <c r="N5003" s="23"/>
      <c r="P5003" s="23"/>
    </row>
    <row r="5004" spans="2:16" x14ac:dyDescent="0.25">
      <c r="B5004" s="23"/>
      <c r="E5004" s="23"/>
      <c r="G5004" s="23"/>
      <c r="H5004" s="23"/>
      <c r="J5004" s="23"/>
      <c r="K5004" s="23"/>
      <c r="M5004" s="23"/>
      <c r="N5004" s="23"/>
      <c r="P5004" s="23"/>
    </row>
    <row r="5005" spans="2:16" x14ac:dyDescent="0.25">
      <c r="B5005" s="23"/>
      <c r="E5005" s="23"/>
      <c r="G5005" s="23"/>
      <c r="H5005" s="23"/>
      <c r="J5005" s="23"/>
      <c r="K5005" s="23"/>
      <c r="M5005" s="23"/>
      <c r="N5005" s="23"/>
      <c r="P5005" s="23"/>
    </row>
    <row r="5006" spans="2:16" x14ac:dyDescent="0.25">
      <c r="B5006" s="23"/>
      <c r="E5006" s="23"/>
      <c r="G5006" s="23"/>
      <c r="H5006" s="23"/>
      <c r="J5006" s="23"/>
      <c r="K5006" s="23"/>
      <c r="M5006" s="23"/>
      <c r="N5006" s="23"/>
      <c r="P5006" s="23"/>
    </row>
    <row r="5007" spans="2:16" x14ac:dyDescent="0.25">
      <c r="B5007" s="23"/>
      <c r="E5007" s="23"/>
      <c r="G5007" s="23"/>
      <c r="H5007" s="23"/>
      <c r="J5007" s="23"/>
      <c r="K5007" s="23"/>
      <c r="M5007" s="23"/>
      <c r="N5007" s="23"/>
      <c r="P5007" s="23"/>
    </row>
    <row r="5008" spans="2:16" x14ac:dyDescent="0.25">
      <c r="B5008" s="23"/>
      <c r="E5008" s="23"/>
      <c r="G5008" s="23"/>
      <c r="H5008" s="23"/>
      <c r="J5008" s="23"/>
      <c r="K5008" s="23"/>
      <c r="M5008" s="23"/>
      <c r="N5008" s="23"/>
      <c r="P5008" s="23"/>
    </row>
    <row r="5009" spans="2:16" x14ac:dyDescent="0.25">
      <c r="B5009" s="23"/>
      <c r="E5009" s="23"/>
      <c r="G5009" s="23"/>
      <c r="H5009" s="23"/>
      <c r="J5009" s="23"/>
      <c r="K5009" s="23"/>
      <c r="M5009" s="23"/>
      <c r="N5009" s="23"/>
      <c r="P5009" s="23"/>
    </row>
    <row r="5010" spans="2:16" x14ac:dyDescent="0.25">
      <c r="B5010" s="23"/>
      <c r="E5010" s="23"/>
      <c r="G5010" s="23"/>
      <c r="H5010" s="23"/>
      <c r="J5010" s="23"/>
      <c r="K5010" s="23"/>
      <c r="M5010" s="23"/>
      <c r="N5010" s="23"/>
      <c r="P5010" s="23"/>
    </row>
    <row r="5011" spans="2:16" x14ac:dyDescent="0.25">
      <c r="B5011" s="23"/>
      <c r="E5011" s="23"/>
      <c r="G5011" s="23"/>
      <c r="H5011" s="23"/>
      <c r="J5011" s="23"/>
      <c r="K5011" s="23"/>
      <c r="M5011" s="23"/>
      <c r="N5011" s="23"/>
      <c r="P5011" s="23"/>
    </row>
    <row r="5012" spans="2:16" x14ac:dyDescent="0.25">
      <c r="B5012" s="23"/>
      <c r="E5012" s="23"/>
      <c r="G5012" s="23"/>
      <c r="H5012" s="23"/>
      <c r="J5012" s="23"/>
      <c r="K5012" s="23"/>
      <c r="M5012" s="23"/>
      <c r="N5012" s="23"/>
      <c r="P5012" s="23"/>
    </row>
    <row r="5013" spans="2:16" x14ac:dyDescent="0.25">
      <c r="B5013" s="23"/>
      <c r="E5013" s="23"/>
      <c r="G5013" s="23"/>
      <c r="H5013" s="23"/>
      <c r="J5013" s="23"/>
      <c r="K5013" s="23"/>
      <c r="M5013" s="23"/>
      <c r="N5013" s="23"/>
      <c r="P5013" s="23"/>
    </row>
    <row r="5014" spans="2:16" x14ac:dyDescent="0.25">
      <c r="B5014" s="23"/>
      <c r="E5014" s="23"/>
      <c r="G5014" s="23"/>
      <c r="H5014" s="23"/>
      <c r="J5014" s="23"/>
      <c r="K5014" s="23"/>
      <c r="M5014" s="23"/>
      <c r="N5014" s="23"/>
      <c r="P5014" s="23"/>
    </row>
    <row r="5015" spans="2:16" x14ac:dyDescent="0.25">
      <c r="B5015" s="23"/>
      <c r="E5015" s="23"/>
      <c r="G5015" s="23"/>
      <c r="H5015" s="23"/>
      <c r="J5015" s="23"/>
      <c r="K5015" s="23"/>
      <c r="M5015" s="23"/>
      <c r="N5015" s="23"/>
      <c r="P5015" s="23"/>
    </row>
    <row r="5016" spans="2:16" x14ac:dyDescent="0.25">
      <c r="B5016" s="23"/>
      <c r="E5016" s="23"/>
      <c r="G5016" s="23"/>
      <c r="H5016" s="23"/>
      <c r="J5016" s="23"/>
      <c r="K5016" s="23"/>
      <c r="M5016" s="23"/>
      <c r="N5016" s="23"/>
      <c r="P5016" s="23"/>
    </row>
    <row r="5017" spans="2:16" x14ac:dyDescent="0.25">
      <c r="B5017" s="23"/>
      <c r="E5017" s="23"/>
      <c r="G5017" s="23"/>
      <c r="H5017" s="23"/>
      <c r="J5017" s="23"/>
      <c r="K5017" s="23"/>
      <c r="M5017" s="23"/>
      <c r="N5017" s="23"/>
      <c r="P5017" s="23"/>
    </row>
    <row r="5018" spans="2:16" x14ac:dyDescent="0.25">
      <c r="B5018" s="23"/>
      <c r="E5018" s="23"/>
      <c r="G5018" s="23"/>
      <c r="H5018" s="23"/>
      <c r="J5018" s="23"/>
      <c r="K5018" s="23"/>
      <c r="M5018" s="23"/>
      <c r="N5018" s="23"/>
      <c r="P5018" s="23"/>
    </row>
    <row r="5019" spans="2:16" x14ac:dyDescent="0.25">
      <c r="B5019" s="23"/>
      <c r="E5019" s="23"/>
      <c r="G5019" s="23"/>
      <c r="H5019" s="23"/>
      <c r="J5019" s="23"/>
      <c r="K5019" s="23"/>
      <c r="M5019" s="23"/>
      <c r="N5019" s="23"/>
      <c r="P5019" s="23"/>
    </row>
    <row r="5020" spans="2:16" x14ac:dyDescent="0.25">
      <c r="B5020" s="23"/>
      <c r="E5020" s="23"/>
      <c r="G5020" s="23"/>
      <c r="H5020" s="23"/>
      <c r="J5020" s="23"/>
      <c r="K5020" s="23"/>
      <c r="M5020" s="23"/>
      <c r="N5020" s="23"/>
      <c r="P5020" s="23"/>
    </row>
    <row r="5021" spans="2:16" x14ac:dyDescent="0.25">
      <c r="B5021" s="23"/>
      <c r="E5021" s="23"/>
      <c r="G5021" s="23"/>
      <c r="H5021" s="23"/>
      <c r="J5021" s="23"/>
      <c r="K5021" s="23"/>
      <c r="M5021" s="23"/>
      <c r="N5021" s="23"/>
      <c r="P5021" s="23"/>
    </row>
    <row r="5022" spans="2:16" x14ac:dyDescent="0.25">
      <c r="B5022" s="23"/>
      <c r="E5022" s="23"/>
      <c r="G5022" s="23"/>
      <c r="H5022" s="23"/>
      <c r="J5022" s="23"/>
      <c r="K5022" s="23"/>
      <c r="M5022" s="23"/>
      <c r="N5022" s="23"/>
      <c r="P5022" s="23"/>
    </row>
    <row r="5023" spans="2:16" x14ac:dyDescent="0.25">
      <c r="B5023" s="23"/>
      <c r="E5023" s="23"/>
      <c r="G5023" s="23"/>
      <c r="H5023" s="23"/>
      <c r="J5023" s="23"/>
      <c r="K5023" s="23"/>
      <c r="M5023" s="23"/>
      <c r="N5023" s="23"/>
      <c r="P5023" s="23"/>
    </row>
    <row r="5024" spans="2:16" x14ac:dyDescent="0.25">
      <c r="B5024" s="23"/>
      <c r="E5024" s="23"/>
      <c r="G5024" s="23"/>
      <c r="H5024" s="23"/>
      <c r="J5024" s="23"/>
      <c r="K5024" s="23"/>
      <c r="M5024" s="23"/>
      <c r="N5024" s="23"/>
      <c r="P5024" s="23"/>
    </row>
    <row r="5025" spans="2:16" x14ac:dyDescent="0.25">
      <c r="B5025" s="23"/>
      <c r="E5025" s="23"/>
      <c r="G5025" s="23"/>
      <c r="H5025" s="23"/>
      <c r="J5025" s="23"/>
      <c r="K5025" s="23"/>
      <c r="M5025" s="23"/>
      <c r="N5025" s="23"/>
      <c r="P5025" s="23"/>
    </row>
    <row r="5026" spans="2:16" x14ac:dyDescent="0.25">
      <c r="B5026" s="23"/>
      <c r="E5026" s="23"/>
      <c r="G5026" s="23"/>
      <c r="H5026" s="23"/>
      <c r="J5026" s="23"/>
      <c r="K5026" s="23"/>
      <c r="M5026" s="23"/>
      <c r="N5026" s="23"/>
      <c r="P5026" s="23"/>
    </row>
    <row r="5027" spans="2:16" x14ac:dyDescent="0.25">
      <c r="B5027" s="23"/>
      <c r="E5027" s="23"/>
      <c r="G5027" s="23"/>
      <c r="H5027" s="23"/>
      <c r="J5027" s="23"/>
      <c r="K5027" s="23"/>
      <c r="M5027" s="23"/>
      <c r="N5027" s="23"/>
      <c r="P5027" s="23"/>
    </row>
    <row r="5028" spans="2:16" x14ac:dyDescent="0.25">
      <c r="B5028" s="23"/>
      <c r="E5028" s="23"/>
      <c r="G5028" s="23"/>
      <c r="H5028" s="23"/>
      <c r="J5028" s="23"/>
      <c r="K5028" s="23"/>
      <c r="M5028" s="23"/>
      <c r="N5028" s="23"/>
      <c r="P5028" s="23"/>
    </row>
    <row r="5029" spans="2:16" x14ac:dyDescent="0.25">
      <c r="B5029" s="23"/>
      <c r="E5029" s="23"/>
      <c r="G5029" s="23"/>
      <c r="H5029" s="23"/>
      <c r="J5029" s="23"/>
      <c r="K5029" s="23"/>
      <c r="M5029" s="23"/>
      <c r="N5029" s="23"/>
      <c r="P5029" s="23"/>
    </row>
    <row r="5030" spans="2:16" x14ac:dyDescent="0.25">
      <c r="B5030" s="23"/>
      <c r="E5030" s="23"/>
      <c r="G5030" s="23"/>
      <c r="H5030" s="23"/>
      <c r="J5030" s="23"/>
      <c r="K5030" s="23"/>
      <c r="M5030" s="23"/>
      <c r="N5030" s="23"/>
      <c r="P5030" s="23"/>
    </row>
    <row r="5031" spans="2:16" x14ac:dyDescent="0.25">
      <c r="B5031" s="23"/>
      <c r="E5031" s="23"/>
      <c r="G5031" s="23"/>
      <c r="H5031" s="23"/>
      <c r="J5031" s="23"/>
      <c r="K5031" s="23"/>
      <c r="M5031" s="23"/>
      <c r="N5031" s="23"/>
      <c r="P5031" s="23"/>
    </row>
    <row r="5032" spans="2:16" x14ac:dyDescent="0.25">
      <c r="B5032" s="23"/>
      <c r="E5032" s="23"/>
      <c r="G5032" s="23"/>
      <c r="H5032" s="23"/>
      <c r="J5032" s="23"/>
      <c r="K5032" s="23"/>
      <c r="M5032" s="23"/>
      <c r="N5032" s="23"/>
      <c r="P5032" s="23"/>
    </row>
    <row r="5033" spans="2:16" x14ac:dyDescent="0.25">
      <c r="B5033" s="23"/>
      <c r="E5033" s="23"/>
      <c r="G5033" s="23"/>
      <c r="H5033" s="23"/>
      <c r="J5033" s="23"/>
      <c r="K5033" s="23"/>
      <c r="M5033" s="23"/>
      <c r="N5033" s="23"/>
      <c r="P5033" s="23"/>
    </row>
    <row r="5034" spans="2:16" x14ac:dyDescent="0.25">
      <c r="B5034" s="23"/>
      <c r="E5034" s="23"/>
      <c r="G5034" s="23"/>
      <c r="H5034" s="23"/>
      <c r="J5034" s="23"/>
      <c r="K5034" s="23"/>
      <c r="M5034" s="23"/>
      <c r="N5034" s="23"/>
      <c r="P5034" s="23"/>
    </row>
    <row r="5035" spans="2:16" x14ac:dyDescent="0.25">
      <c r="B5035" s="23"/>
      <c r="E5035" s="23"/>
      <c r="G5035" s="23"/>
      <c r="H5035" s="23"/>
      <c r="J5035" s="23"/>
      <c r="K5035" s="23"/>
      <c r="M5035" s="23"/>
      <c r="N5035" s="23"/>
      <c r="P5035" s="23"/>
    </row>
    <row r="5036" spans="2:16" x14ac:dyDescent="0.25">
      <c r="B5036" s="23"/>
      <c r="E5036" s="23"/>
      <c r="G5036" s="23"/>
      <c r="H5036" s="23"/>
      <c r="J5036" s="23"/>
      <c r="K5036" s="23"/>
      <c r="M5036" s="23"/>
      <c r="N5036" s="23"/>
      <c r="P5036" s="23"/>
    </row>
    <row r="5037" spans="2:16" x14ac:dyDescent="0.25">
      <c r="B5037" s="23"/>
      <c r="E5037" s="23"/>
      <c r="G5037" s="23"/>
      <c r="H5037" s="23"/>
      <c r="J5037" s="23"/>
      <c r="K5037" s="23"/>
      <c r="M5037" s="23"/>
      <c r="N5037" s="23"/>
      <c r="P5037" s="23"/>
    </row>
    <row r="5038" spans="2:16" x14ac:dyDescent="0.25">
      <c r="B5038" s="23"/>
      <c r="E5038" s="23"/>
      <c r="G5038" s="23"/>
      <c r="H5038" s="23"/>
      <c r="J5038" s="23"/>
      <c r="K5038" s="23"/>
      <c r="M5038" s="23"/>
      <c r="N5038" s="23"/>
      <c r="P5038" s="23"/>
    </row>
    <row r="5039" spans="2:16" x14ac:dyDescent="0.25">
      <c r="B5039" s="23"/>
      <c r="E5039" s="23"/>
      <c r="G5039" s="23"/>
      <c r="H5039" s="23"/>
      <c r="J5039" s="23"/>
      <c r="K5039" s="23"/>
      <c r="M5039" s="23"/>
      <c r="N5039" s="23"/>
      <c r="P5039" s="23"/>
    </row>
    <row r="5040" spans="2:16" x14ac:dyDescent="0.25">
      <c r="B5040" s="23"/>
      <c r="E5040" s="23"/>
      <c r="G5040" s="23"/>
      <c r="H5040" s="23"/>
      <c r="J5040" s="23"/>
      <c r="K5040" s="23"/>
      <c r="M5040" s="23"/>
      <c r="N5040" s="23"/>
      <c r="P5040" s="23"/>
    </row>
    <row r="5041" spans="2:16" x14ac:dyDescent="0.25">
      <c r="B5041" s="23"/>
      <c r="E5041" s="23"/>
      <c r="G5041" s="23"/>
      <c r="H5041" s="23"/>
      <c r="J5041" s="23"/>
      <c r="K5041" s="23"/>
      <c r="M5041" s="23"/>
      <c r="N5041" s="23"/>
      <c r="P5041" s="23"/>
    </row>
    <row r="5042" spans="2:16" x14ac:dyDescent="0.25">
      <c r="B5042" s="23"/>
      <c r="E5042" s="23"/>
      <c r="G5042" s="23"/>
      <c r="H5042" s="23"/>
      <c r="J5042" s="23"/>
      <c r="K5042" s="23"/>
      <c r="M5042" s="23"/>
      <c r="N5042" s="23"/>
      <c r="P5042" s="23"/>
    </row>
    <row r="5043" spans="2:16" x14ac:dyDescent="0.25">
      <c r="B5043" s="23"/>
      <c r="E5043" s="23"/>
      <c r="G5043" s="23"/>
      <c r="H5043" s="23"/>
      <c r="J5043" s="23"/>
      <c r="K5043" s="23"/>
      <c r="M5043" s="23"/>
      <c r="N5043" s="23"/>
      <c r="P5043" s="23"/>
    </row>
    <row r="5044" spans="2:16" x14ac:dyDescent="0.25">
      <c r="B5044" s="23"/>
      <c r="E5044" s="23"/>
      <c r="G5044" s="23"/>
      <c r="H5044" s="23"/>
      <c r="J5044" s="23"/>
      <c r="K5044" s="23"/>
      <c r="M5044" s="23"/>
      <c r="N5044" s="23"/>
      <c r="P5044" s="23"/>
    </row>
    <row r="5045" spans="2:16" x14ac:dyDescent="0.25">
      <c r="B5045" s="23"/>
      <c r="E5045" s="23"/>
      <c r="G5045" s="23"/>
      <c r="H5045" s="23"/>
      <c r="J5045" s="23"/>
      <c r="K5045" s="23"/>
      <c r="M5045" s="23"/>
      <c r="N5045" s="23"/>
      <c r="P5045" s="23"/>
    </row>
    <row r="5046" spans="2:16" x14ac:dyDescent="0.25">
      <c r="B5046" s="23"/>
      <c r="E5046" s="23"/>
      <c r="G5046" s="23"/>
      <c r="H5046" s="23"/>
      <c r="J5046" s="23"/>
      <c r="K5046" s="23"/>
      <c r="M5046" s="23"/>
      <c r="N5046" s="23"/>
      <c r="P5046" s="23"/>
    </row>
    <row r="5047" spans="2:16" x14ac:dyDescent="0.25">
      <c r="B5047" s="23"/>
      <c r="E5047" s="23"/>
      <c r="G5047" s="23"/>
      <c r="H5047" s="23"/>
      <c r="J5047" s="23"/>
      <c r="K5047" s="23"/>
      <c r="M5047" s="23"/>
      <c r="N5047" s="23"/>
      <c r="P5047" s="23"/>
    </row>
    <row r="5048" spans="2:16" x14ac:dyDescent="0.25">
      <c r="B5048" s="23"/>
      <c r="E5048" s="23"/>
      <c r="G5048" s="23"/>
      <c r="H5048" s="23"/>
      <c r="J5048" s="23"/>
      <c r="K5048" s="23"/>
      <c r="M5048" s="23"/>
      <c r="N5048" s="23"/>
      <c r="P5048" s="23"/>
    </row>
    <row r="5049" spans="2:16" x14ac:dyDescent="0.25">
      <c r="B5049" s="23"/>
      <c r="E5049" s="23"/>
      <c r="G5049" s="23"/>
      <c r="H5049" s="23"/>
      <c r="J5049" s="23"/>
      <c r="K5049" s="23"/>
      <c r="M5049" s="23"/>
      <c r="N5049" s="23"/>
      <c r="P5049" s="23"/>
    </row>
    <row r="5050" spans="2:16" x14ac:dyDescent="0.25">
      <c r="B5050" s="23"/>
      <c r="E5050" s="23"/>
      <c r="G5050" s="23"/>
      <c r="H5050" s="23"/>
      <c r="J5050" s="23"/>
      <c r="K5050" s="23"/>
      <c r="M5050" s="23"/>
      <c r="N5050" s="23"/>
      <c r="P5050" s="23"/>
    </row>
    <row r="5051" spans="2:16" x14ac:dyDescent="0.25">
      <c r="B5051" s="23"/>
      <c r="E5051" s="23"/>
      <c r="G5051" s="23"/>
      <c r="H5051" s="23"/>
      <c r="J5051" s="23"/>
      <c r="K5051" s="23"/>
      <c r="M5051" s="23"/>
      <c r="N5051" s="23"/>
      <c r="P5051" s="23"/>
    </row>
    <row r="5052" spans="2:16" x14ac:dyDescent="0.25">
      <c r="B5052" s="23"/>
      <c r="E5052" s="23"/>
      <c r="G5052" s="23"/>
      <c r="H5052" s="23"/>
      <c r="J5052" s="23"/>
      <c r="K5052" s="23"/>
      <c r="M5052" s="23"/>
      <c r="N5052" s="23"/>
      <c r="P5052" s="23"/>
    </row>
    <row r="5053" spans="2:16" x14ac:dyDescent="0.25">
      <c r="B5053" s="23"/>
      <c r="E5053" s="23"/>
      <c r="G5053" s="23"/>
      <c r="H5053" s="23"/>
      <c r="J5053" s="23"/>
      <c r="K5053" s="23"/>
      <c r="M5053" s="23"/>
      <c r="N5053" s="23"/>
      <c r="P5053" s="23"/>
    </row>
    <row r="5054" spans="2:16" x14ac:dyDescent="0.25">
      <c r="B5054" s="23"/>
      <c r="E5054" s="23"/>
      <c r="G5054" s="23"/>
      <c r="H5054" s="23"/>
      <c r="J5054" s="23"/>
      <c r="K5054" s="23"/>
      <c r="M5054" s="23"/>
      <c r="N5054" s="23"/>
      <c r="P5054" s="23"/>
    </row>
    <row r="5055" spans="2:16" x14ac:dyDescent="0.25">
      <c r="B5055" s="23"/>
      <c r="E5055" s="23"/>
      <c r="G5055" s="23"/>
      <c r="H5055" s="23"/>
      <c r="J5055" s="23"/>
      <c r="K5055" s="23"/>
      <c r="M5055" s="23"/>
      <c r="N5055" s="23"/>
      <c r="P5055" s="23"/>
    </row>
    <row r="5056" spans="2:16" x14ac:dyDescent="0.25">
      <c r="B5056" s="23"/>
      <c r="E5056" s="23"/>
      <c r="G5056" s="23"/>
      <c r="H5056" s="23"/>
      <c r="J5056" s="23"/>
      <c r="K5056" s="23"/>
      <c r="M5056" s="23"/>
      <c r="N5056" s="23"/>
      <c r="P5056" s="23"/>
    </row>
    <row r="5057" spans="2:16" x14ac:dyDescent="0.25">
      <c r="B5057" s="23"/>
      <c r="E5057" s="23"/>
      <c r="G5057" s="23"/>
      <c r="H5057" s="23"/>
      <c r="J5057" s="23"/>
      <c r="K5057" s="23"/>
      <c r="M5057" s="23"/>
      <c r="N5057" s="23"/>
      <c r="P5057" s="23"/>
    </row>
    <row r="5058" spans="2:16" x14ac:dyDescent="0.25">
      <c r="B5058" s="23"/>
      <c r="E5058" s="23"/>
      <c r="G5058" s="23"/>
      <c r="H5058" s="23"/>
      <c r="J5058" s="23"/>
      <c r="K5058" s="23"/>
      <c r="M5058" s="23"/>
      <c r="N5058" s="23"/>
      <c r="P5058" s="23"/>
    </row>
    <row r="5059" spans="2:16" x14ac:dyDescent="0.25">
      <c r="B5059" s="23"/>
      <c r="E5059" s="23"/>
      <c r="G5059" s="23"/>
      <c r="H5059" s="23"/>
      <c r="J5059" s="23"/>
      <c r="K5059" s="23"/>
      <c r="M5059" s="23"/>
      <c r="N5059" s="23"/>
      <c r="P5059" s="23"/>
    </row>
    <row r="5060" spans="2:16" x14ac:dyDescent="0.25">
      <c r="B5060" s="23"/>
      <c r="E5060" s="23"/>
      <c r="G5060" s="23"/>
      <c r="H5060" s="23"/>
      <c r="J5060" s="23"/>
      <c r="K5060" s="23"/>
      <c r="M5060" s="23"/>
      <c r="N5060" s="23"/>
      <c r="P5060" s="23"/>
    </row>
    <row r="5061" spans="2:16" x14ac:dyDescent="0.25">
      <c r="B5061" s="23"/>
      <c r="E5061" s="23"/>
      <c r="G5061" s="23"/>
      <c r="H5061" s="23"/>
      <c r="J5061" s="23"/>
      <c r="K5061" s="23"/>
      <c r="M5061" s="23"/>
      <c r="N5061" s="23"/>
      <c r="P5061" s="23"/>
    </row>
    <row r="5062" spans="2:16" x14ac:dyDescent="0.25">
      <c r="B5062" s="23"/>
      <c r="E5062" s="23"/>
      <c r="G5062" s="23"/>
      <c r="H5062" s="23"/>
      <c r="J5062" s="23"/>
      <c r="K5062" s="23"/>
      <c r="M5062" s="23"/>
      <c r="N5062" s="23"/>
      <c r="P5062" s="23"/>
    </row>
    <row r="5063" spans="2:16" x14ac:dyDescent="0.25">
      <c r="B5063" s="23"/>
      <c r="E5063" s="23"/>
      <c r="G5063" s="23"/>
      <c r="H5063" s="23"/>
      <c r="J5063" s="23"/>
      <c r="K5063" s="23"/>
      <c r="M5063" s="23"/>
      <c r="N5063" s="23"/>
      <c r="P5063" s="23"/>
    </row>
    <row r="5064" spans="2:16" x14ac:dyDescent="0.25">
      <c r="B5064" s="23"/>
      <c r="E5064" s="23"/>
      <c r="G5064" s="23"/>
      <c r="H5064" s="23"/>
      <c r="J5064" s="23"/>
      <c r="K5064" s="23"/>
      <c r="M5064" s="23"/>
      <c r="N5064" s="23"/>
      <c r="P5064" s="23"/>
    </row>
    <row r="5065" spans="2:16" x14ac:dyDescent="0.25">
      <c r="B5065" s="23"/>
      <c r="E5065" s="23"/>
      <c r="G5065" s="23"/>
      <c r="H5065" s="23"/>
      <c r="J5065" s="23"/>
      <c r="K5065" s="23"/>
      <c r="M5065" s="23"/>
      <c r="N5065" s="23"/>
      <c r="P5065" s="23"/>
    </row>
    <row r="5066" spans="2:16" x14ac:dyDescent="0.25">
      <c r="B5066" s="23"/>
      <c r="E5066" s="23"/>
      <c r="G5066" s="23"/>
      <c r="H5066" s="23"/>
      <c r="J5066" s="23"/>
      <c r="K5066" s="23"/>
      <c r="M5066" s="23"/>
      <c r="N5066" s="23"/>
      <c r="P5066" s="23"/>
    </row>
    <row r="5067" spans="2:16" x14ac:dyDescent="0.25">
      <c r="B5067" s="23"/>
      <c r="E5067" s="23"/>
      <c r="G5067" s="23"/>
      <c r="H5067" s="23"/>
      <c r="J5067" s="23"/>
      <c r="K5067" s="23"/>
      <c r="M5067" s="23"/>
      <c r="N5067" s="23"/>
      <c r="P5067" s="23"/>
    </row>
    <row r="5068" spans="2:16" x14ac:dyDescent="0.25">
      <c r="B5068" s="23"/>
      <c r="E5068" s="23"/>
      <c r="G5068" s="23"/>
      <c r="H5068" s="23"/>
      <c r="J5068" s="23"/>
      <c r="K5068" s="23"/>
      <c r="M5068" s="23"/>
      <c r="N5068" s="23"/>
      <c r="P5068" s="23"/>
    </row>
    <row r="5069" spans="2:16" x14ac:dyDescent="0.25">
      <c r="B5069" s="23"/>
      <c r="E5069" s="23"/>
      <c r="G5069" s="23"/>
      <c r="H5069" s="23"/>
      <c r="J5069" s="23"/>
      <c r="K5069" s="23"/>
      <c r="M5069" s="23"/>
      <c r="N5069" s="23"/>
      <c r="P5069" s="23"/>
    </row>
    <row r="5070" spans="2:16" x14ac:dyDescent="0.25">
      <c r="B5070" s="23"/>
      <c r="E5070" s="23"/>
      <c r="G5070" s="23"/>
      <c r="H5070" s="23"/>
      <c r="J5070" s="23"/>
      <c r="K5070" s="23"/>
      <c r="M5070" s="23"/>
      <c r="N5070" s="23"/>
      <c r="P5070" s="23"/>
    </row>
    <row r="5071" spans="2:16" x14ac:dyDescent="0.25">
      <c r="B5071" s="23"/>
      <c r="E5071" s="23"/>
      <c r="G5071" s="23"/>
      <c r="H5071" s="23"/>
      <c r="J5071" s="23"/>
      <c r="K5071" s="23"/>
      <c r="M5071" s="23"/>
      <c r="N5071" s="23"/>
      <c r="P5071" s="23"/>
    </row>
    <row r="5072" spans="2:16" x14ac:dyDescent="0.25">
      <c r="B5072" s="23"/>
      <c r="E5072" s="23"/>
      <c r="G5072" s="23"/>
      <c r="H5072" s="23"/>
      <c r="J5072" s="23"/>
      <c r="K5072" s="23"/>
      <c r="M5072" s="23"/>
      <c r="N5072" s="23"/>
      <c r="P5072" s="23"/>
    </row>
    <row r="5073" spans="2:16" x14ac:dyDescent="0.25">
      <c r="B5073" s="23"/>
      <c r="E5073" s="23"/>
      <c r="G5073" s="23"/>
      <c r="H5073" s="23"/>
      <c r="J5073" s="23"/>
      <c r="K5073" s="23"/>
      <c r="M5073" s="23"/>
      <c r="N5073" s="23"/>
      <c r="P5073" s="23"/>
    </row>
    <row r="5074" spans="2:16" x14ac:dyDescent="0.25">
      <c r="B5074" s="23"/>
      <c r="E5074" s="23"/>
      <c r="G5074" s="23"/>
      <c r="H5074" s="23"/>
      <c r="J5074" s="23"/>
      <c r="K5074" s="23"/>
      <c r="M5074" s="23"/>
      <c r="N5074" s="23"/>
      <c r="P5074" s="23"/>
    </row>
    <row r="5075" spans="2:16" x14ac:dyDescent="0.25">
      <c r="B5075" s="23"/>
      <c r="E5075" s="23"/>
      <c r="G5075" s="23"/>
      <c r="H5075" s="23"/>
      <c r="J5075" s="23"/>
      <c r="K5075" s="23"/>
      <c r="M5075" s="23"/>
      <c r="N5075" s="23"/>
      <c r="P5075" s="23"/>
    </row>
    <row r="5076" spans="2:16" x14ac:dyDescent="0.25">
      <c r="B5076" s="23"/>
      <c r="E5076" s="23"/>
      <c r="G5076" s="23"/>
      <c r="H5076" s="23"/>
      <c r="J5076" s="23"/>
      <c r="K5076" s="23"/>
      <c r="M5076" s="23"/>
      <c r="N5076" s="23"/>
      <c r="P5076" s="23"/>
    </row>
    <row r="5077" spans="2:16" x14ac:dyDescent="0.25">
      <c r="B5077" s="23"/>
      <c r="E5077" s="23"/>
      <c r="G5077" s="23"/>
      <c r="H5077" s="23"/>
      <c r="J5077" s="23"/>
      <c r="K5077" s="23"/>
      <c r="M5077" s="23"/>
      <c r="N5077" s="23"/>
      <c r="P5077" s="23"/>
    </row>
    <row r="5078" spans="2:16" x14ac:dyDescent="0.25">
      <c r="B5078" s="23"/>
      <c r="E5078" s="23"/>
      <c r="G5078" s="23"/>
      <c r="H5078" s="23"/>
      <c r="J5078" s="23"/>
      <c r="K5078" s="23"/>
      <c r="M5078" s="23"/>
      <c r="N5078" s="23"/>
      <c r="P5078" s="23"/>
    </row>
    <row r="5079" spans="2:16" x14ac:dyDescent="0.25">
      <c r="B5079" s="23"/>
      <c r="E5079" s="23"/>
      <c r="G5079" s="23"/>
      <c r="H5079" s="23"/>
      <c r="J5079" s="23"/>
      <c r="K5079" s="23"/>
      <c r="M5079" s="23"/>
      <c r="N5079" s="23"/>
      <c r="P5079" s="23"/>
    </row>
    <row r="5080" spans="2:16" x14ac:dyDescent="0.25">
      <c r="B5080" s="23"/>
      <c r="E5080" s="23"/>
      <c r="G5080" s="23"/>
      <c r="H5080" s="23"/>
      <c r="J5080" s="23"/>
      <c r="K5080" s="23"/>
      <c r="M5080" s="23"/>
      <c r="N5080" s="23"/>
      <c r="P5080" s="23"/>
    </row>
    <row r="5081" spans="2:16" x14ac:dyDescent="0.25">
      <c r="B5081" s="23"/>
      <c r="E5081" s="23"/>
      <c r="G5081" s="23"/>
      <c r="H5081" s="23"/>
      <c r="J5081" s="23"/>
      <c r="K5081" s="23"/>
      <c r="M5081" s="23"/>
      <c r="N5081" s="23"/>
      <c r="P5081" s="23"/>
    </row>
    <row r="5082" spans="2:16" x14ac:dyDescent="0.25">
      <c r="B5082" s="23"/>
      <c r="E5082" s="23"/>
      <c r="G5082" s="23"/>
      <c r="H5082" s="23"/>
      <c r="J5082" s="23"/>
      <c r="K5082" s="23"/>
      <c r="M5082" s="23"/>
      <c r="N5082" s="23"/>
      <c r="P5082" s="23"/>
    </row>
    <row r="5083" spans="2:16" x14ac:dyDescent="0.25">
      <c r="B5083" s="23"/>
      <c r="E5083" s="23"/>
      <c r="G5083" s="23"/>
      <c r="H5083" s="23"/>
      <c r="J5083" s="23"/>
      <c r="K5083" s="23"/>
      <c r="M5083" s="23"/>
      <c r="N5083" s="23"/>
      <c r="P5083" s="23"/>
    </row>
    <row r="5084" spans="2:16" x14ac:dyDescent="0.25">
      <c r="B5084" s="23"/>
      <c r="E5084" s="23"/>
      <c r="G5084" s="23"/>
      <c r="H5084" s="23"/>
      <c r="J5084" s="23"/>
      <c r="K5084" s="23"/>
      <c r="M5084" s="23"/>
      <c r="N5084" s="23"/>
      <c r="P5084" s="23"/>
    </row>
    <row r="5085" spans="2:16" x14ac:dyDescent="0.25">
      <c r="B5085" s="23"/>
      <c r="E5085" s="23"/>
      <c r="G5085" s="23"/>
      <c r="H5085" s="23"/>
      <c r="J5085" s="23"/>
      <c r="K5085" s="23"/>
      <c r="M5085" s="23"/>
      <c r="N5085" s="23"/>
      <c r="P5085" s="23"/>
    </row>
    <row r="5086" spans="2:16" x14ac:dyDescent="0.25">
      <c r="B5086" s="23"/>
      <c r="E5086" s="23"/>
      <c r="G5086" s="23"/>
      <c r="H5086" s="23"/>
      <c r="J5086" s="23"/>
      <c r="K5086" s="23"/>
      <c r="M5086" s="23"/>
      <c r="N5086" s="23"/>
      <c r="P5086" s="23"/>
    </row>
    <row r="5087" spans="2:16" x14ac:dyDescent="0.25">
      <c r="B5087" s="23"/>
      <c r="E5087" s="23"/>
      <c r="G5087" s="23"/>
      <c r="H5087" s="23"/>
      <c r="J5087" s="23"/>
      <c r="K5087" s="23"/>
      <c r="M5087" s="23"/>
      <c r="N5087" s="23"/>
      <c r="P5087" s="23"/>
    </row>
    <row r="5088" spans="2:16" x14ac:dyDescent="0.25">
      <c r="B5088" s="23"/>
      <c r="E5088" s="23"/>
      <c r="G5088" s="23"/>
      <c r="H5088" s="23"/>
      <c r="J5088" s="23"/>
      <c r="K5088" s="23"/>
      <c r="M5088" s="23"/>
      <c r="N5088" s="23"/>
      <c r="P5088" s="23"/>
    </row>
    <row r="5089" spans="2:16" x14ac:dyDescent="0.25">
      <c r="B5089" s="23"/>
      <c r="E5089" s="23"/>
      <c r="G5089" s="23"/>
      <c r="H5089" s="23"/>
      <c r="J5089" s="23"/>
      <c r="K5089" s="23"/>
      <c r="M5089" s="23"/>
      <c r="N5089" s="23"/>
      <c r="P5089" s="23"/>
    </row>
    <row r="5090" spans="2:16" x14ac:dyDescent="0.25">
      <c r="B5090" s="23"/>
      <c r="E5090" s="23"/>
      <c r="G5090" s="23"/>
      <c r="H5090" s="23"/>
      <c r="J5090" s="23"/>
      <c r="K5090" s="23"/>
      <c r="M5090" s="23"/>
      <c r="N5090" s="23"/>
      <c r="P5090" s="23"/>
    </row>
    <row r="5091" spans="2:16" x14ac:dyDescent="0.25">
      <c r="B5091" s="23"/>
      <c r="E5091" s="23"/>
      <c r="G5091" s="23"/>
      <c r="H5091" s="23"/>
      <c r="J5091" s="23"/>
      <c r="K5091" s="23"/>
      <c r="M5091" s="23"/>
      <c r="N5091" s="23"/>
      <c r="P5091" s="23"/>
    </row>
    <row r="5092" spans="2:16" x14ac:dyDescent="0.25">
      <c r="B5092" s="23"/>
      <c r="E5092" s="23"/>
      <c r="G5092" s="23"/>
      <c r="H5092" s="23"/>
      <c r="J5092" s="23"/>
      <c r="K5092" s="23"/>
      <c r="M5092" s="23"/>
      <c r="N5092" s="23"/>
      <c r="P5092" s="23"/>
    </row>
    <row r="5093" spans="2:16" x14ac:dyDescent="0.25">
      <c r="B5093" s="23"/>
      <c r="E5093" s="23"/>
      <c r="G5093" s="23"/>
      <c r="H5093" s="23"/>
      <c r="J5093" s="23"/>
      <c r="K5093" s="23"/>
      <c r="M5093" s="23"/>
      <c r="N5093" s="23"/>
      <c r="P5093" s="23"/>
    </row>
    <row r="5094" spans="2:16" x14ac:dyDescent="0.25">
      <c r="B5094" s="23"/>
      <c r="E5094" s="23"/>
      <c r="G5094" s="23"/>
      <c r="H5094" s="23"/>
      <c r="J5094" s="23"/>
      <c r="K5094" s="23"/>
      <c r="M5094" s="23"/>
      <c r="N5094" s="23"/>
      <c r="P5094" s="23"/>
    </row>
    <row r="5095" spans="2:16" x14ac:dyDescent="0.25">
      <c r="B5095" s="23"/>
      <c r="E5095" s="23"/>
      <c r="G5095" s="23"/>
      <c r="H5095" s="23"/>
      <c r="J5095" s="23"/>
      <c r="K5095" s="23"/>
      <c r="M5095" s="23"/>
      <c r="N5095" s="23"/>
      <c r="P5095" s="23"/>
    </row>
    <row r="5096" spans="2:16" x14ac:dyDescent="0.25">
      <c r="B5096" s="23"/>
      <c r="E5096" s="23"/>
      <c r="G5096" s="23"/>
      <c r="H5096" s="23"/>
      <c r="J5096" s="23"/>
      <c r="K5096" s="23"/>
      <c r="M5096" s="23"/>
      <c r="N5096" s="23"/>
      <c r="P5096" s="23"/>
    </row>
    <row r="5097" spans="2:16" x14ac:dyDescent="0.25">
      <c r="B5097" s="23"/>
      <c r="E5097" s="23"/>
      <c r="G5097" s="23"/>
      <c r="H5097" s="23"/>
      <c r="J5097" s="23"/>
      <c r="K5097" s="23"/>
      <c r="M5097" s="23"/>
      <c r="N5097" s="23"/>
      <c r="P5097" s="23"/>
    </row>
    <row r="5098" spans="2:16" x14ac:dyDescent="0.25">
      <c r="B5098" s="23"/>
      <c r="E5098" s="23"/>
      <c r="G5098" s="23"/>
      <c r="H5098" s="23"/>
      <c r="J5098" s="23"/>
      <c r="K5098" s="23"/>
      <c r="M5098" s="23"/>
      <c r="N5098" s="23"/>
      <c r="P5098" s="23"/>
    </row>
    <row r="5099" spans="2:16" x14ac:dyDescent="0.25">
      <c r="B5099" s="23"/>
      <c r="E5099" s="23"/>
      <c r="G5099" s="23"/>
      <c r="H5099" s="23"/>
      <c r="J5099" s="23"/>
      <c r="K5099" s="23"/>
      <c r="M5099" s="23"/>
      <c r="N5099" s="23"/>
      <c r="P5099" s="23"/>
    </row>
    <row r="5100" spans="2:16" x14ac:dyDescent="0.25">
      <c r="B5100" s="23"/>
      <c r="E5100" s="23"/>
      <c r="G5100" s="23"/>
      <c r="H5100" s="23"/>
      <c r="J5100" s="23"/>
      <c r="K5100" s="23"/>
      <c r="M5100" s="23"/>
      <c r="N5100" s="23"/>
      <c r="P5100" s="23"/>
    </row>
    <row r="5101" spans="2:16" x14ac:dyDescent="0.25">
      <c r="B5101" s="23"/>
      <c r="E5101" s="23"/>
      <c r="G5101" s="23"/>
      <c r="H5101" s="23"/>
      <c r="J5101" s="23"/>
      <c r="K5101" s="23"/>
      <c r="M5101" s="23"/>
      <c r="N5101" s="23"/>
      <c r="P5101" s="23"/>
    </row>
    <row r="5102" spans="2:16" x14ac:dyDescent="0.25">
      <c r="B5102" s="23"/>
      <c r="E5102" s="23"/>
      <c r="G5102" s="23"/>
      <c r="H5102" s="23"/>
      <c r="J5102" s="23"/>
      <c r="K5102" s="23"/>
      <c r="M5102" s="23"/>
      <c r="N5102" s="23"/>
      <c r="P5102" s="23"/>
    </row>
    <row r="5103" spans="2:16" x14ac:dyDescent="0.25">
      <c r="B5103" s="23"/>
      <c r="E5103" s="23"/>
      <c r="G5103" s="23"/>
      <c r="H5103" s="23"/>
      <c r="J5103" s="23"/>
      <c r="K5103" s="23"/>
      <c r="M5103" s="23"/>
      <c r="N5103" s="23"/>
      <c r="P5103" s="23"/>
    </row>
    <row r="5104" spans="2:16" x14ac:dyDescent="0.25">
      <c r="B5104" s="23"/>
      <c r="E5104" s="23"/>
      <c r="G5104" s="23"/>
      <c r="H5104" s="23"/>
      <c r="J5104" s="23"/>
      <c r="K5104" s="23"/>
      <c r="M5104" s="23"/>
      <c r="N5104" s="23"/>
      <c r="P5104" s="23"/>
    </row>
    <row r="5105" spans="2:16" x14ac:dyDescent="0.25">
      <c r="B5105" s="23"/>
      <c r="E5105" s="23"/>
      <c r="G5105" s="23"/>
      <c r="H5105" s="23"/>
      <c r="J5105" s="23"/>
      <c r="K5105" s="23"/>
      <c r="M5105" s="23"/>
      <c r="N5105" s="23"/>
      <c r="P5105" s="23"/>
    </row>
    <row r="5106" spans="2:16" x14ac:dyDescent="0.25">
      <c r="B5106" s="23"/>
      <c r="E5106" s="23"/>
      <c r="G5106" s="23"/>
      <c r="H5106" s="23"/>
      <c r="J5106" s="23"/>
      <c r="K5106" s="23"/>
      <c r="M5106" s="23"/>
      <c r="N5106" s="23"/>
      <c r="P5106" s="23"/>
    </row>
    <row r="5107" spans="2:16" x14ac:dyDescent="0.25">
      <c r="B5107" s="23"/>
      <c r="E5107" s="23"/>
      <c r="G5107" s="23"/>
      <c r="H5107" s="23"/>
      <c r="J5107" s="23"/>
      <c r="K5107" s="23"/>
      <c r="M5107" s="23"/>
      <c r="N5107" s="23"/>
      <c r="P5107" s="23"/>
    </row>
    <row r="5108" spans="2:16" x14ac:dyDescent="0.25">
      <c r="B5108" s="23"/>
      <c r="E5108" s="23"/>
      <c r="G5108" s="23"/>
      <c r="H5108" s="23"/>
      <c r="J5108" s="23"/>
      <c r="K5108" s="23"/>
      <c r="M5108" s="23"/>
      <c r="N5108" s="23"/>
      <c r="P5108" s="23"/>
    </row>
    <row r="5109" spans="2:16" x14ac:dyDescent="0.25">
      <c r="B5109" s="23"/>
      <c r="E5109" s="23"/>
      <c r="G5109" s="23"/>
      <c r="H5109" s="23"/>
      <c r="J5109" s="23"/>
      <c r="K5109" s="23"/>
      <c r="M5109" s="23"/>
      <c r="N5109" s="23"/>
      <c r="P5109" s="23"/>
    </row>
    <row r="5110" spans="2:16" x14ac:dyDescent="0.25">
      <c r="B5110" s="23"/>
      <c r="E5110" s="23"/>
      <c r="G5110" s="23"/>
      <c r="H5110" s="23"/>
      <c r="J5110" s="23"/>
      <c r="K5110" s="23"/>
      <c r="M5110" s="23"/>
      <c r="N5110" s="23"/>
      <c r="P5110" s="23"/>
    </row>
    <row r="5111" spans="2:16" x14ac:dyDescent="0.25">
      <c r="B5111" s="23"/>
      <c r="E5111" s="23"/>
      <c r="G5111" s="23"/>
      <c r="H5111" s="23"/>
      <c r="J5111" s="23"/>
      <c r="K5111" s="23"/>
      <c r="M5111" s="23"/>
      <c r="N5111" s="23"/>
      <c r="P5111" s="23"/>
    </row>
    <row r="5112" spans="2:16" x14ac:dyDescent="0.25">
      <c r="B5112" s="23"/>
      <c r="E5112" s="23"/>
      <c r="G5112" s="23"/>
      <c r="H5112" s="23"/>
      <c r="J5112" s="23"/>
      <c r="K5112" s="23"/>
      <c r="M5112" s="23"/>
      <c r="N5112" s="23"/>
      <c r="P5112" s="23"/>
    </row>
    <row r="5113" spans="2:16" x14ac:dyDescent="0.25">
      <c r="B5113" s="23"/>
      <c r="E5113" s="23"/>
      <c r="G5113" s="23"/>
      <c r="H5113" s="23"/>
      <c r="J5113" s="23"/>
      <c r="K5113" s="23"/>
      <c r="M5113" s="23"/>
      <c r="N5113" s="23"/>
      <c r="P5113" s="23"/>
    </row>
    <row r="5114" spans="2:16" x14ac:dyDescent="0.25">
      <c r="B5114" s="23"/>
      <c r="E5114" s="23"/>
      <c r="G5114" s="23"/>
      <c r="H5114" s="23"/>
      <c r="J5114" s="23"/>
      <c r="K5114" s="23"/>
      <c r="M5114" s="23"/>
      <c r="N5114" s="23"/>
      <c r="P5114" s="23"/>
    </row>
    <row r="5115" spans="2:16" x14ac:dyDescent="0.25">
      <c r="B5115" s="23"/>
      <c r="E5115" s="23"/>
      <c r="G5115" s="23"/>
      <c r="H5115" s="23"/>
      <c r="J5115" s="23"/>
      <c r="K5115" s="23"/>
      <c r="M5115" s="23"/>
      <c r="N5115" s="23"/>
      <c r="P5115" s="23"/>
    </row>
    <row r="5116" spans="2:16" x14ac:dyDescent="0.25">
      <c r="B5116" s="23"/>
      <c r="E5116" s="23"/>
      <c r="G5116" s="23"/>
      <c r="H5116" s="23"/>
      <c r="J5116" s="23"/>
      <c r="K5116" s="23"/>
      <c r="M5116" s="23"/>
      <c r="N5116" s="23"/>
      <c r="P5116" s="23"/>
    </row>
    <row r="5117" spans="2:16" x14ac:dyDescent="0.25">
      <c r="B5117" s="23"/>
      <c r="E5117" s="23"/>
      <c r="G5117" s="23"/>
      <c r="H5117" s="23"/>
      <c r="J5117" s="23"/>
      <c r="K5117" s="23"/>
      <c r="M5117" s="23"/>
      <c r="N5117" s="23"/>
      <c r="P5117" s="23"/>
    </row>
    <row r="5118" spans="2:16" x14ac:dyDescent="0.25">
      <c r="B5118" s="23"/>
      <c r="E5118" s="23"/>
      <c r="G5118" s="23"/>
      <c r="H5118" s="23"/>
      <c r="J5118" s="23"/>
      <c r="K5118" s="23"/>
      <c r="M5118" s="23"/>
      <c r="N5118" s="23"/>
      <c r="P5118" s="23"/>
    </row>
    <row r="5119" spans="2:16" x14ac:dyDescent="0.25">
      <c r="B5119" s="23"/>
      <c r="E5119" s="23"/>
      <c r="G5119" s="23"/>
      <c r="H5119" s="23"/>
      <c r="J5119" s="23"/>
      <c r="K5119" s="23"/>
      <c r="M5119" s="23"/>
      <c r="N5119" s="23"/>
      <c r="P5119" s="23"/>
    </row>
    <row r="5120" spans="2:16" x14ac:dyDescent="0.25">
      <c r="B5120" s="23"/>
      <c r="E5120" s="23"/>
      <c r="G5120" s="23"/>
      <c r="H5120" s="23"/>
      <c r="J5120" s="23"/>
      <c r="K5120" s="23"/>
      <c r="M5120" s="23"/>
      <c r="N5120" s="23"/>
      <c r="P5120" s="23"/>
    </row>
    <row r="5121" spans="2:16" x14ac:dyDescent="0.25">
      <c r="B5121" s="23"/>
      <c r="E5121" s="23"/>
      <c r="G5121" s="23"/>
      <c r="H5121" s="23"/>
      <c r="J5121" s="23"/>
      <c r="K5121" s="23"/>
      <c r="M5121" s="23"/>
      <c r="N5121" s="23"/>
      <c r="P5121" s="23"/>
    </row>
    <row r="5122" spans="2:16" x14ac:dyDescent="0.25">
      <c r="B5122" s="23"/>
      <c r="E5122" s="23"/>
      <c r="G5122" s="23"/>
      <c r="H5122" s="23"/>
      <c r="J5122" s="23"/>
      <c r="K5122" s="23"/>
      <c r="M5122" s="23"/>
      <c r="N5122" s="23"/>
      <c r="P5122" s="23"/>
    </row>
    <row r="5123" spans="2:16" x14ac:dyDescent="0.25">
      <c r="B5123" s="23"/>
      <c r="E5123" s="23"/>
      <c r="G5123" s="23"/>
      <c r="H5123" s="23"/>
      <c r="J5123" s="23"/>
      <c r="K5123" s="23"/>
      <c r="M5123" s="23"/>
      <c r="N5123" s="23"/>
      <c r="P5123" s="23"/>
    </row>
    <row r="5124" spans="2:16" x14ac:dyDescent="0.25">
      <c r="B5124" s="23"/>
      <c r="E5124" s="23"/>
      <c r="G5124" s="23"/>
      <c r="H5124" s="23"/>
      <c r="J5124" s="23"/>
      <c r="K5124" s="23"/>
      <c r="M5124" s="23"/>
      <c r="N5124" s="23"/>
      <c r="P5124" s="23"/>
    </row>
    <row r="5125" spans="2:16" x14ac:dyDescent="0.25">
      <c r="B5125" s="23"/>
      <c r="E5125" s="23"/>
      <c r="G5125" s="23"/>
      <c r="H5125" s="23"/>
      <c r="J5125" s="23"/>
      <c r="K5125" s="23"/>
      <c r="M5125" s="23"/>
      <c r="N5125" s="23"/>
      <c r="P5125" s="23"/>
    </row>
    <row r="5126" spans="2:16" x14ac:dyDescent="0.25">
      <c r="B5126" s="23"/>
      <c r="E5126" s="23"/>
      <c r="G5126" s="23"/>
      <c r="H5126" s="23"/>
      <c r="J5126" s="23"/>
      <c r="K5126" s="23"/>
      <c r="M5126" s="23"/>
      <c r="N5126" s="23"/>
      <c r="P5126" s="23"/>
    </row>
    <row r="5127" spans="2:16" x14ac:dyDescent="0.25">
      <c r="B5127" s="23"/>
      <c r="E5127" s="23"/>
      <c r="G5127" s="23"/>
      <c r="H5127" s="23"/>
      <c r="J5127" s="23"/>
      <c r="K5127" s="23"/>
      <c r="M5127" s="23"/>
      <c r="N5127" s="23"/>
      <c r="P5127" s="23"/>
    </row>
    <row r="5128" spans="2:16" x14ac:dyDescent="0.25">
      <c r="B5128" s="23"/>
      <c r="E5128" s="23"/>
      <c r="G5128" s="23"/>
      <c r="H5128" s="23"/>
      <c r="J5128" s="23"/>
      <c r="K5128" s="23"/>
      <c r="M5128" s="23"/>
      <c r="N5128" s="23"/>
      <c r="P5128" s="23"/>
    </row>
    <row r="5129" spans="2:16" x14ac:dyDescent="0.25">
      <c r="B5129" s="23"/>
      <c r="E5129" s="23"/>
      <c r="G5129" s="23"/>
      <c r="H5129" s="23"/>
      <c r="J5129" s="23"/>
      <c r="K5129" s="23"/>
      <c r="M5129" s="23"/>
      <c r="N5129" s="23"/>
      <c r="P5129" s="23"/>
    </row>
    <row r="5130" spans="2:16" x14ac:dyDescent="0.25">
      <c r="B5130" s="23"/>
      <c r="E5130" s="23"/>
      <c r="G5130" s="23"/>
      <c r="H5130" s="23"/>
      <c r="J5130" s="23"/>
      <c r="K5130" s="23"/>
      <c r="M5130" s="23"/>
      <c r="N5130" s="23"/>
      <c r="P5130" s="23"/>
    </row>
    <row r="5131" spans="2:16" x14ac:dyDescent="0.25">
      <c r="B5131" s="23"/>
      <c r="E5131" s="23"/>
      <c r="G5131" s="23"/>
      <c r="H5131" s="23"/>
      <c r="J5131" s="23"/>
      <c r="K5131" s="23"/>
      <c r="M5131" s="23"/>
      <c r="N5131" s="23"/>
      <c r="P5131" s="23"/>
    </row>
    <row r="5132" spans="2:16" x14ac:dyDescent="0.25">
      <c r="B5132" s="23"/>
      <c r="E5132" s="23"/>
      <c r="G5132" s="23"/>
      <c r="H5132" s="23"/>
      <c r="J5132" s="23"/>
      <c r="K5132" s="23"/>
      <c r="M5132" s="23"/>
      <c r="N5132" s="23"/>
      <c r="P5132" s="23"/>
    </row>
    <row r="5133" spans="2:16" x14ac:dyDescent="0.25">
      <c r="B5133" s="23"/>
      <c r="E5133" s="23"/>
      <c r="G5133" s="23"/>
      <c r="H5133" s="23"/>
      <c r="J5133" s="23"/>
      <c r="K5133" s="23"/>
      <c r="M5133" s="23"/>
      <c r="N5133" s="23"/>
      <c r="P5133" s="23"/>
    </row>
    <row r="5134" spans="2:16" x14ac:dyDescent="0.25">
      <c r="B5134" s="23"/>
      <c r="E5134" s="23"/>
      <c r="G5134" s="23"/>
      <c r="H5134" s="23"/>
      <c r="J5134" s="23"/>
      <c r="K5134" s="23"/>
      <c r="M5134" s="23"/>
      <c r="N5134" s="23"/>
      <c r="P5134" s="23"/>
    </row>
    <row r="5135" spans="2:16" x14ac:dyDescent="0.25">
      <c r="B5135" s="23"/>
      <c r="E5135" s="23"/>
      <c r="G5135" s="23"/>
      <c r="H5135" s="23"/>
      <c r="J5135" s="23"/>
      <c r="K5135" s="23"/>
      <c r="M5135" s="23"/>
      <c r="N5135" s="23"/>
      <c r="P5135" s="23"/>
    </row>
    <row r="5136" spans="2:16" x14ac:dyDescent="0.25">
      <c r="B5136" s="23"/>
      <c r="E5136" s="23"/>
      <c r="G5136" s="23"/>
      <c r="H5136" s="23"/>
      <c r="J5136" s="23"/>
      <c r="K5136" s="23"/>
      <c r="M5136" s="23"/>
      <c r="N5136" s="23"/>
      <c r="P5136" s="23"/>
    </row>
    <row r="5137" spans="2:16" x14ac:dyDescent="0.25">
      <c r="B5137" s="23"/>
      <c r="E5137" s="23"/>
      <c r="G5137" s="23"/>
      <c r="H5137" s="23"/>
      <c r="J5137" s="23"/>
      <c r="K5137" s="23"/>
      <c r="M5137" s="23"/>
      <c r="N5137" s="23"/>
      <c r="P5137" s="23"/>
    </row>
    <row r="5138" spans="2:16" x14ac:dyDescent="0.25">
      <c r="B5138" s="23"/>
      <c r="E5138" s="23"/>
      <c r="G5138" s="23"/>
      <c r="H5138" s="23"/>
      <c r="J5138" s="23"/>
      <c r="K5138" s="23"/>
      <c r="M5138" s="23"/>
      <c r="N5138" s="23"/>
      <c r="P5138" s="23"/>
    </row>
    <row r="5139" spans="2:16" x14ac:dyDescent="0.25">
      <c r="B5139" s="23"/>
      <c r="E5139" s="23"/>
      <c r="G5139" s="23"/>
      <c r="H5139" s="23"/>
      <c r="J5139" s="23"/>
      <c r="K5139" s="23"/>
      <c r="M5139" s="23"/>
      <c r="N5139" s="23"/>
      <c r="P5139" s="23"/>
    </row>
    <row r="5140" spans="2:16" x14ac:dyDescent="0.25">
      <c r="B5140" s="23"/>
      <c r="E5140" s="23"/>
      <c r="G5140" s="23"/>
      <c r="H5140" s="23"/>
      <c r="J5140" s="23"/>
      <c r="K5140" s="23"/>
      <c r="M5140" s="23"/>
      <c r="N5140" s="23"/>
      <c r="P5140" s="23"/>
    </row>
    <row r="5141" spans="2:16" x14ac:dyDescent="0.25">
      <c r="B5141" s="23"/>
      <c r="E5141" s="23"/>
      <c r="G5141" s="23"/>
      <c r="H5141" s="23"/>
      <c r="J5141" s="23"/>
      <c r="K5141" s="23"/>
      <c r="M5141" s="23"/>
      <c r="N5141" s="23"/>
      <c r="P5141" s="23"/>
    </row>
    <row r="5142" spans="2:16" x14ac:dyDescent="0.25">
      <c r="B5142" s="23"/>
      <c r="E5142" s="23"/>
      <c r="G5142" s="23"/>
      <c r="H5142" s="23"/>
      <c r="J5142" s="23"/>
      <c r="K5142" s="23"/>
      <c r="M5142" s="23"/>
      <c r="N5142" s="23"/>
      <c r="P5142" s="23"/>
    </row>
    <row r="5143" spans="2:16" x14ac:dyDescent="0.25">
      <c r="B5143" s="23"/>
      <c r="E5143" s="23"/>
      <c r="G5143" s="23"/>
      <c r="H5143" s="23"/>
      <c r="J5143" s="23"/>
      <c r="K5143" s="23"/>
      <c r="M5143" s="23"/>
      <c r="N5143" s="23"/>
      <c r="P5143" s="23"/>
    </row>
    <row r="5144" spans="2:16" x14ac:dyDescent="0.25">
      <c r="B5144" s="23"/>
      <c r="E5144" s="23"/>
      <c r="G5144" s="23"/>
      <c r="H5144" s="23"/>
      <c r="J5144" s="23"/>
      <c r="K5144" s="23"/>
      <c r="M5144" s="23"/>
      <c r="N5144" s="23"/>
      <c r="P5144" s="23"/>
    </row>
    <row r="5145" spans="2:16" x14ac:dyDescent="0.25">
      <c r="B5145" s="23"/>
      <c r="E5145" s="23"/>
      <c r="G5145" s="23"/>
      <c r="H5145" s="23"/>
      <c r="J5145" s="23"/>
      <c r="K5145" s="23"/>
      <c r="M5145" s="23"/>
      <c r="N5145" s="23"/>
      <c r="P5145" s="23"/>
    </row>
    <row r="5146" spans="2:16" x14ac:dyDescent="0.25">
      <c r="B5146" s="23"/>
      <c r="E5146" s="23"/>
      <c r="G5146" s="23"/>
      <c r="H5146" s="23"/>
      <c r="J5146" s="23"/>
      <c r="K5146" s="23"/>
      <c r="M5146" s="23"/>
      <c r="N5146" s="23"/>
      <c r="P5146" s="23"/>
    </row>
    <row r="5147" spans="2:16" x14ac:dyDescent="0.25">
      <c r="B5147" s="23"/>
      <c r="E5147" s="23"/>
      <c r="G5147" s="23"/>
      <c r="H5147" s="23"/>
      <c r="J5147" s="23"/>
      <c r="K5147" s="23"/>
      <c r="M5147" s="23"/>
      <c r="N5147" s="23"/>
      <c r="P5147" s="23"/>
    </row>
    <row r="5148" spans="2:16" x14ac:dyDescent="0.25">
      <c r="B5148" s="23"/>
      <c r="E5148" s="23"/>
      <c r="G5148" s="23"/>
      <c r="H5148" s="23"/>
      <c r="J5148" s="23"/>
      <c r="K5148" s="23"/>
      <c r="M5148" s="23"/>
      <c r="N5148" s="23"/>
      <c r="P5148" s="23"/>
    </row>
    <row r="5149" spans="2:16" x14ac:dyDescent="0.25">
      <c r="B5149" s="23"/>
      <c r="E5149" s="23"/>
      <c r="G5149" s="23"/>
      <c r="H5149" s="23"/>
      <c r="J5149" s="23"/>
      <c r="K5149" s="23"/>
      <c r="M5149" s="23"/>
      <c r="N5149" s="23"/>
      <c r="P5149" s="23"/>
    </row>
    <row r="5150" spans="2:16" x14ac:dyDescent="0.25">
      <c r="B5150" s="23"/>
      <c r="E5150" s="23"/>
      <c r="G5150" s="23"/>
      <c r="H5150" s="23"/>
      <c r="J5150" s="23"/>
      <c r="K5150" s="23"/>
      <c r="M5150" s="23"/>
      <c r="N5150" s="23"/>
      <c r="P5150" s="23"/>
    </row>
    <row r="5151" spans="2:16" x14ac:dyDescent="0.25">
      <c r="B5151" s="23"/>
      <c r="E5151" s="23"/>
      <c r="G5151" s="23"/>
      <c r="H5151" s="23"/>
      <c r="J5151" s="23"/>
      <c r="K5151" s="23"/>
      <c r="M5151" s="23"/>
      <c r="N5151" s="23"/>
      <c r="P5151" s="23"/>
    </row>
    <row r="5152" spans="2:16" x14ac:dyDescent="0.25">
      <c r="B5152" s="23"/>
      <c r="E5152" s="23"/>
      <c r="G5152" s="23"/>
      <c r="H5152" s="23"/>
      <c r="J5152" s="23"/>
      <c r="K5152" s="23"/>
      <c r="M5152" s="23"/>
      <c r="N5152" s="23"/>
      <c r="P5152" s="23"/>
    </row>
    <row r="5153" spans="2:16" x14ac:dyDescent="0.25">
      <c r="B5153" s="23"/>
      <c r="E5153" s="23"/>
      <c r="G5153" s="23"/>
      <c r="H5153" s="23"/>
      <c r="J5153" s="23"/>
      <c r="K5153" s="23"/>
      <c r="M5153" s="23"/>
      <c r="N5153" s="23"/>
      <c r="P5153" s="23"/>
    </row>
    <row r="5154" spans="2:16" x14ac:dyDescent="0.25">
      <c r="B5154" s="23"/>
      <c r="E5154" s="23"/>
      <c r="G5154" s="23"/>
      <c r="H5154" s="23"/>
      <c r="J5154" s="23"/>
      <c r="K5154" s="23"/>
      <c r="M5154" s="23"/>
      <c r="N5154" s="23"/>
      <c r="P5154" s="23"/>
    </row>
    <row r="5155" spans="2:16" x14ac:dyDescent="0.25">
      <c r="B5155" s="23"/>
      <c r="E5155" s="23"/>
      <c r="G5155" s="23"/>
      <c r="H5155" s="23"/>
      <c r="J5155" s="23"/>
      <c r="K5155" s="23"/>
      <c r="M5155" s="23"/>
      <c r="N5155" s="23"/>
      <c r="P5155" s="23"/>
    </row>
    <row r="5156" spans="2:16" x14ac:dyDescent="0.25">
      <c r="B5156" s="23"/>
      <c r="E5156" s="23"/>
      <c r="G5156" s="23"/>
      <c r="H5156" s="23"/>
      <c r="J5156" s="23"/>
      <c r="K5156" s="23"/>
      <c r="M5156" s="23"/>
      <c r="N5156" s="23"/>
      <c r="P5156" s="23"/>
    </row>
    <row r="5157" spans="2:16" x14ac:dyDescent="0.25">
      <c r="B5157" s="23"/>
      <c r="E5157" s="23"/>
      <c r="G5157" s="23"/>
      <c r="H5157" s="23"/>
      <c r="J5157" s="23"/>
      <c r="K5157" s="23"/>
      <c r="M5157" s="23"/>
      <c r="N5157" s="23"/>
      <c r="P5157" s="23"/>
    </row>
    <row r="5158" spans="2:16" x14ac:dyDescent="0.25">
      <c r="B5158" s="23"/>
      <c r="E5158" s="23"/>
      <c r="G5158" s="23"/>
      <c r="H5158" s="23"/>
      <c r="J5158" s="23"/>
      <c r="K5158" s="23"/>
      <c r="M5158" s="23"/>
      <c r="N5158" s="23"/>
      <c r="P5158" s="23"/>
    </row>
    <row r="5159" spans="2:16" x14ac:dyDescent="0.25">
      <c r="B5159" s="23"/>
      <c r="E5159" s="23"/>
      <c r="G5159" s="23"/>
      <c r="H5159" s="23"/>
      <c r="J5159" s="23"/>
      <c r="K5159" s="23"/>
      <c r="M5159" s="23"/>
      <c r="N5159" s="23"/>
      <c r="P5159" s="23"/>
    </row>
    <row r="5160" spans="2:16" x14ac:dyDescent="0.25">
      <c r="B5160" s="23"/>
      <c r="E5160" s="23"/>
      <c r="G5160" s="23"/>
      <c r="H5160" s="23"/>
      <c r="J5160" s="23"/>
      <c r="K5160" s="23"/>
      <c r="M5160" s="23"/>
      <c r="N5160" s="23"/>
      <c r="P5160" s="23"/>
    </row>
    <row r="5161" spans="2:16" x14ac:dyDescent="0.25">
      <c r="B5161" s="23"/>
      <c r="E5161" s="23"/>
      <c r="G5161" s="23"/>
      <c r="H5161" s="23"/>
      <c r="J5161" s="23"/>
      <c r="K5161" s="23"/>
      <c r="M5161" s="23"/>
      <c r="N5161" s="23"/>
      <c r="P5161" s="23"/>
    </row>
    <row r="5162" spans="2:16" x14ac:dyDescent="0.25">
      <c r="B5162" s="23"/>
      <c r="E5162" s="23"/>
      <c r="G5162" s="23"/>
      <c r="H5162" s="23"/>
      <c r="J5162" s="23"/>
      <c r="K5162" s="23"/>
      <c r="M5162" s="23"/>
      <c r="N5162" s="23"/>
      <c r="P5162" s="23"/>
    </row>
    <row r="5163" spans="2:16" x14ac:dyDescent="0.25">
      <c r="B5163" s="23"/>
      <c r="E5163" s="23"/>
      <c r="G5163" s="23"/>
      <c r="H5163" s="23"/>
      <c r="J5163" s="23"/>
      <c r="K5163" s="23"/>
      <c r="M5163" s="23"/>
      <c r="N5163" s="23"/>
      <c r="P5163" s="23"/>
    </row>
    <row r="5164" spans="2:16" x14ac:dyDescent="0.25">
      <c r="B5164" s="23"/>
      <c r="E5164" s="23"/>
      <c r="G5164" s="23"/>
      <c r="H5164" s="23"/>
      <c r="J5164" s="23"/>
      <c r="K5164" s="23"/>
      <c r="M5164" s="23"/>
      <c r="N5164" s="23"/>
      <c r="P5164" s="23"/>
    </row>
    <row r="5165" spans="2:16" x14ac:dyDescent="0.25">
      <c r="B5165" s="23"/>
      <c r="E5165" s="23"/>
      <c r="G5165" s="23"/>
      <c r="H5165" s="23"/>
      <c r="J5165" s="23"/>
      <c r="K5165" s="23"/>
      <c r="M5165" s="23"/>
      <c r="N5165" s="23"/>
      <c r="P5165" s="23"/>
    </row>
    <row r="5166" spans="2:16" x14ac:dyDescent="0.25">
      <c r="B5166" s="23"/>
      <c r="E5166" s="23"/>
      <c r="G5166" s="23"/>
      <c r="H5166" s="23"/>
      <c r="J5166" s="23"/>
      <c r="K5166" s="23"/>
      <c r="M5166" s="23"/>
      <c r="N5166" s="23"/>
      <c r="P5166" s="23"/>
    </row>
    <row r="5167" spans="2:16" x14ac:dyDescent="0.25">
      <c r="B5167" s="23"/>
      <c r="E5167" s="23"/>
      <c r="G5167" s="23"/>
      <c r="H5167" s="23"/>
      <c r="J5167" s="23"/>
      <c r="K5167" s="23"/>
      <c r="M5167" s="23"/>
      <c r="N5167" s="23"/>
      <c r="P5167" s="23"/>
    </row>
    <row r="5168" spans="2:16" x14ac:dyDescent="0.25">
      <c r="B5168" s="23"/>
      <c r="E5168" s="23"/>
      <c r="G5168" s="23"/>
      <c r="H5168" s="23"/>
      <c r="J5168" s="23"/>
      <c r="K5168" s="23"/>
      <c r="M5168" s="23"/>
      <c r="N5168" s="23"/>
      <c r="P5168" s="23"/>
    </row>
    <row r="5169" spans="2:16" x14ac:dyDescent="0.25">
      <c r="B5169" s="23"/>
      <c r="E5169" s="23"/>
      <c r="G5169" s="23"/>
      <c r="H5169" s="23"/>
      <c r="J5169" s="23"/>
      <c r="K5169" s="23"/>
      <c r="M5169" s="23"/>
      <c r="N5169" s="23"/>
      <c r="P5169" s="23"/>
    </row>
    <row r="5170" spans="2:16" x14ac:dyDescent="0.25">
      <c r="B5170" s="23"/>
      <c r="E5170" s="23"/>
      <c r="G5170" s="23"/>
      <c r="H5170" s="23"/>
      <c r="J5170" s="23"/>
      <c r="K5170" s="23"/>
      <c r="M5170" s="23"/>
      <c r="N5170" s="23"/>
      <c r="P5170" s="23"/>
    </row>
    <row r="5171" spans="2:16" x14ac:dyDescent="0.25">
      <c r="B5171" s="23"/>
      <c r="E5171" s="23"/>
      <c r="G5171" s="23"/>
      <c r="H5171" s="23"/>
      <c r="J5171" s="23"/>
      <c r="K5171" s="23"/>
      <c r="M5171" s="23"/>
      <c r="N5171" s="23"/>
      <c r="P5171" s="23"/>
    </row>
    <row r="5172" spans="2:16" x14ac:dyDescent="0.25">
      <c r="B5172" s="23"/>
      <c r="E5172" s="23"/>
      <c r="G5172" s="23"/>
      <c r="H5172" s="23"/>
      <c r="J5172" s="23"/>
      <c r="K5172" s="23"/>
      <c r="M5172" s="23"/>
      <c r="N5172" s="23"/>
      <c r="P5172" s="23"/>
    </row>
    <row r="5173" spans="2:16" x14ac:dyDescent="0.25">
      <c r="B5173" s="23"/>
      <c r="E5173" s="23"/>
      <c r="G5173" s="23"/>
      <c r="H5173" s="23"/>
      <c r="J5173" s="23"/>
      <c r="K5173" s="23"/>
      <c r="M5173" s="23"/>
      <c r="N5173" s="23"/>
      <c r="P5173" s="23"/>
    </row>
    <row r="5174" spans="2:16" x14ac:dyDescent="0.25">
      <c r="B5174" s="23"/>
      <c r="E5174" s="23"/>
      <c r="G5174" s="23"/>
      <c r="H5174" s="23"/>
      <c r="J5174" s="23"/>
      <c r="K5174" s="23"/>
      <c r="M5174" s="23"/>
      <c r="N5174" s="23"/>
      <c r="P5174" s="23"/>
    </row>
    <row r="5175" spans="2:16" x14ac:dyDescent="0.25">
      <c r="B5175" s="23"/>
      <c r="E5175" s="23"/>
      <c r="G5175" s="23"/>
      <c r="H5175" s="23"/>
      <c r="J5175" s="23"/>
      <c r="K5175" s="23"/>
      <c r="M5175" s="23"/>
      <c r="N5175" s="23"/>
      <c r="P5175" s="23"/>
    </row>
    <row r="5176" spans="2:16" x14ac:dyDescent="0.25">
      <c r="B5176" s="23"/>
      <c r="E5176" s="23"/>
      <c r="G5176" s="23"/>
      <c r="H5176" s="23"/>
      <c r="J5176" s="23"/>
      <c r="K5176" s="23"/>
      <c r="M5176" s="23"/>
      <c r="N5176" s="23"/>
      <c r="P5176" s="23"/>
    </row>
    <row r="5177" spans="2:16" x14ac:dyDescent="0.25">
      <c r="B5177" s="23"/>
      <c r="E5177" s="23"/>
      <c r="G5177" s="23"/>
      <c r="H5177" s="23"/>
      <c r="J5177" s="23"/>
      <c r="K5177" s="23"/>
      <c r="M5177" s="23"/>
      <c r="N5177" s="23"/>
      <c r="P5177" s="23"/>
    </row>
    <row r="5178" spans="2:16" x14ac:dyDescent="0.25">
      <c r="B5178" s="23"/>
      <c r="E5178" s="23"/>
      <c r="G5178" s="23"/>
      <c r="H5178" s="23"/>
      <c r="J5178" s="23"/>
      <c r="K5178" s="23"/>
      <c r="M5178" s="23"/>
      <c r="N5178" s="23"/>
      <c r="P5178" s="23"/>
    </row>
    <row r="5179" spans="2:16" x14ac:dyDescent="0.25">
      <c r="B5179" s="23"/>
      <c r="E5179" s="23"/>
      <c r="G5179" s="23"/>
      <c r="H5179" s="23"/>
      <c r="J5179" s="23"/>
      <c r="K5179" s="23"/>
      <c r="M5179" s="23"/>
      <c r="N5179" s="23"/>
      <c r="P5179" s="23"/>
    </row>
    <row r="5180" spans="2:16" x14ac:dyDescent="0.25">
      <c r="B5180" s="23"/>
      <c r="E5180" s="23"/>
      <c r="G5180" s="23"/>
      <c r="H5180" s="23"/>
      <c r="J5180" s="23"/>
      <c r="K5180" s="23"/>
      <c r="M5180" s="23"/>
      <c r="N5180" s="23"/>
      <c r="P5180" s="23"/>
    </row>
    <row r="5181" spans="2:16" x14ac:dyDescent="0.25">
      <c r="B5181" s="23"/>
      <c r="E5181" s="23"/>
      <c r="G5181" s="23"/>
      <c r="H5181" s="23"/>
      <c r="J5181" s="23"/>
      <c r="K5181" s="23"/>
      <c r="M5181" s="23"/>
      <c r="N5181" s="23"/>
      <c r="P5181" s="23"/>
    </row>
    <row r="5182" spans="2:16" x14ac:dyDescent="0.25">
      <c r="B5182" s="23"/>
      <c r="E5182" s="23"/>
      <c r="G5182" s="23"/>
      <c r="H5182" s="23"/>
      <c r="J5182" s="23"/>
      <c r="K5182" s="23"/>
      <c r="M5182" s="23"/>
      <c r="N5182" s="23"/>
      <c r="P5182" s="23"/>
    </row>
    <row r="5183" spans="2:16" x14ac:dyDescent="0.25">
      <c r="B5183" s="23"/>
      <c r="E5183" s="23"/>
      <c r="G5183" s="23"/>
      <c r="H5183" s="23"/>
      <c r="J5183" s="23"/>
      <c r="K5183" s="23"/>
      <c r="M5183" s="23"/>
      <c r="N5183" s="23"/>
      <c r="P5183" s="23"/>
    </row>
    <row r="5184" spans="2:16" x14ac:dyDescent="0.25">
      <c r="B5184" s="23"/>
      <c r="E5184" s="23"/>
      <c r="G5184" s="23"/>
      <c r="H5184" s="23"/>
      <c r="J5184" s="23"/>
      <c r="K5184" s="23"/>
      <c r="M5184" s="23"/>
      <c r="N5184" s="23"/>
      <c r="P5184" s="23"/>
    </row>
    <row r="5185" spans="2:16" x14ac:dyDescent="0.25">
      <c r="B5185" s="23"/>
      <c r="E5185" s="23"/>
      <c r="G5185" s="23"/>
      <c r="H5185" s="23"/>
      <c r="J5185" s="23"/>
      <c r="K5185" s="23"/>
      <c r="M5185" s="23"/>
      <c r="N5185" s="23"/>
      <c r="P5185" s="23"/>
    </row>
    <row r="5186" spans="2:16" x14ac:dyDescent="0.25">
      <c r="B5186" s="23"/>
      <c r="E5186" s="23"/>
      <c r="G5186" s="23"/>
      <c r="H5186" s="23"/>
      <c r="J5186" s="23"/>
      <c r="K5186" s="23"/>
      <c r="M5186" s="23"/>
      <c r="N5186" s="23"/>
      <c r="P5186" s="23"/>
    </row>
    <row r="5187" spans="2:16" x14ac:dyDescent="0.25">
      <c r="B5187" s="23"/>
      <c r="E5187" s="23"/>
      <c r="G5187" s="23"/>
      <c r="H5187" s="23"/>
      <c r="J5187" s="23"/>
      <c r="K5187" s="23"/>
      <c r="M5187" s="23"/>
      <c r="N5187" s="23"/>
      <c r="P5187" s="23"/>
    </row>
    <row r="5188" spans="2:16" x14ac:dyDescent="0.25">
      <c r="B5188" s="23"/>
      <c r="E5188" s="23"/>
      <c r="G5188" s="23"/>
      <c r="H5188" s="23"/>
      <c r="J5188" s="23"/>
      <c r="K5188" s="23"/>
      <c r="M5188" s="23"/>
      <c r="N5188" s="23"/>
      <c r="P5188" s="23"/>
    </row>
    <row r="5189" spans="2:16" x14ac:dyDescent="0.25">
      <c r="B5189" s="23"/>
      <c r="E5189" s="23"/>
      <c r="G5189" s="23"/>
      <c r="H5189" s="23"/>
      <c r="J5189" s="23"/>
      <c r="K5189" s="23"/>
      <c r="M5189" s="23"/>
      <c r="N5189" s="23"/>
      <c r="P5189" s="23"/>
    </row>
    <row r="5190" spans="2:16" x14ac:dyDescent="0.25">
      <c r="B5190" s="23"/>
      <c r="E5190" s="23"/>
      <c r="G5190" s="23"/>
      <c r="H5190" s="23"/>
      <c r="J5190" s="23"/>
      <c r="K5190" s="23"/>
      <c r="M5190" s="23"/>
      <c r="N5190" s="23"/>
      <c r="P5190" s="23"/>
    </row>
    <row r="5191" spans="2:16" x14ac:dyDescent="0.25">
      <c r="B5191" s="23"/>
      <c r="E5191" s="23"/>
      <c r="G5191" s="23"/>
      <c r="H5191" s="23"/>
      <c r="J5191" s="23"/>
      <c r="K5191" s="23"/>
      <c r="M5191" s="23"/>
      <c r="N5191" s="23"/>
      <c r="P5191" s="23"/>
    </row>
    <row r="5192" spans="2:16" x14ac:dyDescent="0.25">
      <c r="B5192" s="23"/>
      <c r="E5192" s="23"/>
      <c r="G5192" s="23"/>
      <c r="H5192" s="23"/>
      <c r="J5192" s="23"/>
      <c r="K5192" s="23"/>
      <c r="M5192" s="23"/>
      <c r="N5192" s="23"/>
      <c r="P5192" s="23"/>
    </row>
    <row r="5193" spans="2:16" x14ac:dyDescent="0.25">
      <c r="B5193" s="23"/>
      <c r="E5193" s="23"/>
      <c r="G5193" s="23"/>
      <c r="H5193" s="23"/>
      <c r="J5193" s="23"/>
      <c r="K5193" s="23"/>
      <c r="M5193" s="23"/>
      <c r="N5193" s="23"/>
      <c r="P5193" s="23"/>
    </row>
    <row r="5194" spans="2:16" x14ac:dyDescent="0.25">
      <c r="B5194" s="23"/>
      <c r="E5194" s="23"/>
      <c r="G5194" s="23"/>
      <c r="H5194" s="23"/>
      <c r="J5194" s="23"/>
      <c r="K5194" s="23"/>
      <c r="M5194" s="23"/>
      <c r="N5194" s="23"/>
      <c r="P5194" s="23"/>
    </row>
    <row r="5195" spans="2:16" x14ac:dyDescent="0.25">
      <c r="B5195" s="23"/>
      <c r="E5195" s="23"/>
      <c r="G5195" s="23"/>
      <c r="H5195" s="23"/>
      <c r="J5195" s="23"/>
      <c r="K5195" s="23"/>
      <c r="M5195" s="23"/>
      <c r="N5195" s="23"/>
      <c r="P5195" s="23"/>
    </row>
    <row r="5196" spans="2:16" x14ac:dyDescent="0.25">
      <c r="B5196" s="23"/>
      <c r="E5196" s="23"/>
      <c r="G5196" s="23"/>
      <c r="H5196" s="23"/>
      <c r="J5196" s="23"/>
      <c r="K5196" s="23"/>
      <c r="M5196" s="23"/>
      <c r="N5196" s="23"/>
      <c r="P5196" s="23"/>
    </row>
    <row r="5197" spans="2:16" x14ac:dyDescent="0.25">
      <c r="B5197" s="23"/>
      <c r="E5197" s="23"/>
      <c r="G5197" s="23"/>
      <c r="H5197" s="23"/>
      <c r="J5197" s="23"/>
      <c r="K5197" s="23"/>
      <c r="M5197" s="23"/>
      <c r="N5197" s="23"/>
      <c r="P5197" s="23"/>
    </row>
    <row r="5198" spans="2:16" x14ac:dyDescent="0.25">
      <c r="B5198" s="23"/>
      <c r="E5198" s="23"/>
      <c r="G5198" s="23"/>
      <c r="H5198" s="23"/>
      <c r="J5198" s="23"/>
      <c r="K5198" s="23"/>
      <c r="M5198" s="23"/>
      <c r="N5198" s="23"/>
      <c r="P5198" s="23"/>
    </row>
    <row r="5199" spans="2:16" x14ac:dyDescent="0.25">
      <c r="B5199" s="23"/>
      <c r="E5199" s="23"/>
      <c r="G5199" s="23"/>
      <c r="H5199" s="23"/>
      <c r="J5199" s="23"/>
      <c r="K5199" s="23"/>
      <c r="M5199" s="23"/>
      <c r="N5199" s="23"/>
      <c r="P5199" s="23"/>
    </row>
    <row r="5200" spans="2:16" x14ac:dyDescent="0.25">
      <c r="B5200" s="23"/>
      <c r="E5200" s="23"/>
      <c r="G5200" s="23"/>
      <c r="H5200" s="23"/>
      <c r="J5200" s="23"/>
      <c r="K5200" s="23"/>
      <c r="M5200" s="23"/>
      <c r="N5200" s="23"/>
      <c r="P5200" s="23"/>
    </row>
    <row r="5201" spans="2:16" x14ac:dyDescent="0.25">
      <c r="B5201" s="23"/>
      <c r="E5201" s="23"/>
      <c r="G5201" s="23"/>
      <c r="H5201" s="23"/>
      <c r="J5201" s="23"/>
      <c r="K5201" s="23"/>
      <c r="M5201" s="23"/>
      <c r="N5201" s="23"/>
      <c r="P5201" s="23"/>
    </row>
    <row r="5202" spans="2:16" x14ac:dyDescent="0.25">
      <c r="B5202" s="23"/>
      <c r="E5202" s="23"/>
      <c r="G5202" s="23"/>
      <c r="H5202" s="23"/>
      <c r="J5202" s="23"/>
      <c r="K5202" s="23"/>
      <c r="M5202" s="23"/>
      <c r="N5202" s="23"/>
      <c r="P5202" s="23"/>
    </row>
    <row r="5203" spans="2:16" x14ac:dyDescent="0.25">
      <c r="B5203" s="23"/>
      <c r="E5203" s="23"/>
      <c r="G5203" s="23"/>
      <c r="H5203" s="23"/>
      <c r="J5203" s="23"/>
      <c r="K5203" s="23"/>
      <c r="M5203" s="23"/>
      <c r="N5203" s="23"/>
      <c r="P5203" s="23"/>
    </row>
    <row r="5204" spans="2:16" x14ac:dyDescent="0.25">
      <c r="B5204" s="23"/>
      <c r="E5204" s="23"/>
      <c r="G5204" s="23"/>
      <c r="H5204" s="23"/>
      <c r="J5204" s="23"/>
      <c r="K5204" s="23"/>
      <c r="M5204" s="23"/>
      <c r="N5204" s="23"/>
      <c r="P5204" s="23"/>
    </row>
    <row r="5205" spans="2:16" x14ac:dyDescent="0.25">
      <c r="B5205" s="23"/>
      <c r="E5205" s="23"/>
      <c r="G5205" s="23"/>
      <c r="H5205" s="23"/>
      <c r="J5205" s="23"/>
      <c r="K5205" s="23"/>
      <c r="M5205" s="23"/>
      <c r="N5205" s="23"/>
      <c r="P5205" s="23"/>
    </row>
    <row r="5206" spans="2:16" x14ac:dyDescent="0.25">
      <c r="B5206" s="23"/>
      <c r="E5206" s="23"/>
      <c r="G5206" s="23"/>
      <c r="H5206" s="23"/>
      <c r="J5206" s="23"/>
      <c r="K5206" s="23"/>
      <c r="M5206" s="23"/>
      <c r="N5206" s="23"/>
      <c r="P5206" s="23"/>
    </row>
    <row r="5207" spans="2:16" x14ac:dyDescent="0.25">
      <c r="B5207" s="23"/>
      <c r="E5207" s="23"/>
      <c r="G5207" s="23"/>
      <c r="H5207" s="23"/>
      <c r="J5207" s="23"/>
      <c r="K5207" s="23"/>
      <c r="M5207" s="23"/>
      <c r="N5207" s="23"/>
      <c r="P5207" s="23"/>
    </row>
    <row r="5208" spans="2:16" x14ac:dyDescent="0.25">
      <c r="B5208" s="23"/>
      <c r="E5208" s="23"/>
      <c r="G5208" s="23"/>
      <c r="H5208" s="23"/>
      <c r="J5208" s="23"/>
      <c r="K5208" s="23"/>
      <c r="M5208" s="23"/>
      <c r="N5208" s="23"/>
      <c r="P5208" s="23"/>
    </row>
    <row r="5209" spans="2:16" x14ac:dyDescent="0.25">
      <c r="B5209" s="23"/>
      <c r="E5209" s="23"/>
      <c r="G5209" s="23"/>
      <c r="H5209" s="23"/>
      <c r="J5209" s="23"/>
      <c r="K5209" s="23"/>
      <c r="M5209" s="23"/>
      <c r="N5209" s="23"/>
      <c r="P5209" s="23"/>
    </row>
    <row r="5210" spans="2:16" x14ac:dyDescent="0.25">
      <c r="B5210" s="23"/>
      <c r="E5210" s="23"/>
      <c r="G5210" s="23"/>
      <c r="H5210" s="23"/>
      <c r="J5210" s="23"/>
      <c r="K5210" s="23"/>
      <c r="M5210" s="23"/>
      <c r="N5210" s="23"/>
      <c r="P5210" s="23"/>
    </row>
    <row r="5211" spans="2:16" x14ac:dyDescent="0.25">
      <c r="B5211" s="23"/>
      <c r="E5211" s="23"/>
      <c r="G5211" s="23"/>
      <c r="H5211" s="23"/>
      <c r="J5211" s="23"/>
      <c r="K5211" s="23"/>
      <c r="M5211" s="23"/>
      <c r="N5211" s="23"/>
      <c r="P5211" s="23"/>
    </row>
    <row r="5212" spans="2:16" x14ac:dyDescent="0.25">
      <c r="B5212" s="23"/>
      <c r="E5212" s="23"/>
      <c r="G5212" s="23"/>
      <c r="H5212" s="23"/>
      <c r="J5212" s="23"/>
      <c r="K5212" s="23"/>
      <c r="M5212" s="23"/>
      <c r="N5212" s="23"/>
      <c r="P5212" s="23"/>
    </row>
    <row r="5213" spans="2:16" x14ac:dyDescent="0.25">
      <c r="B5213" s="23"/>
      <c r="E5213" s="23"/>
      <c r="G5213" s="23"/>
      <c r="H5213" s="23"/>
      <c r="J5213" s="23"/>
      <c r="K5213" s="23"/>
      <c r="M5213" s="23"/>
      <c r="N5213" s="23"/>
      <c r="P5213" s="23"/>
    </row>
    <row r="5214" spans="2:16" x14ac:dyDescent="0.25">
      <c r="B5214" s="23"/>
      <c r="E5214" s="23"/>
      <c r="G5214" s="23"/>
      <c r="H5214" s="23"/>
      <c r="J5214" s="23"/>
      <c r="K5214" s="23"/>
      <c r="M5214" s="23"/>
      <c r="N5214" s="23"/>
      <c r="P5214" s="23"/>
    </row>
    <row r="5215" spans="2:16" x14ac:dyDescent="0.25">
      <c r="B5215" s="23"/>
      <c r="E5215" s="23"/>
      <c r="G5215" s="23"/>
      <c r="H5215" s="23"/>
      <c r="J5215" s="23"/>
      <c r="K5215" s="23"/>
      <c r="M5215" s="23"/>
      <c r="N5215" s="23"/>
      <c r="P5215" s="23"/>
    </row>
    <row r="5216" spans="2:16" x14ac:dyDescent="0.25">
      <c r="B5216" s="23"/>
      <c r="E5216" s="23"/>
      <c r="G5216" s="23"/>
      <c r="H5216" s="23"/>
      <c r="J5216" s="23"/>
      <c r="K5216" s="23"/>
      <c r="M5216" s="23"/>
      <c r="N5216" s="23"/>
      <c r="P5216" s="23"/>
    </row>
    <row r="5217" spans="2:16" x14ac:dyDescent="0.25">
      <c r="B5217" s="23"/>
      <c r="E5217" s="23"/>
      <c r="G5217" s="23"/>
      <c r="H5217" s="23"/>
      <c r="J5217" s="23"/>
      <c r="K5217" s="23"/>
      <c r="M5217" s="23"/>
      <c r="N5217" s="23"/>
      <c r="P5217" s="23"/>
    </row>
    <row r="5218" spans="2:16" x14ac:dyDescent="0.25">
      <c r="B5218" s="23"/>
      <c r="E5218" s="23"/>
      <c r="G5218" s="23"/>
      <c r="H5218" s="23"/>
      <c r="J5218" s="23"/>
      <c r="K5218" s="23"/>
      <c r="M5218" s="23"/>
      <c r="N5218" s="23"/>
      <c r="P5218" s="23"/>
    </row>
    <row r="5219" spans="2:16" x14ac:dyDescent="0.25">
      <c r="B5219" s="23"/>
      <c r="E5219" s="23"/>
      <c r="G5219" s="23"/>
      <c r="H5219" s="23"/>
      <c r="J5219" s="23"/>
      <c r="K5219" s="23"/>
      <c r="M5219" s="23"/>
      <c r="N5219" s="23"/>
      <c r="P5219" s="23"/>
    </row>
    <row r="5220" spans="2:16" x14ac:dyDescent="0.25">
      <c r="B5220" s="23"/>
      <c r="E5220" s="23"/>
      <c r="G5220" s="23"/>
      <c r="H5220" s="23"/>
      <c r="J5220" s="23"/>
      <c r="K5220" s="23"/>
      <c r="M5220" s="23"/>
      <c r="N5220" s="23"/>
      <c r="P5220" s="23"/>
    </row>
    <row r="5221" spans="2:16" x14ac:dyDescent="0.25">
      <c r="B5221" s="23"/>
      <c r="E5221" s="23"/>
      <c r="G5221" s="23"/>
      <c r="H5221" s="23"/>
      <c r="J5221" s="23"/>
      <c r="K5221" s="23"/>
      <c r="M5221" s="23"/>
      <c r="N5221" s="23"/>
      <c r="P5221" s="23"/>
    </row>
    <row r="5222" spans="2:16" x14ac:dyDescent="0.25">
      <c r="B5222" s="23"/>
      <c r="E5222" s="23"/>
      <c r="G5222" s="23"/>
      <c r="H5222" s="23"/>
      <c r="J5222" s="23"/>
      <c r="K5222" s="23"/>
      <c r="M5222" s="23"/>
      <c r="N5222" s="23"/>
      <c r="P5222" s="23"/>
    </row>
    <row r="5223" spans="2:16" x14ac:dyDescent="0.25">
      <c r="B5223" s="23"/>
      <c r="E5223" s="23"/>
      <c r="G5223" s="23"/>
      <c r="H5223" s="23"/>
      <c r="J5223" s="23"/>
      <c r="K5223" s="23"/>
      <c r="M5223" s="23"/>
      <c r="N5223" s="23"/>
      <c r="P5223" s="23"/>
    </row>
    <row r="5224" spans="2:16" x14ac:dyDescent="0.25">
      <c r="B5224" s="23"/>
      <c r="E5224" s="23"/>
      <c r="G5224" s="23"/>
      <c r="H5224" s="23"/>
      <c r="J5224" s="23"/>
      <c r="K5224" s="23"/>
      <c r="M5224" s="23"/>
      <c r="N5224" s="23"/>
      <c r="P5224" s="23"/>
    </row>
    <row r="5225" spans="2:16" x14ac:dyDescent="0.25">
      <c r="B5225" s="23"/>
      <c r="E5225" s="23"/>
      <c r="G5225" s="23"/>
      <c r="H5225" s="23"/>
      <c r="J5225" s="23"/>
      <c r="K5225" s="23"/>
      <c r="M5225" s="23"/>
      <c r="N5225" s="23"/>
      <c r="P5225" s="23"/>
    </row>
    <row r="5226" spans="2:16" x14ac:dyDescent="0.25">
      <c r="B5226" s="23"/>
      <c r="E5226" s="23"/>
      <c r="G5226" s="23"/>
      <c r="H5226" s="23"/>
      <c r="J5226" s="23"/>
      <c r="K5226" s="23"/>
      <c r="M5226" s="23"/>
      <c r="N5226" s="23"/>
      <c r="P5226" s="23"/>
    </row>
    <row r="5227" spans="2:16" x14ac:dyDescent="0.25">
      <c r="B5227" s="23"/>
      <c r="E5227" s="23"/>
      <c r="G5227" s="23"/>
      <c r="H5227" s="23"/>
      <c r="J5227" s="23"/>
      <c r="K5227" s="23"/>
      <c r="M5227" s="23"/>
      <c r="N5227" s="23"/>
      <c r="P5227" s="23"/>
    </row>
    <row r="5228" spans="2:16" x14ac:dyDescent="0.25">
      <c r="B5228" s="23"/>
      <c r="E5228" s="23"/>
      <c r="G5228" s="23"/>
      <c r="H5228" s="23"/>
      <c r="J5228" s="23"/>
      <c r="K5228" s="23"/>
      <c r="M5228" s="23"/>
      <c r="N5228" s="23"/>
      <c r="P5228" s="23"/>
    </row>
    <row r="5229" spans="2:16" x14ac:dyDescent="0.25">
      <c r="B5229" s="23"/>
      <c r="E5229" s="23"/>
      <c r="G5229" s="23"/>
      <c r="H5229" s="23"/>
      <c r="J5229" s="23"/>
      <c r="K5229" s="23"/>
      <c r="M5229" s="23"/>
      <c r="N5229" s="23"/>
      <c r="P5229" s="23"/>
    </row>
    <row r="5230" spans="2:16" x14ac:dyDescent="0.25">
      <c r="B5230" s="23"/>
      <c r="E5230" s="23"/>
      <c r="G5230" s="23"/>
      <c r="H5230" s="23"/>
      <c r="J5230" s="23"/>
      <c r="K5230" s="23"/>
      <c r="M5230" s="23"/>
      <c r="N5230" s="23"/>
      <c r="P5230" s="23"/>
    </row>
    <row r="5231" spans="2:16" x14ac:dyDescent="0.25">
      <c r="B5231" s="23"/>
      <c r="E5231" s="23"/>
      <c r="G5231" s="23"/>
      <c r="H5231" s="23"/>
      <c r="J5231" s="23"/>
      <c r="K5231" s="23"/>
      <c r="M5231" s="23"/>
      <c r="N5231" s="23"/>
      <c r="P5231" s="23"/>
    </row>
    <row r="5232" spans="2:16" x14ac:dyDescent="0.25">
      <c r="B5232" s="23"/>
      <c r="E5232" s="23"/>
      <c r="G5232" s="23"/>
      <c r="H5232" s="23"/>
      <c r="J5232" s="23"/>
      <c r="K5232" s="23"/>
      <c r="M5232" s="23"/>
      <c r="N5232" s="23"/>
      <c r="P5232" s="23"/>
    </row>
    <row r="5233" spans="2:16" x14ac:dyDescent="0.25">
      <c r="B5233" s="23"/>
      <c r="E5233" s="23"/>
      <c r="G5233" s="23"/>
      <c r="H5233" s="23"/>
      <c r="J5233" s="23"/>
      <c r="K5233" s="23"/>
      <c r="M5233" s="23"/>
      <c r="N5233" s="23"/>
      <c r="P5233" s="23"/>
    </row>
    <row r="5234" spans="2:16" x14ac:dyDescent="0.25">
      <c r="B5234" s="23"/>
      <c r="E5234" s="23"/>
      <c r="G5234" s="23"/>
      <c r="H5234" s="23"/>
      <c r="J5234" s="23"/>
      <c r="K5234" s="23"/>
      <c r="M5234" s="23"/>
      <c r="N5234" s="23"/>
      <c r="P5234" s="23"/>
    </row>
    <row r="5235" spans="2:16" x14ac:dyDescent="0.25">
      <c r="B5235" s="23"/>
      <c r="E5235" s="23"/>
      <c r="G5235" s="23"/>
      <c r="H5235" s="23"/>
      <c r="J5235" s="23"/>
      <c r="K5235" s="23"/>
      <c r="M5235" s="23"/>
      <c r="N5235" s="23"/>
      <c r="P5235" s="23"/>
    </row>
    <row r="5236" spans="2:16" x14ac:dyDescent="0.25">
      <c r="B5236" s="23"/>
      <c r="E5236" s="23"/>
      <c r="G5236" s="23"/>
      <c r="H5236" s="23"/>
      <c r="J5236" s="23"/>
      <c r="K5236" s="23"/>
      <c r="M5236" s="23"/>
      <c r="N5236" s="23"/>
      <c r="P5236" s="23"/>
    </row>
    <row r="5237" spans="2:16" x14ac:dyDescent="0.25">
      <c r="B5237" s="23"/>
      <c r="E5237" s="23"/>
      <c r="G5237" s="23"/>
      <c r="H5237" s="23"/>
      <c r="J5237" s="23"/>
      <c r="K5237" s="23"/>
      <c r="M5237" s="23"/>
      <c r="N5237" s="23"/>
      <c r="P5237" s="23"/>
    </row>
    <row r="5238" spans="2:16" x14ac:dyDescent="0.25">
      <c r="B5238" s="23"/>
      <c r="E5238" s="23"/>
      <c r="G5238" s="23"/>
      <c r="H5238" s="23"/>
      <c r="J5238" s="23"/>
      <c r="K5238" s="23"/>
      <c r="M5238" s="23"/>
      <c r="N5238" s="23"/>
      <c r="P5238" s="23"/>
    </row>
    <row r="5239" spans="2:16" x14ac:dyDescent="0.25">
      <c r="B5239" s="23"/>
      <c r="E5239" s="23"/>
      <c r="G5239" s="23"/>
      <c r="H5239" s="23"/>
      <c r="J5239" s="23"/>
      <c r="K5239" s="23"/>
      <c r="M5239" s="23"/>
      <c r="N5239" s="23"/>
      <c r="P5239" s="23"/>
    </row>
    <row r="5240" spans="2:16" x14ac:dyDescent="0.25">
      <c r="B5240" s="23"/>
      <c r="E5240" s="23"/>
      <c r="G5240" s="23"/>
      <c r="H5240" s="23"/>
      <c r="J5240" s="23"/>
      <c r="K5240" s="23"/>
      <c r="M5240" s="23"/>
      <c r="N5240" s="23"/>
      <c r="P5240" s="23"/>
    </row>
    <row r="5241" spans="2:16" x14ac:dyDescent="0.25">
      <c r="B5241" s="23"/>
      <c r="E5241" s="23"/>
      <c r="G5241" s="23"/>
      <c r="H5241" s="23"/>
      <c r="J5241" s="23"/>
      <c r="K5241" s="23"/>
      <c r="M5241" s="23"/>
      <c r="N5241" s="23"/>
      <c r="P5241" s="23"/>
    </row>
    <row r="5242" spans="2:16" x14ac:dyDescent="0.25">
      <c r="B5242" s="23"/>
      <c r="E5242" s="23"/>
      <c r="G5242" s="23"/>
      <c r="H5242" s="23"/>
      <c r="J5242" s="23"/>
      <c r="K5242" s="23"/>
      <c r="M5242" s="23"/>
      <c r="N5242" s="23"/>
      <c r="P5242" s="23"/>
    </row>
    <row r="5243" spans="2:16" x14ac:dyDescent="0.25">
      <c r="B5243" s="23"/>
      <c r="E5243" s="23"/>
      <c r="G5243" s="23"/>
      <c r="H5243" s="23"/>
      <c r="J5243" s="23"/>
      <c r="K5243" s="23"/>
      <c r="M5243" s="23"/>
      <c r="N5243" s="23"/>
      <c r="P5243" s="23"/>
    </row>
    <row r="5244" spans="2:16" x14ac:dyDescent="0.25">
      <c r="B5244" s="23"/>
      <c r="E5244" s="23"/>
      <c r="G5244" s="23"/>
      <c r="H5244" s="23"/>
      <c r="J5244" s="23"/>
      <c r="K5244" s="23"/>
      <c r="M5244" s="23"/>
      <c r="N5244" s="23"/>
      <c r="P5244" s="23"/>
    </row>
    <row r="5245" spans="2:16" x14ac:dyDescent="0.25">
      <c r="B5245" s="23"/>
      <c r="E5245" s="23"/>
      <c r="G5245" s="23"/>
      <c r="H5245" s="23"/>
      <c r="J5245" s="23"/>
      <c r="K5245" s="23"/>
      <c r="M5245" s="23"/>
      <c r="N5245" s="23"/>
      <c r="P5245" s="23"/>
    </row>
    <row r="5246" spans="2:16" x14ac:dyDescent="0.25">
      <c r="B5246" s="23"/>
      <c r="E5246" s="23"/>
      <c r="G5246" s="23"/>
      <c r="H5246" s="23"/>
      <c r="J5246" s="23"/>
      <c r="K5246" s="23"/>
      <c r="M5246" s="23"/>
      <c r="N5246" s="23"/>
      <c r="P5246" s="23"/>
    </row>
    <row r="5247" spans="2:16" x14ac:dyDescent="0.25">
      <c r="B5247" s="23"/>
      <c r="E5247" s="23"/>
      <c r="G5247" s="23"/>
      <c r="H5247" s="23"/>
      <c r="J5247" s="23"/>
      <c r="K5247" s="23"/>
      <c r="M5247" s="23"/>
      <c r="N5247" s="23"/>
      <c r="P5247" s="23"/>
    </row>
    <row r="5248" spans="2:16" x14ac:dyDescent="0.25">
      <c r="B5248" s="23"/>
      <c r="E5248" s="23"/>
      <c r="G5248" s="23"/>
      <c r="H5248" s="23"/>
      <c r="J5248" s="23"/>
      <c r="K5248" s="23"/>
      <c r="M5248" s="23"/>
      <c r="N5248" s="23"/>
      <c r="P5248" s="23"/>
    </row>
    <row r="5249" spans="2:16" x14ac:dyDescent="0.25">
      <c r="B5249" s="23"/>
      <c r="E5249" s="23"/>
      <c r="G5249" s="23"/>
      <c r="H5249" s="23"/>
      <c r="J5249" s="23"/>
      <c r="K5249" s="23"/>
      <c r="M5249" s="23"/>
      <c r="N5249" s="23"/>
      <c r="P5249" s="23"/>
    </row>
    <row r="5250" spans="2:16" x14ac:dyDescent="0.25">
      <c r="B5250" s="23"/>
      <c r="E5250" s="23"/>
      <c r="G5250" s="23"/>
      <c r="H5250" s="23"/>
      <c r="J5250" s="23"/>
      <c r="K5250" s="23"/>
      <c r="M5250" s="23"/>
      <c r="N5250" s="23"/>
      <c r="P5250" s="23"/>
    </row>
    <row r="5251" spans="2:16" x14ac:dyDescent="0.25">
      <c r="B5251" s="23"/>
      <c r="E5251" s="23"/>
      <c r="G5251" s="23"/>
      <c r="H5251" s="23"/>
      <c r="J5251" s="23"/>
      <c r="K5251" s="23"/>
      <c r="M5251" s="23"/>
      <c r="N5251" s="23"/>
      <c r="P5251" s="23"/>
    </row>
    <row r="5252" spans="2:16" x14ac:dyDescent="0.25">
      <c r="B5252" s="23"/>
      <c r="E5252" s="23"/>
      <c r="G5252" s="23"/>
      <c r="H5252" s="23"/>
      <c r="J5252" s="23"/>
      <c r="K5252" s="23"/>
      <c r="M5252" s="23"/>
      <c r="N5252" s="23"/>
      <c r="P5252" s="23"/>
    </row>
    <row r="5253" spans="2:16" x14ac:dyDescent="0.25">
      <c r="B5253" s="23"/>
      <c r="E5253" s="23"/>
      <c r="G5253" s="23"/>
      <c r="H5253" s="23"/>
      <c r="J5253" s="23"/>
      <c r="K5253" s="23"/>
      <c r="M5253" s="23"/>
      <c r="N5253" s="23"/>
      <c r="P5253" s="23"/>
    </row>
    <row r="5254" spans="2:16" x14ac:dyDescent="0.25">
      <c r="B5254" s="23"/>
      <c r="E5254" s="23"/>
      <c r="G5254" s="23"/>
      <c r="H5254" s="23"/>
      <c r="J5254" s="23"/>
      <c r="K5254" s="23"/>
      <c r="M5254" s="23"/>
      <c r="N5254" s="23"/>
      <c r="P5254" s="23"/>
    </row>
    <row r="5255" spans="2:16" x14ac:dyDescent="0.25">
      <c r="B5255" s="23"/>
      <c r="E5255" s="23"/>
      <c r="G5255" s="23"/>
      <c r="H5255" s="23"/>
      <c r="J5255" s="23"/>
      <c r="K5255" s="23"/>
      <c r="M5255" s="23"/>
      <c r="N5255" s="23"/>
      <c r="P5255" s="23"/>
    </row>
    <row r="5256" spans="2:16" x14ac:dyDescent="0.25">
      <c r="B5256" s="23"/>
      <c r="E5256" s="23"/>
      <c r="G5256" s="23"/>
      <c r="H5256" s="23"/>
      <c r="J5256" s="23"/>
      <c r="K5256" s="23"/>
      <c r="M5256" s="23"/>
      <c r="N5256" s="23"/>
      <c r="P5256" s="23"/>
    </row>
    <row r="5257" spans="2:16" x14ac:dyDescent="0.25">
      <c r="B5257" s="23"/>
      <c r="E5257" s="23"/>
      <c r="G5257" s="23"/>
      <c r="H5257" s="23"/>
      <c r="J5257" s="23"/>
      <c r="K5257" s="23"/>
      <c r="M5257" s="23"/>
      <c r="N5257" s="23"/>
      <c r="P5257" s="23"/>
    </row>
    <row r="5258" spans="2:16" x14ac:dyDescent="0.25">
      <c r="B5258" s="23"/>
      <c r="E5258" s="23"/>
      <c r="G5258" s="23"/>
      <c r="H5258" s="23"/>
      <c r="J5258" s="23"/>
      <c r="K5258" s="23"/>
      <c r="M5258" s="23"/>
      <c r="N5258" s="23"/>
      <c r="P5258" s="23"/>
    </row>
    <row r="5259" spans="2:16" x14ac:dyDescent="0.25">
      <c r="B5259" s="23"/>
      <c r="E5259" s="23"/>
      <c r="G5259" s="23"/>
      <c r="H5259" s="23"/>
      <c r="J5259" s="23"/>
      <c r="K5259" s="23"/>
      <c r="M5259" s="23"/>
      <c r="N5259" s="23"/>
      <c r="P5259" s="23"/>
    </row>
    <row r="5260" spans="2:16" x14ac:dyDescent="0.25">
      <c r="B5260" s="23"/>
      <c r="E5260" s="23"/>
      <c r="G5260" s="23"/>
      <c r="H5260" s="23"/>
      <c r="J5260" s="23"/>
      <c r="K5260" s="23"/>
      <c r="M5260" s="23"/>
      <c r="N5260" s="23"/>
      <c r="P5260" s="23"/>
    </row>
    <row r="5261" spans="2:16" x14ac:dyDescent="0.25">
      <c r="B5261" s="23"/>
      <c r="E5261" s="23"/>
      <c r="G5261" s="23"/>
      <c r="H5261" s="23"/>
      <c r="J5261" s="23"/>
      <c r="K5261" s="23"/>
      <c r="M5261" s="23"/>
      <c r="N5261" s="23"/>
      <c r="P5261" s="23"/>
    </row>
    <row r="5262" spans="2:16" x14ac:dyDescent="0.25">
      <c r="B5262" s="23"/>
      <c r="E5262" s="23"/>
      <c r="G5262" s="23"/>
      <c r="H5262" s="23"/>
      <c r="J5262" s="23"/>
      <c r="K5262" s="23"/>
      <c r="M5262" s="23"/>
      <c r="N5262" s="23"/>
      <c r="P5262" s="23"/>
    </row>
    <row r="5263" spans="2:16" x14ac:dyDescent="0.25">
      <c r="B5263" s="23"/>
      <c r="E5263" s="23"/>
      <c r="G5263" s="23"/>
      <c r="H5263" s="23"/>
      <c r="J5263" s="23"/>
      <c r="K5263" s="23"/>
      <c r="M5263" s="23"/>
      <c r="N5263" s="23"/>
      <c r="P5263" s="23"/>
    </row>
    <row r="5264" spans="2:16" x14ac:dyDescent="0.25">
      <c r="B5264" s="23"/>
      <c r="E5264" s="23"/>
      <c r="G5264" s="23"/>
      <c r="H5264" s="23"/>
      <c r="J5264" s="23"/>
      <c r="K5264" s="23"/>
      <c r="M5264" s="23"/>
      <c r="N5264" s="23"/>
      <c r="P5264" s="23"/>
    </row>
    <row r="5265" spans="2:16" x14ac:dyDescent="0.25">
      <c r="B5265" s="23"/>
      <c r="E5265" s="23"/>
      <c r="G5265" s="23"/>
      <c r="H5265" s="23"/>
      <c r="J5265" s="23"/>
      <c r="K5265" s="23"/>
      <c r="M5265" s="23"/>
      <c r="N5265" s="23"/>
      <c r="P5265" s="23"/>
    </row>
    <row r="5266" spans="2:16" x14ac:dyDescent="0.25">
      <c r="B5266" s="23"/>
      <c r="E5266" s="23"/>
      <c r="G5266" s="23"/>
      <c r="H5266" s="23"/>
      <c r="J5266" s="23"/>
      <c r="K5266" s="23"/>
      <c r="M5266" s="23"/>
      <c r="N5266" s="23"/>
      <c r="P5266" s="23"/>
    </row>
    <row r="5267" spans="2:16" x14ac:dyDescent="0.25">
      <c r="B5267" s="23"/>
      <c r="E5267" s="23"/>
      <c r="G5267" s="23"/>
      <c r="H5267" s="23"/>
      <c r="J5267" s="23"/>
      <c r="K5267" s="23"/>
      <c r="M5267" s="23"/>
      <c r="N5267" s="23"/>
      <c r="P5267" s="23"/>
    </row>
    <row r="5268" spans="2:16" x14ac:dyDescent="0.25">
      <c r="B5268" s="23"/>
      <c r="E5268" s="23"/>
      <c r="G5268" s="23"/>
      <c r="H5268" s="23"/>
      <c r="J5268" s="23"/>
      <c r="K5268" s="23"/>
      <c r="M5268" s="23"/>
      <c r="N5268" s="23"/>
      <c r="P5268" s="23"/>
    </row>
    <row r="5269" spans="2:16" x14ac:dyDescent="0.25">
      <c r="B5269" s="23"/>
      <c r="E5269" s="23"/>
      <c r="G5269" s="23"/>
      <c r="H5269" s="23"/>
      <c r="J5269" s="23"/>
      <c r="K5269" s="23"/>
      <c r="M5269" s="23"/>
      <c r="N5269" s="23"/>
      <c r="P5269" s="23"/>
    </row>
    <row r="5270" spans="2:16" x14ac:dyDescent="0.25">
      <c r="B5270" s="23"/>
      <c r="E5270" s="23"/>
      <c r="G5270" s="23"/>
      <c r="H5270" s="23"/>
      <c r="J5270" s="23"/>
      <c r="K5270" s="23"/>
      <c r="M5270" s="23"/>
      <c r="N5270" s="23"/>
      <c r="P5270" s="23"/>
    </row>
    <row r="5271" spans="2:16" x14ac:dyDescent="0.25">
      <c r="B5271" s="23"/>
      <c r="E5271" s="23"/>
      <c r="G5271" s="23"/>
      <c r="H5271" s="23"/>
      <c r="J5271" s="23"/>
      <c r="K5271" s="23"/>
      <c r="M5271" s="23"/>
      <c r="N5271" s="23"/>
      <c r="P5271" s="23"/>
    </row>
    <row r="5272" spans="2:16" x14ac:dyDescent="0.25">
      <c r="B5272" s="23"/>
      <c r="E5272" s="23"/>
      <c r="G5272" s="23"/>
      <c r="H5272" s="23"/>
      <c r="J5272" s="23"/>
      <c r="K5272" s="23"/>
      <c r="M5272" s="23"/>
      <c r="N5272" s="23"/>
      <c r="P5272" s="23"/>
    </row>
    <row r="5273" spans="2:16" x14ac:dyDescent="0.25">
      <c r="B5273" s="23"/>
      <c r="E5273" s="23"/>
      <c r="G5273" s="23"/>
      <c r="H5273" s="23"/>
      <c r="J5273" s="23"/>
      <c r="K5273" s="23"/>
      <c r="M5273" s="23"/>
      <c r="N5273" s="23"/>
      <c r="P5273" s="23"/>
    </row>
    <row r="5274" spans="2:16" x14ac:dyDescent="0.25">
      <c r="B5274" s="23"/>
      <c r="E5274" s="23"/>
      <c r="G5274" s="23"/>
      <c r="H5274" s="23"/>
      <c r="J5274" s="23"/>
      <c r="K5274" s="23"/>
      <c r="M5274" s="23"/>
      <c r="N5274" s="23"/>
      <c r="P5274" s="23"/>
    </row>
    <row r="5275" spans="2:16" x14ac:dyDescent="0.25">
      <c r="B5275" s="23"/>
      <c r="E5275" s="23"/>
      <c r="G5275" s="23"/>
      <c r="H5275" s="23"/>
      <c r="J5275" s="23"/>
      <c r="K5275" s="23"/>
      <c r="M5275" s="23"/>
      <c r="N5275" s="23"/>
      <c r="P5275" s="23"/>
    </row>
    <row r="5276" spans="2:16" x14ac:dyDescent="0.25">
      <c r="B5276" s="23"/>
      <c r="E5276" s="23"/>
      <c r="G5276" s="23"/>
      <c r="H5276" s="23"/>
      <c r="J5276" s="23"/>
      <c r="K5276" s="23"/>
      <c r="M5276" s="23"/>
      <c r="N5276" s="23"/>
      <c r="P5276" s="23"/>
    </row>
    <row r="5277" spans="2:16" x14ac:dyDescent="0.25">
      <c r="B5277" s="23"/>
      <c r="E5277" s="23"/>
      <c r="G5277" s="23"/>
      <c r="H5277" s="23"/>
      <c r="J5277" s="23"/>
      <c r="K5277" s="23"/>
      <c r="M5277" s="23"/>
      <c r="N5277" s="23"/>
      <c r="P5277" s="23"/>
    </row>
    <row r="5278" spans="2:16" x14ac:dyDescent="0.25">
      <c r="B5278" s="23"/>
      <c r="E5278" s="23"/>
      <c r="G5278" s="23"/>
      <c r="H5278" s="23"/>
      <c r="J5278" s="23"/>
      <c r="K5278" s="23"/>
      <c r="M5278" s="23"/>
      <c r="N5278" s="23"/>
      <c r="P5278" s="23"/>
    </row>
    <row r="5279" spans="2:16" x14ac:dyDescent="0.25">
      <c r="B5279" s="23"/>
      <c r="E5279" s="23"/>
      <c r="G5279" s="23"/>
      <c r="H5279" s="23"/>
      <c r="J5279" s="23"/>
      <c r="K5279" s="23"/>
      <c r="M5279" s="23"/>
      <c r="N5279" s="23"/>
      <c r="P5279" s="23"/>
    </row>
    <row r="5280" spans="2:16" x14ac:dyDescent="0.25">
      <c r="B5280" s="23"/>
      <c r="E5280" s="23"/>
      <c r="G5280" s="23"/>
      <c r="H5280" s="23"/>
      <c r="J5280" s="23"/>
      <c r="K5280" s="23"/>
      <c r="M5280" s="23"/>
      <c r="N5280" s="23"/>
      <c r="P5280" s="23"/>
    </row>
    <row r="5281" spans="2:16" x14ac:dyDescent="0.25">
      <c r="B5281" s="23"/>
      <c r="E5281" s="23"/>
      <c r="G5281" s="23"/>
      <c r="H5281" s="23"/>
      <c r="J5281" s="23"/>
      <c r="K5281" s="23"/>
      <c r="M5281" s="23"/>
      <c r="N5281" s="23"/>
      <c r="P5281" s="23"/>
    </row>
    <row r="5282" spans="2:16" x14ac:dyDescent="0.25">
      <c r="B5282" s="23"/>
      <c r="E5282" s="23"/>
      <c r="G5282" s="23"/>
      <c r="H5282" s="23"/>
      <c r="J5282" s="23"/>
      <c r="K5282" s="23"/>
      <c r="M5282" s="23"/>
      <c r="N5282" s="23"/>
      <c r="P5282" s="23"/>
    </row>
    <row r="5283" spans="2:16" x14ac:dyDescent="0.25">
      <c r="B5283" s="23"/>
      <c r="E5283" s="23"/>
      <c r="G5283" s="23"/>
      <c r="H5283" s="23"/>
      <c r="J5283" s="23"/>
      <c r="K5283" s="23"/>
      <c r="M5283" s="23"/>
      <c r="N5283" s="23"/>
      <c r="P5283" s="23"/>
    </row>
    <row r="5284" spans="2:16" x14ac:dyDescent="0.25">
      <c r="B5284" s="23"/>
      <c r="E5284" s="23"/>
      <c r="G5284" s="23"/>
      <c r="H5284" s="23"/>
      <c r="J5284" s="23"/>
      <c r="K5284" s="23"/>
      <c r="M5284" s="23"/>
      <c r="N5284" s="23"/>
      <c r="P5284" s="23"/>
    </row>
    <row r="5285" spans="2:16" x14ac:dyDescent="0.25">
      <c r="B5285" s="23"/>
      <c r="E5285" s="23"/>
      <c r="G5285" s="23"/>
      <c r="H5285" s="23"/>
      <c r="J5285" s="23"/>
      <c r="K5285" s="23"/>
      <c r="M5285" s="23"/>
      <c r="N5285" s="23"/>
      <c r="P5285" s="23"/>
    </row>
    <row r="5286" spans="2:16" x14ac:dyDescent="0.25">
      <c r="B5286" s="23"/>
      <c r="E5286" s="23"/>
      <c r="G5286" s="23"/>
      <c r="H5286" s="23"/>
      <c r="J5286" s="23"/>
      <c r="K5286" s="23"/>
      <c r="M5286" s="23"/>
      <c r="N5286" s="23"/>
      <c r="P5286" s="23"/>
    </row>
    <row r="5287" spans="2:16" x14ac:dyDescent="0.25">
      <c r="B5287" s="23"/>
      <c r="E5287" s="23"/>
      <c r="G5287" s="23"/>
      <c r="H5287" s="23"/>
      <c r="J5287" s="23"/>
      <c r="K5287" s="23"/>
      <c r="M5287" s="23"/>
      <c r="N5287" s="23"/>
      <c r="P5287" s="23"/>
    </row>
    <row r="5288" spans="2:16" x14ac:dyDescent="0.25">
      <c r="B5288" s="23"/>
      <c r="E5288" s="23"/>
      <c r="G5288" s="23"/>
      <c r="H5288" s="23"/>
      <c r="J5288" s="23"/>
      <c r="K5288" s="23"/>
      <c r="M5288" s="23"/>
      <c r="N5288" s="23"/>
      <c r="P5288" s="23"/>
    </row>
    <row r="5289" spans="2:16" x14ac:dyDescent="0.25">
      <c r="B5289" s="23"/>
      <c r="E5289" s="23"/>
      <c r="G5289" s="23"/>
      <c r="H5289" s="23"/>
      <c r="J5289" s="23"/>
      <c r="K5289" s="23"/>
      <c r="M5289" s="23"/>
      <c r="N5289" s="23"/>
      <c r="P5289" s="23"/>
    </row>
    <row r="5290" spans="2:16" x14ac:dyDescent="0.25">
      <c r="B5290" s="23"/>
      <c r="E5290" s="23"/>
      <c r="G5290" s="23"/>
      <c r="H5290" s="23"/>
      <c r="J5290" s="23"/>
      <c r="K5290" s="23"/>
      <c r="M5290" s="23"/>
      <c r="N5290" s="23"/>
      <c r="P5290" s="23"/>
    </row>
    <row r="5291" spans="2:16" x14ac:dyDescent="0.25">
      <c r="B5291" s="23"/>
      <c r="E5291" s="23"/>
      <c r="G5291" s="23"/>
      <c r="H5291" s="23"/>
      <c r="J5291" s="23"/>
      <c r="K5291" s="23"/>
      <c r="M5291" s="23"/>
      <c r="N5291" s="23"/>
      <c r="P5291" s="23"/>
    </row>
    <row r="5292" spans="2:16" x14ac:dyDescent="0.25">
      <c r="B5292" s="23"/>
      <c r="E5292" s="23"/>
      <c r="G5292" s="23"/>
      <c r="H5292" s="23"/>
      <c r="J5292" s="23"/>
      <c r="K5292" s="23"/>
      <c r="M5292" s="23"/>
      <c r="N5292" s="23"/>
      <c r="P5292" s="23"/>
    </row>
    <row r="5293" spans="2:16" x14ac:dyDescent="0.25">
      <c r="B5293" s="23"/>
      <c r="E5293" s="23"/>
      <c r="G5293" s="23"/>
      <c r="H5293" s="23"/>
      <c r="J5293" s="23"/>
      <c r="K5293" s="23"/>
      <c r="M5293" s="23"/>
      <c r="N5293" s="23"/>
      <c r="P5293" s="23"/>
    </row>
    <row r="5294" spans="2:16" x14ac:dyDescent="0.25">
      <c r="B5294" s="23"/>
      <c r="E5294" s="23"/>
      <c r="G5294" s="23"/>
      <c r="H5294" s="23"/>
      <c r="J5294" s="23"/>
      <c r="K5294" s="23"/>
      <c r="M5294" s="23"/>
      <c r="N5294" s="23"/>
      <c r="P5294" s="23"/>
    </row>
    <row r="5295" spans="2:16" x14ac:dyDescent="0.25">
      <c r="B5295" s="23"/>
      <c r="E5295" s="23"/>
      <c r="G5295" s="23"/>
      <c r="H5295" s="23"/>
      <c r="J5295" s="23"/>
      <c r="K5295" s="23"/>
      <c r="M5295" s="23"/>
      <c r="N5295" s="23"/>
      <c r="P5295" s="23"/>
    </row>
    <row r="5296" spans="2:16" x14ac:dyDescent="0.25">
      <c r="B5296" s="23"/>
      <c r="E5296" s="23"/>
      <c r="G5296" s="23"/>
      <c r="H5296" s="23"/>
      <c r="J5296" s="23"/>
      <c r="K5296" s="23"/>
      <c r="M5296" s="23"/>
      <c r="N5296" s="23"/>
      <c r="P5296" s="23"/>
    </row>
    <row r="5297" spans="2:16" x14ac:dyDescent="0.25">
      <c r="B5297" s="23"/>
      <c r="E5297" s="23"/>
      <c r="G5297" s="23"/>
      <c r="H5297" s="23"/>
      <c r="J5297" s="23"/>
      <c r="K5297" s="23"/>
      <c r="M5297" s="23"/>
      <c r="N5297" s="23"/>
      <c r="P5297" s="23"/>
    </row>
    <row r="5298" spans="2:16" x14ac:dyDescent="0.25">
      <c r="B5298" s="23"/>
      <c r="E5298" s="23"/>
      <c r="G5298" s="23"/>
      <c r="H5298" s="23"/>
      <c r="J5298" s="23"/>
      <c r="K5298" s="23"/>
      <c r="M5298" s="23"/>
      <c r="N5298" s="23"/>
      <c r="P5298" s="23"/>
    </row>
    <row r="5299" spans="2:16" x14ac:dyDescent="0.25">
      <c r="B5299" s="23"/>
      <c r="E5299" s="23"/>
      <c r="G5299" s="23"/>
      <c r="H5299" s="23"/>
      <c r="J5299" s="23"/>
      <c r="K5299" s="23"/>
      <c r="M5299" s="23"/>
      <c r="N5299" s="23"/>
      <c r="P5299" s="23"/>
    </row>
    <row r="5300" spans="2:16" x14ac:dyDescent="0.25">
      <c r="B5300" s="23"/>
      <c r="E5300" s="23"/>
      <c r="G5300" s="23"/>
      <c r="H5300" s="23"/>
      <c r="J5300" s="23"/>
      <c r="K5300" s="23"/>
      <c r="M5300" s="23"/>
      <c r="N5300" s="23"/>
      <c r="P5300" s="23"/>
    </row>
    <row r="5301" spans="2:16" x14ac:dyDescent="0.25">
      <c r="B5301" s="23"/>
      <c r="E5301" s="23"/>
      <c r="G5301" s="23"/>
      <c r="H5301" s="23"/>
      <c r="J5301" s="23"/>
      <c r="K5301" s="23"/>
      <c r="M5301" s="23"/>
      <c r="N5301" s="23"/>
      <c r="P5301" s="23"/>
    </row>
    <row r="5302" spans="2:16" x14ac:dyDescent="0.25">
      <c r="B5302" s="23"/>
      <c r="E5302" s="23"/>
      <c r="G5302" s="23"/>
      <c r="H5302" s="23"/>
      <c r="J5302" s="23"/>
      <c r="K5302" s="23"/>
      <c r="M5302" s="23"/>
      <c r="N5302" s="23"/>
      <c r="P5302" s="23"/>
    </row>
    <row r="5303" spans="2:16" x14ac:dyDescent="0.25">
      <c r="B5303" s="23"/>
      <c r="E5303" s="23"/>
      <c r="G5303" s="23"/>
      <c r="H5303" s="23"/>
      <c r="J5303" s="23"/>
      <c r="K5303" s="23"/>
      <c r="M5303" s="23"/>
      <c r="N5303" s="23"/>
      <c r="P5303" s="23"/>
    </row>
    <row r="5304" spans="2:16" x14ac:dyDescent="0.25">
      <c r="B5304" s="23"/>
      <c r="E5304" s="23"/>
      <c r="G5304" s="23"/>
      <c r="H5304" s="23"/>
      <c r="J5304" s="23"/>
      <c r="K5304" s="23"/>
      <c r="M5304" s="23"/>
      <c r="N5304" s="23"/>
      <c r="P5304" s="23"/>
    </row>
    <row r="5305" spans="2:16" x14ac:dyDescent="0.25">
      <c r="B5305" s="23"/>
      <c r="E5305" s="23"/>
      <c r="G5305" s="23"/>
      <c r="H5305" s="23"/>
      <c r="J5305" s="23"/>
      <c r="K5305" s="23"/>
      <c r="M5305" s="23"/>
      <c r="N5305" s="23"/>
      <c r="P5305" s="23"/>
    </row>
    <row r="5306" spans="2:16" x14ac:dyDescent="0.25">
      <c r="B5306" s="23"/>
      <c r="E5306" s="23"/>
      <c r="G5306" s="23"/>
      <c r="H5306" s="23"/>
      <c r="J5306" s="23"/>
      <c r="K5306" s="23"/>
      <c r="M5306" s="23"/>
      <c r="N5306" s="23"/>
      <c r="P5306" s="23"/>
    </row>
    <row r="5307" spans="2:16" x14ac:dyDescent="0.25">
      <c r="B5307" s="23"/>
      <c r="E5307" s="23"/>
      <c r="G5307" s="23"/>
      <c r="H5307" s="23"/>
      <c r="J5307" s="23"/>
      <c r="K5307" s="23"/>
      <c r="M5307" s="23"/>
      <c r="N5307" s="23"/>
      <c r="P5307" s="23"/>
    </row>
    <row r="5308" spans="2:16" x14ac:dyDescent="0.25">
      <c r="B5308" s="23"/>
      <c r="E5308" s="23"/>
      <c r="G5308" s="23"/>
      <c r="H5308" s="23"/>
      <c r="J5308" s="23"/>
      <c r="K5308" s="23"/>
      <c r="M5308" s="23"/>
      <c r="N5308" s="23"/>
      <c r="P5308" s="23"/>
    </row>
    <row r="5309" spans="2:16" x14ac:dyDescent="0.25">
      <c r="B5309" s="23"/>
      <c r="E5309" s="23"/>
      <c r="G5309" s="23"/>
      <c r="H5309" s="23"/>
      <c r="J5309" s="23"/>
      <c r="K5309" s="23"/>
      <c r="M5309" s="23"/>
      <c r="N5309" s="23"/>
      <c r="P5309" s="23"/>
    </row>
    <row r="5310" spans="2:16" x14ac:dyDescent="0.25">
      <c r="B5310" s="23"/>
      <c r="E5310" s="23"/>
      <c r="G5310" s="23"/>
      <c r="H5310" s="23"/>
      <c r="J5310" s="23"/>
      <c r="K5310" s="23"/>
      <c r="M5310" s="23"/>
      <c r="N5310" s="23"/>
      <c r="P5310" s="23"/>
    </row>
    <row r="5311" spans="2:16" x14ac:dyDescent="0.25">
      <c r="B5311" s="23"/>
      <c r="E5311" s="23"/>
      <c r="G5311" s="23"/>
      <c r="H5311" s="23"/>
      <c r="J5311" s="23"/>
      <c r="K5311" s="23"/>
      <c r="M5311" s="23"/>
      <c r="N5311" s="23"/>
      <c r="P5311" s="23"/>
    </row>
    <row r="5312" spans="2:16" x14ac:dyDescent="0.25">
      <c r="B5312" s="23"/>
      <c r="E5312" s="23"/>
      <c r="G5312" s="23"/>
      <c r="H5312" s="23"/>
      <c r="J5312" s="23"/>
      <c r="K5312" s="23"/>
      <c r="M5312" s="23"/>
      <c r="N5312" s="23"/>
      <c r="P5312" s="23"/>
    </row>
    <row r="5313" spans="2:16" x14ac:dyDescent="0.25">
      <c r="B5313" s="23"/>
      <c r="E5313" s="23"/>
      <c r="G5313" s="23"/>
      <c r="H5313" s="23"/>
      <c r="J5313" s="23"/>
      <c r="K5313" s="23"/>
      <c r="M5313" s="23"/>
      <c r="N5313" s="23"/>
      <c r="P5313" s="23"/>
    </row>
    <row r="5314" spans="2:16" x14ac:dyDescent="0.25">
      <c r="B5314" s="23"/>
      <c r="E5314" s="23"/>
      <c r="G5314" s="23"/>
      <c r="H5314" s="23"/>
      <c r="J5314" s="23"/>
      <c r="K5314" s="23"/>
      <c r="M5314" s="23"/>
      <c r="N5314" s="23"/>
      <c r="P5314" s="23"/>
    </row>
    <row r="5315" spans="2:16" x14ac:dyDescent="0.25">
      <c r="B5315" s="23"/>
      <c r="E5315" s="23"/>
      <c r="G5315" s="23"/>
      <c r="H5315" s="23"/>
      <c r="J5315" s="23"/>
      <c r="K5315" s="23"/>
      <c r="M5315" s="23"/>
      <c r="N5315" s="23"/>
      <c r="P5315" s="23"/>
    </row>
    <row r="5316" spans="2:16" x14ac:dyDescent="0.25">
      <c r="B5316" s="23"/>
      <c r="E5316" s="23"/>
      <c r="G5316" s="23"/>
      <c r="H5316" s="23"/>
      <c r="J5316" s="23"/>
      <c r="K5316" s="23"/>
      <c r="M5316" s="23"/>
      <c r="N5316" s="23"/>
      <c r="P5316" s="23"/>
    </row>
    <row r="5317" spans="2:16" x14ac:dyDescent="0.25">
      <c r="B5317" s="23"/>
      <c r="E5317" s="23"/>
      <c r="G5317" s="23"/>
      <c r="H5317" s="23"/>
      <c r="J5317" s="23"/>
      <c r="K5317" s="23"/>
      <c r="M5317" s="23"/>
      <c r="N5317" s="23"/>
      <c r="P5317" s="23"/>
    </row>
    <row r="5318" spans="2:16" x14ac:dyDescent="0.25">
      <c r="B5318" s="23"/>
      <c r="E5318" s="23"/>
      <c r="G5318" s="23"/>
      <c r="H5318" s="23"/>
      <c r="J5318" s="23"/>
      <c r="K5318" s="23"/>
      <c r="M5318" s="23"/>
      <c r="N5318" s="23"/>
      <c r="P5318" s="23"/>
    </row>
    <row r="5319" spans="2:16" x14ac:dyDescent="0.25">
      <c r="B5319" s="23"/>
      <c r="E5319" s="23"/>
      <c r="G5319" s="23"/>
      <c r="H5319" s="23"/>
      <c r="J5319" s="23"/>
      <c r="K5319" s="23"/>
      <c r="M5319" s="23"/>
      <c r="N5319" s="23"/>
      <c r="P5319" s="23"/>
    </row>
    <row r="5320" spans="2:16" x14ac:dyDescent="0.25">
      <c r="B5320" s="23"/>
      <c r="E5320" s="23"/>
      <c r="G5320" s="23"/>
      <c r="H5320" s="23"/>
      <c r="J5320" s="23"/>
      <c r="K5320" s="23"/>
      <c r="M5320" s="23"/>
      <c r="N5320" s="23"/>
      <c r="P5320" s="23"/>
    </row>
    <row r="5321" spans="2:16" x14ac:dyDescent="0.25">
      <c r="B5321" s="23"/>
      <c r="E5321" s="23"/>
      <c r="G5321" s="23"/>
      <c r="H5321" s="23"/>
      <c r="J5321" s="23"/>
      <c r="K5321" s="23"/>
      <c r="M5321" s="23"/>
      <c r="N5321" s="23"/>
      <c r="P5321" s="23"/>
    </row>
    <row r="5322" spans="2:16" x14ac:dyDescent="0.25">
      <c r="B5322" s="23"/>
      <c r="E5322" s="23"/>
      <c r="G5322" s="23"/>
      <c r="H5322" s="23"/>
      <c r="J5322" s="23"/>
      <c r="K5322" s="23"/>
      <c r="M5322" s="23"/>
      <c r="N5322" s="23"/>
      <c r="P5322" s="23"/>
    </row>
    <row r="5323" spans="2:16" x14ac:dyDescent="0.25">
      <c r="B5323" s="23"/>
      <c r="E5323" s="23"/>
      <c r="G5323" s="23"/>
      <c r="H5323" s="23"/>
      <c r="J5323" s="23"/>
      <c r="K5323" s="23"/>
      <c r="M5323" s="23"/>
      <c r="N5323" s="23"/>
      <c r="P5323" s="23"/>
    </row>
    <row r="5324" spans="2:16" x14ac:dyDescent="0.25">
      <c r="B5324" s="23"/>
      <c r="E5324" s="23"/>
      <c r="G5324" s="23"/>
      <c r="H5324" s="23"/>
      <c r="J5324" s="23"/>
      <c r="K5324" s="23"/>
      <c r="M5324" s="23"/>
      <c r="N5324" s="23"/>
      <c r="P5324" s="23"/>
    </row>
    <row r="5325" spans="2:16" x14ac:dyDescent="0.25">
      <c r="B5325" s="23"/>
      <c r="E5325" s="23"/>
      <c r="G5325" s="23"/>
      <c r="H5325" s="23"/>
      <c r="J5325" s="23"/>
      <c r="K5325" s="23"/>
      <c r="M5325" s="23"/>
      <c r="N5325" s="23"/>
      <c r="P5325" s="23"/>
    </row>
    <row r="5326" spans="2:16" x14ac:dyDescent="0.25">
      <c r="B5326" s="23"/>
      <c r="E5326" s="23"/>
      <c r="G5326" s="23"/>
      <c r="H5326" s="23"/>
      <c r="J5326" s="23"/>
      <c r="K5326" s="23"/>
      <c r="M5326" s="23"/>
      <c r="N5326" s="23"/>
      <c r="P5326" s="23"/>
    </row>
    <row r="5327" spans="2:16" x14ac:dyDescent="0.25">
      <c r="B5327" s="23"/>
      <c r="E5327" s="23"/>
      <c r="G5327" s="23"/>
      <c r="H5327" s="23"/>
      <c r="J5327" s="23"/>
      <c r="K5327" s="23"/>
      <c r="M5327" s="23"/>
      <c r="N5327" s="23"/>
      <c r="P5327" s="23"/>
    </row>
    <row r="5328" spans="2:16" x14ac:dyDescent="0.25">
      <c r="B5328" s="23"/>
      <c r="E5328" s="23"/>
      <c r="G5328" s="23"/>
      <c r="H5328" s="23"/>
      <c r="J5328" s="23"/>
      <c r="K5328" s="23"/>
      <c r="M5328" s="23"/>
      <c r="N5328" s="23"/>
      <c r="P5328" s="23"/>
    </row>
    <row r="5329" spans="2:16" x14ac:dyDescent="0.25">
      <c r="B5329" s="23"/>
      <c r="E5329" s="23"/>
      <c r="G5329" s="23"/>
      <c r="H5329" s="23"/>
      <c r="J5329" s="23"/>
      <c r="K5329" s="23"/>
      <c r="M5329" s="23"/>
      <c r="N5329" s="23"/>
      <c r="P5329" s="23"/>
    </row>
    <row r="5330" spans="2:16" x14ac:dyDescent="0.25">
      <c r="B5330" s="23"/>
      <c r="E5330" s="23"/>
      <c r="G5330" s="23"/>
      <c r="H5330" s="23"/>
      <c r="J5330" s="23"/>
      <c r="K5330" s="23"/>
      <c r="M5330" s="23"/>
      <c r="N5330" s="23"/>
      <c r="P5330" s="23"/>
    </row>
    <row r="5331" spans="2:16" x14ac:dyDescent="0.25">
      <c r="B5331" s="23"/>
      <c r="E5331" s="23"/>
      <c r="G5331" s="23"/>
      <c r="H5331" s="23"/>
      <c r="J5331" s="23"/>
      <c r="K5331" s="23"/>
      <c r="M5331" s="23"/>
      <c r="N5331" s="23"/>
      <c r="P5331" s="23"/>
    </row>
    <row r="5332" spans="2:16" x14ac:dyDescent="0.25">
      <c r="B5332" s="23"/>
      <c r="E5332" s="23"/>
      <c r="G5332" s="23"/>
      <c r="H5332" s="23"/>
      <c r="J5332" s="23"/>
      <c r="K5332" s="23"/>
      <c r="M5332" s="23"/>
      <c r="N5332" s="23"/>
      <c r="P5332" s="23"/>
    </row>
    <row r="5333" spans="2:16" x14ac:dyDescent="0.25">
      <c r="B5333" s="23"/>
      <c r="E5333" s="23"/>
      <c r="G5333" s="23"/>
      <c r="H5333" s="23"/>
      <c r="J5333" s="23"/>
      <c r="K5333" s="23"/>
      <c r="M5333" s="23"/>
      <c r="N5333" s="23"/>
      <c r="P5333" s="23"/>
    </row>
    <row r="5334" spans="2:16" x14ac:dyDescent="0.25">
      <c r="B5334" s="23"/>
      <c r="E5334" s="23"/>
      <c r="G5334" s="23"/>
      <c r="H5334" s="23"/>
      <c r="J5334" s="23"/>
      <c r="K5334" s="23"/>
      <c r="M5334" s="23"/>
      <c r="N5334" s="23"/>
      <c r="P5334" s="23"/>
    </row>
    <row r="5335" spans="2:16" x14ac:dyDescent="0.25">
      <c r="B5335" s="23"/>
      <c r="E5335" s="23"/>
      <c r="G5335" s="23"/>
      <c r="H5335" s="23"/>
      <c r="J5335" s="23"/>
      <c r="K5335" s="23"/>
      <c r="M5335" s="23"/>
      <c r="N5335" s="23"/>
      <c r="P5335" s="23"/>
    </row>
    <row r="5336" spans="2:16" x14ac:dyDescent="0.25">
      <c r="B5336" s="23"/>
      <c r="E5336" s="23"/>
      <c r="G5336" s="23"/>
      <c r="H5336" s="23"/>
      <c r="J5336" s="23"/>
      <c r="K5336" s="23"/>
      <c r="M5336" s="23"/>
      <c r="N5336" s="23"/>
      <c r="P5336" s="23"/>
    </row>
    <row r="5337" spans="2:16" x14ac:dyDescent="0.25">
      <c r="B5337" s="23"/>
      <c r="E5337" s="23"/>
      <c r="G5337" s="23"/>
      <c r="H5337" s="23"/>
      <c r="J5337" s="23"/>
      <c r="K5337" s="23"/>
      <c r="M5337" s="23"/>
      <c r="N5337" s="23"/>
      <c r="P5337" s="23"/>
    </row>
    <row r="5338" spans="2:16" x14ac:dyDescent="0.25">
      <c r="B5338" s="23"/>
      <c r="E5338" s="23"/>
      <c r="G5338" s="23"/>
      <c r="H5338" s="23"/>
      <c r="J5338" s="23"/>
      <c r="K5338" s="23"/>
      <c r="M5338" s="23"/>
      <c r="N5338" s="23"/>
      <c r="P5338" s="23"/>
    </row>
    <row r="5339" spans="2:16" x14ac:dyDescent="0.25">
      <c r="B5339" s="23"/>
      <c r="E5339" s="23"/>
      <c r="G5339" s="23"/>
      <c r="H5339" s="23"/>
      <c r="J5339" s="23"/>
      <c r="K5339" s="23"/>
      <c r="M5339" s="23"/>
      <c r="N5339" s="23"/>
      <c r="P5339" s="23"/>
    </row>
    <row r="5340" spans="2:16" x14ac:dyDescent="0.25">
      <c r="B5340" s="23"/>
      <c r="E5340" s="23"/>
      <c r="G5340" s="23"/>
      <c r="H5340" s="23"/>
      <c r="J5340" s="23"/>
      <c r="K5340" s="23"/>
      <c r="M5340" s="23"/>
      <c r="N5340" s="23"/>
      <c r="P5340" s="23"/>
    </row>
    <row r="5341" spans="2:16" x14ac:dyDescent="0.25">
      <c r="B5341" s="23"/>
      <c r="E5341" s="23"/>
      <c r="G5341" s="23"/>
      <c r="H5341" s="23"/>
      <c r="J5341" s="23"/>
      <c r="K5341" s="23"/>
      <c r="M5341" s="23"/>
      <c r="N5341" s="23"/>
      <c r="P5341" s="23"/>
    </row>
    <row r="5342" spans="2:16" x14ac:dyDescent="0.25">
      <c r="B5342" s="23"/>
      <c r="E5342" s="23"/>
      <c r="G5342" s="23"/>
      <c r="H5342" s="23"/>
      <c r="J5342" s="23"/>
      <c r="K5342" s="23"/>
      <c r="M5342" s="23"/>
      <c r="N5342" s="23"/>
      <c r="P5342" s="23"/>
    </row>
    <row r="5343" spans="2:16" x14ac:dyDescent="0.25">
      <c r="B5343" s="23"/>
      <c r="E5343" s="23"/>
      <c r="G5343" s="23"/>
      <c r="H5343" s="23"/>
      <c r="J5343" s="23"/>
      <c r="K5343" s="23"/>
      <c r="M5343" s="23"/>
      <c r="N5343" s="23"/>
      <c r="P5343" s="23"/>
    </row>
    <row r="5344" spans="2:16" x14ac:dyDescent="0.25">
      <c r="B5344" s="23"/>
      <c r="E5344" s="23"/>
      <c r="G5344" s="23"/>
      <c r="H5344" s="23"/>
      <c r="J5344" s="23"/>
      <c r="K5344" s="23"/>
      <c r="M5344" s="23"/>
      <c r="N5344" s="23"/>
      <c r="P5344" s="23"/>
    </row>
    <row r="5345" spans="2:16" x14ac:dyDescent="0.25">
      <c r="B5345" s="23"/>
      <c r="E5345" s="23"/>
      <c r="G5345" s="23"/>
      <c r="H5345" s="23"/>
      <c r="J5345" s="23"/>
      <c r="K5345" s="23"/>
      <c r="M5345" s="23"/>
      <c r="N5345" s="23"/>
      <c r="P5345" s="23"/>
    </row>
    <row r="5346" spans="2:16" x14ac:dyDescent="0.25">
      <c r="B5346" s="23"/>
      <c r="E5346" s="23"/>
      <c r="G5346" s="23"/>
      <c r="H5346" s="23"/>
      <c r="J5346" s="23"/>
      <c r="K5346" s="23"/>
      <c r="M5346" s="23"/>
      <c r="N5346" s="23"/>
      <c r="P5346" s="23"/>
    </row>
    <row r="5347" spans="2:16" x14ac:dyDescent="0.25">
      <c r="B5347" s="23"/>
      <c r="E5347" s="23"/>
      <c r="G5347" s="23"/>
      <c r="H5347" s="23"/>
      <c r="J5347" s="23"/>
      <c r="K5347" s="23"/>
      <c r="M5347" s="23"/>
      <c r="N5347" s="23"/>
      <c r="P5347" s="23"/>
    </row>
    <row r="5348" spans="2:16" x14ac:dyDescent="0.25">
      <c r="B5348" s="23"/>
      <c r="E5348" s="23"/>
      <c r="G5348" s="23"/>
      <c r="H5348" s="23"/>
      <c r="J5348" s="23"/>
      <c r="K5348" s="23"/>
      <c r="M5348" s="23"/>
      <c r="N5348" s="23"/>
      <c r="P5348" s="23"/>
    </row>
    <row r="5349" spans="2:16" x14ac:dyDescent="0.25">
      <c r="B5349" s="23"/>
      <c r="E5349" s="23"/>
      <c r="G5349" s="23"/>
      <c r="H5349" s="23"/>
      <c r="J5349" s="23"/>
      <c r="K5349" s="23"/>
      <c r="M5349" s="23"/>
      <c r="N5349" s="23"/>
      <c r="P5349" s="23"/>
    </row>
    <row r="5350" spans="2:16" x14ac:dyDescent="0.25">
      <c r="B5350" s="23"/>
      <c r="E5350" s="23"/>
      <c r="G5350" s="23"/>
      <c r="H5350" s="23"/>
      <c r="J5350" s="23"/>
      <c r="K5350" s="23"/>
      <c r="M5350" s="23"/>
      <c r="N5350" s="23"/>
      <c r="P5350" s="23"/>
    </row>
    <row r="5351" spans="2:16" x14ac:dyDescent="0.25">
      <c r="B5351" s="23"/>
      <c r="E5351" s="23"/>
      <c r="G5351" s="23"/>
      <c r="H5351" s="23"/>
      <c r="J5351" s="23"/>
      <c r="K5351" s="23"/>
      <c r="M5351" s="23"/>
      <c r="N5351" s="23"/>
      <c r="P5351" s="23"/>
    </row>
    <row r="5352" spans="2:16" x14ac:dyDescent="0.25">
      <c r="B5352" s="23"/>
      <c r="E5352" s="23"/>
      <c r="G5352" s="23"/>
      <c r="H5352" s="23"/>
      <c r="J5352" s="23"/>
      <c r="K5352" s="23"/>
      <c r="M5352" s="23"/>
      <c r="N5352" s="23"/>
      <c r="P5352" s="23"/>
    </row>
    <row r="5353" spans="2:16" x14ac:dyDescent="0.25">
      <c r="B5353" s="23"/>
      <c r="E5353" s="23"/>
      <c r="G5353" s="23"/>
      <c r="H5353" s="23"/>
      <c r="J5353" s="23"/>
      <c r="K5353" s="23"/>
      <c r="M5353" s="23"/>
      <c r="N5353" s="23"/>
      <c r="P5353" s="23"/>
    </row>
    <row r="5354" spans="2:16" x14ac:dyDescent="0.25">
      <c r="B5354" s="23"/>
      <c r="E5354" s="23"/>
      <c r="G5354" s="23"/>
      <c r="H5354" s="23"/>
      <c r="J5354" s="23"/>
      <c r="K5354" s="23"/>
      <c r="M5354" s="23"/>
      <c r="N5354" s="23"/>
      <c r="P5354" s="23"/>
    </row>
    <row r="5355" spans="2:16" x14ac:dyDescent="0.25">
      <c r="B5355" s="23"/>
      <c r="E5355" s="23"/>
      <c r="G5355" s="23"/>
      <c r="H5355" s="23"/>
      <c r="J5355" s="23"/>
      <c r="K5355" s="23"/>
      <c r="M5355" s="23"/>
      <c r="N5355" s="23"/>
      <c r="P5355" s="23"/>
    </row>
    <row r="5356" spans="2:16" x14ac:dyDescent="0.25">
      <c r="B5356" s="23"/>
      <c r="E5356" s="23"/>
      <c r="G5356" s="23"/>
      <c r="H5356" s="23"/>
      <c r="J5356" s="23"/>
      <c r="K5356" s="23"/>
      <c r="M5356" s="23"/>
      <c r="N5356" s="23"/>
      <c r="P5356" s="23"/>
    </row>
    <row r="5357" spans="2:16" x14ac:dyDescent="0.25">
      <c r="B5357" s="23"/>
      <c r="E5357" s="23"/>
      <c r="G5357" s="23"/>
      <c r="H5357" s="23"/>
      <c r="J5357" s="23"/>
      <c r="K5357" s="23"/>
      <c r="M5357" s="23"/>
      <c r="N5357" s="23"/>
      <c r="P5357" s="23"/>
    </row>
    <row r="5358" spans="2:16" x14ac:dyDescent="0.25">
      <c r="B5358" s="23"/>
      <c r="E5358" s="23"/>
      <c r="G5358" s="23"/>
      <c r="H5358" s="23"/>
      <c r="J5358" s="23"/>
      <c r="K5358" s="23"/>
      <c r="M5358" s="23"/>
      <c r="N5358" s="23"/>
      <c r="P5358" s="23"/>
    </row>
    <row r="5359" spans="2:16" x14ac:dyDescent="0.25">
      <c r="B5359" s="23"/>
      <c r="E5359" s="23"/>
      <c r="G5359" s="23"/>
      <c r="H5359" s="23"/>
      <c r="J5359" s="23"/>
      <c r="K5359" s="23"/>
      <c r="M5359" s="23"/>
      <c r="N5359" s="23"/>
      <c r="P5359" s="23"/>
    </row>
    <row r="5360" spans="2:16" x14ac:dyDescent="0.25">
      <c r="B5360" s="23"/>
      <c r="E5360" s="23"/>
      <c r="G5360" s="23"/>
      <c r="H5360" s="23"/>
      <c r="J5360" s="23"/>
      <c r="K5360" s="23"/>
      <c r="M5360" s="23"/>
      <c r="N5360" s="23"/>
      <c r="P5360" s="23"/>
    </row>
    <row r="5361" spans="2:16" x14ac:dyDescent="0.25">
      <c r="B5361" s="23"/>
      <c r="E5361" s="23"/>
      <c r="G5361" s="23"/>
      <c r="H5361" s="23"/>
      <c r="J5361" s="23"/>
      <c r="K5361" s="23"/>
      <c r="M5361" s="23"/>
      <c r="N5361" s="23"/>
      <c r="P5361" s="23"/>
    </row>
    <row r="5362" spans="2:16" x14ac:dyDescent="0.25">
      <c r="B5362" s="23"/>
      <c r="E5362" s="23"/>
      <c r="G5362" s="23"/>
      <c r="H5362" s="23"/>
      <c r="J5362" s="23"/>
      <c r="K5362" s="23"/>
      <c r="M5362" s="23"/>
      <c r="N5362" s="23"/>
      <c r="P5362" s="23"/>
    </row>
    <row r="5363" spans="2:16" x14ac:dyDescent="0.25">
      <c r="B5363" s="23"/>
      <c r="E5363" s="23"/>
      <c r="G5363" s="23"/>
      <c r="H5363" s="23"/>
      <c r="J5363" s="23"/>
      <c r="K5363" s="23"/>
      <c r="M5363" s="23"/>
      <c r="N5363" s="23"/>
      <c r="P5363" s="23"/>
    </row>
    <row r="5364" spans="2:16" x14ac:dyDescent="0.25">
      <c r="B5364" s="23"/>
      <c r="E5364" s="23"/>
      <c r="G5364" s="23"/>
      <c r="H5364" s="23"/>
      <c r="J5364" s="23"/>
      <c r="K5364" s="23"/>
      <c r="M5364" s="23"/>
      <c r="N5364" s="23"/>
      <c r="P5364" s="23"/>
    </row>
    <row r="5365" spans="2:16" x14ac:dyDescent="0.25">
      <c r="B5365" s="23"/>
      <c r="E5365" s="23"/>
      <c r="G5365" s="23"/>
      <c r="H5365" s="23"/>
      <c r="J5365" s="23"/>
      <c r="K5365" s="23"/>
      <c r="M5365" s="23"/>
      <c r="N5365" s="23"/>
      <c r="P5365" s="23"/>
    </row>
    <row r="5366" spans="2:16" x14ac:dyDescent="0.25">
      <c r="B5366" s="23"/>
      <c r="E5366" s="23"/>
      <c r="G5366" s="23"/>
      <c r="H5366" s="23"/>
      <c r="J5366" s="23"/>
      <c r="K5366" s="23"/>
      <c r="M5366" s="23"/>
      <c r="N5366" s="23"/>
      <c r="P5366" s="23"/>
    </row>
    <row r="5367" spans="2:16" x14ac:dyDescent="0.25">
      <c r="B5367" s="23"/>
      <c r="E5367" s="23"/>
      <c r="G5367" s="23"/>
      <c r="H5367" s="23"/>
      <c r="J5367" s="23"/>
      <c r="K5367" s="23"/>
      <c r="M5367" s="23"/>
      <c r="N5367" s="23"/>
      <c r="P5367" s="23"/>
    </row>
    <row r="5368" spans="2:16" x14ac:dyDescent="0.25">
      <c r="B5368" s="23"/>
      <c r="E5368" s="23"/>
      <c r="G5368" s="23"/>
      <c r="H5368" s="23"/>
      <c r="J5368" s="23"/>
      <c r="K5368" s="23"/>
      <c r="M5368" s="23"/>
      <c r="N5368" s="23"/>
      <c r="P5368" s="23"/>
    </row>
    <row r="5369" spans="2:16" x14ac:dyDescent="0.25">
      <c r="B5369" s="23"/>
      <c r="E5369" s="23"/>
      <c r="G5369" s="23"/>
      <c r="H5369" s="23"/>
      <c r="J5369" s="23"/>
      <c r="K5369" s="23"/>
      <c r="M5369" s="23"/>
      <c r="N5369" s="23"/>
      <c r="P5369" s="23"/>
    </row>
    <row r="5370" spans="2:16" x14ac:dyDescent="0.25">
      <c r="B5370" s="23"/>
      <c r="E5370" s="23"/>
      <c r="G5370" s="23"/>
      <c r="H5370" s="23"/>
      <c r="J5370" s="23"/>
      <c r="K5370" s="23"/>
      <c r="M5370" s="23"/>
      <c r="N5370" s="23"/>
      <c r="P5370" s="23"/>
    </row>
    <row r="5371" spans="2:16" x14ac:dyDescent="0.25">
      <c r="B5371" s="23"/>
      <c r="E5371" s="23"/>
      <c r="G5371" s="23"/>
      <c r="H5371" s="23"/>
      <c r="J5371" s="23"/>
      <c r="K5371" s="23"/>
      <c r="M5371" s="23"/>
      <c r="N5371" s="23"/>
      <c r="P5371" s="23"/>
    </row>
    <row r="5372" spans="2:16" x14ac:dyDescent="0.25">
      <c r="B5372" s="23"/>
      <c r="E5372" s="23"/>
      <c r="G5372" s="23"/>
      <c r="H5372" s="23"/>
      <c r="J5372" s="23"/>
      <c r="K5372" s="23"/>
      <c r="M5372" s="23"/>
      <c r="N5372" s="23"/>
      <c r="P5372" s="23"/>
    </row>
    <row r="5373" spans="2:16" x14ac:dyDescent="0.25">
      <c r="B5373" s="23"/>
      <c r="E5373" s="23"/>
      <c r="G5373" s="23"/>
      <c r="H5373" s="23"/>
      <c r="J5373" s="23"/>
      <c r="K5373" s="23"/>
      <c r="M5373" s="23"/>
      <c r="N5373" s="23"/>
      <c r="P5373" s="23"/>
    </row>
    <row r="5374" spans="2:16" x14ac:dyDescent="0.25">
      <c r="B5374" s="23"/>
      <c r="E5374" s="23"/>
      <c r="G5374" s="23"/>
      <c r="H5374" s="23"/>
      <c r="J5374" s="23"/>
      <c r="K5374" s="23"/>
      <c r="M5374" s="23"/>
      <c r="N5374" s="23"/>
      <c r="P5374" s="23"/>
    </row>
    <row r="5375" spans="2:16" x14ac:dyDescent="0.25">
      <c r="B5375" s="23"/>
      <c r="E5375" s="23"/>
      <c r="G5375" s="23"/>
      <c r="H5375" s="23"/>
      <c r="J5375" s="23"/>
      <c r="K5375" s="23"/>
      <c r="M5375" s="23"/>
      <c r="N5375" s="23"/>
      <c r="P5375" s="23"/>
    </row>
    <row r="5376" spans="2:16" x14ac:dyDescent="0.25">
      <c r="B5376" s="23"/>
      <c r="E5376" s="23"/>
      <c r="G5376" s="23"/>
      <c r="H5376" s="23"/>
      <c r="J5376" s="23"/>
      <c r="K5376" s="23"/>
      <c r="M5376" s="23"/>
      <c r="N5376" s="23"/>
      <c r="P5376" s="23"/>
    </row>
    <row r="5377" spans="2:16" x14ac:dyDescent="0.25">
      <c r="B5377" s="23"/>
      <c r="E5377" s="23"/>
      <c r="G5377" s="23"/>
      <c r="H5377" s="23"/>
      <c r="J5377" s="23"/>
      <c r="K5377" s="23"/>
      <c r="M5377" s="23"/>
      <c r="N5377" s="23"/>
      <c r="P5377" s="23"/>
    </row>
    <row r="5378" spans="2:16" x14ac:dyDescent="0.25">
      <c r="B5378" s="23"/>
      <c r="E5378" s="23"/>
      <c r="G5378" s="23"/>
      <c r="H5378" s="23"/>
      <c r="J5378" s="23"/>
      <c r="K5378" s="23"/>
      <c r="M5378" s="23"/>
      <c r="N5378" s="23"/>
      <c r="P5378" s="23"/>
    </row>
    <row r="5379" spans="2:16" x14ac:dyDescent="0.25">
      <c r="B5379" s="23"/>
      <c r="E5379" s="23"/>
      <c r="G5379" s="23"/>
      <c r="H5379" s="23"/>
      <c r="J5379" s="23"/>
      <c r="K5379" s="23"/>
      <c r="M5379" s="23"/>
      <c r="N5379" s="23"/>
      <c r="P5379" s="23"/>
    </row>
    <row r="5380" spans="2:16" x14ac:dyDescent="0.25">
      <c r="B5380" s="23"/>
      <c r="E5380" s="23"/>
      <c r="G5380" s="23"/>
      <c r="H5380" s="23"/>
      <c r="J5380" s="23"/>
      <c r="K5380" s="23"/>
      <c r="M5380" s="23"/>
      <c r="N5380" s="23"/>
      <c r="P5380" s="23"/>
    </row>
    <row r="5381" spans="2:16" x14ac:dyDescent="0.25">
      <c r="B5381" s="23"/>
      <c r="E5381" s="23"/>
      <c r="G5381" s="23"/>
      <c r="H5381" s="23"/>
      <c r="J5381" s="23"/>
      <c r="K5381" s="23"/>
      <c r="M5381" s="23"/>
      <c r="N5381" s="23"/>
      <c r="P5381" s="23"/>
    </row>
    <row r="5382" spans="2:16" x14ac:dyDescent="0.25">
      <c r="B5382" s="23"/>
      <c r="E5382" s="23"/>
      <c r="G5382" s="23"/>
      <c r="H5382" s="23"/>
      <c r="J5382" s="23"/>
      <c r="K5382" s="23"/>
      <c r="M5382" s="23"/>
      <c r="N5382" s="23"/>
      <c r="P5382" s="23"/>
    </row>
    <row r="5383" spans="2:16" x14ac:dyDescent="0.25">
      <c r="B5383" s="23"/>
      <c r="E5383" s="23"/>
      <c r="G5383" s="23"/>
      <c r="H5383" s="23"/>
      <c r="J5383" s="23"/>
      <c r="K5383" s="23"/>
      <c r="M5383" s="23"/>
      <c r="N5383" s="23"/>
      <c r="P5383" s="23"/>
    </row>
    <row r="5384" spans="2:16" x14ac:dyDescent="0.25">
      <c r="B5384" s="23"/>
      <c r="E5384" s="23"/>
      <c r="G5384" s="23"/>
      <c r="H5384" s="23"/>
      <c r="J5384" s="23"/>
      <c r="K5384" s="23"/>
      <c r="M5384" s="23"/>
      <c r="N5384" s="23"/>
      <c r="P5384" s="23"/>
    </row>
    <row r="5385" spans="2:16" x14ac:dyDescent="0.25">
      <c r="B5385" s="23"/>
      <c r="E5385" s="23"/>
      <c r="G5385" s="23"/>
      <c r="H5385" s="23"/>
      <c r="J5385" s="23"/>
      <c r="K5385" s="23"/>
      <c r="M5385" s="23"/>
      <c r="N5385" s="23"/>
      <c r="P5385" s="23"/>
    </row>
    <row r="5386" spans="2:16" x14ac:dyDescent="0.25">
      <c r="B5386" s="23"/>
      <c r="E5386" s="23"/>
      <c r="G5386" s="23"/>
      <c r="H5386" s="23"/>
      <c r="J5386" s="23"/>
      <c r="K5386" s="23"/>
      <c r="M5386" s="23"/>
      <c r="N5386" s="23"/>
      <c r="P5386" s="23"/>
    </row>
    <row r="5387" spans="2:16" x14ac:dyDescent="0.25">
      <c r="B5387" s="23"/>
      <c r="E5387" s="23"/>
      <c r="G5387" s="23"/>
      <c r="H5387" s="23"/>
      <c r="J5387" s="23"/>
      <c r="K5387" s="23"/>
      <c r="M5387" s="23"/>
      <c r="N5387" s="23"/>
      <c r="P5387" s="23"/>
    </row>
    <row r="5388" spans="2:16" x14ac:dyDescent="0.25">
      <c r="B5388" s="23"/>
      <c r="E5388" s="23"/>
      <c r="G5388" s="23"/>
      <c r="H5388" s="23"/>
      <c r="J5388" s="23"/>
      <c r="K5388" s="23"/>
      <c r="M5388" s="23"/>
      <c r="N5388" s="23"/>
      <c r="P5388" s="23"/>
    </row>
    <row r="5389" spans="2:16" x14ac:dyDescent="0.25">
      <c r="B5389" s="23"/>
      <c r="E5389" s="23"/>
      <c r="G5389" s="23"/>
      <c r="H5389" s="23"/>
      <c r="J5389" s="23"/>
      <c r="K5389" s="23"/>
      <c r="M5389" s="23"/>
      <c r="N5389" s="23"/>
      <c r="P5389" s="23"/>
    </row>
    <row r="5390" spans="2:16" x14ac:dyDescent="0.25">
      <c r="B5390" s="23"/>
      <c r="E5390" s="23"/>
      <c r="G5390" s="23"/>
      <c r="H5390" s="23"/>
      <c r="J5390" s="23"/>
      <c r="K5390" s="23"/>
      <c r="M5390" s="23"/>
      <c r="N5390" s="23"/>
      <c r="P5390" s="23"/>
    </row>
    <row r="5391" spans="2:16" x14ac:dyDescent="0.25">
      <c r="B5391" s="23"/>
      <c r="E5391" s="23"/>
      <c r="G5391" s="23"/>
      <c r="H5391" s="23"/>
      <c r="J5391" s="23"/>
      <c r="K5391" s="23"/>
      <c r="M5391" s="23"/>
      <c r="N5391" s="23"/>
      <c r="P5391" s="23"/>
    </row>
    <row r="5392" spans="2:16" x14ac:dyDescent="0.25">
      <c r="B5392" s="23"/>
      <c r="E5392" s="23"/>
      <c r="G5392" s="23"/>
      <c r="H5392" s="23"/>
      <c r="J5392" s="23"/>
      <c r="K5392" s="23"/>
      <c r="M5392" s="23"/>
      <c r="N5392" s="23"/>
      <c r="P5392" s="23"/>
    </row>
    <row r="5393" spans="2:16" x14ac:dyDescent="0.25">
      <c r="B5393" s="23"/>
      <c r="E5393" s="23"/>
      <c r="G5393" s="23"/>
      <c r="H5393" s="23"/>
      <c r="J5393" s="23"/>
      <c r="K5393" s="23"/>
      <c r="M5393" s="23"/>
      <c r="N5393" s="23"/>
      <c r="P5393" s="23"/>
    </row>
    <row r="5394" spans="2:16" x14ac:dyDescent="0.25">
      <c r="B5394" s="23"/>
      <c r="E5394" s="23"/>
      <c r="G5394" s="23"/>
      <c r="H5394" s="23"/>
      <c r="J5394" s="23"/>
      <c r="K5394" s="23"/>
      <c r="M5394" s="23"/>
      <c r="N5394" s="23"/>
      <c r="P5394" s="23"/>
    </row>
    <row r="5395" spans="2:16" x14ac:dyDescent="0.25">
      <c r="B5395" s="23"/>
      <c r="E5395" s="23"/>
      <c r="G5395" s="23"/>
      <c r="H5395" s="23"/>
      <c r="J5395" s="23"/>
      <c r="K5395" s="23"/>
      <c r="M5395" s="23"/>
      <c r="N5395" s="23"/>
      <c r="P5395" s="23"/>
    </row>
    <row r="5396" spans="2:16" x14ac:dyDescent="0.25">
      <c r="B5396" s="23"/>
      <c r="E5396" s="23"/>
      <c r="G5396" s="23"/>
      <c r="H5396" s="23"/>
      <c r="J5396" s="23"/>
      <c r="K5396" s="23"/>
      <c r="M5396" s="23"/>
      <c r="N5396" s="23"/>
      <c r="P5396" s="23"/>
    </row>
    <row r="5397" spans="2:16" x14ac:dyDescent="0.25">
      <c r="B5397" s="23"/>
      <c r="E5397" s="23"/>
      <c r="G5397" s="23"/>
      <c r="H5397" s="23"/>
      <c r="J5397" s="23"/>
      <c r="K5397" s="23"/>
      <c r="M5397" s="23"/>
      <c r="N5397" s="23"/>
      <c r="P5397" s="23"/>
    </row>
    <row r="5398" spans="2:16" x14ac:dyDescent="0.25">
      <c r="B5398" s="23"/>
      <c r="E5398" s="23"/>
      <c r="G5398" s="23"/>
      <c r="H5398" s="23"/>
      <c r="J5398" s="23"/>
      <c r="K5398" s="23"/>
      <c r="M5398" s="23"/>
      <c r="N5398" s="23"/>
      <c r="P5398" s="23"/>
    </row>
    <row r="5399" spans="2:16" x14ac:dyDescent="0.25">
      <c r="B5399" s="23"/>
      <c r="E5399" s="23"/>
      <c r="G5399" s="23"/>
      <c r="H5399" s="23"/>
      <c r="J5399" s="23"/>
      <c r="K5399" s="23"/>
      <c r="M5399" s="23"/>
      <c r="N5399" s="23"/>
      <c r="P5399" s="23"/>
    </row>
    <row r="5400" spans="2:16" x14ac:dyDescent="0.25">
      <c r="B5400" s="23"/>
      <c r="E5400" s="23"/>
      <c r="G5400" s="23"/>
      <c r="H5400" s="23"/>
      <c r="J5400" s="23"/>
      <c r="K5400" s="23"/>
      <c r="M5400" s="23"/>
      <c r="N5400" s="23"/>
      <c r="P5400" s="23"/>
    </row>
    <row r="5401" spans="2:16" x14ac:dyDescent="0.25">
      <c r="B5401" s="23"/>
      <c r="E5401" s="23"/>
      <c r="G5401" s="23"/>
      <c r="H5401" s="23"/>
      <c r="J5401" s="23"/>
      <c r="K5401" s="23"/>
      <c r="M5401" s="23"/>
      <c r="N5401" s="23"/>
      <c r="P5401" s="23"/>
    </row>
    <row r="5402" spans="2:16" x14ac:dyDescent="0.25">
      <c r="B5402" s="23"/>
      <c r="E5402" s="23"/>
      <c r="G5402" s="23"/>
      <c r="H5402" s="23"/>
      <c r="J5402" s="23"/>
      <c r="K5402" s="23"/>
      <c r="M5402" s="23"/>
      <c r="N5402" s="23"/>
      <c r="P5402" s="23"/>
    </row>
    <row r="5403" spans="2:16" x14ac:dyDescent="0.25">
      <c r="B5403" s="23"/>
      <c r="E5403" s="23"/>
      <c r="G5403" s="23"/>
      <c r="H5403" s="23"/>
      <c r="J5403" s="23"/>
      <c r="K5403" s="23"/>
      <c r="M5403" s="23"/>
      <c r="N5403" s="23"/>
      <c r="P5403" s="23"/>
    </row>
    <row r="5404" spans="2:16" x14ac:dyDescent="0.25">
      <c r="B5404" s="23"/>
      <c r="E5404" s="23"/>
      <c r="G5404" s="23"/>
      <c r="H5404" s="23"/>
      <c r="J5404" s="23"/>
      <c r="K5404" s="23"/>
      <c r="M5404" s="23"/>
      <c r="N5404" s="23"/>
      <c r="P5404" s="23"/>
    </row>
    <row r="5405" spans="2:16" x14ac:dyDescent="0.25">
      <c r="B5405" s="23"/>
      <c r="E5405" s="23"/>
      <c r="G5405" s="23"/>
      <c r="H5405" s="23"/>
      <c r="J5405" s="23"/>
      <c r="K5405" s="23"/>
      <c r="M5405" s="23"/>
      <c r="N5405" s="23"/>
      <c r="P5405" s="23"/>
    </row>
    <row r="5406" spans="2:16" x14ac:dyDescent="0.25">
      <c r="B5406" s="23"/>
      <c r="E5406" s="23"/>
      <c r="G5406" s="23"/>
      <c r="H5406" s="23"/>
      <c r="J5406" s="23"/>
      <c r="K5406" s="23"/>
      <c r="M5406" s="23"/>
      <c r="N5406" s="23"/>
      <c r="P5406" s="23"/>
    </row>
  </sheetData>
  <pageMargins left="0.75" right="0.75" top="1" bottom="1" header="0.5" footer="0.5"/>
  <pageSetup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99"/>
  <sheetViews>
    <sheetView zoomScaleNormal="100" workbookViewId="0"/>
  </sheetViews>
  <sheetFormatPr defaultRowHeight="13.2" x14ac:dyDescent="0.25"/>
  <cols>
    <col min="1" max="1" width="120" customWidth="1"/>
    <col min="2" max="2" width="23.6640625" style="29" customWidth="1"/>
    <col min="3" max="3" width="18.6640625" style="23" customWidth="1"/>
    <col min="4" max="4" width="19.5546875" style="23" customWidth="1"/>
    <col min="5" max="5" width="25.88671875" style="29" customWidth="1"/>
    <col min="6" max="6" width="25.109375" style="23" customWidth="1"/>
    <col min="7" max="7" width="25.5546875" style="15" customWidth="1"/>
    <col min="8" max="8" width="77.88671875" customWidth="1"/>
    <col min="9" max="9" width="25" style="23" customWidth="1"/>
    <col min="10" max="10" width="28.6640625" style="15" customWidth="1"/>
    <col min="11" max="11" width="28" customWidth="1"/>
    <col min="12" max="12" width="29.88671875" style="23" customWidth="1"/>
    <col min="13" max="13" width="30.44140625" style="15" customWidth="1"/>
    <col min="14" max="14" width="24.88671875" customWidth="1"/>
    <col min="15" max="15" width="9.109375" style="23"/>
    <col min="16" max="16" width="29.44140625" style="15" customWidth="1"/>
  </cols>
  <sheetData>
    <row r="1" spans="1:16" x14ac:dyDescent="0.25">
      <c r="A1" s="90" t="s">
        <v>1577</v>
      </c>
      <c r="B1" s="80"/>
      <c r="C1" s="366"/>
      <c r="D1" s="80"/>
      <c r="E1" s="80"/>
      <c r="F1" s="80"/>
      <c r="G1" s="80"/>
      <c r="H1" s="33"/>
      <c r="I1" s="80"/>
      <c r="J1" s="80"/>
      <c r="K1" s="80"/>
      <c r="L1" s="80"/>
      <c r="M1" s="80"/>
      <c r="N1" s="33"/>
      <c r="O1" s="80"/>
      <c r="P1" s="367"/>
    </row>
    <row r="2" spans="1:16" x14ac:dyDescent="0.25">
      <c r="A2" s="80"/>
      <c r="B2" s="80"/>
      <c r="C2" s="366"/>
      <c r="D2" s="80"/>
      <c r="E2" s="80"/>
      <c r="F2" s="80"/>
      <c r="G2" s="80"/>
      <c r="H2" s="33"/>
      <c r="I2" s="80"/>
      <c r="J2" s="80"/>
      <c r="K2" s="80"/>
      <c r="L2" s="80"/>
      <c r="M2" s="80"/>
      <c r="N2" s="33"/>
      <c r="O2" s="80"/>
      <c r="P2" s="367"/>
    </row>
    <row r="3" spans="1:16" x14ac:dyDescent="0.25">
      <c r="A3" s="34" t="str">
        <f>SummaryEtEnergy!A3</f>
        <v>Produced by Onesmus Mwabonje, Charlotte Hatto and Nigel Mortimer, North Energy Associates Ltd., on 2 November 2014 for the SUNLIBB Project</v>
      </c>
      <c r="B3" s="80"/>
      <c r="C3" s="366"/>
      <c r="D3" s="80"/>
      <c r="E3" s="80"/>
      <c r="F3" s="80"/>
      <c r="G3" s="80"/>
      <c r="H3" s="33"/>
      <c r="I3" s="80"/>
      <c r="J3" s="80"/>
      <c r="K3" s="80"/>
      <c r="L3" s="80"/>
      <c r="M3" s="80"/>
      <c r="N3" s="33"/>
      <c r="O3" s="80"/>
      <c r="P3" s="367"/>
    </row>
    <row r="4" spans="1:16" x14ac:dyDescent="0.25">
      <c r="A4" s="80"/>
      <c r="B4" s="80"/>
      <c r="C4" s="366"/>
      <c r="D4" s="80"/>
      <c r="E4" s="80"/>
      <c r="F4" s="80"/>
      <c r="G4" s="80"/>
      <c r="H4" s="33"/>
      <c r="I4" s="80"/>
      <c r="J4" s="80"/>
      <c r="K4" s="80"/>
      <c r="L4" s="80"/>
      <c r="M4" s="80"/>
      <c r="N4" s="33"/>
      <c r="O4" s="80"/>
      <c r="P4" s="367"/>
    </row>
    <row r="5" spans="1:16" x14ac:dyDescent="0.25">
      <c r="A5" s="80" t="s">
        <v>240</v>
      </c>
      <c r="B5" s="918" t="s">
        <v>1576</v>
      </c>
      <c r="C5" s="366"/>
      <c r="D5" s="80"/>
      <c r="E5" s="80"/>
      <c r="F5" s="80"/>
      <c r="G5" s="80"/>
      <c r="H5" s="33"/>
      <c r="I5" s="80"/>
      <c r="J5" s="80"/>
      <c r="K5" s="80"/>
      <c r="L5" s="80"/>
      <c r="M5" s="80"/>
      <c r="N5" s="33"/>
      <c r="O5" s="80"/>
      <c r="P5" s="367"/>
    </row>
    <row r="6" spans="1:16" x14ac:dyDescent="0.25">
      <c r="A6" s="80" t="s">
        <v>243</v>
      </c>
      <c r="B6" s="226" t="s">
        <v>441</v>
      </c>
      <c r="C6" s="366"/>
      <c r="D6" s="80"/>
      <c r="E6" s="80"/>
      <c r="F6" s="80"/>
      <c r="G6" s="80"/>
      <c r="H6" s="33"/>
      <c r="I6" s="80"/>
      <c r="J6" s="80"/>
      <c r="K6" s="80"/>
      <c r="L6" s="80"/>
      <c r="M6" s="80"/>
      <c r="N6" s="33"/>
      <c r="O6" s="80"/>
      <c r="P6" s="367"/>
    </row>
    <row r="7" spans="1:16" x14ac:dyDescent="0.25">
      <c r="A7" s="80" t="s">
        <v>241</v>
      </c>
      <c r="B7" s="918" t="s">
        <v>1115</v>
      </c>
      <c r="C7" s="366"/>
      <c r="D7" s="80"/>
      <c r="E7" s="80"/>
      <c r="F7" s="80"/>
      <c r="G7" s="80"/>
      <c r="H7" s="33"/>
      <c r="I7" s="80"/>
      <c r="J7" s="80"/>
      <c r="K7" s="80"/>
      <c r="L7" s="80"/>
      <c r="M7" s="80"/>
      <c r="N7" s="33"/>
      <c r="O7" s="80"/>
      <c r="P7" s="367"/>
    </row>
    <row r="8" spans="1:16" x14ac:dyDescent="0.25">
      <c r="A8" s="80" t="s">
        <v>242</v>
      </c>
      <c r="B8" s="350">
        <v>2010</v>
      </c>
      <c r="C8" s="366"/>
      <c r="D8" s="80"/>
      <c r="E8" s="80"/>
      <c r="F8" s="80"/>
      <c r="G8" s="80"/>
      <c r="H8" s="33"/>
      <c r="I8" s="80"/>
      <c r="J8" s="80"/>
      <c r="K8" s="80"/>
      <c r="L8" s="80"/>
      <c r="M8" s="80"/>
      <c r="N8" s="33"/>
      <c r="O8" s="80"/>
      <c r="P8" s="367"/>
    </row>
    <row r="9" spans="1:16" x14ac:dyDescent="0.25">
      <c r="A9" s="80"/>
      <c r="B9" s="80"/>
      <c r="C9" s="366"/>
      <c r="D9" s="80"/>
      <c r="E9" s="80"/>
      <c r="F9" s="80"/>
      <c r="G9" s="80"/>
      <c r="H9" s="33"/>
      <c r="I9" s="80"/>
      <c r="J9" s="80"/>
      <c r="K9" s="80"/>
      <c r="L9" s="80"/>
      <c r="M9" s="80"/>
      <c r="N9" s="33"/>
      <c r="O9" s="80"/>
      <c r="P9" s="367"/>
    </row>
    <row r="10" spans="1:16" ht="13.8" thickBot="1" x14ac:dyDescent="0.3">
      <c r="A10" s="32" t="s">
        <v>418</v>
      </c>
      <c r="B10" s="80"/>
      <c r="C10" s="366"/>
      <c r="D10" s="80"/>
      <c r="E10" s="80"/>
      <c r="F10" s="80"/>
      <c r="G10" s="80"/>
      <c r="H10" s="32" t="s">
        <v>158</v>
      </c>
      <c r="I10" s="80"/>
      <c r="J10" s="366"/>
      <c r="K10" s="68"/>
      <c r="L10" s="68"/>
      <c r="M10" s="68"/>
      <c r="N10" s="33"/>
      <c r="O10" s="80"/>
      <c r="P10" s="367"/>
    </row>
    <row r="11" spans="1:16" ht="30.75" customHeight="1" x14ac:dyDescent="0.25">
      <c r="A11" s="35" t="s">
        <v>38</v>
      </c>
      <c r="B11" s="36" t="s">
        <v>899</v>
      </c>
      <c r="C11" s="369" t="s">
        <v>22</v>
      </c>
      <c r="D11" s="36" t="s">
        <v>23</v>
      </c>
      <c r="E11" s="36" t="s">
        <v>24</v>
      </c>
      <c r="F11" s="368" t="s">
        <v>25</v>
      </c>
      <c r="G11" s="367"/>
      <c r="H11" s="35" t="s">
        <v>38</v>
      </c>
      <c r="I11" s="370" t="s">
        <v>899</v>
      </c>
      <c r="J11" s="36" t="s">
        <v>22</v>
      </c>
      <c r="K11" s="370" t="s">
        <v>23</v>
      </c>
      <c r="L11" s="370" t="s">
        <v>24</v>
      </c>
      <c r="M11" s="791" t="s">
        <v>25</v>
      </c>
      <c r="N11" s="80"/>
      <c r="O11" s="80"/>
      <c r="P11" s="367"/>
    </row>
    <row r="12" spans="1:16" ht="17.25" customHeight="1" x14ac:dyDescent="0.25">
      <c r="A12" s="37"/>
      <c r="B12" s="38" t="s">
        <v>442</v>
      </c>
      <c r="C12" s="38" t="s">
        <v>1681</v>
      </c>
      <c r="D12" s="38" t="s">
        <v>1681</v>
      </c>
      <c r="E12" s="38" t="s">
        <v>1681</v>
      </c>
      <c r="F12" s="502" t="s">
        <v>1681</v>
      </c>
      <c r="G12" s="367"/>
      <c r="H12" s="37"/>
      <c r="I12" s="371" t="s">
        <v>1682</v>
      </c>
      <c r="J12" s="38" t="s">
        <v>1683</v>
      </c>
      <c r="K12" s="38" t="s">
        <v>1683</v>
      </c>
      <c r="L12" s="38" t="s">
        <v>1683</v>
      </c>
      <c r="M12" s="502" t="s">
        <v>1683</v>
      </c>
      <c r="N12" s="80"/>
      <c r="O12" s="80"/>
      <c r="P12" s="367"/>
    </row>
    <row r="13" spans="1:16" x14ac:dyDescent="0.25">
      <c r="A13" s="412" t="s">
        <v>40</v>
      </c>
      <c r="B13" s="372">
        <f>B104</f>
        <v>8309.899498278497</v>
      </c>
      <c r="C13" s="372">
        <f>E104</f>
        <v>522.75174180388285</v>
      </c>
      <c r="D13" s="373">
        <f>GlobalWarmingPotentials!$B$11*H104</f>
        <v>17.290514540541231</v>
      </c>
      <c r="E13" s="372">
        <f>GlobalWarmingPotentials!$C$11*K104</f>
        <v>492.79798826435962</v>
      </c>
      <c r="F13" s="374">
        <f t="shared" ref="F13:F27" si="0">SUM(C13:E13)</f>
        <v>1032.8402446087837</v>
      </c>
      <c r="G13" s="375"/>
      <c r="H13" s="412" t="s">
        <v>40</v>
      </c>
      <c r="I13" s="372">
        <f>D104</f>
        <v>488.63429742730733</v>
      </c>
      <c r="J13" s="372">
        <f>G104</f>
        <v>28.318118318326512</v>
      </c>
      <c r="K13" s="373">
        <f>GlobalWarmingPotentials!$B$11*J104</f>
        <v>1.7218725116867057</v>
      </c>
      <c r="L13" s="377">
        <f>GlobalWarmingPotentials!$C$11*M104</f>
        <v>41.24810847845022</v>
      </c>
      <c r="M13" s="413">
        <f t="shared" ref="M13:M27" si="1">SUM(J13:L13)</f>
        <v>71.288099308463444</v>
      </c>
      <c r="N13" s="33"/>
      <c r="O13" s="80"/>
      <c r="P13" s="367"/>
    </row>
    <row r="14" spans="1:16" x14ac:dyDescent="0.25">
      <c r="A14" s="412" t="s">
        <v>852</v>
      </c>
      <c r="B14" s="372">
        <f>B138</f>
        <v>601.53586980511921</v>
      </c>
      <c r="C14" s="372">
        <f>E138</f>
        <v>43.167066146313303</v>
      </c>
      <c r="D14" s="373">
        <f>GlobalWarmingPotentials!$B$11*H138</f>
        <v>0.20630493950445838</v>
      </c>
      <c r="E14" s="372">
        <f>GlobalWarmingPotentials!$C$11*K138</f>
        <v>3.4515713357093745</v>
      </c>
      <c r="F14" s="374">
        <f t="shared" si="0"/>
        <v>46.824942421527133</v>
      </c>
      <c r="G14" s="375"/>
      <c r="H14" s="412" t="s">
        <v>852</v>
      </c>
      <c r="I14" s="372">
        <f>D138</f>
        <v>28.272185880840603</v>
      </c>
      <c r="J14" s="372">
        <f>G138</f>
        <v>2.0288521088767251</v>
      </c>
      <c r="K14" s="373">
        <f>GlobalWarmingPotentials!$B$11*J138</f>
        <v>9.6963321567095449E-3</v>
      </c>
      <c r="L14" s="372">
        <f>GlobalWarmingPotentials!$C$11*M138</f>
        <v>0.16222385277834056</v>
      </c>
      <c r="M14" s="374">
        <f t="shared" si="1"/>
        <v>2.2007722938117751</v>
      </c>
      <c r="N14" s="33"/>
      <c r="O14" s="80"/>
      <c r="P14" s="367"/>
    </row>
    <row r="15" spans="1:16" x14ac:dyDescent="0.25">
      <c r="A15" s="412" t="s">
        <v>853</v>
      </c>
      <c r="B15" s="372">
        <f>B172</f>
        <v>0</v>
      </c>
      <c r="C15" s="372">
        <f>E172</f>
        <v>0</v>
      </c>
      <c r="D15" s="373">
        <f>GlobalWarmingPotentials!$B$11*H172</f>
        <v>0</v>
      </c>
      <c r="E15" s="372">
        <f>GlobalWarmingPotentials!$C$11*K172</f>
        <v>0</v>
      </c>
      <c r="F15" s="374">
        <f>SUM(C15:E15)</f>
        <v>0</v>
      </c>
      <c r="G15" s="375"/>
      <c r="H15" s="1526" t="s">
        <v>853</v>
      </c>
      <c r="I15" s="372">
        <f>D172</f>
        <v>0</v>
      </c>
      <c r="J15" s="372">
        <f>G172</f>
        <v>0</v>
      </c>
      <c r="K15" s="373">
        <f>GlobalWarmingPotentials!$B$11*J172</f>
        <v>0</v>
      </c>
      <c r="L15" s="372">
        <f>GlobalWarmingPotentials!$C$11*M172</f>
        <v>0</v>
      </c>
      <c r="M15" s="374">
        <f t="shared" si="1"/>
        <v>0</v>
      </c>
      <c r="N15" s="33"/>
      <c r="O15" s="80"/>
      <c r="P15" s="367"/>
    </row>
    <row r="16" spans="1:16" x14ac:dyDescent="0.25">
      <c r="A16" s="1511" t="s">
        <v>1779</v>
      </c>
      <c r="B16" s="372">
        <f>B178</f>
        <v>0</v>
      </c>
      <c r="C16" s="372">
        <f>E178</f>
        <v>0</v>
      </c>
      <c r="D16" s="373">
        <f>GlobalWarmingPotentials!$B$11*H178</f>
        <v>0.11475477369690439</v>
      </c>
      <c r="E16" s="372">
        <f>GlobalWarmingPotentials!$C$11*K178</f>
        <v>0.4430532132297873</v>
      </c>
      <c r="F16" s="374">
        <f>SUM(C16:E16)</f>
        <v>0.55780798692669165</v>
      </c>
      <c r="G16" s="375"/>
      <c r="H16" s="1511" t="s">
        <v>1779</v>
      </c>
      <c r="I16" s="372">
        <f>D178</f>
        <v>0</v>
      </c>
      <c r="J16" s="372">
        <f>G178</f>
        <v>0</v>
      </c>
      <c r="K16" s="373">
        <f>GlobalWarmingPotentials!$B$11*J178</f>
        <v>0</v>
      </c>
      <c r="L16" s="372">
        <f>GlobalWarmingPotentials!$C$11*M178</f>
        <v>0</v>
      </c>
      <c r="M16" s="374">
        <f t="shared" si="1"/>
        <v>0</v>
      </c>
      <c r="N16" s="33"/>
      <c r="O16" s="80"/>
      <c r="P16" s="367"/>
    </row>
    <row r="17" spans="1:16" x14ac:dyDescent="0.25">
      <c r="A17" s="1511" t="s">
        <v>1917</v>
      </c>
      <c r="B17" s="376">
        <f>B195</f>
        <v>7672.8025191554007</v>
      </c>
      <c r="C17" s="376">
        <f>E195</f>
        <v>485.14931842733705</v>
      </c>
      <c r="D17" s="373">
        <f>GlobalWarmingPotentials!$B$11*H195</f>
        <v>16.114622607186242</v>
      </c>
      <c r="E17" s="372">
        <f>GlobalWarmingPotentials!$C$11*K195</f>
        <v>38.01024928250856</v>
      </c>
      <c r="F17" s="374">
        <f>SUM(C17:E17)</f>
        <v>539.27419031703187</v>
      </c>
      <c r="G17" s="375"/>
      <c r="H17" s="1511" t="s">
        <v>1917</v>
      </c>
      <c r="I17" s="376">
        <f>D195</f>
        <v>732.66079238041505</v>
      </c>
      <c r="J17" s="376">
        <f>G195</f>
        <v>46.039485184534769</v>
      </c>
      <c r="K17" s="373">
        <f>GlobalWarmingPotentials!$B$11*J195</f>
        <v>1.6317635915191515</v>
      </c>
      <c r="L17" s="372">
        <f>GlobalWarmingPotentials!$C$11*M195</f>
        <v>0.18885232489165812</v>
      </c>
      <c r="M17" s="374">
        <f>SUM(J17:L17)</f>
        <v>47.860101100945577</v>
      </c>
      <c r="N17" s="33"/>
      <c r="O17" s="80"/>
      <c r="P17" s="367"/>
    </row>
    <row r="18" spans="1:16" x14ac:dyDescent="0.25">
      <c r="A18" s="1516" t="s">
        <v>405</v>
      </c>
      <c r="B18" s="376">
        <f>B202</f>
        <v>0</v>
      </c>
      <c r="C18" s="376">
        <f>E202</f>
        <v>0</v>
      </c>
      <c r="D18" s="373">
        <f>GlobalWarmingPotentials!$B$11*H202</f>
        <v>7.7929411764705902E-3</v>
      </c>
      <c r="E18" s="372">
        <f>GlobalWarmingPotentials!$C$11*K202</f>
        <v>3.0087529411764707E-2</v>
      </c>
      <c r="F18" s="374">
        <f t="shared" si="0"/>
        <v>3.78804705882353E-2</v>
      </c>
      <c r="G18" s="375"/>
      <c r="H18" s="1516" t="s">
        <v>405</v>
      </c>
      <c r="I18" s="376">
        <f>D202</f>
        <v>0</v>
      </c>
      <c r="J18" s="376">
        <f>G202</f>
        <v>0</v>
      </c>
      <c r="K18" s="373">
        <f>GlobalWarmingPotentials!$B$11*J202</f>
        <v>0</v>
      </c>
      <c r="L18" s="372">
        <f>GlobalWarmingPotentials!$C$11*M202</f>
        <v>0</v>
      </c>
      <c r="M18" s="374">
        <f t="shared" si="1"/>
        <v>0</v>
      </c>
      <c r="N18" s="33"/>
      <c r="O18" s="80"/>
      <c r="P18" s="367"/>
    </row>
    <row r="19" spans="1:16" x14ac:dyDescent="0.25">
      <c r="A19" s="1511" t="s">
        <v>1984</v>
      </c>
      <c r="B19" s="376">
        <f>B209</f>
        <v>0</v>
      </c>
      <c r="C19" s="376">
        <f>E209</f>
        <v>0</v>
      </c>
      <c r="D19" s="373">
        <f>GlobalWarmingPotentials!$B$11*H209</f>
        <v>0.73139999999999983</v>
      </c>
      <c r="E19" s="372">
        <f>GlobalWarmingPotentials!$C$11*K209</f>
        <v>2.8238400000000001</v>
      </c>
      <c r="F19" s="374">
        <f t="shared" ref="F19" si="2">SUM(C19:E19)</f>
        <v>3.55524</v>
      </c>
      <c r="G19" s="375"/>
      <c r="H19" s="1511" t="s">
        <v>1984</v>
      </c>
      <c r="I19" s="376">
        <f>D209</f>
        <v>0</v>
      </c>
      <c r="J19" s="376">
        <f>G209</f>
        <v>0</v>
      </c>
      <c r="K19" s="373">
        <f>GlobalWarmingPotentials!$B$11*J209</f>
        <v>0</v>
      </c>
      <c r="L19" s="372">
        <f>GlobalWarmingPotentials!$C$11*M209</f>
        <v>0</v>
      </c>
      <c r="M19" s="374">
        <f t="shared" ref="M19" si="3">SUM(J19:L19)</f>
        <v>0</v>
      </c>
      <c r="N19" s="33"/>
      <c r="O19" s="80"/>
      <c r="P19" s="367"/>
    </row>
    <row r="20" spans="1:16" x14ac:dyDescent="0.25">
      <c r="A20" s="1511" t="s">
        <v>2009</v>
      </c>
      <c r="B20" s="376">
        <f>B216</f>
        <v>0</v>
      </c>
      <c r="C20" s="376">
        <f>E216</f>
        <v>0</v>
      </c>
      <c r="D20" s="373">
        <f>GlobalWarmingPotentials!$B$11*H216</f>
        <v>7.4760982540280546E-2</v>
      </c>
      <c r="E20" s="372">
        <f>GlobalWarmingPotentials!$C$11*K216</f>
        <v>0.2886424021555179</v>
      </c>
      <c r="F20" s="374">
        <f t="shared" si="0"/>
        <v>0.36340338469579847</v>
      </c>
      <c r="G20" s="375"/>
      <c r="H20" s="1511" t="s">
        <v>2009</v>
      </c>
      <c r="I20" s="376">
        <f>D216</f>
        <v>0</v>
      </c>
      <c r="J20" s="376">
        <f>G216</f>
        <v>0</v>
      </c>
      <c r="K20" s="373">
        <f>GlobalWarmingPotentials!$B$11*J216</f>
        <v>0</v>
      </c>
      <c r="L20" s="372">
        <f>GlobalWarmingPotentials!$C$11*M216</f>
        <v>0</v>
      </c>
      <c r="M20" s="374">
        <f t="shared" si="1"/>
        <v>0</v>
      </c>
      <c r="N20" s="33"/>
      <c r="O20" s="80"/>
      <c r="P20" s="367"/>
    </row>
    <row r="21" spans="1:16" x14ac:dyDescent="0.25">
      <c r="A21" s="1516" t="s">
        <v>873</v>
      </c>
      <c r="B21" s="376">
        <f>B223</f>
        <v>1927.7999999999997</v>
      </c>
      <c r="C21" s="376">
        <f>E223</f>
        <v>107.9568</v>
      </c>
      <c r="D21" s="373">
        <f>GlobalWarmingPotentials!$B$11*H223</f>
        <v>7.4248549941176458</v>
      </c>
      <c r="E21" s="372">
        <f>GlobalWarmingPotentials!$C$11*K223</f>
        <v>0.8482426729411765</v>
      </c>
      <c r="F21" s="374">
        <f t="shared" si="0"/>
        <v>116.22989766705884</v>
      </c>
      <c r="G21" s="375"/>
      <c r="H21" s="1516" t="s">
        <v>873</v>
      </c>
      <c r="I21" s="376">
        <f>D223</f>
        <v>289.16999999999996</v>
      </c>
      <c r="J21" s="376">
        <f>G223</f>
        <v>16.386299999999999</v>
      </c>
      <c r="K21" s="373">
        <f>GlobalWarmingPotentials!$B$11*J223</f>
        <v>1.0863152999999999</v>
      </c>
      <c r="L21" s="372">
        <f>GlobalWarmingPotentials!$C$11*M223</f>
        <v>0</v>
      </c>
      <c r="M21" s="374">
        <f t="shared" si="1"/>
        <v>17.472615299999998</v>
      </c>
      <c r="N21" s="33"/>
      <c r="O21" s="80"/>
      <c r="P21" s="367"/>
    </row>
    <row r="22" spans="1:16" x14ac:dyDescent="0.25">
      <c r="A22" s="1511" t="s">
        <v>2018</v>
      </c>
      <c r="B22" s="376">
        <f>B229</f>
        <v>0</v>
      </c>
      <c r="C22" s="376">
        <f>E229</f>
        <v>0</v>
      </c>
      <c r="D22" s="373">
        <f>GlobalWarmingPotentials!$B$11*H229</f>
        <v>9.767152941176474E-2</v>
      </c>
      <c r="E22" s="372">
        <f>GlobalWarmingPotentials!$C$11*K229</f>
        <v>0.3770970352941177</v>
      </c>
      <c r="F22" s="374">
        <f t="shared" si="0"/>
        <v>0.47476856470588247</v>
      </c>
      <c r="G22" s="375"/>
      <c r="H22" s="1497" t="s">
        <v>2018</v>
      </c>
      <c r="I22" s="376">
        <f>D229</f>
        <v>0</v>
      </c>
      <c r="J22" s="376">
        <f>G229</f>
        <v>0</v>
      </c>
      <c r="K22" s="373">
        <f>GlobalWarmingPotentials!$B$11*J229</f>
        <v>0</v>
      </c>
      <c r="L22" s="372">
        <f>GlobalWarmingPotentials!$C$11*M229</f>
        <v>0</v>
      </c>
      <c r="M22" s="374">
        <f t="shared" si="1"/>
        <v>0</v>
      </c>
      <c r="N22" s="33"/>
      <c r="O22" s="80"/>
      <c r="P22" s="367"/>
    </row>
    <row r="23" spans="1:16" x14ac:dyDescent="0.25">
      <c r="A23" s="378" t="s">
        <v>869</v>
      </c>
      <c r="B23" s="376">
        <f>B235</f>
        <v>0</v>
      </c>
      <c r="C23" s="376">
        <f>E235</f>
        <v>0</v>
      </c>
      <c r="D23" s="373">
        <f>GlobalWarmingPotentials!$B$11*H235</f>
        <v>-1.1280488043874071</v>
      </c>
      <c r="E23" s="372">
        <f>GlobalWarmingPotentials!$C$11*K235</f>
        <v>-4.3552492969392063</v>
      </c>
      <c r="F23" s="374">
        <f t="shared" si="0"/>
        <v>-5.4832981013266133</v>
      </c>
      <c r="G23" s="375"/>
      <c r="H23" s="378" t="s">
        <v>869</v>
      </c>
      <c r="I23" s="376">
        <f>D235</f>
        <v>0</v>
      </c>
      <c r="J23" s="376">
        <f>G235</f>
        <v>0</v>
      </c>
      <c r="K23" s="373">
        <f>GlobalWarmingPotentials!$B$11*J235</f>
        <v>0</v>
      </c>
      <c r="L23" s="372">
        <f>GlobalWarmingPotentials!$C$11*M235</f>
        <v>0</v>
      </c>
      <c r="M23" s="374">
        <f t="shared" si="1"/>
        <v>0</v>
      </c>
      <c r="N23" s="33"/>
      <c r="O23" s="80"/>
      <c r="P23" s="367"/>
    </row>
    <row r="24" spans="1:16" x14ac:dyDescent="0.25">
      <c r="A24" s="412" t="s">
        <v>855</v>
      </c>
      <c r="B24" s="376">
        <f>B345</f>
        <v>0</v>
      </c>
      <c r="C24" s="376">
        <f>E345</f>
        <v>0</v>
      </c>
      <c r="D24" s="373">
        <f>GlobalWarmingPotentials!$B$11*H345</f>
        <v>0</v>
      </c>
      <c r="E24" s="372">
        <f>GlobalWarmingPotentials!$C$11*K345</f>
        <v>0</v>
      </c>
      <c r="F24" s="374">
        <f t="shared" si="0"/>
        <v>0</v>
      </c>
      <c r="G24" s="375"/>
      <c r="H24" s="412" t="s">
        <v>855</v>
      </c>
      <c r="I24" s="376">
        <f>D345</f>
        <v>0</v>
      </c>
      <c r="J24" s="376">
        <f>G345</f>
        <v>0</v>
      </c>
      <c r="K24" s="373">
        <f>GlobalWarmingPotentials!$B$11*J345</f>
        <v>0</v>
      </c>
      <c r="L24" s="372">
        <f>GlobalWarmingPotentials!$C$11*M345</f>
        <v>0</v>
      </c>
      <c r="M24" s="374">
        <f t="shared" si="1"/>
        <v>0</v>
      </c>
      <c r="N24" s="33"/>
      <c r="O24" s="80"/>
      <c r="P24" s="367"/>
    </row>
    <row r="25" spans="1:16" x14ac:dyDescent="0.25">
      <c r="A25" s="412" t="s">
        <v>874</v>
      </c>
      <c r="B25" s="376">
        <f>B269</f>
        <v>517.88672232212184</v>
      </c>
      <c r="C25" s="376">
        <f>E269</f>
        <v>37.164284826471004</v>
      </c>
      <c r="D25" s="373">
        <f>GlobalWarmingPotentials!$B$11*H269</f>
        <v>0.1776163222875497</v>
      </c>
      <c r="E25" s="372">
        <f>GlobalWarmingPotentials!$C$11*K269</f>
        <v>2.9715982963586582</v>
      </c>
      <c r="F25" s="374">
        <f t="shared" si="0"/>
        <v>40.313499445117209</v>
      </c>
      <c r="G25" s="375"/>
      <c r="H25" s="412" t="s">
        <v>874</v>
      </c>
      <c r="I25" s="376">
        <f>D269</f>
        <v>24.34067594913973</v>
      </c>
      <c r="J25" s="376">
        <f>G269</f>
        <v>1.7467213868441371</v>
      </c>
      <c r="K25" s="373">
        <f>GlobalWarmingPotentials!$B$11*J269</f>
        <v>8.3479671475148367E-3</v>
      </c>
      <c r="L25" s="372">
        <f>GlobalWarmingPotentials!$C$11*M269</f>
        <v>0.13966511992885694</v>
      </c>
      <c r="M25" s="374">
        <f t="shared" si="1"/>
        <v>1.894734473920509</v>
      </c>
      <c r="N25" s="33"/>
      <c r="O25" s="80"/>
      <c r="P25" s="367"/>
    </row>
    <row r="26" spans="1:16" x14ac:dyDescent="0.25">
      <c r="A26" s="412" t="s">
        <v>877</v>
      </c>
      <c r="B26" s="787">
        <f>B303</f>
        <v>0</v>
      </c>
      <c r="C26" s="787">
        <f>E303</f>
        <v>0</v>
      </c>
      <c r="D26" s="376">
        <f>GlobalWarmingPotentials!$B$11*H303</f>
        <v>0</v>
      </c>
      <c r="E26" s="376">
        <f>GlobalWarmingPotentials!$C$11*K303</f>
        <v>0</v>
      </c>
      <c r="F26" s="792">
        <f t="shared" si="0"/>
        <v>0</v>
      </c>
      <c r="G26" s="788"/>
      <c r="H26" s="412" t="s">
        <v>877</v>
      </c>
      <c r="I26" s="787">
        <f>D303</f>
        <v>0</v>
      </c>
      <c r="J26" s="787">
        <f>G303</f>
        <v>0</v>
      </c>
      <c r="K26" s="376">
        <f>GlobalWarmingPotentials!$B$11*J303</f>
        <v>0</v>
      </c>
      <c r="L26" s="376">
        <f>GlobalWarmingPotentials!$C$11*M303</f>
        <v>0</v>
      </c>
      <c r="M26" s="792">
        <f t="shared" si="1"/>
        <v>0</v>
      </c>
      <c r="N26" s="33"/>
      <c r="O26" s="80"/>
      <c r="P26" s="367"/>
    </row>
    <row r="27" spans="1:16" x14ac:dyDescent="0.25">
      <c r="A27" s="412" t="s">
        <v>878</v>
      </c>
      <c r="B27" s="787">
        <f>B337</f>
        <v>0</v>
      </c>
      <c r="C27" s="787">
        <f>E337</f>
        <v>0</v>
      </c>
      <c r="D27" s="376">
        <f>GlobalWarmingPotentials!$B$11*H337</f>
        <v>0</v>
      </c>
      <c r="E27" s="376">
        <f>GlobalWarmingPotentials!$C$11*K337</f>
        <v>0</v>
      </c>
      <c r="F27" s="792">
        <f t="shared" si="0"/>
        <v>0</v>
      </c>
      <c r="G27" s="788"/>
      <c r="H27" s="412" t="s">
        <v>878</v>
      </c>
      <c r="I27" s="787">
        <f>D337</f>
        <v>0</v>
      </c>
      <c r="J27" s="787">
        <f>G337</f>
        <v>0</v>
      </c>
      <c r="K27" s="376">
        <f>GlobalWarmingPotentials!$B$11*J337</f>
        <v>0</v>
      </c>
      <c r="L27" s="376">
        <f>GlobalWarmingPotentials!$C$11*M337</f>
        <v>0</v>
      </c>
      <c r="M27" s="792">
        <f t="shared" si="1"/>
        <v>0</v>
      </c>
      <c r="N27" s="33"/>
      <c r="O27" s="80"/>
      <c r="P27" s="367"/>
    </row>
    <row r="28" spans="1:16" ht="13.8" thickBot="1" x14ac:dyDescent="0.3">
      <c r="A28" s="379" t="s">
        <v>369</v>
      </c>
      <c r="B28" s="380">
        <f>SUM(B11:B27)</f>
        <v>19029.924609561138</v>
      </c>
      <c r="C28" s="380">
        <f>SUM(C11:C27)</f>
        <v>1196.1892112040041</v>
      </c>
      <c r="D28" s="380">
        <f>SUM(D11:D27)</f>
        <v>41.112244826075141</v>
      </c>
      <c r="E28" s="380">
        <f>SUM(E11:E27)</f>
        <v>537.68712073502957</v>
      </c>
      <c r="F28" s="790">
        <f>SUM(F11:F27)</f>
        <v>1774.988576765109</v>
      </c>
      <c r="G28" s="789"/>
      <c r="H28" s="379" t="s">
        <v>369</v>
      </c>
      <c r="I28" s="380">
        <f>SQRT(SUMSQ(I11:I27))</f>
        <v>927.66717480673935</v>
      </c>
      <c r="J28" s="380">
        <f>SQRT(SUMSQ(J11:J27))</f>
        <v>56.544037044773241</v>
      </c>
      <c r="K28" s="380">
        <f>SQRT(SUMSQ(K11:K27))</f>
        <v>2.6091650012095138</v>
      </c>
      <c r="L28" s="380">
        <f>SQRT(SUMSQ(L11:L27))</f>
        <v>41.249096246763379</v>
      </c>
      <c r="M28" s="790">
        <f>SQRT(SUMSQ(M11:M27))</f>
        <v>87.671592224869187</v>
      </c>
      <c r="N28" s="80"/>
      <c r="O28" s="80"/>
      <c r="P28" s="367"/>
    </row>
    <row r="29" spans="1:16" x14ac:dyDescent="0.25">
      <c r="A29" s="33"/>
      <c r="B29" s="80"/>
      <c r="C29" s="366"/>
      <c r="D29" s="80"/>
      <c r="E29" s="80"/>
      <c r="F29" s="80"/>
      <c r="G29" s="80"/>
      <c r="H29" s="58"/>
      <c r="I29" s="80"/>
      <c r="J29" s="80"/>
      <c r="K29" s="58"/>
      <c r="L29" s="58"/>
      <c r="M29" s="58"/>
      <c r="N29" s="33"/>
      <c r="O29" s="80"/>
      <c r="P29" s="367"/>
    </row>
    <row r="30" spans="1:16" x14ac:dyDescent="0.25">
      <c r="A30" s="33"/>
      <c r="B30" s="80"/>
      <c r="C30" s="366"/>
      <c r="D30" s="80"/>
      <c r="E30" s="80"/>
      <c r="F30" s="80"/>
      <c r="G30" s="80"/>
      <c r="H30" s="80"/>
      <c r="I30" s="80"/>
      <c r="J30" s="80"/>
      <c r="K30" s="80"/>
      <c r="L30" s="80"/>
      <c r="M30" s="80"/>
      <c r="N30" s="33"/>
      <c r="O30" s="80"/>
      <c r="P30" s="367"/>
    </row>
    <row r="31" spans="1:16" x14ac:dyDescent="0.25">
      <c r="A31" s="33"/>
      <c r="B31" s="80"/>
      <c r="C31" s="366"/>
      <c r="D31" s="80"/>
      <c r="E31" s="80"/>
      <c r="F31" s="80"/>
      <c r="G31" s="80"/>
      <c r="H31" s="80"/>
      <c r="I31" s="80"/>
      <c r="J31" s="80"/>
      <c r="K31" s="80"/>
      <c r="L31" s="80"/>
      <c r="M31" s="80"/>
      <c r="N31" s="33"/>
      <c r="O31" s="80"/>
      <c r="P31" s="367"/>
    </row>
    <row r="32" spans="1:16" x14ac:dyDescent="0.25">
      <c r="A32" s="33"/>
      <c r="B32" s="80"/>
      <c r="C32" s="366"/>
      <c r="D32" s="80"/>
      <c r="E32" s="80"/>
      <c r="F32" s="80"/>
      <c r="G32" s="80"/>
      <c r="H32" s="80"/>
      <c r="I32" s="80"/>
      <c r="J32" s="80"/>
      <c r="K32" s="80"/>
      <c r="L32" s="80"/>
      <c r="M32" s="80"/>
      <c r="N32" s="33"/>
      <c r="O32" s="80"/>
      <c r="P32" s="367"/>
    </row>
    <row r="33" spans="1:16" x14ac:dyDescent="0.25">
      <c r="A33" s="33"/>
      <c r="B33" s="80"/>
      <c r="C33" s="366"/>
      <c r="D33" s="80"/>
      <c r="E33" s="80"/>
      <c r="F33" s="80"/>
      <c r="G33" s="80"/>
      <c r="H33" s="80"/>
      <c r="I33" s="80"/>
      <c r="J33" s="80"/>
      <c r="K33" s="80"/>
      <c r="L33" s="80"/>
      <c r="M33" s="80"/>
      <c r="N33" s="33"/>
      <c r="O33" s="80"/>
      <c r="P33" s="367"/>
    </row>
    <row r="34" spans="1:16" x14ac:dyDescent="0.25">
      <c r="A34" s="33"/>
      <c r="B34" s="80"/>
      <c r="C34" s="366"/>
      <c r="D34" s="80"/>
      <c r="E34" s="80"/>
      <c r="F34" s="80"/>
      <c r="G34" s="80"/>
      <c r="H34" s="80"/>
      <c r="I34" s="80"/>
      <c r="J34" s="80"/>
      <c r="K34" s="80"/>
      <c r="L34" s="80"/>
      <c r="M34" s="80"/>
      <c r="N34" s="33"/>
      <c r="O34" s="80"/>
      <c r="P34" s="367"/>
    </row>
    <row r="35" spans="1:16" x14ac:dyDescent="0.25">
      <c r="A35" s="33"/>
      <c r="B35" s="80"/>
      <c r="C35" s="366"/>
      <c r="D35" s="80"/>
      <c r="E35" s="80"/>
      <c r="F35" s="80"/>
      <c r="G35" s="80"/>
      <c r="H35" s="80"/>
      <c r="I35" s="80"/>
      <c r="J35" s="80"/>
      <c r="K35" s="80"/>
      <c r="L35" s="80"/>
      <c r="M35" s="80"/>
      <c r="N35" s="33"/>
      <c r="O35" s="80"/>
      <c r="P35" s="367"/>
    </row>
    <row r="36" spans="1:16" x14ac:dyDescent="0.25">
      <c r="A36" s="33"/>
      <c r="B36" s="80"/>
      <c r="C36" s="366"/>
      <c r="D36" s="80"/>
      <c r="E36" s="80"/>
      <c r="F36" s="80"/>
      <c r="G36" s="80"/>
      <c r="H36" s="80"/>
      <c r="I36" s="80"/>
      <c r="J36" s="80"/>
      <c r="K36" s="80"/>
      <c r="L36" s="80"/>
      <c r="M36" s="80"/>
      <c r="N36" s="33"/>
      <c r="O36" s="80"/>
      <c r="P36" s="367"/>
    </row>
    <row r="37" spans="1:16" x14ac:dyDescent="0.25">
      <c r="A37" s="33"/>
      <c r="B37" s="80"/>
      <c r="C37" s="366"/>
      <c r="D37" s="80"/>
      <c r="E37" s="80"/>
      <c r="F37" s="80"/>
      <c r="G37" s="80"/>
      <c r="H37" s="80"/>
      <c r="I37" s="80"/>
      <c r="J37" s="80"/>
      <c r="K37" s="80"/>
      <c r="L37" s="80"/>
      <c r="M37" s="80"/>
      <c r="N37" s="33"/>
      <c r="O37" s="80"/>
      <c r="P37" s="367"/>
    </row>
    <row r="38" spans="1:16" x14ac:dyDescent="0.25">
      <c r="A38" s="33"/>
      <c r="B38" s="80"/>
      <c r="C38" s="366"/>
      <c r="D38" s="80"/>
      <c r="E38" s="80"/>
      <c r="F38" s="80"/>
      <c r="G38" s="80"/>
      <c r="H38" s="80"/>
      <c r="I38" s="80"/>
      <c r="J38" s="80"/>
      <c r="K38" s="80"/>
      <c r="L38" s="80"/>
      <c r="M38" s="80"/>
      <c r="N38" s="33"/>
      <c r="O38" s="80"/>
      <c r="P38" s="367"/>
    </row>
    <row r="39" spans="1:16" x14ac:dyDescent="0.25">
      <c r="A39" s="33"/>
      <c r="B39" s="80"/>
      <c r="C39" s="366"/>
      <c r="D39" s="80"/>
      <c r="E39" s="80"/>
      <c r="F39" s="80"/>
      <c r="G39" s="80"/>
      <c r="H39" s="80"/>
      <c r="I39" s="80"/>
      <c r="J39" s="80"/>
      <c r="K39" s="80"/>
      <c r="L39" s="80"/>
      <c r="M39" s="80"/>
      <c r="N39" s="33"/>
      <c r="O39" s="80"/>
      <c r="P39" s="367"/>
    </row>
    <row r="40" spans="1:16" x14ac:dyDescent="0.25">
      <c r="A40" s="33"/>
      <c r="B40" s="80"/>
      <c r="C40" s="366"/>
      <c r="D40" s="80"/>
      <c r="E40" s="80"/>
      <c r="F40" s="80"/>
      <c r="G40" s="80"/>
      <c r="H40" s="80"/>
      <c r="I40" s="80"/>
      <c r="J40" s="80"/>
      <c r="K40" s="80"/>
      <c r="L40" s="80"/>
      <c r="M40" s="80"/>
      <c r="N40" s="33"/>
      <c r="O40" s="80"/>
      <c r="P40" s="367"/>
    </row>
    <row r="41" spans="1:16" x14ac:dyDescent="0.25">
      <c r="A41" s="33"/>
      <c r="B41" s="80"/>
      <c r="C41" s="366"/>
      <c r="D41" s="80"/>
      <c r="E41" s="80"/>
      <c r="F41" s="80"/>
      <c r="G41" s="80"/>
      <c r="H41" s="80"/>
      <c r="I41" s="80"/>
      <c r="J41" s="80"/>
      <c r="K41" s="80"/>
      <c r="L41" s="80"/>
      <c r="M41" s="80"/>
      <c r="N41" s="33"/>
      <c r="O41" s="80"/>
      <c r="P41" s="367"/>
    </row>
    <row r="42" spans="1:16" x14ac:dyDescent="0.25">
      <c r="A42" s="33"/>
      <c r="B42" s="80"/>
      <c r="C42" s="366"/>
      <c r="D42" s="80"/>
      <c r="E42" s="80"/>
      <c r="F42" s="80"/>
      <c r="G42" s="80"/>
      <c r="H42" s="80"/>
      <c r="I42" s="80"/>
      <c r="J42" s="80"/>
      <c r="K42" s="80"/>
      <c r="L42" s="80"/>
      <c r="M42" s="80"/>
      <c r="N42" s="33"/>
      <c r="O42" s="80"/>
      <c r="P42" s="367"/>
    </row>
    <row r="43" spans="1:16" x14ac:dyDescent="0.25">
      <c r="A43" s="33"/>
      <c r="B43" s="80"/>
      <c r="C43" s="366"/>
      <c r="D43" s="80"/>
      <c r="E43" s="80"/>
      <c r="F43" s="80"/>
      <c r="G43" s="80"/>
      <c r="H43" s="80"/>
      <c r="I43" s="80"/>
      <c r="J43" s="80"/>
      <c r="K43" s="80"/>
      <c r="L43" s="80"/>
      <c r="M43" s="80"/>
      <c r="N43" s="33"/>
      <c r="O43" s="80"/>
      <c r="P43" s="367"/>
    </row>
    <row r="44" spans="1:16" x14ac:dyDescent="0.25">
      <c r="A44" s="33"/>
      <c r="B44" s="80"/>
      <c r="C44" s="366"/>
      <c r="D44" s="80"/>
      <c r="E44" s="80"/>
      <c r="F44" s="80"/>
      <c r="G44" s="80"/>
      <c r="H44" s="80"/>
      <c r="I44" s="80"/>
      <c r="J44" s="80"/>
      <c r="K44" s="80"/>
      <c r="L44" s="80"/>
      <c r="M44" s="80"/>
      <c r="N44" s="33"/>
      <c r="O44" s="80"/>
      <c r="P44" s="367"/>
    </row>
    <row r="45" spans="1:16" x14ac:dyDescent="0.25">
      <c r="A45" s="33"/>
      <c r="B45" s="80"/>
      <c r="C45" s="366"/>
      <c r="D45" s="80"/>
      <c r="E45" s="80"/>
      <c r="F45" s="80"/>
      <c r="G45" s="80"/>
      <c r="H45" s="80"/>
      <c r="I45" s="80"/>
      <c r="J45" s="80"/>
      <c r="K45" s="80"/>
      <c r="L45" s="80"/>
      <c r="M45" s="80"/>
      <c r="N45" s="33"/>
      <c r="O45" s="80"/>
      <c r="P45" s="367"/>
    </row>
    <row r="46" spans="1:16" x14ac:dyDescent="0.25">
      <c r="A46" s="33"/>
      <c r="B46" s="80"/>
      <c r="C46" s="366"/>
      <c r="D46" s="80"/>
      <c r="E46" s="80"/>
      <c r="F46" s="80"/>
      <c r="G46" s="80"/>
      <c r="H46" s="80"/>
      <c r="I46" s="80"/>
      <c r="J46" s="80"/>
      <c r="K46" s="80"/>
      <c r="L46" s="80"/>
      <c r="M46" s="80"/>
      <c r="N46" s="33"/>
      <c r="O46" s="80"/>
      <c r="P46" s="367"/>
    </row>
    <row r="47" spans="1:16" x14ac:dyDescent="0.25">
      <c r="A47" s="33"/>
      <c r="B47" s="80"/>
      <c r="C47" s="366"/>
      <c r="D47" s="80"/>
      <c r="E47" s="80"/>
      <c r="F47" s="80"/>
      <c r="G47" s="80"/>
      <c r="H47" s="80"/>
      <c r="I47" s="80"/>
      <c r="J47" s="80"/>
      <c r="K47" s="80"/>
      <c r="L47" s="80"/>
      <c r="M47" s="80"/>
      <c r="N47" s="33"/>
      <c r="O47" s="80"/>
      <c r="P47" s="367"/>
    </row>
    <row r="48" spans="1:16" x14ac:dyDescent="0.25">
      <c r="A48" s="33"/>
      <c r="B48" s="80"/>
      <c r="C48" s="366"/>
      <c r="D48" s="80"/>
      <c r="E48" s="80"/>
      <c r="F48" s="80"/>
      <c r="G48" s="80"/>
      <c r="H48" s="80"/>
      <c r="I48" s="80"/>
      <c r="J48" s="80"/>
      <c r="K48" s="80"/>
      <c r="L48" s="80"/>
      <c r="M48" s="80"/>
      <c r="N48" s="33"/>
      <c r="O48" s="80"/>
      <c r="P48" s="367"/>
    </row>
    <row r="49" spans="1:16" x14ac:dyDescent="0.25">
      <c r="A49" s="33"/>
      <c r="B49" s="80"/>
      <c r="C49" s="366"/>
      <c r="D49" s="80"/>
      <c r="E49" s="80"/>
      <c r="F49" s="80"/>
      <c r="G49" s="80"/>
      <c r="H49" s="80"/>
      <c r="I49" s="80"/>
      <c r="J49" s="80"/>
      <c r="K49" s="80"/>
      <c r="L49" s="80"/>
      <c r="M49" s="80"/>
      <c r="N49" s="33"/>
      <c r="O49" s="80"/>
      <c r="P49" s="367"/>
    </row>
    <row r="50" spans="1:16" x14ac:dyDescent="0.25">
      <c r="A50" s="33"/>
      <c r="B50" s="80"/>
      <c r="C50" s="366"/>
      <c r="D50" s="80"/>
      <c r="E50" s="80"/>
      <c r="F50" s="80"/>
      <c r="G50" s="80"/>
      <c r="H50" s="80"/>
      <c r="I50" s="80"/>
      <c r="J50" s="80"/>
      <c r="K50" s="80"/>
      <c r="L50" s="80"/>
      <c r="M50" s="80"/>
      <c r="N50" s="33"/>
      <c r="O50" s="80"/>
      <c r="P50" s="367"/>
    </row>
    <row r="51" spans="1:16" x14ac:dyDescent="0.25">
      <c r="A51" s="33"/>
      <c r="B51" s="80"/>
      <c r="C51" s="366"/>
      <c r="D51" s="80"/>
      <c r="E51" s="80"/>
      <c r="F51" s="80"/>
      <c r="G51" s="80"/>
      <c r="H51" s="80"/>
      <c r="I51" s="80"/>
      <c r="J51" s="80"/>
      <c r="K51" s="80"/>
      <c r="L51" s="80"/>
      <c r="M51" s="80"/>
      <c r="N51" s="33"/>
      <c r="O51" s="80"/>
      <c r="P51" s="367"/>
    </row>
    <row r="52" spans="1:16" x14ac:dyDescent="0.25">
      <c r="A52" s="33"/>
      <c r="B52" s="80"/>
      <c r="C52" s="366"/>
      <c r="D52" s="80"/>
      <c r="E52" s="80"/>
      <c r="F52" s="80"/>
      <c r="G52" s="80"/>
      <c r="H52" s="80"/>
      <c r="I52" s="80"/>
      <c r="J52" s="80"/>
      <c r="K52" s="80"/>
      <c r="L52" s="80"/>
      <c r="M52" s="80"/>
      <c r="N52" s="33"/>
      <c r="O52" s="80"/>
      <c r="P52" s="367"/>
    </row>
    <row r="53" spans="1:16" x14ac:dyDescent="0.25">
      <c r="A53" s="33"/>
      <c r="B53" s="80"/>
      <c r="C53" s="366"/>
      <c r="D53" s="80"/>
      <c r="E53" s="80"/>
      <c r="F53" s="80"/>
      <c r="G53" s="80"/>
      <c r="H53" s="80"/>
      <c r="I53" s="80"/>
      <c r="J53" s="80"/>
      <c r="K53" s="80"/>
      <c r="L53" s="80"/>
      <c r="M53" s="80"/>
      <c r="N53" s="33"/>
      <c r="O53" s="80"/>
      <c r="P53" s="367"/>
    </row>
    <row r="54" spans="1:16" x14ac:dyDescent="0.25">
      <c r="A54" s="32" t="s">
        <v>43</v>
      </c>
      <c r="B54" s="90"/>
      <c r="C54" s="90"/>
      <c r="D54" s="90"/>
      <c r="E54" s="90"/>
      <c r="F54" s="90"/>
      <c r="G54" s="90"/>
      <c r="H54" s="90"/>
      <c r="I54" s="90"/>
      <c r="J54" s="381"/>
      <c r="K54" s="90"/>
      <c r="L54" s="90"/>
      <c r="M54" s="381"/>
      <c r="N54" s="32"/>
      <c r="O54" s="90"/>
      <c r="P54" s="382"/>
    </row>
    <row r="55" spans="1:16" x14ac:dyDescent="0.25">
      <c r="A55" s="39"/>
      <c r="B55" s="39"/>
      <c r="C55" s="39"/>
      <c r="D55" s="39"/>
      <c r="E55" s="39"/>
      <c r="F55" s="39"/>
      <c r="G55" s="39"/>
      <c r="H55" s="39"/>
      <c r="I55" s="39"/>
      <c r="J55" s="40"/>
      <c r="K55" s="39"/>
      <c r="L55" s="39"/>
      <c r="M55" s="40"/>
      <c r="N55" s="39"/>
      <c r="O55" s="39"/>
      <c r="P55" s="383"/>
    </row>
    <row r="56" spans="1:16" x14ac:dyDescent="0.25">
      <c r="A56" s="21" t="s">
        <v>245</v>
      </c>
      <c r="B56" s="28" t="s">
        <v>21</v>
      </c>
      <c r="C56" s="22"/>
      <c r="D56" s="21"/>
      <c r="E56" s="28" t="s">
        <v>22</v>
      </c>
      <c r="F56" s="22"/>
      <c r="G56" s="18"/>
      <c r="H56" s="6" t="s">
        <v>23</v>
      </c>
      <c r="I56" s="22"/>
      <c r="J56" s="18"/>
      <c r="K56" s="6" t="s">
        <v>24</v>
      </c>
      <c r="L56" s="22"/>
      <c r="M56" s="18"/>
      <c r="N56" s="6" t="s">
        <v>25</v>
      </c>
      <c r="O56" s="22"/>
      <c r="P56" s="18"/>
    </row>
    <row r="57" spans="1:16" x14ac:dyDescent="0.25">
      <c r="A57" s="22"/>
    </row>
    <row r="58" spans="1:16" x14ac:dyDescent="0.25">
      <c r="A58" s="20"/>
      <c r="B58" s="27" t="s">
        <v>1684</v>
      </c>
      <c r="C58" s="20" t="s">
        <v>20</v>
      </c>
      <c r="D58" s="20" t="s">
        <v>1685</v>
      </c>
      <c r="E58" s="27" t="s">
        <v>1686</v>
      </c>
      <c r="F58" s="20" t="s">
        <v>20</v>
      </c>
      <c r="G58" s="19" t="s">
        <v>1687</v>
      </c>
      <c r="H58" s="27" t="s">
        <v>1688</v>
      </c>
      <c r="I58" s="20" t="s">
        <v>20</v>
      </c>
      <c r="J58" s="19" t="s">
        <v>1689</v>
      </c>
      <c r="K58" s="27" t="s">
        <v>1690</v>
      </c>
      <c r="L58" s="20" t="s">
        <v>20</v>
      </c>
      <c r="M58" s="19" t="s">
        <v>1691</v>
      </c>
      <c r="N58" s="27" t="s">
        <v>1692</v>
      </c>
      <c r="O58" s="20" t="s">
        <v>20</v>
      </c>
      <c r="P58" s="19" t="s">
        <v>1693</v>
      </c>
    </row>
    <row r="59" spans="1:16" x14ac:dyDescent="0.25">
      <c r="A59" s="384" t="s">
        <v>19</v>
      </c>
    </row>
    <row r="60" spans="1:16" x14ac:dyDescent="0.25">
      <c r="A60" s="384" t="str">
        <f>Cultivation!A43</f>
        <v>MAIN LAND USE</v>
      </c>
    </row>
    <row r="61" spans="1:16" x14ac:dyDescent="0.25">
      <c r="A61" s="894" t="str">
        <f>Cultivation!A44</f>
        <v xml:space="preserve"> - Diesel Fuel</v>
      </c>
      <c r="B61" s="710">
        <f>(Unitflowchart!$S$15*(AllocationPrice!$H$28/100)*Cultivation!J44)/Unitflowchart!$S$357</f>
        <v>3335.5910597487418</v>
      </c>
      <c r="C61" s="25">
        <f>(B61/B$347)*100</f>
        <v>17.528135965777039</v>
      </c>
      <c r="D61" s="724">
        <f>(Unitflowchart!$S$15*(AllocationPrice!$H$28/100)*Cultivation!K44)/Unitflowchart!$S$357</f>
        <v>0</v>
      </c>
      <c r="E61" s="710">
        <f>(Unitflowchart!$S$15*(AllocationPrice!$H$28/100)*Cultivation!P44)/Unitflowchart!$S$357</f>
        <v>239.36673960918276</v>
      </c>
      <c r="F61" s="25">
        <f>(E61/E$347)*100</f>
        <v>20.010775667191663</v>
      </c>
      <c r="G61" s="724">
        <f>(Unitflowchart!$S$15*(AllocationPrice!$H$28/100)*Cultivation!Q44)/Unitflowchart!$S$357</f>
        <v>0</v>
      </c>
      <c r="H61" s="710">
        <f>(Unitflowchart!$S$15*(AllocationPrice!$H$28/100)*Cultivation!V44)/Unitflowchart!$S$357</f>
        <v>4.9738543295414606E-2</v>
      </c>
      <c r="I61" s="25">
        <f>(H61/H$347)*100</f>
        <v>2.7825931194809654</v>
      </c>
      <c r="J61" s="724">
        <f>(Unitflowchart!$S$15*(AllocationPrice!$H$28/100)*Cultivation!W44)/Unitflowchart!$S$357</f>
        <v>0</v>
      </c>
      <c r="K61" s="710">
        <f>(Unitflowchart!$S$15*(AllocationPrice!$H$28/100)*Cultivation!AB44)/Unitflowchart!$S$357</f>
        <v>6.4660106284038982E-2</v>
      </c>
      <c r="L61" s="25">
        <f>(K61/K$347)*100</f>
        <v>3.559577814307993</v>
      </c>
      <c r="M61" s="724">
        <f>(Unitflowchart!$S$15*(AllocationPrice!$H$28/100)*Cultivation!AC44)/Unitflowchart!$S$357</f>
        <v>0</v>
      </c>
      <c r="N61" s="711">
        <f>E61+(GlobalWarmingPotentials!$B$11*H61)+(GlobalWarmingPotentials!$C$11*K61)</f>
        <v>259.65011756505282</v>
      </c>
      <c r="O61" s="25">
        <f>(N61/N$347)*100</f>
        <v>14.628269779530717</v>
      </c>
      <c r="P61" s="736">
        <f>SQRT((G61^2)+((GlobalWarmingPotentials!$B$11*J61)^2)+((GlobalWarmingPotentials!$C$11*M61)^2))</f>
        <v>0</v>
      </c>
    </row>
    <row r="62" spans="1:16" s="42" customFormat="1" x14ac:dyDescent="0.25">
      <c r="A62" s="852"/>
      <c r="B62" s="713"/>
      <c r="C62" s="863"/>
      <c r="D62" s="719"/>
      <c r="E62" s="713"/>
      <c r="F62" s="863"/>
      <c r="G62" s="719"/>
      <c r="H62" s="713"/>
      <c r="I62" s="863"/>
      <c r="J62" s="719"/>
      <c r="K62" s="713"/>
      <c r="L62" s="863"/>
      <c r="M62" s="719"/>
      <c r="N62" s="713"/>
      <c r="O62" s="863"/>
      <c r="P62" s="738"/>
    </row>
    <row r="63" spans="1:16" s="5" customFormat="1" x14ac:dyDescent="0.25">
      <c r="A63" s="122" t="str">
        <f>Cultivation!A46</f>
        <v>Sub-Totals for Fuel</v>
      </c>
      <c r="B63" s="867">
        <f>(Unitflowchart!$S$15*(AllocationPrice!$H$28/100)*Cultivation!J46)/Unitflowchart!$S$357</f>
        <v>3335.5910597487418</v>
      </c>
      <c r="C63" s="868">
        <f>(B63/B$347)*100</f>
        <v>17.528135965777039</v>
      </c>
      <c r="D63" s="1304">
        <f>(Unitflowchart!$S$15*(AllocationPrice!$H$28/100)*Cultivation!K46)/Unitflowchart!$S$357</f>
        <v>0</v>
      </c>
      <c r="E63" s="867">
        <f>(Unitflowchart!$S$15*(AllocationPrice!$H$28/100)*Cultivation!P46)/Unitflowchart!$S$357</f>
        <v>239.36673960918276</v>
      </c>
      <c r="F63" s="868">
        <f>(E63/E$347)*100</f>
        <v>20.010775667191663</v>
      </c>
      <c r="G63" s="1304">
        <f>(Unitflowchart!$S$15*(AllocationPrice!$H$28/100)*Cultivation!Q46)/Unitflowchart!$S$357</f>
        <v>0</v>
      </c>
      <c r="H63" s="867">
        <f>(Unitflowchart!$S$15*(AllocationPrice!$H$28/100)*Cultivation!V46)/Unitflowchart!$S$357</f>
        <v>4.9738543295414606E-2</v>
      </c>
      <c r="I63" s="868">
        <f>(H63/H$347)*100</f>
        <v>2.7825931194809654</v>
      </c>
      <c r="J63" s="1304">
        <f>(Unitflowchart!$S$15*(AllocationPrice!$H$28/100)*Cultivation!W46)/Unitflowchart!$S$357</f>
        <v>0</v>
      </c>
      <c r="K63" s="867">
        <f>(Unitflowchart!$S$15*(AllocationPrice!$H$28/100)*Cultivation!AB46)/Unitflowchart!$S$357</f>
        <v>6.4660106284038982E-2</v>
      </c>
      <c r="L63" s="868">
        <f>(K63/K$347)*100</f>
        <v>3.559577814307993</v>
      </c>
      <c r="M63" s="1304">
        <f>(Unitflowchart!$S$15*(AllocationPrice!$H$28/100)*Cultivation!AC46)/Unitflowchart!$S$357</f>
        <v>0</v>
      </c>
      <c r="N63" s="870">
        <f>E63+(GlobalWarmingPotentials!$B$11*H63)+(GlobalWarmingPotentials!$C$11*K63)</f>
        <v>259.65011756505282</v>
      </c>
      <c r="O63" s="868">
        <f>(N63/N$347)*100</f>
        <v>14.628269779530717</v>
      </c>
      <c r="P63" s="895">
        <f>SQRT((G63^2)+((GlobalWarmingPotentials!$B$11*J63)^2)+((GlobalWarmingPotentials!$C$11*M63)^2))</f>
        <v>0</v>
      </c>
    </row>
    <row r="64" spans="1:16" s="42" customFormat="1" x14ac:dyDescent="0.25">
      <c r="A64" s="852"/>
      <c r="B64" s="713"/>
      <c r="C64" s="863"/>
      <c r="D64" s="719"/>
      <c r="E64" s="713"/>
      <c r="F64" s="863"/>
      <c r="G64" s="719"/>
      <c r="H64" s="713"/>
      <c r="I64" s="863"/>
      <c r="J64" s="719"/>
      <c r="K64" s="713"/>
      <c r="L64" s="863"/>
      <c r="M64" s="719"/>
      <c r="N64" s="713"/>
      <c r="O64" s="863"/>
      <c r="P64" s="738"/>
    </row>
    <row r="65" spans="1:16" x14ac:dyDescent="0.25">
      <c r="A65" s="894" t="str">
        <f>Cultivation!A48</f>
        <v>Machinery:</v>
      </c>
      <c r="B65" s="713"/>
      <c r="C65" s="863"/>
      <c r="D65" s="719"/>
      <c r="E65" s="713"/>
      <c r="F65" s="863"/>
      <c r="G65" s="719"/>
      <c r="H65" s="713"/>
      <c r="I65" s="863"/>
      <c r="J65" s="719"/>
      <c r="K65" s="713"/>
      <c r="L65" s="863"/>
      <c r="M65" s="719"/>
      <c r="N65" s="713"/>
      <c r="O65" s="863"/>
      <c r="P65" s="738"/>
    </row>
    <row r="66" spans="1:16" x14ac:dyDescent="0.25">
      <c r="A66" s="894" t="str">
        <f>Cultivation!A49</f>
        <v xml:space="preserve"> - sub soiling</v>
      </c>
      <c r="B66" s="867">
        <f>(Unitflowchart!$S$15*(AllocationPrice!$H$28/100)*Cultivation!J49)/Unitflowchart!$S$357</f>
        <v>0</v>
      </c>
      <c r="C66" s="868">
        <f t="shared" ref="C66:C73" si="4">(B66/B$347)*100</f>
        <v>0</v>
      </c>
      <c r="D66" s="1304">
        <f>(Unitflowchart!$S$15*(AllocationPrice!$H$28/100)*Cultivation!K49)/Unitflowchart!$S$357</f>
        <v>0</v>
      </c>
      <c r="E66" s="867">
        <f>(Unitflowchart!$S$15*(AllocationPrice!$H$28/100)*Cultivation!P49)/Unitflowchart!$S$357</f>
        <v>0</v>
      </c>
      <c r="F66" s="868">
        <f t="shared" ref="F66:F73" si="5">(E66/E$347)*100</f>
        <v>0</v>
      </c>
      <c r="G66" s="1304">
        <f>(Unitflowchart!$S$15*(AllocationPrice!$H$28/100)*Cultivation!Q49)/Unitflowchart!$S$357</f>
        <v>0</v>
      </c>
      <c r="H66" s="867">
        <f>(Unitflowchart!$S$15*(AllocationPrice!$H$28/100)*Cultivation!V49)/Unitflowchart!$S$357</f>
        <v>0</v>
      </c>
      <c r="I66" s="868">
        <f t="shared" ref="I66:I73" si="6">(H66/H$347)*100</f>
        <v>0</v>
      </c>
      <c r="J66" s="1304">
        <f>(Unitflowchart!$S$15*(AllocationPrice!$H$28/100)*Cultivation!W49)/Unitflowchart!$S$357</f>
        <v>0</v>
      </c>
      <c r="K66" s="867">
        <f>(Unitflowchart!$S$15*(AllocationPrice!$H$28/100)*Cultivation!AB49)/Unitflowchart!$S$357</f>
        <v>0</v>
      </c>
      <c r="L66" s="868">
        <f t="shared" ref="L66:L73" si="7">(K66/K$347)*100</f>
        <v>0</v>
      </c>
      <c r="M66" s="1304">
        <f>(Unitflowchart!$S$15*(AllocationPrice!$H$28/100)*Cultivation!AC49)/Unitflowchart!$S$357</f>
        <v>0</v>
      </c>
      <c r="N66" s="870">
        <f>E66+(GlobalWarmingPotentials!$B$11*H66)+(GlobalWarmingPotentials!$C$11*K66)</f>
        <v>0</v>
      </c>
      <c r="O66" s="868">
        <f t="shared" ref="O66:O73" si="8">(N66/N$347)*100</f>
        <v>0</v>
      </c>
      <c r="P66" s="895">
        <f>SQRT((G66^2)+((GlobalWarmingPotentials!$B$11*J66)^2)+((GlobalWarmingPotentials!$C$11*M66)^2))</f>
        <v>0</v>
      </c>
    </row>
    <row r="67" spans="1:16" x14ac:dyDescent="0.25">
      <c r="A67" s="894" t="str">
        <f>Cultivation!A50</f>
        <v xml:space="preserve"> - ploughing</v>
      </c>
      <c r="B67" s="867">
        <f>(Unitflowchart!$S$15*(AllocationPrice!$H$28/100)*Cultivation!J50)/Unitflowchart!$S$357</f>
        <v>0</v>
      </c>
      <c r="C67" s="868">
        <f t="shared" si="4"/>
        <v>0</v>
      </c>
      <c r="D67" s="1304">
        <f>(Unitflowchart!$S$15*(AllocationPrice!$H$28/100)*Cultivation!K50)/Unitflowchart!$S$357</f>
        <v>0</v>
      </c>
      <c r="E67" s="867">
        <f>(Unitflowchart!$S$15*(AllocationPrice!$H$28/100)*Cultivation!P50)/Unitflowchart!$S$357</f>
        <v>0</v>
      </c>
      <c r="F67" s="868">
        <f t="shared" si="5"/>
        <v>0</v>
      </c>
      <c r="G67" s="1304">
        <f>(Unitflowchart!$S$15*(AllocationPrice!$H$28/100)*Cultivation!Q50)/Unitflowchart!$S$357</f>
        <v>0</v>
      </c>
      <c r="H67" s="867">
        <f>(Unitflowchart!$S$15*(AllocationPrice!$H$28/100)*Cultivation!V50)/Unitflowchart!$S$357</f>
        <v>0</v>
      </c>
      <c r="I67" s="868">
        <f t="shared" si="6"/>
        <v>0</v>
      </c>
      <c r="J67" s="1304">
        <f>(Unitflowchart!$S$15*(AllocationPrice!$H$28/100)*Cultivation!W50)/Unitflowchart!$S$357</f>
        <v>0</v>
      </c>
      <c r="K67" s="867">
        <f>(Unitflowchart!$S$15*(AllocationPrice!$H$28/100)*Cultivation!AB50)/Unitflowchart!$S$357</f>
        <v>0</v>
      </c>
      <c r="L67" s="868">
        <f t="shared" si="7"/>
        <v>0</v>
      </c>
      <c r="M67" s="1304">
        <f>(Unitflowchart!$S$15*(AllocationPrice!$H$28/100)*Cultivation!AC50)/Unitflowchart!$S$357</f>
        <v>0</v>
      </c>
      <c r="N67" s="870">
        <f>E67+(GlobalWarmingPotentials!$B$11*H67)+(GlobalWarmingPotentials!$C$11*K67)</f>
        <v>0</v>
      </c>
      <c r="O67" s="868">
        <f t="shared" si="8"/>
        <v>0</v>
      </c>
      <c r="P67" s="895">
        <f>SQRT((G67^2)+((GlobalWarmingPotentials!$B$11*J67)^2)+((GlobalWarmingPotentials!$C$11*M67)^2))</f>
        <v>0</v>
      </c>
    </row>
    <row r="68" spans="1:16" x14ac:dyDescent="0.25">
      <c r="A68" s="894" t="str">
        <f>Cultivation!A51</f>
        <v xml:space="preserve"> - harrowing (with power harrow)</v>
      </c>
      <c r="B68" s="867">
        <f>(Unitflowchart!$S$15*(AllocationPrice!$H$28/100)*Cultivation!J51)/Unitflowchart!$S$357</f>
        <v>0</v>
      </c>
      <c r="C68" s="868">
        <f t="shared" si="4"/>
        <v>0</v>
      </c>
      <c r="D68" s="1304">
        <f>(Unitflowchart!$S$15*(AllocationPrice!$H$28/100)*Cultivation!K51)/Unitflowchart!$S$357</f>
        <v>0</v>
      </c>
      <c r="E68" s="867">
        <f>(Unitflowchart!$S$15*(AllocationPrice!$H$28/100)*Cultivation!P51)/Unitflowchart!$S$357</f>
        <v>0</v>
      </c>
      <c r="F68" s="868">
        <f t="shared" si="5"/>
        <v>0</v>
      </c>
      <c r="G68" s="1304">
        <f>(Unitflowchart!$S$15*(AllocationPrice!$H$28/100)*Cultivation!Q51)/Unitflowchart!$S$357</f>
        <v>0</v>
      </c>
      <c r="H68" s="867">
        <f>(Unitflowchart!$S$15*(AllocationPrice!$H$28/100)*Cultivation!V51)/Unitflowchart!$S$357</f>
        <v>0</v>
      </c>
      <c r="I68" s="868">
        <f t="shared" si="6"/>
        <v>0</v>
      </c>
      <c r="J68" s="1304">
        <f>(Unitflowchart!$S$15*(AllocationPrice!$H$28/100)*Cultivation!W51)/Unitflowchart!$S$357</f>
        <v>0</v>
      </c>
      <c r="K68" s="867">
        <f>(Unitflowchart!$S$15*(AllocationPrice!$H$28/100)*Cultivation!AB51)/Unitflowchart!$S$357</f>
        <v>0</v>
      </c>
      <c r="L68" s="868">
        <f t="shared" si="7"/>
        <v>0</v>
      </c>
      <c r="M68" s="1304">
        <f>(Unitflowchart!$S$15*(AllocationPrice!$H$28/100)*Cultivation!AC51)/Unitflowchart!$S$357</f>
        <v>0</v>
      </c>
      <c r="N68" s="870">
        <f>E68+(GlobalWarmingPotentials!$B$11*H68)+(GlobalWarmingPotentials!$C$11*K68)</f>
        <v>0</v>
      </c>
      <c r="O68" s="868">
        <f t="shared" si="8"/>
        <v>0</v>
      </c>
      <c r="P68" s="895">
        <f>SQRT((G68^2)+((GlobalWarmingPotentials!$B$11*J68)^2)+((GlobalWarmingPotentials!$C$11*M68)^2))</f>
        <v>0</v>
      </c>
    </row>
    <row r="69" spans="1:16" x14ac:dyDescent="0.25">
      <c r="A69" s="894" t="str">
        <f>Cultivation!A52</f>
        <v xml:space="preserve"> - drilling (with power harrow)</v>
      </c>
      <c r="B69" s="867">
        <f>(Unitflowchart!$S$15*(AllocationPrice!$H$28/100)*Cultivation!J52)/Unitflowchart!$S$357</f>
        <v>0</v>
      </c>
      <c r="C69" s="868">
        <f t="shared" si="4"/>
        <v>0</v>
      </c>
      <c r="D69" s="1304">
        <f>(Unitflowchart!$S$15*(AllocationPrice!$H$28/100)*Cultivation!K52)/Unitflowchart!$S$357</f>
        <v>0</v>
      </c>
      <c r="E69" s="867">
        <f>(Unitflowchart!$S$15*(AllocationPrice!$H$28/100)*Cultivation!P52)/Unitflowchart!$S$357</f>
        <v>0</v>
      </c>
      <c r="F69" s="868">
        <f t="shared" si="5"/>
        <v>0</v>
      </c>
      <c r="G69" s="1304">
        <f>(Unitflowchart!$S$15*(AllocationPrice!$H$28/100)*Cultivation!Q52)/Unitflowchart!$S$357</f>
        <v>0</v>
      </c>
      <c r="H69" s="867">
        <f>(Unitflowchart!$S$15*(AllocationPrice!$H$28/100)*Cultivation!V52)/Unitflowchart!$S$357</f>
        <v>0</v>
      </c>
      <c r="I69" s="868">
        <f t="shared" si="6"/>
        <v>0</v>
      </c>
      <c r="J69" s="1304">
        <f>(Unitflowchart!$S$15*(AllocationPrice!$H$28/100)*Cultivation!W52)/Unitflowchart!$S$357</f>
        <v>0</v>
      </c>
      <c r="K69" s="867">
        <f>(Unitflowchart!$S$15*(AllocationPrice!$H$28/100)*Cultivation!AB52)/Unitflowchart!$S$357</f>
        <v>0</v>
      </c>
      <c r="L69" s="868">
        <f t="shared" si="7"/>
        <v>0</v>
      </c>
      <c r="M69" s="1304">
        <f>(Unitflowchart!$S$15*(AllocationPrice!$H$28/100)*Cultivation!AC52)/Unitflowchart!$S$357</f>
        <v>0</v>
      </c>
      <c r="N69" s="870">
        <f>E69+(GlobalWarmingPotentials!$B$11*H69)+(GlobalWarmingPotentials!$C$11*K69)</f>
        <v>0</v>
      </c>
      <c r="O69" s="868">
        <f t="shared" si="8"/>
        <v>0</v>
      </c>
      <c r="P69" s="895">
        <f>SQRT((G69^2)+((GlobalWarmingPotentials!$B$11*J69)^2)+((GlobalWarmingPotentials!$C$11*M69)^2))</f>
        <v>0</v>
      </c>
    </row>
    <row r="70" spans="1:16" x14ac:dyDescent="0.25">
      <c r="A70" s="894" t="str">
        <f>Cultivation!A53</f>
        <v xml:space="preserve"> - FYM application</v>
      </c>
      <c r="B70" s="867">
        <f>(Unitflowchart!$S$15*(AllocationPrice!$H$28/100)*Cultivation!J53)/Unitflowchart!$S$357</f>
        <v>0</v>
      </c>
      <c r="C70" s="868">
        <f t="shared" si="4"/>
        <v>0</v>
      </c>
      <c r="D70" s="1304">
        <f>(Unitflowchart!$S$15*(AllocationPrice!$H$28/100)*Cultivation!K53)/Unitflowchart!$S$357</f>
        <v>0</v>
      </c>
      <c r="E70" s="867">
        <f>(Unitflowchart!$S$15*(AllocationPrice!$H$28/100)*Cultivation!P53)/Unitflowchart!$S$357</f>
        <v>0</v>
      </c>
      <c r="F70" s="868">
        <f t="shared" si="5"/>
        <v>0</v>
      </c>
      <c r="G70" s="1304">
        <f>(Unitflowchart!$S$15*(AllocationPrice!$H$28/100)*Cultivation!Q53)/Unitflowchart!$S$357</f>
        <v>0</v>
      </c>
      <c r="H70" s="867">
        <f>(Unitflowchart!$S$15*(AllocationPrice!$H$28/100)*Cultivation!V53)/Unitflowchart!$S$357</f>
        <v>0</v>
      </c>
      <c r="I70" s="868">
        <f t="shared" si="6"/>
        <v>0</v>
      </c>
      <c r="J70" s="1304">
        <f>(Unitflowchart!$S$15*(AllocationPrice!$H$28/100)*Cultivation!W53)/Unitflowchart!$S$357</f>
        <v>0</v>
      </c>
      <c r="K70" s="867">
        <f>(Unitflowchart!$S$15*(AllocationPrice!$H$28/100)*Cultivation!AB53)/Unitflowchart!$S$357</f>
        <v>0</v>
      </c>
      <c r="L70" s="868">
        <f t="shared" si="7"/>
        <v>0</v>
      </c>
      <c r="M70" s="1304">
        <f>(Unitflowchart!$S$15*(AllocationPrice!$H$28/100)*Cultivation!AC53)/Unitflowchart!$S$357</f>
        <v>0</v>
      </c>
      <c r="N70" s="870">
        <f>E70+(GlobalWarmingPotentials!$B$11*H70)+(GlobalWarmingPotentials!$C$11*K70)</f>
        <v>0</v>
      </c>
      <c r="O70" s="868">
        <f t="shared" si="8"/>
        <v>0</v>
      </c>
      <c r="P70" s="895">
        <f>SQRT((G70^2)+((GlobalWarmingPotentials!$B$11*J70)^2)+((GlobalWarmingPotentials!$C$11*M70)^2))</f>
        <v>0</v>
      </c>
    </row>
    <row r="71" spans="1:16" s="42" customFormat="1" x14ac:dyDescent="0.25">
      <c r="A71" s="894" t="str">
        <f>Cultivation!A54</f>
        <v xml:space="preserve"> - fertiliser application</v>
      </c>
      <c r="B71" s="867">
        <f>(Unitflowchart!$S$15*(AllocationPrice!$H$28/100)*Cultivation!J54)/Unitflowchart!$S$357</f>
        <v>0</v>
      </c>
      <c r="C71" s="868">
        <f t="shared" si="4"/>
        <v>0</v>
      </c>
      <c r="D71" s="1304">
        <f>(Unitflowchart!$S$15*(AllocationPrice!$H$28/100)*Cultivation!K54)/Unitflowchart!$S$357</f>
        <v>0</v>
      </c>
      <c r="E71" s="867">
        <f>(Unitflowchart!$S$15*(AllocationPrice!$H$28/100)*Cultivation!P54)/Unitflowchart!$S$357</f>
        <v>0</v>
      </c>
      <c r="F71" s="868">
        <f t="shared" si="5"/>
        <v>0</v>
      </c>
      <c r="G71" s="1304">
        <f>(Unitflowchart!$S$15*(AllocationPrice!$H$28/100)*Cultivation!Q54)/Unitflowchart!$S$357</f>
        <v>0</v>
      </c>
      <c r="H71" s="867">
        <f>(Unitflowchart!$S$15*(AllocationPrice!$H$28/100)*Cultivation!V54)/Unitflowchart!$S$357</f>
        <v>0</v>
      </c>
      <c r="I71" s="868">
        <f t="shared" si="6"/>
        <v>0</v>
      </c>
      <c r="J71" s="1304">
        <f>(Unitflowchart!$S$15*(AllocationPrice!$H$28/100)*Cultivation!W54)/Unitflowchart!$S$357</f>
        <v>0</v>
      </c>
      <c r="K71" s="867">
        <f>(Unitflowchart!$S$15*(AllocationPrice!$H$28/100)*Cultivation!AB54)/Unitflowchart!$S$357</f>
        <v>0</v>
      </c>
      <c r="L71" s="868">
        <f t="shared" si="7"/>
        <v>0</v>
      </c>
      <c r="M71" s="1304">
        <f>(Unitflowchart!$S$15*(AllocationPrice!$H$28/100)*Cultivation!AC54)/Unitflowchart!$S$357</f>
        <v>0</v>
      </c>
      <c r="N71" s="870">
        <f>E71+(GlobalWarmingPotentials!$B$11*H71)+(GlobalWarmingPotentials!$C$11*K71)</f>
        <v>0</v>
      </c>
      <c r="O71" s="868">
        <f t="shared" si="8"/>
        <v>0</v>
      </c>
      <c r="P71" s="895">
        <f>SQRT((G71^2)+((GlobalWarmingPotentials!$B$11*J71)^2)+((GlobalWarmingPotentials!$C$11*M71)^2))</f>
        <v>0</v>
      </c>
    </row>
    <row r="72" spans="1:16" x14ac:dyDescent="0.25">
      <c r="A72" s="894" t="str">
        <f>Cultivation!A55</f>
        <v xml:space="preserve"> - applying pesticides, herbicides and fungicides</v>
      </c>
      <c r="B72" s="867">
        <f>(Unitflowchart!$S$15*(AllocationPrice!$H$28/100)*Cultivation!J55)/Unitflowchart!$S$357</f>
        <v>0</v>
      </c>
      <c r="C72" s="868">
        <f t="shared" si="4"/>
        <v>0</v>
      </c>
      <c r="D72" s="1304">
        <f>(Unitflowchart!$S$15*(AllocationPrice!$H$28/100)*Cultivation!K55)/Unitflowchart!$S$357</f>
        <v>0</v>
      </c>
      <c r="E72" s="867">
        <f>(Unitflowchart!$S$15*(AllocationPrice!$H$28/100)*Cultivation!P55)/Unitflowchart!$S$357</f>
        <v>0</v>
      </c>
      <c r="F72" s="868">
        <f t="shared" si="5"/>
        <v>0</v>
      </c>
      <c r="G72" s="1304">
        <f>(Unitflowchart!$S$15*(AllocationPrice!$H$28/100)*Cultivation!Q55)/Unitflowchart!$S$357</f>
        <v>0</v>
      </c>
      <c r="H72" s="867">
        <f>(Unitflowchart!$S$15*(AllocationPrice!$H$28/100)*Cultivation!V55)/Unitflowchart!$S$357</f>
        <v>0</v>
      </c>
      <c r="I72" s="868">
        <f t="shared" si="6"/>
        <v>0</v>
      </c>
      <c r="J72" s="1304">
        <f>(Unitflowchart!$S$15*(AllocationPrice!$H$28/100)*Cultivation!W55)/Unitflowchart!$S$357</f>
        <v>0</v>
      </c>
      <c r="K72" s="867">
        <f>(Unitflowchart!$S$15*(AllocationPrice!$H$28/100)*Cultivation!AB55)/Unitflowchart!$S$357</f>
        <v>0</v>
      </c>
      <c r="L72" s="868">
        <f t="shared" si="7"/>
        <v>0</v>
      </c>
      <c r="M72" s="1304">
        <f>(Unitflowchart!$S$15*(AllocationPrice!$H$28/100)*Cultivation!AC55)/Unitflowchart!$S$357</f>
        <v>0</v>
      </c>
      <c r="N72" s="870">
        <f>E72+(GlobalWarmingPotentials!$B$11*H72)+(GlobalWarmingPotentials!$C$11*K72)</f>
        <v>0</v>
      </c>
      <c r="O72" s="868">
        <f t="shared" si="8"/>
        <v>0</v>
      </c>
      <c r="P72" s="895">
        <f>SQRT((G72^2)+((GlobalWarmingPotentials!$B$11*J72)^2)+((GlobalWarmingPotentials!$C$11*M72)^2))</f>
        <v>0</v>
      </c>
    </row>
    <row r="73" spans="1:16" s="42" customFormat="1" x14ac:dyDescent="0.25">
      <c r="A73" s="894" t="str">
        <f>Cultivation!A56</f>
        <v xml:space="preserve"> - maize harvesting </v>
      </c>
      <c r="B73" s="867">
        <f>(Unitflowchart!$S$15*(AllocationPrice!$H$28/100)*Cultivation!J56)/Unitflowchart!$S$357</f>
        <v>0</v>
      </c>
      <c r="C73" s="868">
        <f t="shared" si="4"/>
        <v>0</v>
      </c>
      <c r="D73" s="1304">
        <f>(Unitflowchart!$S$15*(AllocationPrice!$H$28/100)*Cultivation!K56)/Unitflowchart!$S$357</f>
        <v>0</v>
      </c>
      <c r="E73" s="867">
        <f>(Unitflowchart!$S$15*(AllocationPrice!$H$28/100)*Cultivation!P56)/Unitflowchart!$S$357</f>
        <v>0</v>
      </c>
      <c r="F73" s="868">
        <f t="shared" si="5"/>
        <v>0</v>
      </c>
      <c r="G73" s="1304">
        <f>(Unitflowchart!$S$15*(AllocationPrice!$H$28/100)*Cultivation!Q56)/Unitflowchart!$S$357</f>
        <v>0</v>
      </c>
      <c r="H73" s="867">
        <f>(Unitflowchart!$S$15*(AllocationPrice!$H$28/100)*Cultivation!V56)/Unitflowchart!$S$357</f>
        <v>0</v>
      </c>
      <c r="I73" s="868">
        <f t="shared" si="6"/>
        <v>0</v>
      </c>
      <c r="J73" s="1304">
        <f>(Unitflowchart!$S$15*(AllocationPrice!$H$28/100)*Cultivation!W56)/Unitflowchart!$S$357</f>
        <v>0</v>
      </c>
      <c r="K73" s="867">
        <f>(Unitflowchart!$S$15*(AllocationPrice!$H$28/100)*Cultivation!AB56)/Unitflowchart!$S$357</f>
        <v>0</v>
      </c>
      <c r="L73" s="868">
        <f t="shared" si="7"/>
        <v>0</v>
      </c>
      <c r="M73" s="1304">
        <f>(Unitflowchart!$S$15*(AllocationPrice!$H$28/100)*Cultivation!AC56)/Unitflowchart!$S$357</f>
        <v>0</v>
      </c>
      <c r="N73" s="870">
        <f>E73+(GlobalWarmingPotentials!$B$11*H73)+(GlobalWarmingPotentials!$C$11*K73)</f>
        <v>0</v>
      </c>
      <c r="O73" s="868">
        <f t="shared" si="8"/>
        <v>0</v>
      </c>
      <c r="P73" s="895">
        <f>SQRT((G73^2)+((GlobalWarmingPotentials!$B$11*J73)^2)+((GlobalWarmingPotentials!$C$11*M73)^2))</f>
        <v>0</v>
      </c>
    </row>
    <row r="74" spans="1:16" s="42" customFormat="1" x14ac:dyDescent="0.25">
      <c r="A74" s="852"/>
      <c r="B74" s="1305"/>
      <c r="C74" s="1306"/>
      <c r="D74" s="1307"/>
      <c r="E74" s="1305"/>
      <c r="F74" s="1306"/>
      <c r="G74" s="1307"/>
      <c r="H74" s="1305"/>
      <c r="I74" s="1306"/>
      <c r="J74" s="1307"/>
      <c r="K74" s="1305"/>
      <c r="L74" s="1306"/>
      <c r="M74" s="1307"/>
      <c r="N74" s="1305"/>
      <c r="O74" s="1306"/>
      <c r="P74" s="1308"/>
    </row>
    <row r="75" spans="1:16" x14ac:dyDescent="0.25">
      <c r="A75" s="122" t="str">
        <f>Cultivation!A58</f>
        <v>Sub-Totals for Machinery</v>
      </c>
      <c r="B75" s="867">
        <f>(Unitflowchart!$S$15*(AllocationPrice!$H$28/100)*Cultivation!J58)/Unitflowchart!$S$357</f>
        <v>0</v>
      </c>
      <c r="C75" s="868">
        <f>(B75/B$347)*100</f>
        <v>0</v>
      </c>
      <c r="D75" s="1304">
        <f>(Unitflowchart!$S$15*(AllocationPrice!$H$28/100)*Cultivation!K58)/Unitflowchart!$S$357</f>
        <v>0</v>
      </c>
      <c r="E75" s="867">
        <f>(Unitflowchart!$S$15*(AllocationPrice!$H$28/100)*Cultivation!P58)/Unitflowchart!$S$357</f>
        <v>0</v>
      </c>
      <c r="F75" s="868">
        <f>(E75/E$347)*100</f>
        <v>0</v>
      </c>
      <c r="G75" s="1304">
        <f>(Unitflowchart!$S$15*(AllocationPrice!$H$28/100)*Cultivation!Q58)/Unitflowchart!$S$357</f>
        <v>0</v>
      </c>
      <c r="H75" s="867">
        <f>(Unitflowchart!$S$15*(AllocationPrice!$H$28/100)*Cultivation!V58)/Unitflowchart!$S$357</f>
        <v>0</v>
      </c>
      <c r="I75" s="868">
        <f>(H75/H$347)*100</f>
        <v>0</v>
      </c>
      <c r="J75" s="1304">
        <f>(Unitflowchart!$S$15*(AllocationPrice!$H$28/100)*Cultivation!W58)/Unitflowchart!$S$357</f>
        <v>0</v>
      </c>
      <c r="K75" s="867">
        <f>(Unitflowchart!$S$15*(AllocationPrice!$H$28/100)*Cultivation!AB58)/Unitflowchart!$S$357</f>
        <v>0</v>
      </c>
      <c r="L75" s="868">
        <f>(K75/K$347)*100</f>
        <v>0</v>
      </c>
      <c r="M75" s="1304">
        <f>(Unitflowchart!$S$15*(AllocationPrice!$H$28/100)*Cultivation!AC58)/Unitflowchart!$S$357</f>
        <v>0</v>
      </c>
      <c r="N75" s="870">
        <f>E75+(GlobalWarmingPotentials!$B$11*H75)+(GlobalWarmingPotentials!$C$11*K75)</f>
        <v>0</v>
      </c>
      <c r="O75" s="868">
        <f>(N75/N$347)*100</f>
        <v>0</v>
      </c>
      <c r="P75" s="895">
        <f>SQRT((G75^2)+((GlobalWarmingPotentials!$B$11*J75)^2)+((GlobalWarmingPotentials!$C$11*M75)^2))</f>
        <v>0</v>
      </c>
    </row>
    <row r="76" spans="1:16" s="42" customFormat="1" x14ac:dyDescent="0.25">
      <c r="A76" s="852"/>
      <c r="B76" s="713"/>
      <c r="C76" s="863"/>
      <c r="D76" s="719"/>
      <c r="E76" s="713"/>
      <c r="F76" s="863"/>
      <c r="G76" s="719"/>
      <c r="H76" s="713"/>
      <c r="I76" s="863"/>
      <c r="J76" s="719"/>
      <c r="K76" s="713"/>
      <c r="L76" s="863"/>
      <c r="M76" s="719"/>
      <c r="N76" s="713"/>
      <c r="O76" s="863"/>
      <c r="P76" s="738"/>
    </row>
    <row r="77" spans="1:16" x14ac:dyDescent="0.25">
      <c r="A77" s="894" t="str">
        <f>Cultivation!A60</f>
        <v>Maintenance:</v>
      </c>
      <c r="B77" s="713"/>
      <c r="C77" s="863"/>
      <c r="D77" s="719"/>
      <c r="E77" s="713"/>
      <c r="F77" s="863"/>
      <c r="G77" s="719"/>
      <c r="H77" s="713"/>
      <c r="I77" s="863"/>
      <c r="J77" s="719"/>
      <c r="K77" s="713"/>
      <c r="L77" s="863"/>
      <c r="M77" s="719"/>
      <c r="N77" s="713"/>
      <c r="O77" s="863"/>
      <c r="P77" s="738"/>
    </row>
    <row r="78" spans="1:16" x14ac:dyDescent="0.25">
      <c r="A78" s="894" t="str">
        <f>Cultivation!A61</f>
        <v xml:space="preserve"> - sub soiling</v>
      </c>
      <c r="B78" s="867">
        <f>(Unitflowchart!$S$15*(AllocationPrice!$H$28/100)*Cultivation!J61)/Unitflowchart!$S$357</f>
        <v>0</v>
      </c>
      <c r="C78" s="868">
        <f t="shared" ref="C78:C85" si="9">(B78/B$347)*100</f>
        <v>0</v>
      </c>
      <c r="D78" s="1304">
        <f>(Unitflowchart!$S$15*(AllocationPrice!$H$28/100)*Cultivation!K61)/Unitflowchart!$S$357</f>
        <v>0</v>
      </c>
      <c r="E78" s="867">
        <f>(Unitflowchart!$S$15*(AllocationPrice!$H$28/100)*Cultivation!P61)/Unitflowchart!$S$357</f>
        <v>0</v>
      </c>
      <c r="F78" s="868">
        <f t="shared" ref="F78:F85" si="10">(E78/E$347)*100</f>
        <v>0</v>
      </c>
      <c r="G78" s="1304">
        <f>(Unitflowchart!$S$15*(AllocationPrice!$H$28/100)*Cultivation!Q61)/Unitflowchart!$S$357</f>
        <v>0</v>
      </c>
      <c r="H78" s="867">
        <f>(Unitflowchart!$S$15*(AllocationPrice!$H$28/100)*Cultivation!V61)/Unitflowchart!$S$357</f>
        <v>0</v>
      </c>
      <c r="I78" s="868">
        <f t="shared" ref="I78:I85" si="11">(H78/H$347)*100</f>
        <v>0</v>
      </c>
      <c r="J78" s="1304">
        <f>(Unitflowchart!$S$15*(AllocationPrice!$H$28/100)*Cultivation!W61)/Unitflowchart!$S$357</f>
        <v>0</v>
      </c>
      <c r="K78" s="867">
        <f>(Unitflowchart!$S$15*(AllocationPrice!$H$28/100)*Cultivation!AB61)/Unitflowchart!$S$357</f>
        <v>0</v>
      </c>
      <c r="L78" s="868">
        <f t="shared" ref="L78:L85" si="12">(K78/K$347)*100</f>
        <v>0</v>
      </c>
      <c r="M78" s="1304">
        <f>(Unitflowchart!$S$15*(AllocationPrice!$H$28/100)*Cultivation!AC61)/Unitflowchart!$S$357</f>
        <v>0</v>
      </c>
      <c r="N78" s="870">
        <f>E78+(GlobalWarmingPotentials!$B$11*H78)+(GlobalWarmingPotentials!$C$11*K78)</f>
        <v>0</v>
      </c>
      <c r="O78" s="868">
        <f t="shared" ref="O78:O85" si="13">(N78/N$347)*100</f>
        <v>0</v>
      </c>
      <c r="P78" s="895">
        <f>SQRT((G78^2)+((GlobalWarmingPotentials!$B$11*J78)^2)+((GlobalWarmingPotentials!$C$11*M78)^2))</f>
        <v>0</v>
      </c>
    </row>
    <row r="79" spans="1:16" x14ac:dyDescent="0.25">
      <c r="A79" s="894" t="str">
        <f>Cultivation!A62</f>
        <v xml:space="preserve"> - ploughing</v>
      </c>
      <c r="B79" s="867">
        <f>(Unitflowchart!$S$15*(AllocationPrice!$H$28/100)*Cultivation!J62)/Unitflowchart!$S$357</f>
        <v>0</v>
      </c>
      <c r="C79" s="868">
        <f t="shared" si="9"/>
        <v>0</v>
      </c>
      <c r="D79" s="1304">
        <f>(Unitflowchart!$S$15*(AllocationPrice!$H$28/100)*Cultivation!K62)/Unitflowchart!$S$357</f>
        <v>0</v>
      </c>
      <c r="E79" s="867">
        <f>(Unitflowchart!$S$15*(AllocationPrice!$H$28/100)*Cultivation!P62)/Unitflowchart!$S$357</f>
        <v>0</v>
      </c>
      <c r="F79" s="868">
        <f t="shared" si="10"/>
        <v>0</v>
      </c>
      <c r="G79" s="1304">
        <f>(Unitflowchart!$S$15*(AllocationPrice!$H$28/100)*Cultivation!Q62)/Unitflowchart!$S$357</f>
        <v>0</v>
      </c>
      <c r="H79" s="867">
        <f>(Unitflowchart!$S$15*(AllocationPrice!$H$28/100)*Cultivation!V62)/Unitflowchart!$S$357</f>
        <v>0</v>
      </c>
      <c r="I79" s="868">
        <f t="shared" si="11"/>
        <v>0</v>
      </c>
      <c r="J79" s="1304">
        <f>(Unitflowchart!$S$15*(AllocationPrice!$H$28/100)*Cultivation!W62)/Unitflowchart!$S$357</f>
        <v>0</v>
      </c>
      <c r="K79" s="867">
        <f>(Unitflowchart!$S$15*(AllocationPrice!$H$28/100)*Cultivation!AB62)/Unitflowchart!$S$357</f>
        <v>0</v>
      </c>
      <c r="L79" s="868">
        <f t="shared" si="12"/>
        <v>0</v>
      </c>
      <c r="M79" s="1304">
        <f>(Unitflowchart!$S$15*(AllocationPrice!$H$28/100)*Cultivation!AC62)/Unitflowchart!$S$357</f>
        <v>0</v>
      </c>
      <c r="N79" s="870">
        <f>E79+(GlobalWarmingPotentials!$B$11*H79)+(GlobalWarmingPotentials!$C$11*K79)</f>
        <v>0</v>
      </c>
      <c r="O79" s="868">
        <f t="shared" si="13"/>
        <v>0</v>
      </c>
      <c r="P79" s="895">
        <f>SQRT((G79^2)+((GlobalWarmingPotentials!$B$11*J79)^2)+((GlobalWarmingPotentials!$C$11*M79)^2))</f>
        <v>0</v>
      </c>
    </row>
    <row r="80" spans="1:16" x14ac:dyDescent="0.25">
      <c r="A80" s="894" t="str">
        <f>Cultivation!A63</f>
        <v xml:space="preserve"> - harrowing (with power harrow)</v>
      </c>
      <c r="B80" s="867">
        <f>(Unitflowchart!$S$15*(AllocationPrice!$H$28/100)*Cultivation!J63)/Unitflowchart!$S$357</f>
        <v>0</v>
      </c>
      <c r="C80" s="868">
        <f t="shared" si="9"/>
        <v>0</v>
      </c>
      <c r="D80" s="1304">
        <f>(Unitflowchart!$S$15*(AllocationPrice!$H$28/100)*Cultivation!K63)/Unitflowchart!$S$357</f>
        <v>0</v>
      </c>
      <c r="E80" s="867">
        <f>(Unitflowchart!$S$15*(AllocationPrice!$H$28/100)*Cultivation!P63)/Unitflowchart!$S$357</f>
        <v>0</v>
      </c>
      <c r="F80" s="868">
        <f t="shared" si="10"/>
        <v>0</v>
      </c>
      <c r="G80" s="1304">
        <f>(Unitflowchart!$S$15*(AllocationPrice!$H$28/100)*Cultivation!Q63)/Unitflowchart!$S$357</f>
        <v>0</v>
      </c>
      <c r="H80" s="867">
        <f>(Unitflowchart!$S$15*(AllocationPrice!$H$28/100)*Cultivation!V63)/Unitflowchart!$S$357</f>
        <v>0</v>
      </c>
      <c r="I80" s="868">
        <f t="shared" si="11"/>
        <v>0</v>
      </c>
      <c r="J80" s="1304">
        <f>(Unitflowchart!$S$15*(AllocationPrice!$H$28/100)*Cultivation!W63)/Unitflowchart!$S$357</f>
        <v>0</v>
      </c>
      <c r="K80" s="867">
        <f>(Unitflowchart!$S$15*(AllocationPrice!$H$28/100)*Cultivation!AB63)/Unitflowchart!$S$357</f>
        <v>0</v>
      </c>
      <c r="L80" s="868">
        <f t="shared" si="12"/>
        <v>0</v>
      </c>
      <c r="M80" s="1304">
        <f>(Unitflowchart!$S$15*(AllocationPrice!$H$28/100)*Cultivation!AC63)/Unitflowchart!$S$357</f>
        <v>0</v>
      </c>
      <c r="N80" s="870">
        <f>E80+(GlobalWarmingPotentials!$B$11*H80)+(GlobalWarmingPotentials!$C$11*K80)</f>
        <v>0</v>
      </c>
      <c r="O80" s="868">
        <f t="shared" si="13"/>
        <v>0</v>
      </c>
      <c r="P80" s="895">
        <f>SQRT((G80^2)+((GlobalWarmingPotentials!$B$11*J80)^2)+((GlobalWarmingPotentials!$C$11*M80)^2))</f>
        <v>0</v>
      </c>
    </row>
    <row r="81" spans="1:16" x14ac:dyDescent="0.25">
      <c r="A81" s="894" t="str">
        <f>Cultivation!A64</f>
        <v xml:space="preserve"> - drilling (with power harrow)</v>
      </c>
      <c r="B81" s="867">
        <f>(Unitflowchart!$S$15*(AllocationPrice!$H$28/100)*Cultivation!J64)/Unitflowchart!$S$357</f>
        <v>0</v>
      </c>
      <c r="C81" s="868">
        <f t="shared" si="9"/>
        <v>0</v>
      </c>
      <c r="D81" s="1304">
        <f>(Unitflowchart!$S$15*(AllocationPrice!$H$28/100)*Cultivation!K64)/Unitflowchart!$S$357</f>
        <v>0</v>
      </c>
      <c r="E81" s="867">
        <f>(Unitflowchart!$S$15*(AllocationPrice!$H$28/100)*Cultivation!P64)/Unitflowchart!$S$357</f>
        <v>0</v>
      </c>
      <c r="F81" s="868">
        <f t="shared" si="10"/>
        <v>0</v>
      </c>
      <c r="G81" s="1304">
        <f>(Unitflowchart!$S$15*(AllocationPrice!$H$28/100)*Cultivation!Q64)/Unitflowchart!$S$357</f>
        <v>0</v>
      </c>
      <c r="H81" s="867">
        <f>(Unitflowchart!$S$15*(AllocationPrice!$H$28/100)*Cultivation!V64)/Unitflowchart!$S$357</f>
        <v>0</v>
      </c>
      <c r="I81" s="868">
        <f t="shared" si="11"/>
        <v>0</v>
      </c>
      <c r="J81" s="1304">
        <f>(Unitflowchart!$S$15*(AllocationPrice!$H$28/100)*Cultivation!W64)/Unitflowchart!$S$357</f>
        <v>0</v>
      </c>
      <c r="K81" s="867">
        <f>(Unitflowchart!$S$15*(AllocationPrice!$H$28/100)*Cultivation!AB64)/Unitflowchart!$S$357</f>
        <v>0</v>
      </c>
      <c r="L81" s="868">
        <f t="shared" si="12"/>
        <v>0</v>
      </c>
      <c r="M81" s="1304">
        <f>(Unitflowchart!$S$15*(AllocationPrice!$H$28/100)*Cultivation!AC64)/Unitflowchart!$S$357</f>
        <v>0</v>
      </c>
      <c r="N81" s="870">
        <f>E81+(GlobalWarmingPotentials!$B$11*H81)+(GlobalWarmingPotentials!$C$11*K81)</f>
        <v>0</v>
      </c>
      <c r="O81" s="868">
        <f t="shared" si="13"/>
        <v>0</v>
      </c>
      <c r="P81" s="895">
        <f>SQRT((G81^2)+((GlobalWarmingPotentials!$B$11*J81)^2)+((GlobalWarmingPotentials!$C$11*M81)^2))</f>
        <v>0</v>
      </c>
    </row>
    <row r="82" spans="1:16" x14ac:dyDescent="0.25">
      <c r="A82" s="894" t="str">
        <f>Cultivation!A65</f>
        <v xml:space="preserve"> - FYM/slurry application</v>
      </c>
      <c r="B82" s="867">
        <f>(Unitflowchart!$S$15*(AllocationPrice!$H$28/100)*Cultivation!J65)/Unitflowchart!$S$357</f>
        <v>0</v>
      </c>
      <c r="C82" s="868">
        <f t="shared" si="9"/>
        <v>0</v>
      </c>
      <c r="D82" s="1304">
        <f>(Unitflowchart!$S$15*(AllocationPrice!$H$28/100)*Cultivation!K65)/Unitflowchart!$S$357</f>
        <v>0</v>
      </c>
      <c r="E82" s="867">
        <f>(Unitflowchart!$S$15*(AllocationPrice!$H$28/100)*Cultivation!P65)/Unitflowchart!$S$357</f>
        <v>0</v>
      </c>
      <c r="F82" s="868">
        <f t="shared" si="10"/>
        <v>0</v>
      </c>
      <c r="G82" s="1304">
        <f>(Unitflowchart!$S$15*(AllocationPrice!$H$28/100)*Cultivation!Q65)/Unitflowchart!$S$357</f>
        <v>0</v>
      </c>
      <c r="H82" s="867">
        <f>(Unitflowchart!$S$15*(AllocationPrice!$H$28/100)*Cultivation!V65)/Unitflowchart!$S$357</f>
        <v>0</v>
      </c>
      <c r="I82" s="868">
        <f t="shared" si="11"/>
        <v>0</v>
      </c>
      <c r="J82" s="1304">
        <f>(Unitflowchart!$S$15*(AllocationPrice!$H$28/100)*Cultivation!W65)/Unitflowchart!$S$357</f>
        <v>0</v>
      </c>
      <c r="K82" s="867">
        <f>(Unitflowchart!$S$15*(AllocationPrice!$H$28/100)*Cultivation!AB65)/Unitflowchart!$S$357</f>
        <v>0</v>
      </c>
      <c r="L82" s="868">
        <f t="shared" si="12"/>
        <v>0</v>
      </c>
      <c r="M82" s="1304">
        <f>(Unitflowchart!$S$15*(AllocationPrice!$H$28/100)*Cultivation!AC65)/Unitflowchart!$S$357</f>
        <v>0</v>
      </c>
      <c r="N82" s="870">
        <f>E82+(GlobalWarmingPotentials!$B$11*H82)+(GlobalWarmingPotentials!$C$11*K82)</f>
        <v>0</v>
      </c>
      <c r="O82" s="868">
        <f t="shared" si="13"/>
        <v>0</v>
      </c>
      <c r="P82" s="895">
        <f>SQRT((G82^2)+((GlobalWarmingPotentials!$B$11*J82)^2)+((GlobalWarmingPotentials!$C$11*M82)^2))</f>
        <v>0</v>
      </c>
    </row>
    <row r="83" spans="1:16" x14ac:dyDescent="0.25">
      <c r="A83" s="894" t="str">
        <f>Cultivation!A66</f>
        <v xml:space="preserve"> - fertiliser application</v>
      </c>
      <c r="B83" s="867">
        <f>(Unitflowchart!$S$15*(AllocationPrice!$H$28/100)*Cultivation!J66)/Unitflowchart!$S$357</f>
        <v>0</v>
      </c>
      <c r="C83" s="868">
        <f t="shared" si="9"/>
        <v>0</v>
      </c>
      <c r="D83" s="1304">
        <f>(Unitflowchart!$S$15*(AllocationPrice!$H$28/100)*Cultivation!K66)/Unitflowchart!$S$357</f>
        <v>0</v>
      </c>
      <c r="E83" s="867">
        <f>(Unitflowchart!$S$15*(AllocationPrice!$H$28/100)*Cultivation!P66)/Unitflowchart!$S$357</f>
        <v>0</v>
      </c>
      <c r="F83" s="868">
        <f t="shared" si="10"/>
        <v>0</v>
      </c>
      <c r="G83" s="1304">
        <f>(Unitflowchart!$S$15*(AllocationPrice!$H$28/100)*Cultivation!Q66)/Unitflowchart!$S$357</f>
        <v>0</v>
      </c>
      <c r="H83" s="867">
        <f>(Unitflowchart!$S$15*(AllocationPrice!$H$28/100)*Cultivation!V66)/Unitflowchart!$S$357</f>
        <v>0</v>
      </c>
      <c r="I83" s="868">
        <f t="shared" si="11"/>
        <v>0</v>
      </c>
      <c r="J83" s="1304">
        <f>(Unitflowchart!$S$15*(AllocationPrice!$H$28/100)*Cultivation!W66)/Unitflowchart!$S$357</f>
        <v>0</v>
      </c>
      <c r="K83" s="867">
        <f>(Unitflowchart!$S$15*(AllocationPrice!$H$28/100)*Cultivation!AB66)/Unitflowchart!$S$357</f>
        <v>0</v>
      </c>
      <c r="L83" s="868">
        <f t="shared" si="12"/>
        <v>0</v>
      </c>
      <c r="M83" s="1304">
        <f>(Unitflowchart!$S$15*(AllocationPrice!$H$28/100)*Cultivation!AC66)/Unitflowchart!$S$357</f>
        <v>0</v>
      </c>
      <c r="N83" s="870">
        <f>E83+(GlobalWarmingPotentials!$B$11*H83)+(GlobalWarmingPotentials!$C$11*K83)</f>
        <v>0</v>
      </c>
      <c r="O83" s="868">
        <f t="shared" si="13"/>
        <v>0</v>
      </c>
      <c r="P83" s="895">
        <f>SQRT((G83^2)+((GlobalWarmingPotentials!$B$11*J83)^2)+((GlobalWarmingPotentials!$C$11*M83)^2))</f>
        <v>0</v>
      </c>
    </row>
    <row r="84" spans="1:16" s="42" customFormat="1" x14ac:dyDescent="0.25">
      <c r="A84" s="894" t="str">
        <f>Cultivation!A67</f>
        <v xml:space="preserve"> - applying pesticides, herbicides and fungicides</v>
      </c>
      <c r="B84" s="867">
        <f>(Unitflowchart!$S$15*(AllocationPrice!$H$28/100)*Cultivation!J67)/Unitflowchart!$S$357</f>
        <v>0</v>
      </c>
      <c r="C84" s="868">
        <f t="shared" si="9"/>
        <v>0</v>
      </c>
      <c r="D84" s="1304">
        <f>(Unitflowchart!$S$15*(AllocationPrice!$H$28/100)*Cultivation!K67)/Unitflowchart!$S$357</f>
        <v>0</v>
      </c>
      <c r="E84" s="867">
        <f>(Unitflowchart!$S$15*(AllocationPrice!$H$28/100)*Cultivation!P67)/Unitflowchart!$S$357</f>
        <v>0</v>
      </c>
      <c r="F84" s="868">
        <f t="shared" si="10"/>
        <v>0</v>
      </c>
      <c r="G84" s="1304">
        <f>(Unitflowchart!$S$15*(AllocationPrice!$H$28/100)*Cultivation!Q67)/Unitflowchart!$S$357</f>
        <v>0</v>
      </c>
      <c r="H84" s="867">
        <f>(Unitflowchart!$S$15*(AllocationPrice!$H$28/100)*Cultivation!V67)/Unitflowchart!$S$357</f>
        <v>0</v>
      </c>
      <c r="I84" s="868">
        <f t="shared" si="11"/>
        <v>0</v>
      </c>
      <c r="J84" s="1304">
        <f>(Unitflowchart!$S$15*(AllocationPrice!$H$28/100)*Cultivation!W67)/Unitflowchart!$S$357</f>
        <v>0</v>
      </c>
      <c r="K84" s="867">
        <f>(Unitflowchart!$S$15*(AllocationPrice!$H$28/100)*Cultivation!AB67)/Unitflowchart!$S$357</f>
        <v>0</v>
      </c>
      <c r="L84" s="868">
        <f t="shared" si="12"/>
        <v>0</v>
      </c>
      <c r="M84" s="1304">
        <f>(Unitflowchart!$S$15*(AllocationPrice!$H$28/100)*Cultivation!AC67)/Unitflowchart!$S$357</f>
        <v>0</v>
      </c>
      <c r="N84" s="870">
        <f>E84+(GlobalWarmingPotentials!$B$11*H84)+(GlobalWarmingPotentials!$C$11*K84)</f>
        <v>0</v>
      </c>
      <c r="O84" s="868">
        <f t="shared" si="13"/>
        <v>0</v>
      </c>
      <c r="P84" s="895">
        <f>SQRT((G84^2)+((GlobalWarmingPotentials!$B$11*J84)^2)+((GlobalWarmingPotentials!$C$11*M84)^2))</f>
        <v>0</v>
      </c>
    </row>
    <row r="85" spans="1:16" s="5" customFormat="1" x14ac:dyDescent="0.25">
      <c r="A85" s="894" t="str">
        <f>Cultivation!A68</f>
        <v xml:space="preserve"> - maize harvesting </v>
      </c>
      <c r="B85" s="867">
        <f>(Unitflowchart!$S$15*(AllocationPrice!$H$28/100)*Cultivation!J68)/Unitflowchart!$S$357</f>
        <v>0</v>
      </c>
      <c r="C85" s="868">
        <f t="shared" si="9"/>
        <v>0</v>
      </c>
      <c r="D85" s="1304">
        <f>(Unitflowchart!$S$15*(AllocationPrice!$H$28/100)*Cultivation!K68)/Unitflowchart!$S$357</f>
        <v>0</v>
      </c>
      <c r="E85" s="867">
        <f>(Unitflowchart!$S$15*(AllocationPrice!$H$28/100)*Cultivation!P68)/Unitflowchart!$S$357</f>
        <v>0</v>
      </c>
      <c r="F85" s="868">
        <f t="shared" si="10"/>
        <v>0</v>
      </c>
      <c r="G85" s="1304">
        <f>(Unitflowchart!$S$15*(AllocationPrice!$H$28/100)*Cultivation!Q68)/Unitflowchart!$S$357</f>
        <v>0</v>
      </c>
      <c r="H85" s="867">
        <f>(Unitflowchart!$S$15*(AllocationPrice!$H$28/100)*Cultivation!V68)/Unitflowchart!$S$357</f>
        <v>0</v>
      </c>
      <c r="I85" s="868">
        <f t="shared" si="11"/>
        <v>0</v>
      </c>
      <c r="J85" s="1304">
        <f>(Unitflowchart!$S$15*(AllocationPrice!$H$28/100)*Cultivation!W68)/Unitflowchart!$S$357</f>
        <v>0</v>
      </c>
      <c r="K85" s="867">
        <f>(Unitflowchart!$S$15*(AllocationPrice!$H$28/100)*Cultivation!AB68)/Unitflowchart!$S$357</f>
        <v>0</v>
      </c>
      <c r="L85" s="868">
        <f t="shared" si="12"/>
        <v>0</v>
      </c>
      <c r="M85" s="1304">
        <f>(Unitflowchart!$S$15*(AllocationPrice!$H$28/100)*Cultivation!AC68)/Unitflowchart!$S$357</f>
        <v>0</v>
      </c>
      <c r="N85" s="870">
        <f>E85+(GlobalWarmingPotentials!$B$11*H85)+(GlobalWarmingPotentials!$C$11*K85)</f>
        <v>0</v>
      </c>
      <c r="O85" s="868">
        <f t="shared" si="13"/>
        <v>0</v>
      </c>
      <c r="P85" s="895">
        <f>SQRT((G85^2)+((GlobalWarmingPotentials!$B$11*J85)^2)+((GlobalWarmingPotentials!$C$11*M85)^2))</f>
        <v>0</v>
      </c>
    </row>
    <row r="86" spans="1:16" s="42" customFormat="1" x14ac:dyDescent="0.25">
      <c r="A86" s="852"/>
      <c r="B86" s="1305"/>
      <c r="C86" s="1306"/>
      <c r="D86" s="1307"/>
      <c r="E86" s="1305"/>
      <c r="F86" s="1306"/>
      <c r="G86" s="1307"/>
      <c r="H86" s="1305"/>
      <c r="I86" s="1306"/>
      <c r="J86" s="1307"/>
      <c r="K86" s="1305"/>
      <c r="L86" s="1306"/>
      <c r="M86" s="1307"/>
      <c r="N86" s="1305"/>
      <c r="O86" s="1306"/>
      <c r="P86" s="1308"/>
    </row>
    <row r="87" spans="1:16" s="5" customFormat="1" x14ac:dyDescent="0.25">
      <c r="A87" s="894" t="str">
        <f>Cultivation!A70</f>
        <v>Sub-Totals for Maintenance</v>
      </c>
      <c r="B87" s="867">
        <f>(Unitflowchart!$S$15*(AllocationPrice!$H$28/100)*Cultivation!J70)/Unitflowchart!$S$357</f>
        <v>0</v>
      </c>
      <c r="C87" s="868">
        <f>(B87/B$347)*100</f>
        <v>0</v>
      </c>
      <c r="D87" s="1304">
        <f>(Unitflowchart!$S$15*(AllocationPrice!$H$28/100)*Cultivation!K70)/Unitflowchart!$S$357</f>
        <v>0</v>
      </c>
      <c r="E87" s="867">
        <f>(Unitflowchart!$S$15*(AllocationPrice!$H$28/100)*Cultivation!P70)/Unitflowchart!$S$357</f>
        <v>0</v>
      </c>
      <c r="F87" s="868">
        <f>(E87/E$347)*100</f>
        <v>0</v>
      </c>
      <c r="G87" s="1304">
        <f>(Unitflowchart!$S$15*(AllocationPrice!$H$28/100)*Cultivation!Q70)/Unitflowchart!$S$357</f>
        <v>0</v>
      </c>
      <c r="H87" s="867">
        <f>(Unitflowchart!$S$15*(AllocationPrice!$H$28/100)*Cultivation!V70)/Unitflowchart!$S$357</f>
        <v>0</v>
      </c>
      <c r="I87" s="868">
        <f>(H87/H$347)*100</f>
        <v>0</v>
      </c>
      <c r="J87" s="1304">
        <f>(Unitflowchart!$S$15*(AllocationPrice!$H$28/100)*Cultivation!W70)/Unitflowchart!$S$357</f>
        <v>0</v>
      </c>
      <c r="K87" s="867">
        <f>(Unitflowchart!$S$15*(AllocationPrice!$H$28/100)*Cultivation!AB70)/Unitflowchart!$S$357</f>
        <v>0</v>
      </c>
      <c r="L87" s="868">
        <f>(K87/K$347)*100</f>
        <v>0</v>
      </c>
      <c r="M87" s="1304">
        <f>(Unitflowchart!$S$15*(AllocationPrice!$H$28/100)*Cultivation!AC70)/Unitflowchart!$S$357</f>
        <v>0</v>
      </c>
      <c r="N87" s="870">
        <f>E87+(GlobalWarmingPotentials!$B$11*H87)+(GlobalWarmingPotentials!$C$11*K87)</f>
        <v>0</v>
      </c>
      <c r="O87" s="868">
        <f>(N87/N$347)*100</f>
        <v>0</v>
      </c>
      <c r="P87" s="895">
        <f>SQRT((G87^2)+((GlobalWarmingPotentials!$B$11*J87)^2)+((GlobalWarmingPotentials!$C$11*M87)^2))</f>
        <v>0</v>
      </c>
    </row>
    <row r="88" spans="1:16" s="838" customFormat="1" x14ac:dyDescent="0.25">
      <c r="A88" s="852"/>
      <c r="B88" s="713"/>
      <c r="C88" s="863"/>
      <c r="D88" s="719"/>
      <c r="E88" s="713"/>
      <c r="F88" s="863"/>
      <c r="G88" s="719"/>
      <c r="H88" s="713"/>
      <c r="I88" s="863"/>
      <c r="J88" s="719"/>
      <c r="K88" s="713"/>
      <c r="L88" s="863"/>
      <c r="M88" s="719"/>
      <c r="N88" s="713"/>
      <c r="O88" s="863"/>
      <c r="P88" s="738"/>
    </row>
    <row r="89" spans="1:16" s="5" customFormat="1" x14ac:dyDescent="0.25">
      <c r="A89" s="894" t="str">
        <f>Cultivation!A72</f>
        <v xml:space="preserve"> - Seeds</v>
      </c>
      <c r="B89" s="867">
        <f>(Unitflowchart!$S$15*(AllocationPrice!$H$28/100)*Cultivation!J72)/Unitflowchart!$S$357</f>
        <v>88.698699709296875</v>
      </c>
      <c r="C89" s="868">
        <f t="shared" ref="C89:C95" si="14">(B89/B$347)*100</f>
        <v>0.46610116187602918</v>
      </c>
      <c r="D89" s="1304">
        <f>(Unitflowchart!$S$15*(AllocationPrice!$H$28/100)*Cultivation!K72)/Unitflowchart!$S$357</f>
        <v>0</v>
      </c>
      <c r="E89" s="867">
        <f>(Unitflowchart!$S$15*(AllocationPrice!$H$28/100)*Cultivation!P72)/Unitflowchart!$S$357</f>
        <v>6.3651443407417156</v>
      </c>
      <c r="F89" s="868">
        <f t="shared" ref="F89:F95" si="15">(E89/E$347)*100</f>
        <v>0.53211852114390723</v>
      </c>
      <c r="G89" s="1304">
        <f>(Unitflowchart!$S$15*(AllocationPrice!$H$28/100)*Cultivation!Q72)/Unitflowchart!$S$357</f>
        <v>0</v>
      </c>
      <c r="H89" s="867">
        <f>(Unitflowchart!$S$15*(AllocationPrice!$H$28/100)*Cultivation!V72)/Unitflowchart!$S$357</f>
        <v>1.3226273954787978E-3</v>
      </c>
      <c r="I89" s="868">
        <f t="shared" ref="I89:I95" si="16">(H89/H$347)*100</f>
        <v>7.3993600263633427E-2</v>
      </c>
      <c r="J89" s="1304">
        <f>(Unitflowchart!$S$15*(AllocationPrice!$H$28/100)*Cultivation!W72)/Unitflowchart!$S$357</f>
        <v>0</v>
      </c>
      <c r="K89" s="867">
        <f>(Unitflowchart!$S$15*(AllocationPrice!$H$28/100)*Cultivation!AB72)/Unitflowchart!$S$357</f>
        <v>1.7194156141224371E-3</v>
      </c>
      <c r="L89" s="868">
        <f t="shared" ref="L89:L95" si="17">(K89/K$347)*100</f>
        <v>9.4654865655792578E-2</v>
      </c>
      <c r="M89" s="1304">
        <f>(Unitflowchart!$S$15*(AllocationPrice!$H$28/100)*Cultivation!AC72)/Unitflowchart!$S$357</f>
        <v>0</v>
      </c>
      <c r="N89" s="870">
        <f>E89+(GlobalWarmingPotentials!$B$11*H89)+(GlobalWarmingPotentials!$C$11*K89)</f>
        <v>6.9045117926179698</v>
      </c>
      <c r="O89" s="868">
        <f t="shared" ref="O89:O95" si="18">(N89/N$347)*100</f>
        <v>0.38898908325378312</v>
      </c>
      <c r="P89" s="895">
        <f>SQRT((G89^2)+((GlobalWarmingPotentials!$B$11*J89)^2)+((GlobalWarmingPotentials!$C$11*M89)^2))</f>
        <v>0</v>
      </c>
    </row>
    <row r="90" spans="1:16" x14ac:dyDescent="0.25">
      <c r="A90" s="894" t="str">
        <f>Cultivation!A73</f>
        <v xml:space="preserve"> - Farm Yard Manure</v>
      </c>
      <c r="B90" s="867">
        <f>(Unitflowchart!$S$15*(AllocationPrice!$H$28/100)*Cultivation!J73)/Unitflowchart!$S$357</f>
        <v>0</v>
      </c>
      <c r="C90" s="868">
        <f t="shared" si="14"/>
        <v>0</v>
      </c>
      <c r="D90" s="1304">
        <f>(Unitflowchart!$S$15*(AllocationPrice!$H$28/100)*Cultivation!K73)/Unitflowchart!$S$357</f>
        <v>0</v>
      </c>
      <c r="E90" s="867">
        <f>(Unitflowchart!$S$15*(AllocationPrice!$H$28/100)*Cultivation!P73)/Unitflowchart!$S$357</f>
        <v>0</v>
      </c>
      <c r="F90" s="868">
        <f t="shared" si="15"/>
        <v>0</v>
      </c>
      <c r="G90" s="1304">
        <f>(Unitflowchart!$S$15*(AllocationPrice!$H$28/100)*Cultivation!Q73)/Unitflowchart!$S$357</f>
        <v>0</v>
      </c>
      <c r="H90" s="867">
        <f>(Unitflowchart!$S$15*(AllocationPrice!$H$28/100)*Cultivation!V73)/Unitflowchart!$S$357</f>
        <v>0</v>
      </c>
      <c r="I90" s="868">
        <f t="shared" si="16"/>
        <v>0</v>
      </c>
      <c r="J90" s="1304">
        <f>(Unitflowchart!$S$15*(AllocationPrice!$H$28/100)*Cultivation!W73)/Unitflowchart!$S$357</f>
        <v>0</v>
      </c>
      <c r="K90" s="867">
        <f>(Unitflowchart!$S$15*(AllocationPrice!$H$28/100)*Cultivation!AB73)/Unitflowchart!$S$357</f>
        <v>0</v>
      </c>
      <c r="L90" s="868">
        <f t="shared" si="17"/>
        <v>0</v>
      </c>
      <c r="M90" s="1304">
        <f>(Unitflowchart!$S$15*(AllocationPrice!$H$28/100)*Cultivation!AC73)/Unitflowchart!$S$357</f>
        <v>0</v>
      </c>
      <c r="N90" s="870">
        <f>E90+(GlobalWarmingPotentials!$B$11*H90)+(GlobalWarmingPotentials!$C$11*K90)</f>
        <v>0</v>
      </c>
      <c r="O90" s="868">
        <f t="shared" si="18"/>
        <v>0</v>
      </c>
      <c r="P90" s="895">
        <f>SQRT((G90^2)+((GlobalWarmingPotentials!$B$11*J90)^2)+((GlobalWarmingPotentials!$C$11*M90)^2))</f>
        <v>0</v>
      </c>
    </row>
    <row r="91" spans="1:16" x14ac:dyDescent="0.25">
      <c r="A91" s="894" t="str">
        <f>Cultivation!A74</f>
        <v xml:space="preserve"> - N Fertiliser</v>
      </c>
      <c r="B91" s="867">
        <f>(Unitflowchart!$S$15*(AllocationPrice!$H$28/100)*Cultivation!J74)/Unitflowchart!$S$357</f>
        <v>2972.8326016496312</v>
      </c>
      <c r="C91" s="868">
        <f t="shared" si="14"/>
        <v>15.621883232033412</v>
      </c>
      <c r="D91" s="1304">
        <f>(Unitflowchart!$S$15*(AllocationPrice!$H$28/100)*Cultivation!K74)/Unitflowchart!$S$357</f>
        <v>445.92489024744469</v>
      </c>
      <c r="E91" s="867">
        <f>(Unitflowchart!$S$15*(AllocationPrice!$H$28/100)*Cultivation!P74)/Unitflowchart!$S$357</f>
        <v>174.13366964162716</v>
      </c>
      <c r="F91" s="868">
        <f t="shared" si="15"/>
        <v>14.557368350309385</v>
      </c>
      <c r="G91" s="1304">
        <f>(Unitflowchart!$S$15*(AllocationPrice!$H$28/100)*Cultivation!Q74)/Unitflowchart!$S$357</f>
        <v>26.120050446244072</v>
      </c>
      <c r="H91" s="867">
        <f>(Unitflowchart!$S$15*(AllocationPrice!$H$28/100)*Cultivation!V74)/Unitflowchart!$S$357</f>
        <v>0.46153226140610526</v>
      </c>
      <c r="I91" s="868">
        <f t="shared" si="16"/>
        <v>25.82014691060553</v>
      </c>
      <c r="J91" s="1304">
        <f>(Unitflowchart!$S$15*(AllocationPrice!$H$28/100)*Cultivation!W74)/Unitflowchart!$S$357</f>
        <v>6.92298392109158E-2</v>
      </c>
      <c r="K91" s="867">
        <f>(Unitflowchart!$S$15*(AllocationPrice!$H$28/100)*Cultivation!AB74)/Unitflowchart!$S$357</f>
        <v>0.92901018801550983</v>
      </c>
      <c r="L91" s="868">
        <f t="shared" si="17"/>
        <v>51.142570660178357</v>
      </c>
      <c r="M91" s="1304">
        <f>(Unitflowchart!$S$15*(AllocationPrice!$H$28/100)*Cultivation!AC74)/Unitflowchart!$S$357</f>
        <v>0.13935152820232646</v>
      </c>
      <c r="N91" s="870">
        <f>E91+(GlobalWarmingPotentials!$B$11*H91)+(GlobalWarmingPotentials!$C$11*K91)</f>
        <v>459.73592730655849</v>
      </c>
      <c r="O91" s="868">
        <f t="shared" si="18"/>
        <v>25.900782310634391</v>
      </c>
      <c r="P91" s="895">
        <f>SQRT((G91^2)+((GlobalWarmingPotentials!$B$11*J91)^2)+((GlobalWarmingPotentials!$C$11*M91)^2))</f>
        <v>48.84868712130919</v>
      </c>
    </row>
    <row r="92" spans="1:16" x14ac:dyDescent="0.25">
      <c r="A92" s="894" t="str">
        <f>Cultivation!A75</f>
        <v xml:space="preserve"> - P Fertiliser</v>
      </c>
      <c r="B92" s="867">
        <f>(Unitflowchart!$S$15*(AllocationPrice!$H$28/100)*Cultivation!J75)/Unitflowchart!$S$357</f>
        <v>696.2415242405126</v>
      </c>
      <c r="C92" s="868">
        <f t="shared" si="14"/>
        <v>3.6586667500022698</v>
      </c>
      <c r="D92" s="1304">
        <f>(Unitflowchart!$S$15*(AllocationPrice!$H$28/100)*Cultivation!K75)/Unitflowchart!$S$357</f>
        <v>104.43622863607689</v>
      </c>
      <c r="E92" s="867">
        <f>(Unitflowchart!$S$15*(AllocationPrice!$H$28/100)*Cultivation!P75)/Unitflowchart!$S$357</f>
        <v>37.043971577055778</v>
      </c>
      <c r="F92" s="868">
        <f t="shared" si="15"/>
        <v>3.0968321090080551</v>
      </c>
      <c r="G92" s="1304">
        <f>(Unitflowchart!$S$15*(AllocationPrice!$H$28/100)*Cultivation!Q75)/Unitflowchart!$S$357</f>
        <v>5.5565957365583669</v>
      </c>
      <c r="H92" s="867">
        <f>(Unitflowchart!$S$15*(AllocationPrice!$H$28/100)*Cultivation!V75)/Unitflowchart!$S$357</f>
        <v>4.7383648522959967E-2</v>
      </c>
      <c r="I92" s="868">
        <f t="shared" si="16"/>
        <v>2.650849936894875</v>
      </c>
      <c r="J92" s="1304">
        <f>(Unitflowchart!$S$15*(AllocationPrice!$H$28/100)*Cultivation!W75)/Unitflowchart!$S$357</f>
        <v>7.1075472784439941E-3</v>
      </c>
      <c r="K92" s="867">
        <f>(Unitflowchart!$S$15*(AllocationPrice!$H$28/100)*Cultivation!AB75)/Unitflowchart!$S$357</f>
        <v>0</v>
      </c>
      <c r="L92" s="868">
        <f t="shared" si="17"/>
        <v>0</v>
      </c>
      <c r="M92" s="1304">
        <f>(Unitflowchart!$S$15*(AllocationPrice!$H$28/100)*Cultivation!AC75)/Unitflowchart!$S$357</f>
        <v>0</v>
      </c>
      <c r="N92" s="870">
        <f>E92+(GlobalWarmingPotentials!$B$11*H92)+(GlobalWarmingPotentials!$C$11*K92)</f>
        <v>38.133795493083859</v>
      </c>
      <c r="O92" s="868">
        <f t="shared" si="18"/>
        <v>2.1483966709567306</v>
      </c>
      <c r="P92" s="895">
        <f>SQRT((G92^2)+((GlobalWarmingPotentials!$B$11*J92)^2)+((GlobalWarmingPotentials!$C$11*M92)^2))</f>
        <v>5.5589998914658585</v>
      </c>
    </row>
    <row r="93" spans="1:16" x14ac:dyDescent="0.25">
      <c r="A93" s="894" t="str">
        <f>Cultivation!A76</f>
        <v xml:space="preserve"> - K Fertiliser</v>
      </c>
      <c r="B93" s="867">
        <f>(Unitflowchart!$S$15*(AllocationPrice!$H$28/100)*Cultivation!J76)/Unitflowchart!$S$357</f>
        <v>1132.3120249380445</v>
      </c>
      <c r="C93" s="868">
        <f t="shared" si="14"/>
        <v>5.950165584834429</v>
      </c>
      <c r="D93" s="1304">
        <f>(Unitflowchart!$S$15*(AllocationPrice!$H$28/100)*Cultivation!K76)/Unitflowchart!$S$357</f>
        <v>169.84680374070669</v>
      </c>
      <c r="E93" s="867">
        <f>(Unitflowchart!$S$15*(AllocationPrice!$H$28/100)*Cultivation!P76)/Unitflowchart!$S$357</f>
        <v>62.739842853008923</v>
      </c>
      <c r="F93" s="868">
        <f t="shared" si="15"/>
        <v>5.2449764857734493</v>
      </c>
      <c r="G93" s="1304">
        <f>(Unitflowchart!$S$15*(AllocationPrice!$H$28/100)*Cultivation!Q76)/Unitflowchart!$S$357</f>
        <v>9.4109764279513382</v>
      </c>
      <c r="H93" s="867">
        <f>(Unitflowchart!$S$15*(AllocationPrice!$H$28/100)*Cultivation!V76)/Unitflowchart!$S$357</f>
        <v>0.18377404277044884</v>
      </c>
      <c r="I93" s="868">
        <f t="shared" si="16"/>
        <v>10.281129141942417</v>
      </c>
      <c r="J93" s="1304">
        <f>(Unitflowchart!$S$15*(AllocationPrice!$H$28/100)*Cultivation!W76)/Unitflowchart!$S$357</f>
        <v>2.7566106415567324E-2</v>
      </c>
      <c r="K93" s="867">
        <f>(Unitflowchart!$S$15*(AllocationPrice!$H$28/100)*Cultivation!AB76)/Unitflowchart!$S$357</f>
        <v>1.4389335578818007E-3</v>
      </c>
      <c r="L93" s="868">
        <f t="shared" si="17"/>
        <v>7.9214159444765134E-2</v>
      </c>
      <c r="M93" s="1304">
        <f>(Unitflowchart!$S$15*(AllocationPrice!$H$28/100)*Cultivation!AC76)/Unitflowchart!$S$357</f>
        <v>2.1584003368227013E-4</v>
      </c>
      <c r="N93" s="870">
        <f>E93+(GlobalWarmingPotentials!$B$11*H93)+(GlobalWarmingPotentials!$C$11*K93)</f>
        <v>67.392570169862253</v>
      </c>
      <c r="O93" s="868">
        <f t="shared" si="18"/>
        <v>3.7967889513229567</v>
      </c>
      <c r="P93" s="895">
        <f>SQRT((G93^2)+((GlobalWarmingPotentials!$B$11*J93)^2)+((GlobalWarmingPotentials!$C$11*M93)^2))</f>
        <v>9.4325256964914974</v>
      </c>
    </row>
    <row r="94" spans="1:16" x14ac:dyDescent="0.25">
      <c r="A94" s="894" t="str">
        <f>Cultivation!A77</f>
        <v xml:space="preserve"> - Crop Protection Chemicals</v>
      </c>
      <c r="B94" s="867">
        <f>(Unitflowchart!$S$15*(AllocationPrice!$H$28/100)*Cultivation!J77)/Unitflowchart!$S$357</f>
        <v>84.223587992269856</v>
      </c>
      <c r="C94" s="868">
        <f t="shared" si="14"/>
        <v>0.44258497981622946</v>
      </c>
      <c r="D94" s="1304">
        <f>(Unitflowchart!$S$15*(AllocationPrice!$H$28/100)*Cultivation!K77)/Unitflowchart!$S$357</f>
        <v>12.633538198840476</v>
      </c>
      <c r="E94" s="867">
        <f>(Unitflowchart!$S$15*(AllocationPrice!$H$28/100)*Cultivation!P77)/Unitflowchart!$S$357</f>
        <v>3.1023737822665134</v>
      </c>
      <c r="F94" s="868">
        <f t="shared" si="15"/>
        <v>0.25935477039989946</v>
      </c>
      <c r="G94" s="1304">
        <f>(Unitflowchart!$S$15*(AllocationPrice!$H$28/100)*Cultivation!Q77)/Unitflowchart!$S$357</f>
        <v>0.46535606733997709</v>
      </c>
      <c r="H94" s="867">
        <f>(Unitflowchart!$S$15*(AllocationPrice!$H$28/100)*Cultivation!V77)/Unitflowchart!$S$357</f>
        <v>8.0103783722546423E-3</v>
      </c>
      <c r="I94" s="868">
        <f t="shared" si="16"/>
        <v>0.4481358372457559</v>
      </c>
      <c r="J94" s="1304">
        <f>(Unitflowchart!$S$15*(AllocationPrice!$H$28/100)*Cultivation!W77)/Unitflowchart!$S$357</f>
        <v>1.2015567558381962E-3</v>
      </c>
      <c r="K94" s="867">
        <f>(Unitflowchart!$S$15*(AllocationPrice!$H$28/100)*Cultivation!AB77)/Unitflowchart!$S$357</f>
        <v>5.2762163328811177E-4</v>
      </c>
      <c r="L94" s="868">
        <f t="shared" si="17"/>
        <v>2.9045888850710293E-2</v>
      </c>
      <c r="M94" s="1304">
        <f>(Unitflowchart!$S$15*(AllocationPrice!$H$28/100)*Cultivation!AC77)/Unitflowchart!$S$357</f>
        <v>7.9143244993216751E-5</v>
      </c>
      <c r="N94" s="870">
        <f>E94+(GlobalWarmingPotentials!$B$11*H94)+(GlobalWarmingPotentials!$C$11*K94)</f>
        <v>3.4427884882816513</v>
      </c>
      <c r="O94" s="868">
        <f t="shared" si="18"/>
        <v>0.19396116309413569</v>
      </c>
      <c r="P94" s="895">
        <f>SQRT((G94^2)+((GlobalWarmingPotentials!$B$11*J94)^2)+((GlobalWarmingPotentials!$C$11*M94)^2))</f>
        <v>0.46676418392009938</v>
      </c>
    </row>
    <row r="95" spans="1:16" x14ac:dyDescent="0.25">
      <c r="A95" s="894" t="str">
        <f>Cultivation!A78</f>
        <v xml:space="preserve"> - Lime</v>
      </c>
      <c r="B95" s="867">
        <f>(Unitflowchart!$S$15*(AllocationPrice!$H$28/100)*Cultivation!J78)/Unitflowchart!$S$357</f>
        <v>0</v>
      </c>
      <c r="C95" s="868">
        <f t="shared" si="14"/>
        <v>0</v>
      </c>
      <c r="D95" s="1304">
        <f>(Unitflowchart!$S$15*(AllocationPrice!$H$28/100)*Cultivation!K78)/Unitflowchart!$S$357</f>
        <v>0</v>
      </c>
      <c r="E95" s="867">
        <f>(Unitflowchart!$S$15*(AllocationPrice!$H$28/100)*Cultivation!P78)/Unitflowchart!$S$357</f>
        <v>0</v>
      </c>
      <c r="F95" s="868">
        <f t="shared" si="15"/>
        <v>0</v>
      </c>
      <c r="G95" s="1304">
        <f>(Unitflowchart!$S$15*(AllocationPrice!$H$28/100)*Cultivation!Q78)/Unitflowchart!$S$357</f>
        <v>0</v>
      </c>
      <c r="H95" s="867">
        <f>(Unitflowchart!$S$15*(AllocationPrice!$H$28/100)*Cultivation!V78)/Unitflowchart!$S$357</f>
        <v>0</v>
      </c>
      <c r="I95" s="868">
        <f t="shared" si="16"/>
        <v>0</v>
      </c>
      <c r="J95" s="1304">
        <f>(Unitflowchart!$S$15*(AllocationPrice!$H$28/100)*Cultivation!W78)/Unitflowchart!$S$357</f>
        <v>0</v>
      </c>
      <c r="K95" s="867">
        <f>(Unitflowchart!$S$15*(AllocationPrice!$H$28/100)*Cultivation!AB78)/Unitflowchart!$S$357</f>
        <v>0</v>
      </c>
      <c r="L95" s="868">
        <f t="shared" si="17"/>
        <v>0</v>
      </c>
      <c r="M95" s="1304">
        <f>(Unitflowchart!$S$15*(AllocationPrice!$H$28/100)*Cultivation!AC78)/Unitflowchart!$S$357</f>
        <v>0</v>
      </c>
      <c r="N95" s="870">
        <f>E95+(GlobalWarmingPotentials!$B$11*H95)+(GlobalWarmingPotentials!$C$11*K95)</f>
        <v>0</v>
      </c>
      <c r="O95" s="868">
        <f t="shared" si="18"/>
        <v>0</v>
      </c>
      <c r="P95" s="895">
        <f>SQRT((G95^2)+((GlobalWarmingPotentials!$B$11*J95)^2)+((GlobalWarmingPotentials!$C$11*M95)^2))</f>
        <v>0</v>
      </c>
    </row>
    <row r="96" spans="1:16" s="42" customFormat="1" x14ac:dyDescent="0.25">
      <c r="A96" s="852"/>
      <c r="B96" s="1305"/>
      <c r="C96" s="1306"/>
      <c r="D96" s="1307"/>
      <c r="E96" s="1305"/>
      <c r="F96" s="1306"/>
      <c r="G96" s="1307"/>
      <c r="H96" s="1305"/>
      <c r="I96" s="1306"/>
      <c r="J96" s="1307"/>
      <c r="K96" s="1305"/>
      <c r="L96" s="1306"/>
      <c r="M96" s="1307"/>
      <c r="N96" s="1305"/>
      <c r="O96" s="1306"/>
      <c r="P96" s="1308"/>
    </row>
    <row r="97" spans="1:16" s="42" customFormat="1" x14ac:dyDescent="0.25">
      <c r="A97" s="894" t="str">
        <f>Cultivation!A80</f>
        <v xml:space="preserve"> - Emissions from Soil (N Fertiliser)</v>
      </c>
      <c r="B97" s="867">
        <f>(Unitflowchart!$S$15*(AllocationPrice!$H$28/100)*Cultivation!J80)/Unitflowchart!$S$357</f>
        <v>0</v>
      </c>
      <c r="C97" s="868">
        <f t="shared" ref="C97:C102" si="19">(B97/B$347)*100</f>
        <v>0</v>
      </c>
      <c r="D97" s="1304">
        <f>(Unitflowchart!$S$15*(AllocationPrice!$H$28/100)*Cultivation!K80)/Unitflowchart!$S$357</f>
        <v>0</v>
      </c>
      <c r="E97" s="867">
        <f>(Unitflowchart!$S$15*(AllocationPrice!$H$28/100)*Cultivation!P80)/Unitflowchart!$S$357</f>
        <v>0</v>
      </c>
      <c r="F97" s="868">
        <f t="shared" ref="F97:F102" si="20">(E97/E$347)*100</f>
        <v>0</v>
      </c>
      <c r="G97" s="1304">
        <f>(Unitflowchart!$S$15*(AllocationPrice!$H$28/100)*Cultivation!Q80)/Unitflowchart!$S$357</f>
        <v>0</v>
      </c>
      <c r="H97" s="867">
        <f>(Unitflowchart!$S$15*(AllocationPrice!$H$28/100)*Cultivation!V80)/Unitflowchart!$S$357</f>
        <v>0</v>
      </c>
      <c r="I97" s="868">
        <f t="shared" ref="I97:I102" si="21">(H97/H$347)*100</f>
        <v>0</v>
      </c>
      <c r="J97" s="1304">
        <f>(Unitflowchart!$S$15*(AllocationPrice!$H$28/100)*Cultivation!W80)/Unitflowchart!$S$357</f>
        <v>0</v>
      </c>
      <c r="K97" s="867">
        <f>(Unitflowchart!$S$15*(AllocationPrice!$H$28/100)*Cultivation!AB80)/Unitflowchart!$S$357</f>
        <v>0.43822635485828387</v>
      </c>
      <c r="L97" s="868">
        <f t="shared" ref="L97:L102" si="22">(K97/K$347)*100</f>
        <v>24.12462490467113</v>
      </c>
      <c r="M97" s="1304">
        <f>(Unitflowchart!$S$15*(AllocationPrice!$H$28/100)*Cultivation!AC80)/Unitflowchart!$S$357</f>
        <v>0</v>
      </c>
      <c r="N97" s="870">
        <f>E97+(GlobalWarmingPotentials!$B$11*H97)+(GlobalWarmingPotentials!$C$11*K97)</f>
        <v>129.71500103805204</v>
      </c>
      <c r="O97" s="868">
        <f t="shared" ref="O97:O102" si="23">(N97/N$347)*100</f>
        <v>7.307934413553002</v>
      </c>
      <c r="P97" s="895">
        <f>SQRT((G97^2)+((GlobalWarmingPotentials!$B$11*J97)^2)+((GlobalWarmingPotentials!$C$11*M97)^2))</f>
        <v>0</v>
      </c>
    </row>
    <row r="98" spans="1:16" s="5" customFormat="1" x14ac:dyDescent="0.25">
      <c r="A98" s="894" t="str">
        <f>Cultivation!A81</f>
        <v xml:space="preserve"> - Carbon Dioxide Emissions from Soil (Lime)</v>
      </c>
      <c r="B98" s="867">
        <f>(Unitflowchart!$S$15*(AllocationPrice!$H$28/100)*Cultivation!J81)/Unitflowchart!$S$357</f>
        <v>0</v>
      </c>
      <c r="C98" s="868">
        <f t="shared" si="19"/>
        <v>0</v>
      </c>
      <c r="D98" s="1304">
        <f>(Unitflowchart!$S$15*(AllocationPrice!$H$28/100)*Cultivation!K81)/Unitflowchart!$S$357</f>
        <v>0</v>
      </c>
      <c r="E98" s="867">
        <f>(Unitflowchart!$S$15*(AllocationPrice!$H$28/100)*Cultivation!P81)/Unitflowchart!$S$357</f>
        <v>0</v>
      </c>
      <c r="F98" s="868">
        <f t="shared" si="20"/>
        <v>0</v>
      </c>
      <c r="G98" s="1304">
        <f>(Unitflowchart!$S$15*(AllocationPrice!$H$28/100)*Cultivation!Q81)/Unitflowchart!$S$357</f>
        <v>0</v>
      </c>
      <c r="H98" s="867">
        <f>(Unitflowchart!$S$15*(AllocationPrice!$H$28/100)*Cultivation!V81)/Unitflowchart!$S$357</f>
        <v>0</v>
      </c>
      <c r="I98" s="868">
        <f t="shared" si="21"/>
        <v>0</v>
      </c>
      <c r="J98" s="1304">
        <f>(Unitflowchart!$S$15*(AllocationPrice!$H$28/100)*Cultivation!W81)/Unitflowchart!$S$357</f>
        <v>0</v>
      </c>
      <c r="K98" s="867">
        <f>(Unitflowchart!$S$15*(AllocationPrice!$H$28/100)*Cultivation!AB81)/Unitflowchart!$S$357</f>
        <v>0</v>
      </c>
      <c r="L98" s="868">
        <f t="shared" si="22"/>
        <v>0</v>
      </c>
      <c r="M98" s="1304">
        <f>(Unitflowchart!$S$15*(AllocationPrice!$H$28/100)*Cultivation!AC81)/Unitflowchart!$S$357</f>
        <v>0</v>
      </c>
      <c r="N98" s="870">
        <f>E98+(GlobalWarmingPotentials!$B$11*H98)+(GlobalWarmingPotentials!$C$11*K98)</f>
        <v>0</v>
      </c>
      <c r="O98" s="868">
        <f t="shared" si="23"/>
        <v>0</v>
      </c>
      <c r="P98" s="895">
        <f>SQRT((G98^2)+((GlobalWarmingPotentials!$B$11*J98)^2)+((GlobalWarmingPotentials!$C$11*M98)^2))</f>
        <v>0</v>
      </c>
    </row>
    <row r="99" spans="1:16" s="42" customFormat="1" x14ac:dyDescent="0.25">
      <c r="A99" s="894" t="str">
        <f>Cultivation!A82</f>
        <v xml:space="preserve"> - Nitrous Oxide Emissions from Soil (Crop Residues)</v>
      </c>
      <c r="B99" s="867">
        <f>(Unitflowchart!$S$15*(AllocationPrice!$H$28/100)*Cultivation!J82)/Unitflowchart!$S$357</f>
        <v>0</v>
      </c>
      <c r="C99" s="868">
        <f t="shared" si="19"/>
        <v>0</v>
      </c>
      <c r="D99" s="1304">
        <f>(Unitflowchart!$S$15*(AllocationPrice!$H$28/100)*Cultivation!K82)/Unitflowchart!$S$357</f>
        <v>0</v>
      </c>
      <c r="E99" s="867">
        <f>(Unitflowchart!$S$15*(AllocationPrice!$H$28/100)*Cultivation!P82)/Unitflowchart!$S$357</f>
        <v>0</v>
      </c>
      <c r="F99" s="868">
        <f t="shared" si="20"/>
        <v>0</v>
      </c>
      <c r="G99" s="1304">
        <f>(Unitflowchart!$S$15*(AllocationPrice!$H$28/100)*Cultivation!Q82)/Unitflowchart!$S$357</f>
        <v>0</v>
      </c>
      <c r="H99" s="867">
        <f>(Unitflowchart!$S$15*(AllocationPrice!$H$28/100)*Cultivation!V82)/Unitflowchart!$S$357</f>
        <v>0</v>
      </c>
      <c r="I99" s="868">
        <f t="shared" si="21"/>
        <v>0</v>
      </c>
      <c r="J99" s="1304">
        <f>(Unitflowchart!$S$15*(AllocationPrice!$H$28/100)*Cultivation!W82)/Unitflowchart!$S$357</f>
        <v>0</v>
      </c>
      <c r="K99" s="867">
        <f>(Unitflowchart!$S$15*(AllocationPrice!$H$28/100)*Cultivation!AB82)/Unitflowchart!$S$357</f>
        <v>0.22927544849754938</v>
      </c>
      <c r="L99" s="868">
        <f t="shared" si="22"/>
        <v>12.621751598308888</v>
      </c>
      <c r="M99" s="1304">
        <f>(Unitflowchart!$S$15*(AllocationPrice!$H$28/100)*Cultivation!AC82)/Unitflowchart!$S$357</f>
        <v>0</v>
      </c>
      <c r="N99" s="870">
        <f>E99+(GlobalWarmingPotentials!$B$11*H99)+(GlobalWarmingPotentials!$C$11*K99)</f>
        <v>67.865532755274614</v>
      </c>
      <c r="O99" s="868">
        <f t="shared" si="23"/>
        <v>3.8234349022661638</v>
      </c>
      <c r="P99" s="895">
        <f>SQRT((G99^2)+((GlobalWarmingPotentials!$B$11*J99)^2)+((GlobalWarmingPotentials!$C$11*M99)^2))</f>
        <v>0</v>
      </c>
    </row>
    <row r="100" spans="1:16" s="5" customFormat="1" x14ac:dyDescent="0.25">
      <c r="A100" s="894" t="str">
        <f>Cultivation!A83</f>
        <v xml:space="preserve"> - Carbon Dioxide Sequestration in Soil (Crop Residues)</v>
      </c>
      <c r="B100" s="867">
        <f>(Unitflowchart!$S$15*(AllocationPrice!$H$28/100)*Cultivation!J83)/Unitflowchart!$S$357</f>
        <v>0</v>
      </c>
      <c r="C100" s="868">
        <f t="shared" si="19"/>
        <v>0</v>
      </c>
      <c r="D100" s="1304">
        <f>(Unitflowchart!$S$15*(AllocationPrice!$H$28/100)*Cultivation!K83)/Unitflowchart!$S$357</f>
        <v>0</v>
      </c>
      <c r="E100" s="867">
        <f>(Unitflowchart!$S$15*(AllocationPrice!$H$28/100)*Cultivation!P83)/Unitflowchart!$S$357</f>
        <v>0</v>
      </c>
      <c r="F100" s="868">
        <f t="shared" si="20"/>
        <v>0</v>
      </c>
      <c r="G100" s="1304">
        <f>(Unitflowchart!$S$15*(AllocationPrice!$H$28/100)*Cultivation!Q83)/Unitflowchart!$S$357</f>
        <v>0</v>
      </c>
      <c r="H100" s="867">
        <f>(Unitflowchart!$S$15*(AllocationPrice!$H$28/100)*Cultivation!V83)/Unitflowchart!$S$357</f>
        <v>0</v>
      </c>
      <c r="I100" s="868">
        <f t="shared" si="21"/>
        <v>0</v>
      </c>
      <c r="J100" s="1304">
        <f>(Unitflowchart!$S$15*(AllocationPrice!$H$28/100)*Cultivation!W83)/Unitflowchart!$S$357</f>
        <v>0</v>
      </c>
      <c r="K100" s="867">
        <f>(Unitflowchart!$S$15*(AllocationPrice!$H$28/100)*Cultivation!AB83)/Unitflowchart!$S$357</f>
        <v>0</v>
      </c>
      <c r="L100" s="868">
        <f t="shared" si="22"/>
        <v>0</v>
      </c>
      <c r="M100" s="1304">
        <f>(Unitflowchart!$S$15*(AllocationPrice!$H$28/100)*Cultivation!AC83)/Unitflowchart!$S$357</f>
        <v>0</v>
      </c>
      <c r="N100" s="870">
        <f>E100+(GlobalWarmingPotentials!$B$11*H100)+(GlobalWarmingPotentials!$C$11*K100)</f>
        <v>0</v>
      </c>
      <c r="O100" s="868">
        <f t="shared" si="23"/>
        <v>0</v>
      </c>
      <c r="P100" s="895">
        <f>SQRT((G100^2)+((GlobalWarmingPotentials!$B$11*J100)^2)+((GlobalWarmingPotentials!$C$11*M100)^2))</f>
        <v>0</v>
      </c>
    </row>
    <row r="101" spans="1:16" s="5" customFormat="1" x14ac:dyDescent="0.25">
      <c r="A101" s="894" t="str">
        <f>Cultivation!A84</f>
        <v xml:space="preserve"> - Nitrous Oxide Emissions from Soil (Organic Manure)</v>
      </c>
      <c r="B101" s="867">
        <f>(Unitflowchart!$S$15*(AllocationPrice!$H$28/100)*Cultivation!J84)/Unitflowchart!$S$357</f>
        <v>0</v>
      </c>
      <c r="C101" s="868">
        <f t="shared" si="19"/>
        <v>0</v>
      </c>
      <c r="D101" s="1304">
        <f>(Unitflowchart!$S$15*(AllocationPrice!$H$28/100)*Cultivation!K84)/Unitflowchart!$S$357</f>
        <v>0</v>
      </c>
      <c r="E101" s="867">
        <f>(Unitflowchart!$S$15*(AllocationPrice!$H$28/100)*Cultivation!P84)/Unitflowchart!$S$357</f>
        <v>0</v>
      </c>
      <c r="F101" s="868">
        <f t="shared" si="20"/>
        <v>0</v>
      </c>
      <c r="G101" s="1304">
        <f>(Unitflowchart!$S$15*(AllocationPrice!$H$28/100)*Cultivation!Q84)/Unitflowchart!$S$357</f>
        <v>0</v>
      </c>
      <c r="H101" s="867">
        <f>(Unitflowchart!$S$15*(AllocationPrice!$H$28/100)*Cultivation!V84)/Unitflowchart!$S$357</f>
        <v>0</v>
      </c>
      <c r="I101" s="868">
        <f t="shared" si="21"/>
        <v>0</v>
      </c>
      <c r="J101" s="1304">
        <f>(Unitflowchart!$S$15*(AllocationPrice!$H$28/100)*Cultivation!W84)/Unitflowchart!$S$357</f>
        <v>0</v>
      </c>
      <c r="K101" s="867">
        <f>(Unitflowchart!$S$15*(AllocationPrice!$H$28/100)*Cultivation!AB84)/Unitflowchart!$S$357</f>
        <v>0</v>
      </c>
      <c r="L101" s="868">
        <f t="shared" si="22"/>
        <v>0</v>
      </c>
      <c r="M101" s="1304">
        <f>(Unitflowchart!$S$15*(AllocationPrice!$H$28/100)*Cultivation!AC84)/Unitflowchart!$S$357</f>
        <v>0</v>
      </c>
      <c r="N101" s="870">
        <f>E101+(GlobalWarmingPotentials!$B$11*H101)+(GlobalWarmingPotentials!$C$11*K101)</f>
        <v>0</v>
      </c>
      <c r="O101" s="868">
        <f t="shared" si="23"/>
        <v>0</v>
      </c>
      <c r="P101" s="895">
        <f>SQRT((G101^2)+((GlobalWarmingPotentials!$B$11*J101)^2)+((GlobalWarmingPotentials!$C$11*M101)^2))</f>
        <v>0</v>
      </c>
    </row>
    <row r="102" spans="1:16" s="5" customFormat="1" x14ac:dyDescent="0.25">
      <c r="A102" s="894" t="str">
        <f>Cultivation!A85</f>
        <v xml:space="preserve"> - Carbon Dioxide Sequestration in Soil (Organic Manure)</v>
      </c>
      <c r="B102" s="867">
        <f>(Unitflowchart!$S$15*(AllocationPrice!$H$28/100)*Cultivation!J85)/Unitflowchart!$S$357</f>
        <v>0</v>
      </c>
      <c r="C102" s="868">
        <f t="shared" si="19"/>
        <v>0</v>
      </c>
      <c r="D102" s="1304">
        <f>(Unitflowchart!$S$15*(AllocationPrice!$H$28/100)*Cultivation!K85)/Unitflowchart!$S$357</f>
        <v>0</v>
      </c>
      <c r="E102" s="867">
        <f>(Unitflowchart!$S$15*(AllocationPrice!$H$28/100)*Cultivation!P85)/Unitflowchart!$S$357</f>
        <v>0</v>
      </c>
      <c r="F102" s="868">
        <f t="shared" si="20"/>
        <v>0</v>
      </c>
      <c r="G102" s="1304">
        <f>(Unitflowchart!$S$15*(AllocationPrice!$H$28/100)*Cultivation!Q85)/Unitflowchart!$S$357</f>
        <v>0</v>
      </c>
      <c r="H102" s="867">
        <f>(Unitflowchart!$S$15*(AllocationPrice!$H$28/100)*Cultivation!V85)/Unitflowchart!$S$357</f>
        <v>0</v>
      </c>
      <c r="I102" s="868">
        <f t="shared" si="21"/>
        <v>0</v>
      </c>
      <c r="J102" s="1304">
        <f>(Unitflowchart!$S$15*(AllocationPrice!$H$28/100)*Cultivation!W85)/Unitflowchart!$S$357</f>
        <v>0</v>
      </c>
      <c r="K102" s="867">
        <f>(Unitflowchart!$S$15*(AllocationPrice!$H$28/100)*Cultivation!AB85)/Unitflowchart!$S$357</f>
        <v>0</v>
      </c>
      <c r="L102" s="868">
        <f t="shared" si="22"/>
        <v>0</v>
      </c>
      <c r="M102" s="1304">
        <f>(Unitflowchart!$S$15*(AllocationPrice!$H$28/100)*Cultivation!AC85)/Unitflowchart!$S$357</f>
        <v>0</v>
      </c>
      <c r="N102" s="870">
        <f>E102+(GlobalWarmingPotentials!$B$11*H102)+(GlobalWarmingPotentials!$C$11*K102)</f>
        <v>0</v>
      </c>
      <c r="O102" s="868">
        <f t="shared" si="23"/>
        <v>0</v>
      </c>
      <c r="P102" s="895">
        <f>SQRT((G102^2)+((GlobalWarmingPotentials!$B$11*J102)^2)+((GlobalWarmingPotentials!$C$11*M102)^2))</f>
        <v>0</v>
      </c>
    </row>
    <row r="103" spans="1:16" s="838" customFormat="1" x14ac:dyDescent="0.25">
      <c r="A103" s="852"/>
      <c r="B103" s="1305"/>
      <c r="C103" s="1306"/>
      <c r="D103" s="1307"/>
      <c r="E103" s="1305"/>
      <c r="F103" s="1306"/>
      <c r="G103" s="1307"/>
      <c r="H103" s="1305"/>
      <c r="I103" s="1306"/>
      <c r="J103" s="1307"/>
      <c r="K103" s="1305"/>
      <c r="L103" s="1306"/>
      <c r="M103" s="1307"/>
      <c r="N103" s="1305"/>
      <c r="O103" s="1306"/>
      <c r="P103" s="1308"/>
    </row>
    <row r="104" spans="1:16" s="6" customFormat="1" x14ac:dyDescent="0.25">
      <c r="A104" s="214" t="s">
        <v>26</v>
      </c>
      <c r="B104" s="717">
        <f>(Unitflowchart!$S$15*(AllocationPrice!$H$28/100)*Cultivation!J87)/Unitflowchart!$S$357</f>
        <v>8309.899498278497</v>
      </c>
      <c r="C104" s="14">
        <f>(B104/B$347)*100</f>
        <v>43.667537674339414</v>
      </c>
      <c r="D104" s="722">
        <f>(Unitflowchart!$S$15*(AllocationPrice!$H$28/100)*Cultivation!K87)/Unitflowchart!$S$357</f>
        <v>488.63429742730733</v>
      </c>
      <c r="E104" s="717">
        <f>(Unitflowchart!$S$15*(AllocationPrice!$H$28/100)*Cultivation!P87)/Unitflowchart!$S$357</f>
        <v>522.75174180388285</v>
      </c>
      <c r="F104" s="14">
        <f>(E104/E$347)*100</f>
        <v>43.701425903826355</v>
      </c>
      <c r="G104" s="722">
        <f>(Unitflowchart!$S$15*(AllocationPrice!$H$28/100)*Cultivation!Q87)/Unitflowchart!$S$357</f>
        <v>28.318118318326512</v>
      </c>
      <c r="H104" s="717">
        <f>(Unitflowchart!$S$15*(AllocationPrice!$H$28/100)*Cultivation!V87)/Unitflowchart!$S$357</f>
        <v>0.75176150176266221</v>
      </c>
      <c r="I104" s="14">
        <f>(H104/H$347)*100</f>
        <v>42.056848546433187</v>
      </c>
      <c r="J104" s="722">
        <f>(Unitflowchart!$S$15*(AllocationPrice!$H$28/100)*Cultivation!W87)/Unitflowchart!$S$357</f>
        <v>7.4864022247248072E-2</v>
      </c>
      <c r="K104" s="717">
        <f>(Unitflowchart!$S$15*(AllocationPrice!$H$28/100)*Cultivation!AB87)/Unitflowchart!$S$357</f>
        <v>1.6648580684606744</v>
      </c>
      <c r="L104" s="14">
        <f>(K104/K$347)*100</f>
        <v>91.651439891417624</v>
      </c>
      <c r="M104" s="722">
        <f>(Unitflowchart!$S$15*(AllocationPrice!$H$28/100)*Cultivation!AC87)/Unitflowchart!$S$357</f>
        <v>0.13935171783260208</v>
      </c>
      <c r="N104" s="714">
        <f>E104+(GlobalWarmingPotentials!$B$11*H104)+(GlobalWarmingPotentials!$C$11*K104)</f>
        <v>1032.8402446087837</v>
      </c>
      <c r="O104" s="14">
        <f>(N104/N$347)*100</f>
        <v>58.188557274611874</v>
      </c>
      <c r="P104" s="739">
        <f>SQRT((G104^2)+((GlobalWarmingPotentials!$B$11*J104)^2)+((GlobalWarmingPotentials!$C$11*M104)^2))</f>
        <v>50.062831752581062</v>
      </c>
    </row>
    <row r="105" spans="1:16" s="838" customFormat="1" x14ac:dyDescent="0.25">
      <c r="A105" s="852"/>
      <c r="B105" s="713"/>
      <c r="C105" s="863"/>
      <c r="D105" s="719"/>
      <c r="E105" s="713"/>
      <c r="F105" s="863"/>
      <c r="G105" s="719"/>
      <c r="H105" s="713"/>
      <c r="I105" s="863"/>
      <c r="J105" s="719"/>
      <c r="K105" s="713"/>
      <c r="L105" s="863"/>
      <c r="M105" s="719"/>
      <c r="N105" s="713"/>
      <c r="O105" s="863"/>
      <c r="P105" s="738"/>
    </row>
    <row r="106" spans="1:16" x14ac:dyDescent="0.25">
      <c r="A106" s="384" t="s">
        <v>33</v>
      </c>
      <c r="B106" s="712"/>
      <c r="C106" s="25"/>
      <c r="D106" s="718"/>
      <c r="E106" s="712"/>
      <c r="F106" s="25"/>
      <c r="G106" s="721"/>
      <c r="H106" s="190"/>
      <c r="I106" s="25"/>
      <c r="J106" s="31"/>
      <c r="K106" s="190"/>
      <c r="L106" s="25"/>
      <c r="M106" s="31"/>
      <c r="N106" s="735"/>
      <c r="O106" s="25"/>
      <c r="P106" s="737"/>
    </row>
    <row r="107" spans="1:16" x14ac:dyDescent="0.25">
      <c r="B107" s="712"/>
      <c r="D107" s="721"/>
      <c r="E107" s="718"/>
      <c r="G107" s="721"/>
      <c r="H107" s="708"/>
      <c r="J107" s="31"/>
      <c r="K107" s="708"/>
      <c r="M107" s="708"/>
      <c r="N107" s="712"/>
      <c r="P107" s="721"/>
    </row>
    <row r="108" spans="1:16" x14ac:dyDescent="0.25">
      <c r="A108" s="13" t="str">
        <f>RoadTransportStage1!A28</f>
        <v xml:space="preserve"> - Diesel Fuel</v>
      </c>
      <c r="B108" s="715">
        <f>Unitflowchart!$S$24*(AllocationPrice!$H$33/100)/Unitflowchart!$S$357*(RoadTransportStage1!J28)*Unitflowchart!$S$39</f>
        <v>601.53586980511921</v>
      </c>
      <c r="C108" s="25">
        <f>(B108/B$347)*100</f>
        <v>3.1609997524787445</v>
      </c>
      <c r="D108" s="481">
        <f>Unitflowchart!$S$24*(AllocationPrice!$H$33/100)/Unitflowchart!$S$357*(RoadTransportStage1!K28)*Unitflowchart!$S$39</f>
        <v>28.272185880840603</v>
      </c>
      <c r="E108" s="715">
        <f>Unitflowchart!$S$24*(AllocationPrice!$H$33/100)/Unitflowchart!$S$357*(RoadTransportStage1!P28)*Unitflowchart!$S$39</f>
        <v>43.167066146313303</v>
      </c>
      <c r="F108" s="25">
        <f>(E108/E$347)*100</f>
        <v>3.6087155562006963</v>
      </c>
      <c r="G108" s="481">
        <f>Unitflowchart!$S$24*(AllocationPrice!$H$33/100)/Unitflowchart!$S$357*(RoadTransportStage1!Q28)*Unitflowchart!$S$39</f>
        <v>2.0288521088767251</v>
      </c>
      <c r="H108" s="715">
        <f>Unitflowchart!$S$24*(AllocationPrice!$H$33/100)/Unitflowchart!$S$357*(RoadTransportStage1!V28)*Unitflowchart!$S$39</f>
        <v>8.969779978454712E-3</v>
      </c>
      <c r="I108" s="25">
        <f>(H108/H$347)*100</f>
        <v>0.50180898751023928</v>
      </c>
      <c r="J108" s="481">
        <f>Unitflowchart!$S$24*(AllocationPrice!$H$33/100)/Unitflowchart!$S$357*(RoadTransportStage1!W28)*Unitflowchart!$S$39</f>
        <v>4.215796589873715E-4</v>
      </c>
      <c r="K108" s="715">
        <f>Unitflowchart!$S$24*(AllocationPrice!$H$33/100)/Unitflowchart!$S$357*(RoadTransportStage1!AB28)*Unitflowchart!$S$39</f>
        <v>1.166071397199113E-2</v>
      </c>
      <c r="L108" s="25">
        <f>(K108/K$347)*100</f>
        <v>0.64192933075856551</v>
      </c>
      <c r="M108" s="481">
        <f>Unitflowchart!$S$24*(AllocationPrice!$H$33/100)/Unitflowchart!$S$357*(RoadTransportStage1!AC28)*Unitflowchart!$S$39</f>
        <v>5.4805355668358297E-4</v>
      </c>
      <c r="N108" s="711">
        <f>E108+(GlobalWarmingPotentials!$B$11*H108)+(GlobalWarmingPotentials!$C$11*K108)</f>
        <v>46.824942421527133</v>
      </c>
      <c r="O108" s="25">
        <f>(N108/N$347)*100</f>
        <v>2.6380419026056448</v>
      </c>
      <c r="P108" s="736">
        <f>SQRT((G108^2)+((GlobalWarmingPotentials!$B$11*J108)^2)+((GlobalWarmingPotentials!$C$11*M108)^2))</f>
        <v>2.035350455563139</v>
      </c>
    </row>
    <row r="109" spans="1:16" x14ac:dyDescent="0.25">
      <c r="A109" s="13" t="str">
        <f>RoadTransportStage1!A29</f>
        <v xml:space="preserve"> - Vehicle </v>
      </c>
      <c r="B109" s="715">
        <f>Unitflowchart!$S$24*(AllocationPrice!$H$33/100)/Unitflowchart!$S$357*(RoadTransportStage1!J29)*Unitflowchart!$S$39</f>
        <v>0</v>
      </c>
      <c r="C109" s="25">
        <f>(B109/B$347)*100</f>
        <v>0</v>
      </c>
      <c r="D109" s="481">
        <f>Unitflowchart!$S$24*(AllocationPrice!$H$33/100)/Unitflowchart!$S$357*(RoadTransportStage1!K29)*Unitflowchart!$S$39</f>
        <v>0</v>
      </c>
      <c r="E109" s="715">
        <f>Unitflowchart!$S$24*(AllocationPrice!$H$33/100)/Unitflowchart!$S$357*(RoadTransportStage1!P29)*Unitflowchart!$S$39</f>
        <v>0</v>
      </c>
      <c r="F109" s="25">
        <f>(E109/E$347)*100</f>
        <v>0</v>
      </c>
      <c r="G109" s="481">
        <f>Unitflowchart!$S$24*(AllocationPrice!$H$33/100)/Unitflowchart!$S$357*(RoadTransportStage1!Q29)*Unitflowchart!$S$39</f>
        <v>0</v>
      </c>
      <c r="H109" s="715">
        <f>Unitflowchart!$S$24*(AllocationPrice!$H$33/100)/Unitflowchart!$S$357*(RoadTransportStage1!V29)*Unitflowchart!$S$39</f>
        <v>0</v>
      </c>
      <c r="I109" s="25">
        <f>(H109/H$347)*100</f>
        <v>0</v>
      </c>
      <c r="J109" s="481">
        <f>Unitflowchart!$S$24*(AllocationPrice!$H$33/100)/Unitflowchart!$S$357*(RoadTransportStage1!W29)*Unitflowchart!$S$39</f>
        <v>0</v>
      </c>
      <c r="K109" s="715">
        <f>Unitflowchart!$S$24*(AllocationPrice!$H$33/100)/Unitflowchart!$S$357*(RoadTransportStage1!AB29)*Unitflowchart!$S$39</f>
        <v>0</v>
      </c>
      <c r="L109" s="25">
        <f>(K109/K$347)*100</f>
        <v>0</v>
      </c>
      <c r="M109" s="481">
        <f>Unitflowchart!$S$24*(AllocationPrice!$H$33/100)/Unitflowchart!$S$357*(RoadTransportStage1!AC29)*Unitflowchart!$S$39</f>
        <v>0</v>
      </c>
      <c r="N109" s="711">
        <f>E109+(GlobalWarmingPotentials!$B$11*H109)+(GlobalWarmingPotentials!$C$11*K109)</f>
        <v>0</v>
      </c>
      <c r="O109" s="25">
        <f>(N109/N$347)*100</f>
        <v>0</v>
      </c>
      <c r="P109" s="736">
        <f>SQRT((G109^2)+((GlobalWarmingPotentials!$B$11*J109)^2)+((GlobalWarmingPotentials!$C$11*M109)^2))</f>
        <v>0</v>
      </c>
    </row>
    <row r="110" spans="1:16" x14ac:dyDescent="0.25">
      <c r="A110" s="13" t="str">
        <f>RoadTransportStage1!A30</f>
        <v xml:space="preserve"> - Maintenance</v>
      </c>
      <c r="B110" s="715">
        <f>Unitflowchart!$S$24*(AllocationPrice!$H$33/100)/Unitflowchart!$S$357*(RoadTransportStage1!J30)*Unitflowchart!$S$39</f>
        <v>0</v>
      </c>
      <c r="C110" s="25">
        <f>(B110/B$347)*100</f>
        <v>0</v>
      </c>
      <c r="D110" s="481">
        <f>Unitflowchart!$S$24*(AllocationPrice!$H$33/100)/Unitflowchart!$S$357*(RoadTransportStage1!K30)*Unitflowchart!$S$39</f>
        <v>0</v>
      </c>
      <c r="E110" s="715">
        <f>Unitflowchart!$S$24*(AllocationPrice!$H$33/100)/Unitflowchart!$S$357*(RoadTransportStage1!P30)*Unitflowchart!$S$39</f>
        <v>0</v>
      </c>
      <c r="F110" s="25">
        <f>(E110/E$347)*100</f>
        <v>0</v>
      </c>
      <c r="G110" s="481">
        <f>Unitflowchart!$S$24*(AllocationPrice!$H$33/100)/Unitflowchart!$S$357*(RoadTransportStage1!Q30)*Unitflowchart!$S$39</f>
        <v>0</v>
      </c>
      <c r="H110" s="715">
        <f>Unitflowchart!$S$24*(AllocationPrice!$H$33/100)/Unitflowchart!$S$357*(RoadTransportStage1!V30)*Unitflowchart!$S$39</f>
        <v>0</v>
      </c>
      <c r="I110" s="25">
        <f>(H110/H$347)*100</f>
        <v>0</v>
      </c>
      <c r="J110" s="481">
        <f>Unitflowchart!$S$24*(AllocationPrice!$H$33/100)/Unitflowchart!$S$357*(RoadTransportStage1!W30)*Unitflowchart!$S$39</f>
        <v>0</v>
      </c>
      <c r="K110" s="715">
        <f>Unitflowchart!$S$24*(AllocationPrice!$H$33/100)/Unitflowchart!$S$357*(RoadTransportStage1!AB30)*Unitflowchart!$S$39</f>
        <v>0</v>
      </c>
      <c r="L110" s="25">
        <f>(K110/K$347)*100</f>
        <v>0</v>
      </c>
      <c r="M110" s="481">
        <f>Unitflowchart!$S$24*(AllocationPrice!$H$33/100)/Unitflowchart!$S$357*(RoadTransportStage1!AC30)*Unitflowchart!$S$39</f>
        <v>0</v>
      </c>
      <c r="N110" s="711">
        <f>E110+(GlobalWarmingPotentials!$B$11*H110)+(GlobalWarmingPotentials!$C$11*K110)</f>
        <v>0</v>
      </c>
      <c r="O110" s="25">
        <f>(N110/N$347)*100</f>
        <v>0</v>
      </c>
      <c r="P110" s="736">
        <f>SQRT((G110^2)+((GlobalWarmingPotentials!$B$11*J110)^2)+((GlobalWarmingPotentials!$C$11*M110)^2))</f>
        <v>0</v>
      </c>
    </row>
    <row r="111" spans="1:16" s="42" customFormat="1" x14ac:dyDescent="0.25">
      <c r="A111" s="152"/>
      <c r="B111" s="746"/>
      <c r="C111" s="863"/>
      <c r="D111" s="759"/>
      <c r="E111" s="746"/>
      <c r="F111" s="863"/>
      <c r="G111" s="759"/>
      <c r="H111" s="746"/>
      <c r="I111" s="863"/>
      <c r="J111" s="1309"/>
      <c r="K111" s="746"/>
      <c r="L111" s="863"/>
      <c r="M111" s="759"/>
      <c r="N111" s="713"/>
      <c r="O111" s="863"/>
      <c r="P111" s="738"/>
    </row>
    <row r="112" spans="1:16" s="6" customFormat="1" x14ac:dyDescent="0.25">
      <c r="A112" s="214" t="s">
        <v>842</v>
      </c>
      <c r="B112" s="717">
        <f>Unitflowchart!$S$24*(AllocationPrice!$H$33/100)/Unitflowchart!$S$357*(RoadTransportStage1!J32)*Unitflowchart!$S$39</f>
        <v>601.53586980511921</v>
      </c>
      <c r="C112" s="14">
        <f>(B112/B$347)*100</f>
        <v>3.1609997524787445</v>
      </c>
      <c r="D112" s="722">
        <f>Unitflowchart!$S$24*(AllocationPrice!$H$33/100)/Unitflowchart!$S$357*(RoadTransportStage1!K32)*Unitflowchart!$S$39</f>
        <v>28.272185880840603</v>
      </c>
      <c r="E112" s="717">
        <f>Unitflowchart!$S$24*(AllocationPrice!$H$33/100)/Unitflowchart!$S$357*(RoadTransportStage1!P32)*Unitflowchart!$S$39</f>
        <v>43.167066146313303</v>
      </c>
      <c r="F112" s="14">
        <f>(E112/E$347)*100</f>
        <v>3.6087155562006963</v>
      </c>
      <c r="G112" s="722">
        <f>Unitflowchart!$S$24*(AllocationPrice!$H$33/100)/Unitflowchart!$S$357*(RoadTransportStage1!Q32)*Unitflowchart!$S$39</f>
        <v>2.0288521088767251</v>
      </c>
      <c r="H112" s="717">
        <f>Unitflowchart!$S$24*(AllocationPrice!$H$33/100)/Unitflowchart!$S$357*(RoadTransportStage1!V32)*Unitflowchart!$S$39</f>
        <v>8.969779978454712E-3</v>
      </c>
      <c r="I112" s="14">
        <f>(H112/H$347)*100</f>
        <v>0.50180898751023928</v>
      </c>
      <c r="J112" s="722">
        <f>Unitflowchart!$S$24*(AllocationPrice!$H$33/100)/Unitflowchart!$S$357*(RoadTransportStage1!W32)*Unitflowchart!$S$39</f>
        <v>4.215796589873715E-4</v>
      </c>
      <c r="K112" s="717">
        <f>Unitflowchart!$S$24*(AllocationPrice!$H$33/100)/Unitflowchart!$S$357*(RoadTransportStage1!AB32)*Unitflowchart!$S$39</f>
        <v>1.166071397199113E-2</v>
      </c>
      <c r="L112" s="14">
        <f>(K112/K$347)*100</f>
        <v>0.64192933075856551</v>
      </c>
      <c r="M112" s="722">
        <f>Unitflowchart!$S$24*(AllocationPrice!$H$33/100)/Unitflowchart!$S$357*(RoadTransportStage1!AC32)*Unitflowchart!$S$39</f>
        <v>5.4805355668358297E-4</v>
      </c>
      <c r="N112" s="714">
        <f>E112+(GlobalWarmingPotentials!$B$11*H112)+(GlobalWarmingPotentials!$C$11*K112)</f>
        <v>46.824942421527133</v>
      </c>
      <c r="O112" s="14">
        <f>(N112/N$347)*100</f>
        <v>2.6380419026056448</v>
      </c>
      <c r="P112" s="739">
        <f>SQRT((G112^2)+((GlobalWarmingPotentials!$B$11*J112)^2)+((GlobalWarmingPotentials!$C$11*M112)^2))</f>
        <v>2.035350455563139</v>
      </c>
    </row>
    <row r="113" spans="1:16" x14ac:dyDescent="0.25">
      <c r="B113" s="712"/>
      <c r="D113" s="721"/>
      <c r="E113" s="718"/>
      <c r="G113" s="718"/>
      <c r="H113" s="30"/>
      <c r="J113" s="708"/>
      <c r="K113" s="30"/>
      <c r="M113" s="708"/>
      <c r="N113" s="712"/>
      <c r="P113" s="721"/>
    </row>
    <row r="114" spans="1:16" x14ac:dyDescent="0.25">
      <c r="A114" s="384" t="s">
        <v>838</v>
      </c>
      <c r="B114" s="712"/>
      <c r="D114" s="721"/>
      <c r="E114" s="718"/>
      <c r="G114" s="718"/>
      <c r="H114" s="30"/>
      <c r="J114" s="708"/>
      <c r="K114" s="30"/>
      <c r="M114" s="708"/>
      <c r="N114" s="712"/>
      <c r="P114" s="721"/>
    </row>
    <row r="115" spans="1:16" x14ac:dyDescent="0.25">
      <c r="B115" s="712"/>
      <c r="D115" s="721"/>
      <c r="E115" s="718"/>
      <c r="G115" s="718"/>
      <c r="H115" s="30"/>
      <c r="J115" s="708"/>
      <c r="K115" s="30"/>
      <c r="M115" s="708"/>
      <c r="N115" s="712"/>
      <c r="P115" s="721"/>
    </row>
    <row r="116" spans="1:16" x14ac:dyDescent="0.25">
      <c r="A116" s="13" t="str">
        <f>RailTransport!A11</f>
        <v xml:space="preserve"> - Gas Oil</v>
      </c>
      <c r="B116" s="710">
        <f>Unitflowchart!$S$24*(AllocationPrice!$H$33/100)/Unitflowchart!$S$357*(RailTransport!J11)*Unitflowchart!$S$41</f>
        <v>0</v>
      </c>
      <c r="C116" s="24">
        <f>(B116/B$347)*100</f>
        <v>0</v>
      </c>
      <c r="D116" s="724">
        <f>Unitflowchart!$S$24*(AllocationPrice!$H$33/100)/Unitflowchart!$S$357*(RailTransport!K11)*Unitflowchart!$S$41</f>
        <v>0</v>
      </c>
      <c r="E116" s="726">
        <f>Unitflowchart!$S$24*(AllocationPrice!$H$33/100)/Unitflowchart!$S$357*(RailTransport!P11)*Unitflowchart!$S$41</f>
        <v>0</v>
      </c>
      <c r="F116" s="24">
        <f>(E116/E$347)*100</f>
        <v>0</v>
      </c>
      <c r="G116" s="726">
        <f>Unitflowchart!$S$24*(AllocationPrice!$H$33/100)/Unitflowchart!$S$357*(RailTransport!Q11)*Unitflowchart!$S$41</f>
        <v>0</v>
      </c>
      <c r="H116" s="707">
        <f>Unitflowchart!$S$24*(AllocationPrice!$H$33/100)/Unitflowchart!$S$357*(RailTransport!V11)*Unitflowchart!$S$41</f>
        <v>0</v>
      </c>
      <c r="I116" s="24">
        <f>(H116/H$347)*100</f>
        <v>0</v>
      </c>
      <c r="J116" s="709">
        <f>Unitflowchart!$S$24*(AllocationPrice!$H$33/100)/Unitflowchart!$S$357*(RailTransport!W11)*Unitflowchart!$S$41</f>
        <v>0</v>
      </c>
      <c r="K116" s="707">
        <f>Unitflowchart!$S$24*(AllocationPrice!$H$33/100)/Unitflowchart!$S$357*(RailTransport!AB11)*Unitflowchart!$S$41</f>
        <v>0</v>
      </c>
      <c r="L116" s="24">
        <f>(K116/K$347)*100</f>
        <v>0</v>
      </c>
      <c r="M116" s="709">
        <f>Unitflowchart!$S$24*(AllocationPrice!$H$33/100)/Unitflowchart!$S$357*(RailTransport!AC11)*Unitflowchart!$S$41</f>
        <v>0</v>
      </c>
      <c r="N116" s="710">
        <f>E116+(GlobalWarmingPotentials!$B$11*H116)+(GlobalWarmingPotentials!$C$11*K116)</f>
        <v>0</v>
      </c>
      <c r="O116" s="24">
        <f>(N116/N$347)*100</f>
        <v>0</v>
      </c>
      <c r="P116" s="724">
        <f>SQRT((G116^2)+((GlobalWarmingPotentials!$B$11*J116)^2)+((GlobalWarmingPotentials!$C$11*M116)^2))</f>
        <v>0</v>
      </c>
    </row>
    <row r="117" spans="1:16" x14ac:dyDescent="0.25">
      <c r="A117" s="13" t="str">
        <f>RailTransport!A12</f>
        <v xml:space="preserve"> - Capital Equipment</v>
      </c>
      <c r="B117" s="710">
        <f>Unitflowchart!$S$24*(AllocationPrice!$H$33/100)/Unitflowchart!$S$357*(RailTransport!J12)*Unitflowchart!$S$41</f>
        <v>0</v>
      </c>
      <c r="C117" s="24">
        <f>(B117/B$347)*100</f>
        <v>0</v>
      </c>
      <c r="D117" s="724">
        <f>Unitflowchart!$S$24*(AllocationPrice!$H$33/100)/Unitflowchart!$S$357*(RailTransport!K12)*Unitflowchart!$S$41</f>
        <v>0</v>
      </c>
      <c r="E117" s="726">
        <f>Unitflowchart!$S$24*(AllocationPrice!$H$33/100)/Unitflowchart!$S$357*(RailTransport!P12)*Unitflowchart!$S$41</f>
        <v>0</v>
      </c>
      <c r="F117" s="24">
        <f>(E117/E$347)*100</f>
        <v>0</v>
      </c>
      <c r="G117" s="726">
        <f>Unitflowchart!$S$24*(AllocationPrice!$H$33/100)/Unitflowchart!$S$357*(RailTransport!Q12)*Unitflowchart!$S$41</f>
        <v>0</v>
      </c>
      <c r="H117" s="707">
        <f>Unitflowchart!$S$24*(AllocationPrice!$H$33/100)/Unitflowchart!$S$357*(RailTransport!V12)*Unitflowchart!$S$41</f>
        <v>0</v>
      </c>
      <c r="I117" s="24">
        <f>(H117/H$347)*100</f>
        <v>0</v>
      </c>
      <c r="J117" s="709">
        <f>Unitflowchart!$S$24*(AllocationPrice!$H$33/100)/Unitflowchart!$S$357*(RailTransport!W12)*Unitflowchart!$S$41</f>
        <v>0</v>
      </c>
      <c r="K117" s="707">
        <f>Unitflowchart!$S$24*(AllocationPrice!$H$33/100)/Unitflowchart!$S$357*(RailTransport!AB12)*Unitflowchart!$S$41</f>
        <v>0</v>
      </c>
      <c r="L117" s="24">
        <f>(K117/K$347)*100</f>
        <v>0</v>
      </c>
      <c r="M117" s="709">
        <f>Unitflowchart!$S$24*(AllocationPrice!$H$33/100)/Unitflowchart!$S$357*(RailTransport!AC12)*Unitflowchart!$S$41</f>
        <v>0</v>
      </c>
      <c r="N117" s="710">
        <f>E117+(GlobalWarmingPotentials!$B$11*H117)+(GlobalWarmingPotentials!$C$11*K117)</f>
        <v>0</v>
      </c>
      <c r="O117" s="24">
        <f>(N117/N$347)*100</f>
        <v>0</v>
      </c>
      <c r="P117" s="724">
        <f>SQRT((G117^2)+((GlobalWarmingPotentials!$B$11*J117)^2)+((GlobalWarmingPotentials!$C$11*M117)^2))</f>
        <v>0</v>
      </c>
    </row>
    <row r="118" spans="1:16" x14ac:dyDescent="0.25">
      <c r="A118" s="13" t="str">
        <f>RailTransport!A13</f>
        <v xml:space="preserve"> - Maintenance</v>
      </c>
      <c r="B118" s="710">
        <f>Unitflowchart!$S$24*(AllocationPrice!$H$33/100)/Unitflowchart!$S$357*(RailTransport!J13)*Unitflowchart!$S$41</f>
        <v>0</v>
      </c>
      <c r="C118" s="24">
        <f>(B118/B$347)*100</f>
        <v>0</v>
      </c>
      <c r="D118" s="724">
        <f>Unitflowchart!$S$24*(AllocationPrice!$H$33/100)/Unitflowchart!$S$357*(RailTransport!K13)*Unitflowchart!$S$41</f>
        <v>0</v>
      </c>
      <c r="E118" s="726">
        <f>Unitflowchart!$S$24*(AllocationPrice!$H$33/100)/Unitflowchart!$S$357*(RailTransport!P13)*Unitflowchart!$S$41</f>
        <v>0</v>
      </c>
      <c r="F118" s="24">
        <f>(E118/E$347)*100</f>
        <v>0</v>
      </c>
      <c r="G118" s="726">
        <f>Unitflowchart!$S$24*(AllocationPrice!$H$33/100)/Unitflowchart!$S$357*(RailTransport!Q13)*Unitflowchart!$S$41</f>
        <v>0</v>
      </c>
      <c r="H118" s="707">
        <f>Unitflowchart!$S$24*(AllocationPrice!$H$33/100)/Unitflowchart!$S$357*(RailTransport!V13)*Unitflowchart!$S$41</f>
        <v>0</v>
      </c>
      <c r="I118" s="24">
        <f>(H118/H$347)*100</f>
        <v>0</v>
      </c>
      <c r="J118" s="709">
        <f>Unitflowchart!$S$24*(AllocationPrice!$H$33/100)/Unitflowchart!$S$357*(RailTransport!W13)*Unitflowchart!$S$41</f>
        <v>0</v>
      </c>
      <c r="K118" s="707">
        <f>Unitflowchart!$S$24*(AllocationPrice!$H$33/100)/Unitflowchart!$S$357*(RailTransport!AB13)*Unitflowchart!$S$41</f>
        <v>0</v>
      </c>
      <c r="L118" s="24">
        <f>(K118/K$347)*100</f>
        <v>0</v>
      </c>
      <c r="M118" s="709">
        <f>Unitflowchart!$S$24*(AllocationPrice!$H$33/100)/Unitflowchart!$S$357*(RailTransport!AC13)*Unitflowchart!$S$41</f>
        <v>0</v>
      </c>
      <c r="N118" s="710">
        <f>E118+(GlobalWarmingPotentials!$B$11*H118)+(GlobalWarmingPotentials!$C$11*K118)</f>
        <v>0</v>
      </c>
      <c r="O118" s="24">
        <f>(N118/N$347)*100</f>
        <v>0</v>
      </c>
      <c r="P118" s="724">
        <f>SQRT((G118^2)+((GlobalWarmingPotentials!$B$11*J118)^2)+((GlobalWarmingPotentials!$C$11*M118)^2))</f>
        <v>0</v>
      </c>
    </row>
    <row r="119" spans="1:16" s="42" customFormat="1" x14ac:dyDescent="0.25">
      <c r="A119" s="152"/>
      <c r="B119" s="713"/>
      <c r="C119" s="882"/>
      <c r="D119" s="719"/>
      <c r="E119" s="209"/>
      <c r="F119" s="882"/>
      <c r="G119" s="209"/>
      <c r="H119" s="495"/>
      <c r="I119" s="882"/>
      <c r="J119" s="889"/>
      <c r="K119" s="495"/>
      <c r="L119" s="882"/>
      <c r="M119" s="889"/>
      <c r="N119" s="713"/>
      <c r="O119" s="882"/>
      <c r="P119" s="719"/>
    </row>
    <row r="120" spans="1:16" s="6" customFormat="1" x14ac:dyDescent="0.25">
      <c r="A120" s="214" t="s">
        <v>843</v>
      </c>
      <c r="B120" s="717">
        <f>Unitflowchart!$S$24*(AllocationPrice!$H$33/100)/Unitflowchart!$S$357*(RailTransport!J15)*Unitflowchart!$S$41</f>
        <v>0</v>
      </c>
      <c r="C120" s="14">
        <f>(B120/B$347)*100</f>
        <v>0</v>
      </c>
      <c r="D120" s="722">
        <f>Unitflowchart!$S$24*(AllocationPrice!$H$33/100)/Unitflowchart!$S$357*(RailTransport!K15)*Unitflowchart!$S$41</f>
        <v>0</v>
      </c>
      <c r="E120" s="717">
        <f>Unitflowchart!$S$24*(AllocationPrice!$H$33/100)/Unitflowchart!$S$357*(RailTransport!P15)*Unitflowchart!$S$41</f>
        <v>0</v>
      </c>
      <c r="F120" s="14">
        <f>(E120/E$347)*100</f>
        <v>0</v>
      </c>
      <c r="G120" s="722">
        <f>Unitflowchart!$S$24*(AllocationPrice!$H$33/100)/Unitflowchart!$S$357*(RailTransport!Q15)*Unitflowchart!$S$41</f>
        <v>0</v>
      </c>
      <c r="H120" s="717">
        <f>Unitflowchart!$S$24*(AllocationPrice!$H$33/100)/Unitflowchart!$S$357*(RailTransport!V15)*Unitflowchart!$S$41</f>
        <v>0</v>
      </c>
      <c r="I120" s="14">
        <f>(H120/H$347)*100</f>
        <v>0</v>
      </c>
      <c r="J120" s="722">
        <f>Unitflowchart!$S$24*(AllocationPrice!$H$33/100)/Unitflowchart!$S$357*(RailTransport!W15)*Unitflowchart!$S$41</f>
        <v>0</v>
      </c>
      <c r="K120" s="717">
        <f>Unitflowchart!$S$24*(AllocationPrice!$H$33/100)/Unitflowchart!$S$357*(RailTransport!AB15)*Unitflowchart!$S$41</f>
        <v>0</v>
      </c>
      <c r="L120" s="14">
        <f>(K120/K$347)*100</f>
        <v>0</v>
      </c>
      <c r="M120" s="722">
        <f>Unitflowchart!$S$24*(AllocationPrice!$H$33/100)/Unitflowchart!$S$357*(RailTransport!AC15)*Unitflowchart!$S$41</f>
        <v>0</v>
      </c>
      <c r="N120" s="714">
        <f>E120+(GlobalWarmingPotentials!$B$11*H120)+(GlobalWarmingPotentials!$C$11*K120)</f>
        <v>0</v>
      </c>
      <c r="O120" s="14">
        <f>(N120/N$347)*100</f>
        <v>0</v>
      </c>
      <c r="P120" s="739">
        <f>SQRT((G120^2)+((GlobalWarmingPotentials!$B$11*J120)^2)+((GlobalWarmingPotentials!$C$11*M120)^2))</f>
        <v>0</v>
      </c>
    </row>
    <row r="121" spans="1:16" x14ac:dyDescent="0.25">
      <c r="B121" s="712"/>
      <c r="C121" s="24"/>
      <c r="D121" s="721"/>
      <c r="E121" s="718"/>
      <c r="F121" s="24"/>
      <c r="G121" s="718"/>
      <c r="H121" s="30"/>
      <c r="I121" s="24"/>
      <c r="J121" s="708"/>
      <c r="K121" s="30"/>
      <c r="L121" s="24"/>
      <c r="M121" s="708"/>
      <c r="N121" s="712"/>
      <c r="O121" s="24"/>
      <c r="P121" s="721"/>
    </row>
    <row r="122" spans="1:16" x14ac:dyDescent="0.25">
      <c r="A122" s="384" t="s">
        <v>846</v>
      </c>
      <c r="B122" s="712"/>
      <c r="C122" s="24"/>
      <c r="D122" s="721"/>
      <c r="E122" s="718"/>
      <c r="F122" s="24"/>
      <c r="G122" s="718"/>
      <c r="H122" s="30"/>
      <c r="I122" s="24"/>
      <c r="J122" s="708"/>
      <c r="K122" s="30"/>
      <c r="L122" s="24"/>
      <c r="M122" s="708"/>
      <c r="N122" s="712"/>
      <c r="O122" s="24"/>
      <c r="P122" s="721"/>
    </row>
    <row r="123" spans="1:16" x14ac:dyDescent="0.25">
      <c r="B123" s="712"/>
      <c r="C123" s="24"/>
      <c r="D123" s="721"/>
      <c r="E123" s="718"/>
      <c r="F123" s="24"/>
      <c r="G123" s="718"/>
      <c r="H123" s="30"/>
      <c r="I123" s="24"/>
      <c r="J123" s="708"/>
      <c r="K123" s="30"/>
      <c r="L123" s="24"/>
      <c r="M123" s="708"/>
      <c r="N123" s="712"/>
      <c r="O123" s="24"/>
      <c r="P123" s="721"/>
    </row>
    <row r="124" spans="1:16" x14ac:dyDescent="0.25">
      <c r="A124" s="13" t="str">
        <f>BargeTransport!A11</f>
        <v xml:space="preserve"> - Marine Diesel</v>
      </c>
      <c r="B124" s="710">
        <f>Unitflowchart!$S$24*(AllocationPrice!$H$33/100)/Unitflowchart!$S$357*(BargeTransport!J11)*Unitflowchart!$S$43</f>
        <v>0</v>
      </c>
      <c r="C124" s="24">
        <f>(B124/B$347)*100</f>
        <v>0</v>
      </c>
      <c r="D124" s="724">
        <f>Unitflowchart!$S$24*(AllocationPrice!$H$33/100)/Unitflowchart!$S$357*(BargeTransport!K11)*Unitflowchart!$S$43</f>
        <v>0</v>
      </c>
      <c r="E124" s="726">
        <f>Unitflowchart!$S$24*(AllocationPrice!$H$33/100)/Unitflowchart!$S$357*(BargeTransport!P11)*Unitflowchart!$S$43</f>
        <v>0</v>
      </c>
      <c r="F124" s="24">
        <f>(E124/E$347)*100</f>
        <v>0</v>
      </c>
      <c r="G124" s="726">
        <f>Unitflowchart!$S$24*(AllocationPrice!$H$33/100)/Unitflowchart!$S$357*(BargeTransport!Q11)*Unitflowchart!$S$43</f>
        <v>0</v>
      </c>
      <c r="H124" s="707">
        <f>Unitflowchart!$S$24*(AllocationPrice!$H$33/100)/Unitflowchart!$S$357*(BargeTransport!V11)*Unitflowchart!$S$43</f>
        <v>0</v>
      </c>
      <c r="I124" s="24">
        <f>(H124/H$347)*100</f>
        <v>0</v>
      </c>
      <c r="J124" s="709">
        <f>Unitflowchart!$S$24*(AllocationPrice!$H$33/100)/Unitflowchart!$S$357*(BargeTransport!W11)*Unitflowchart!$S$43</f>
        <v>0</v>
      </c>
      <c r="K124" s="707">
        <f>Unitflowchart!$S$24*(AllocationPrice!$H$33/100)/Unitflowchart!$S$357*(BargeTransport!AB11)*Unitflowchart!$S$43</f>
        <v>0</v>
      </c>
      <c r="L124" s="24">
        <f>(K124/K$347)*100</f>
        <v>0</v>
      </c>
      <c r="M124" s="709">
        <f>Unitflowchart!$S$24*(AllocationPrice!$H$33/100)/Unitflowchart!$S$357*(BargeTransport!AC11)*Unitflowchart!$S$43</f>
        <v>0</v>
      </c>
      <c r="N124" s="710">
        <f>E124+(GlobalWarmingPotentials!$B$11*H124)+(GlobalWarmingPotentials!$C$11*K124)</f>
        <v>0</v>
      </c>
      <c r="O124" s="24">
        <f>(N124/N$347)*100</f>
        <v>0</v>
      </c>
      <c r="P124" s="724">
        <f>SQRT((G124^2)+((GlobalWarmingPotentials!$B$11*J124)^2)+((GlobalWarmingPotentials!$C$11*M124)^2))</f>
        <v>0</v>
      </c>
    </row>
    <row r="125" spans="1:16" x14ac:dyDescent="0.25">
      <c r="A125" s="13" t="str">
        <f>BargeTransport!A12</f>
        <v xml:space="preserve"> - Barge Construction</v>
      </c>
      <c r="B125" s="710">
        <f>Unitflowchart!$S$24*(AllocationPrice!$H$33/100)/Unitflowchart!$S$357*(BargeTransport!J12)*Unitflowchart!$S$43</f>
        <v>0</v>
      </c>
      <c r="C125" s="24">
        <f>(B125/B$347)*100</f>
        <v>0</v>
      </c>
      <c r="D125" s="724">
        <f>Unitflowchart!$S$24*(AllocationPrice!$H$33/100)/Unitflowchart!$S$357*(BargeTransport!K12)*Unitflowchart!$S$43</f>
        <v>0</v>
      </c>
      <c r="E125" s="726">
        <f>Unitflowchart!$S$24*(AllocationPrice!$H$33/100)/Unitflowchart!$S$357*(BargeTransport!P12)*Unitflowchart!$S$43</f>
        <v>0</v>
      </c>
      <c r="F125" s="24">
        <f>(E125/E$347)*100</f>
        <v>0</v>
      </c>
      <c r="G125" s="726">
        <f>Unitflowchart!$S$24*(AllocationPrice!$H$33/100)/Unitflowchart!$S$357*(BargeTransport!Q12)*Unitflowchart!$S$43</f>
        <v>0</v>
      </c>
      <c r="H125" s="707">
        <f>Unitflowchart!$S$24*(AllocationPrice!$H$33/100)/Unitflowchart!$S$357*(BargeTransport!V12)*Unitflowchart!$S$43</f>
        <v>0</v>
      </c>
      <c r="I125" s="24">
        <f>(H125/H$347)*100</f>
        <v>0</v>
      </c>
      <c r="J125" s="709">
        <f>Unitflowchart!$S$24*(AllocationPrice!$H$33/100)/Unitflowchart!$S$357*(BargeTransport!W12)*Unitflowchart!$S$43</f>
        <v>0</v>
      </c>
      <c r="K125" s="707">
        <f>Unitflowchart!$S$24*(AllocationPrice!$H$33/100)/Unitflowchart!$S$357*(BargeTransport!AB12)*Unitflowchart!$S$43</f>
        <v>0</v>
      </c>
      <c r="L125" s="24">
        <f>(K125/K$347)*100</f>
        <v>0</v>
      </c>
      <c r="M125" s="709">
        <f>Unitflowchart!$S$24*(AllocationPrice!$H$33/100)/Unitflowchart!$S$357*(BargeTransport!AC12)*Unitflowchart!$S$43</f>
        <v>0</v>
      </c>
      <c r="N125" s="710">
        <f>E125+(GlobalWarmingPotentials!$B$11*H125)+(GlobalWarmingPotentials!$C$11*K125)</f>
        <v>0</v>
      </c>
      <c r="O125" s="24">
        <f>(N125/N$347)*100</f>
        <v>0</v>
      </c>
      <c r="P125" s="724">
        <f>SQRT((G125^2)+((GlobalWarmingPotentials!$B$11*J125)^2)+((GlobalWarmingPotentials!$C$11*M125)^2))</f>
        <v>0</v>
      </c>
    </row>
    <row r="126" spans="1:16" x14ac:dyDescent="0.25">
      <c r="A126" s="13" t="str">
        <f>BargeTransport!A13</f>
        <v xml:space="preserve"> - Barge Maintenance</v>
      </c>
      <c r="B126" s="710">
        <f>Unitflowchart!$S$24*(AllocationPrice!$H$33/100)/Unitflowchart!$S$357*(BargeTransport!J13)*Unitflowchart!$S$43</f>
        <v>0</v>
      </c>
      <c r="C126" s="24">
        <f>(B126/B$347)*100</f>
        <v>0</v>
      </c>
      <c r="D126" s="724">
        <f>Unitflowchart!$S$24*(AllocationPrice!$H$33/100)/Unitflowchart!$S$357*(BargeTransport!K13)*Unitflowchart!$S$43</f>
        <v>0</v>
      </c>
      <c r="E126" s="726">
        <f>Unitflowchart!$S$24*(AllocationPrice!$H$33/100)/Unitflowchart!$S$357*(BargeTransport!P13)*Unitflowchart!$S$43</f>
        <v>0</v>
      </c>
      <c r="F126" s="24">
        <f>(E126/E$347)*100</f>
        <v>0</v>
      </c>
      <c r="G126" s="726">
        <f>Unitflowchart!$S$24*(AllocationPrice!$H$33/100)/Unitflowchart!$S$357*(BargeTransport!Q13)*Unitflowchart!$S$43</f>
        <v>0</v>
      </c>
      <c r="H126" s="707">
        <f>Unitflowchart!$S$24*(AllocationPrice!$H$33/100)/Unitflowchart!$S$357*(BargeTransport!V13)*Unitflowchart!$S$43</f>
        <v>0</v>
      </c>
      <c r="I126" s="24">
        <f>(H126/H$347)*100</f>
        <v>0</v>
      </c>
      <c r="J126" s="709">
        <f>Unitflowchart!$S$24*(AllocationPrice!$H$33/100)/Unitflowchart!$S$357*(BargeTransport!W13)*Unitflowchart!$S$43</f>
        <v>0</v>
      </c>
      <c r="K126" s="707">
        <f>Unitflowchart!$S$24*(AllocationPrice!$H$33/100)/Unitflowchart!$S$357*(BargeTransport!AB13)*Unitflowchart!$S$43</f>
        <v>0</v>
      </c>
      <c r="L126" s="24">
        <f>(K126/K$347)*100</f>
        <v>0</v>
      </c>
      <c r="M126" s="709">
        <f>Unitflowchart!$S$24*(AllocationPrice!$H$33/100)/Unitflowchart!$S$357*(BargeTransport!AC13)*Unitflowchart!$S$43</f>
        <v>0</v>
      </c>
      <c r="N126" s="710">
        <f>E126+(GlobalWarmingPotentials!$B$11*H126)+(GlobalWarmingPotentials!$C$11*K126)</f>
        <v>0</v>
      </c>
      <c r="O126" s="24">
        <f>(N126/N$347)*100</f>
        <v>0</v>
      </c>
      <c r="P126" s="724">
        <f>SQRT((G126^2)+((GlobalWarmingPotentials!$B$11*J126)^2)+((GlobalWarmingPotentials!$C$11*M126)^2))</f>
        <v>0</v>
      </c>
    </row>
    <row r="127" spans="1:16" s="42" customFormat="1" x14ac:dyDescent="0.25">
      <c r="A127" s="152"/>
      <c r="B127" s="713"/>
      <c r="C127" s="882"/>
      <c r="D127" s="719"/>
      <c r="E127" s="209"/>
      <c r="F127" s="882"/>
      <c r="G127" s="209"/>
      <c r="H127" s="495"/>
      <c r="I127" s="882"/>
      <c r="J127" s="889"/>
      <c r="K127" s="495"/>
      <c r="L127" s="882"/>
      <c r="M127" s="889"/>
      <c r="N127" s="713"/>
      <c r="O127" s="882"/>
      <c r="P127" s="719"/>
    </row>
    <row r="128" spans="1:16" s="6" customFormat="1" x14ac:dyDescent="0.25">
      <c r="A128" s="214" t="s">
        <v>847</v>
      </c>
      <c r="B128" s="717">
        <f>Unitflowchart!$S$24*(AllocationPrice!$H$33/100)/Unitflowchart!$S$357*(BargeTransport!J15)*Unitflowchart!$S$43</f>
        <v>0</v>
      </c>
      <c r="C128" s="14">
        <f>(B128/B$347)*100</f>
        <v>0</v>
      </c>
      <c r="D128" s="722">
        <f>Unitflowchart!$S$24*(AllocationPrice!$H$33/100)/Unitflowchart!$S$357*(BargeTransport!K15)*Unitflowchart!$S$43</f>
        <v>0</v>
      </c>
      <c r="E128" s="717">
        <f>Unitflowchart!$S$24*(AllocationPrice!$H$33/100)/Unitflowchart!$S$357*(BargeTransport!P15)*Unitflowchart!$S$43</f>
        <v>0</v>
      </c>
      <c r="F128" s="14">
        <f>(E128/E$347)*100</f>
        <v>0</v>
      </c>
      <c r="G128" s="722">
        <f>Unitflowchart!$S$24*(AllocationPrice!$H$33/100)/Unitflowchart!$S$357*(BargeTransport!Q15)*Unitflowchart!$S$43</f>
        <v>0</v>
      </c>
      <c r="H128" s="717">
        <f>Unitflowchart!$S$24*(AllocationPrice!$H$33/100)/Unitflowchart!$S$357*(BargeTransport!V15)*Unitflowchart!$S$43</f>
        <v>0</v>
      </c>
      <c r="I128" s="14">
        <f>(H128/H$347)*100</f>
        <v>0</v>
      </c>
      <c r="J128" s="722">
        <f>Unitflowchart!$S$24*(AllocationPrice!$H$33/100)/Unitflowchart!$S$357*(BargeTransport!W15)*Unitflowchart!$S$43</f>
        <v>0</v>
      </c>
      <c r="K128" s="717">
        <f>Unitflowchart!$S$24*(AllocationPrice!$H$33/100)/Unitflowchart!$S$357*(BargeTransport!AB15)*Unitflowchart!$S$43</f>
        <v>0</v>
      </c>
      <c r="L128" s="14">
        <f>(K128/K$347)*100</f>
        <v>0</v>
      </c>
      <c r="M128" s="722">
        <f>Unitflowchart!$S$24*(AllocationPrice!$H$33/100)/Unitflowchart!$S$357*(BargeTransport!AC15)*Unitflowchart!$S$43</f>
        <v>0</v>
      </c>
      <c r="N128" s="714">
        <f>E128+(GlobalWarmingPotentials!$B$11*H128)+(GlobalWarmingPotentials!$C$11*K128)</f>
        <v>0</v>
      </c>
      <c r="O128" s="14">
        <f>(N128/N$347)*100</f>
        <v>0</v>
      </c>
      <c r="P128" s="739">
        <f>SQRT((G128^2)+((GlobalWarmingPotentials!$B$11*J128)^2)+((GlobalWarmingPotentials!$C$11*M128)^2))</f>
        <v>0</v>
      </c>
    </row>
    <row r="129" spans="1:16" x14ac:dyDescent="0.25">
      <c r="B129" s="712"/>
      <c r="C129" s="24"/>
      <c r="D129" s="721"/>
      <c r="E129" s="718"/>
      <c r="F129" s="24"/>
      <c r="G129" s="718"/>
      <c r="H129" s="30"/>
      <c r="I129" s="24"/>
      <c r="J129" s="708"/>
      <c r="K129" s="30"/>
      <c r="L129" s="24"/>
      <c r="M129" s="708"/>
      <c r="N129" s="712"/>
      <c r="O129" s="24"/>
      <c r="P129" s="721"/>
    </row>
    <row r="130" spans="1:16" x14ac:dyDescent="0.25">
      <c r="A130" s="384" t="s">
        <v>848</v>
      </c>
      <c r="B130" s="712"/>
      <c r="C130" s="24"/>
      <c r="D130" s="721"/>
      <c r="E130" s="718"/>
      <c r="F130" s="24"/>
      <c r="G130" s="718"/>
      <c r="H130" s="30"/>
      <c r="I130" s="24"/>
      <c r="J130" s="708"/>
      <c r="K130" s="30"/>
      <c r="L130" s="24"/>
      <c r="M130" s="708"/>
      <c r="N130" s="712"/>
      <c r="O130" s="24"/>
      <c r="P130" s="721"/>
    </row>
    <row r="131" spans="1:16" x14ac:dyDescent="0.25">
      <c r="B131" s="712"/>
      <c r="C131" s="24"/>
      <c r="D131" s="721"/>
      <c r="E131" s="718"/>
      <c r="F131" s="24"/>
      <c r="G131" s="718"/>
      <c r="H131" s="30"/>
      <c r="I131" s="24"/>
      <c r="J131" s="708"/>
      <c r="K131" s="30"/>
      <c r="L131" s="24"/>
      <c r="M131" s="708"/>
      <c r="N131" s="712"/>
      <c r="O131" s="24"/>
      <c r="P131" s="721"/>
    </row>
    <row r="132" spans="1:16" x14ac:dyDescent="0.25">
      <c r="A132" s="13" t="str">
        <f>ShipTransport!A11</f>
        <v xml:space="preserve"> - Marine Diesel</v>
      </c>
      <c r="B132" s="710">
        <f>Unitflowchart!$S$24*(AllocationPrice!$H$33/100)/Unitflowchart!$S$357*(ShipTransport!J11)*Unitflowchart!$S$45</f>
        <v>0</v>
      </c>
      <c r="C132" s="24">
        <f>(B132/B$347)*100</f>
        <v>0</v>
      </c>
      <c r="D132" s="724">
        <f>Unitflowchart!$S$24*(AllocationPrice!$H$33/100)/Unitflowchart!$S$357*(ShipTransport!K11)*Unitflowchart!$S$45</f>
        <v>0</v>
      </c>
      <c r="E132" s="726">
        <f>Unitflowchart!$S$24*(AllocationPrice!$H$33/100)/Unitflowchart!$S$357*(ShipTransport!P11)*Unitflowchart!$S$45</f>
        <v>0</v>
      </c>
      <c r="F132" s="24">
        <f>(E132/E$347)*100</f>
        <v>0</v>
      </c>
      <c r="G132" s="726">
        <f>Unitflowchart!$S$24*(AllocationPrice!$H$33/100)/Unitflowchart!$S$357*(ShipTransport!Q11)*Unitflowchart!$S$45</f>
        <v>0</v>
      </c>
      <c r="H132" s="707">
        <f>Unitflowchart!$S$24*(AllocationPrice!$H$33/100)/Unitflowchart!$S$357*(ShipTransport!V11)*Unitflowchart!$S$45</f>
        <v>0</v>
      </c>
      <c r="I132" s="24">
        <f>(H132/H$347)*100</f>
        <v>0</v>
      </c>
      <c r="J132" s="709">
        <f>Unitflowchart!$S$24*(AllocationPrice!$H$33/100)/Unitflowchart!$S$357*(ShipTransport!W11)*Unitflowchart!$S$45</f>
        <v>0</v>
      </c>
      <c r="K132" s="707">
        <f>Unitflowchart!$S$24*(AllocationPrice!$H$33/100)/Unitflowchart!$S$357*(ShipTransport!AB11)*Unitflowchart!$S$45</f>
        <v>0</v>
      </c>
      <c r="L132" s="24">
        <f>(K132/K$347)*100</f>
        <v>0</v>
      </c>
      <c r="M132" s="709">
        <f>Unitflowchart!$S$24*(AllocationPrice!$H$33/100)/Unitflowchart!$S$357*(ShipTransport!AC11)*Unitflowchart!$S$45</f>
        <v>0</v>
      </c>
      <c r="N132" s="710">
        <f>E132+(GlobalWarmingPotentials!$B$11*H132)+(GlobalWarmingPotentials!$C$11*K132)</f>
        <v>0</v>
      </c>
      <c r="O132" s="24">
        <f>(N132/N$347)*100</f>
        <v>0</v>
      </c>
      <c r="P132" s="724">
        <f>SQRT((G132^2)+((GlobalWarmingPotentials!$B$11*J132)^2)+((GlobalWarmingPotentials!$C$11*M132)^2))</f>
        <v>0</v>
      </c>
    </row>
    <row r="133" spans="1:16" x14ac:dyDescent="0.25">
      <c r="A133" s="13" t="str">
        <f>ShipTransport!A12</f>
        <v xml:space="preserve"> - Ship Construction</v>
      </c>
      <c r="B133" s="710">
        <f>Unitflowchart!$S$24*(AllocationPrice!$H$33/100)/Unitflowchart!$S$357*(ShipTransport!J12)*Unitflowchart!$S$45</f>
        <v>0</v>
      </c>
      <c r="C133" s="24">
        <f>(B133/B$347)*100</f>
        <v>0</v>
      </c>
      <c r="D133" s="724">
        <f>Unitflowchart!$S$24*(AllocationPrice!$H$33/100)/Unitflowchart!$S$357*(ShipTransport!K12)*Unitflowchart!$S$45</f>
        <v>0</v>
      </c>
      <c r="E133" s="726">
        <f>Unitflowchart!$S$24*(AllocationPrice!$H$33/100)/Unitflowchart!$S$357*(ShipTransport!P12)*Unitflowchart!$S$45</f>
        <v>0</v>
      </c>
      <c r="F133" s="24">
        <f>(E133/E$347)*100</f>
        <v>0</v>
      </c>
      <c r="G133" s="726">
        <f>Unitflowchart!$S$24*(AllocationPrice!$H$33/100)/Unitflowchart!$S$357*(ShipTransport!Q12)*Unitflowchart!$S$45</f>
        <v>0</v>
      </c>
      <c r="H133" s="707">
        <f>Unitflowchart!$S$24*(AllocationPrice!$H$33/100)/Unitflowchart!$S$357*(ShipTransport!V12)*Unitflowchart!$S$45</f>
        <v>0</v>
      </c>
      <c r="I133" s="24">
        <f>(H133/H$347)*100</f>
        <v>0</v>
      </c>
      <c r="J133" s="709">
        <f>Unitflowchart!$S$24*(AllocationPrice!$H$33/100)/Unitflowchart!$S$357*(ShipTransport!W12)*Unitflowchart!$S$45</f>
        <v>0</v>
      </c>
      <c r="K133" s="707">
        <f>Unitflowchart!$S$24*(AllocationPrice!$H$33/100)/Unitflowchart!$S$357*(ShipTransport!AB12)*Unitflowchart!$S$45</f>
        <v>0</v>
      </c>
      <c r="L133" s="24">
        <f>(K133/K$347)*100</f>
        <v>0</v>
      </c>
      <c r="M133" s="709">
        <f>Unitflowchart!$S$24*(AllocationPrice!$H$33/100)/Unitflowchart!$S$357*(ShipTransport!AC12)*Unitflowchart!$S$45</f>
        <v>0</v>
      </c>
      <c r="N133" s="710">
        <f>E133+(GlobalWarmingPotentials!$B$11*H133)+(GlobalWarmingPotentials!$C$11*K133)</f>
        <v>0</v>
      </c>
      <c r="O133" s="24">
        <f>(N133/N$347)*100</f>
        <v>0</v>
      </c>
      <c r="P133" s="724">
        <f>SQRT((G133^2)+((GlobalWarmingPotentials!$B$11*J133)^2)+((GlobalWarmingPotentials!$C$11*M133)^2))</f>
        <v>0</v>
      </c>
    </row>
    <row r="134" spans="1:16" x14ac:dyDescent="0.25">
      <c r="A134" s="13" t="str">
        <f>ShipTransport!A13</f>
        <v xml:space="preserve"> - Ship Maintenance</v>
      </c>
      <c r="B134" s="710">
        <f>Unitflowchart!$S$24*(AllocationPrice!$H$33/100)/Unitflowchart!$S$357*(ShipTransport!J13)*Unitflowchart!$S$45</f>
        <v>0</v>
      </c>
      <c r="C134" s="24">
        <f>(B134/B$347)*100</f>
        <v>0</v>
      </c>
      <c r="D134" s="724">
        <f>Unitflowchart!$S$24*(AllocationPrice!$H$33/100)/Unitflowchart!$S$357*(ShipTransport!K13)*Unitflowchart!$S$45</f>
        <v>0</v>
      </c>
      <c r="E134" s="726">
        <f>Unitflowchart!$S$24*(AllocationPrice!$H$33/100)/Unitflowchart!$S$357*(ShipTransport!P13)*Unitflowchart!$S$45</f>
        <v>0</v>
      </c>
      <c r="F134" s="24">
        <f>(E134/E$347)*100</f>
        <v>0</v>
      </c>
      <c r="G134" s="726">
        <f>Unitflowchart!$S$24*(AllocationPrice!$H$33/100)/Unitflowchart!$S$357*(ShipTransport!Q13)*Unitflowchart!$S$45</f>
        <v>0</v>
      </c>
      <c r="H134" s="707">
        <f>Unitflowchart!$S$24*(AllocationPrice!$H$33/100)/Unitflowchart!$S$357*(ShipTransport!V13)*Unitflowchart!$S$45</f>
        <v>0</v>
      </c>
      <c r="I134" s="24">
        <f>(H134/H$347)*100</f>
        <v>0</v>
      </c>
      <c r="J134" s="709">
        <f>Unitflowchart!$S$24*(AllocationPrice!$H$33/100)/Unitflowchart!$S$357*(ShipTransport!W13)*Unitflowchart!$S$45</f>
        <v>0</v>
      </c>
      <c r="K134" s="707">
        <f>Unitflowchart!$S$24*(AllocationPrice!$H$33/100)/Unitflowchart!$S$357*(ShipTransport!AB13)*Unitflowchart!$S$45</f>
        <v>0</v>
      </c>
      <c r="L134" s="24">
        <f>(K134/K$347)*100</f>
        <v>0</v>
      </c>
      <c r="M134" s="709">
        <f>Unitflowchart!$S$24*(AllocationPrice!$H$33/100)/Unitflowchart!$S$357*(ShipTransport!AC13)*Unitflowchart!$S$45</f>
        <v>0</v>
      </c>
      <c r="N134" s="710">
        <f>E134+(GlobalWarmingPotentials!$B$11*H134)+(GlobalWarmingPotentials!$C$11*K134)</f>
        <v>0</v>
      </c>
      <c r="O134" s="24">
        <f>(N134/N$347)*100</f>
        <v>0</v>
      </c>
      <c r="P134" s="724">
        <f>SQRT((G134^2)+((GlobalWarmingPotentials!$B$11*J134)^2)+((GlobalWarmingPotentials!$C$11*M134)^2))</f>
        <v>0</v>
      </c>
    </row>
    <row r="135" spans="1:16" s="42" customFormat="1" x14ac:dyDescent="0.25">
      <c r="A135" s="152"/>
      <c r="B135" s="713"/>
      <c r="C135" s="882"/>
      <c r="D135" s="719"/>
      <c r="E135" s="209"/>
      <c r="F135" s="882"/>
      <c r="G135" s="209"/>
      <c r="H135" s="495"/>
      <c r="I135" s="882"/>
      <c r="J135" s="889"/>
      <c r="K135" s="495"/>
      <c r="L135" s="882"/>
      <c r="M135" s="889"/>
      <c r="N135" s="713"/>
      <c r="O135" s="882"/>
      <c r="P135" s="719"/>
    </row>
    <row r="136" spans="1:16" s="6" customFormat="1" x14ac:dyDescent="0.25">
      <c r="A136" s="214" t="s">
        <v>849</v>
      </c>
      <c r="B136" s="717">
        <f>Unitflowchart!$S$24*(AllocationPrice!$H$33/100)/Unitflowchart!$S$357*(ShipTransport!J15)*Unitflowchart!$S$45</f>
        <v>0</v>
      </c>
      <c r="C136" s="14">
        <f>(B136/B$347)*100</f>
        <v>0</v>
      </c>
      <c r="D136" s="722">
        <f>Unitflowchart!$S$24*(AllocationPrice!$H$33/100)/Unitflowchart!$S$357*(ShipTransport!K15)*Unitflowchart!$S$45</f>
        <v>0</v>
      </c>
      <c r="E136" s="717">
        <f>Unitflowchart!$S$24*(AllocationPrice!$H$33/100)/Unitflowchart!$S$357*(ShipTransport!P15)*Unitflowchart!$S$45</f>
        <v>0</v>
      </c>
      <c r="F136" s="14">
        <f>(E136/E$347)*100</f>
        <v>0</v>
      </c>
      <c r="G136" s="722">
        <f>Unitflowchart!$S$24*(AllocationPrice!$H$33/100)/Unitflowchart!$S$357*(ShipTransport!Q15)*Unitflowchart!$S$45</f>
        <v>0</v>
      </c>
      <c r="H136" s="717">
        <f>Unitflowchart!$S$24*(AllocationPrice!$H$33/100)/Unitflowchart!$S$357*(ShipTransport!V15)*Unitflowchart!$S$45</f>
        <v>0</v>
      </c>
      <c r="I136" s="14">
        <f>(H136/H$347)*100</f>
        <v>0</v>
      </c>
      <c r="J136" s="722">
        <f>Unitflowchart!$S$24*(AllocationPrice!$H$33/100)/Unitflowchart!$S$357*(ShipTransport!W15)*Unitflowchart!$S$45</f>
        <v>0</v>
      </c>
      <c r="K136" s="717">
        <f>Unitflowchart!$S$24*(AllocationPrice!$H$33/100)/Unitflowchart!$S$357*(ShipTransport!AB15)*Unitflowchart!$S$45</f>
        <v>0</v>
      </c>
      <c r="L136" s="14">
        <f>(K136/K$347)*100</f>
        <v>0</v>
      </c>
      <c r="M136" s="722">
        <f>Unitflowchart!$S$24*(AllocationPrice!$H$33/100)/Unitflowchart!$S$357*(ShipTransport!AC15)*Unitflowchart!$S$45</f>
        <v>0</v>
      </c>
      <c r="N136" s="714">
        <f>E136+(GlobalWarmingPotentials!$B$11*H136)+(GlobalWarmingPotentials!$C$11*K136)</f>
        <v>0</v>
      </c>
      <c r="O136" s="14">
        <f>(N136/N$347)*100</f>
        <v>0</v>
      </c>
      <c r="P136" s="739">
        <f>SQRT((G136^2)+((GlobalWarmingPotentials!$B$11*J136)^2)+((GlobalWarmingPotentials!$C$11*M136)^2))</f>
        <v>0</v>
      </c>
    </row>
    <row r="137" spans="1:16" x14ac:dyDescent="0.25">
      <c r="B137" s="712"/>
      <c r="D137" s="721"/>
      <c r="E137" s="718"/>
      <c r="G137" s="718"/>
      <c r="H137" s="30"/>
      <c r="J137" s="708"/>
      <c r="K137" s="30"/>
      <c r="M137" s="708"/>
      <c r="N137" s="712"/>
      <c r="P137" s="721"/>
    </row>
    <row r="138" spans="1:16" x14ac:dyDescent="0.25">
      <c r="A138" s="214" t="s">
        <v>851</v>
      </c>
      <c r="B138" s="717">
        <f>B112+B120+B128+B136</f>
        <v>601.53586980511921</v>
      </c>
      <c r="C138" s="705">
        <f>(B138/B$347)*100</f>
        <v>3.1609997524787445</v>
      </c>
      <c r="D138" s="725">
        <f>SQRT((D112^2)+(D120^2)+(D128^2)+(D136^2))</f>
        <v>28.272185880840603</v>
      </c>
      <c r="E138" s="727">
        <f t="shared" ref="E138" si="24">E112+E120+E128+E136</f>
        <v>43.167066146313303</v>
      </c>
      <c r="F138" s="705">
        <f>(E138/E$347)*100</f>
        <v>3.6087155562006963</v>
      </c>
      <c r="G138" s="727">
        <f t="shared" ref="G138" si="25">SQRT((G112^2)+(G120^2)+(G128^2)+(G136^2))</f>
        <v>2.0288521088767251</v>
      </c>
      <c r="H138" s="706">
        <f t="shared" ref="H138" si="26">H112+H120+H128+H136</f>
        <v>8.969779978454712E-3</v>
      </c>
      <c r="I138" s="705">
        <f>(H138/H$347)*100</f>
        <v>0.50180898751023928</v>
      </c>
      <c r="J138" s="704">
        <f t="shared" ref="J138" si="27">SQRT((J112^2)+(J120^2)+(J128^2)+(J136^2))</f>
        <v>4.215796589873715E-4</v>
      </c>
      <c r="K138" s="706">
        <f t="shared" ref="K138" si="28">K112+K120+K128+K136</f>
        <v>1.166071397199113E-2</v>
      </c>
      <c r="L138" s="705">
        <f>(K138/K$347)*100</f>
        <v>0.64192933075856551</v>
      </c>
      <c r="M138" s="704">
        <f t="shared" ref="M138" si="29">SQRT((M112^2)+(M120^2)+(M128^2)+(M136^2))</f>
        <v>5.4805355668358297E-4</v>
      </c>
      <c r="N138" s="717">
        <f t="shared" ref="N138" si="30">N112+N120+N128+N136</f>
        <v>46.824942421527133</v>
      </c>
      <c r="O138" s="705">
        <f>(N138/N$347)*100</f>
        <v>2.6380419026056448</v>
      </c>
      <c r="P138" s="725">
        <f t="shared" ref="P138" si="31">SQRT((P112^2)+(P120^2)+(P128^2)+(P136^2))</f>
        <v>2.035350455563139</v>
      </c>
    </row>
    <row r="139" spans="1:16" x14ac:dyDescent="0.25">
      <c r="B139" s="712"/>
      <c r="D139" s="721"/>
      <c r="E139" s="718"/>
      <c r="G139" s="718"/>
      <c r="H139" s="30"/>
      <c r="J139" s="708"/>
      <c r="K139" s="30"/>
      <c r="M139" s="708"/>
      <c r="N139" s="712"/>
      <c r="P139" s="721"/>
    </row>
    <row r="140" spans="1:16" x14ac:dyDescent="0.25">
      <c r="A140" s="384" t="s">
        <v>42</v>
      </c>
      <c r="B140" s="712"/>
      <c r="D140" s="721"/>
      <c r="E140" s="718"/>
      <c r="G140" s="718"/>
      <c r="H140" s="30"/>
      <c r="J140" s="708"/>
      <c r="K140" s="30"/>
      <c r="M140" s="708"/>
      <c r="N140" s="712"/>
      <c r="P140" s="721"/>
    </row>
    <row r="141" spans="1:16" x14ac:dyDescent="0.25">
      <c r="B141" s="712"/>
      <c r="D141" s="721"/>
      <c r="E141" s="718"/>
      <c r="G141" s="718"/>
      <c r="H141" s="30"/>
      <c r="J141" s="708"/>
      <c r="K141" s="30"/>
      <c r="M141" s="708"/>
      <c r="N141" s="712"/>
      <c r="P141" s="721"/>
    </row>
    <row r="142" spans="1:16" x14ac:dyDescent="0.25">
      <c r="A142" t="str">
        <f>RoadTransportStage2!A28</f>
        <v xml:space="preserve"> - Diesel Fuel</v>
      </c>
      <c r="B142" s="715">
        <f>Unitflowchart!$S$51*(AllocationPrice!$H$33/100)/Unitflowchart!$S$357*(RoadTransportStage2!J35)*Unitflowchart!$S$60</f>
        <v>0</v>
      </c>
      <c r="C142" s="25">
        <f>(B142/B$347)*100</f>
        <v>0</v>
      </c>
      <c r="D142" s="481">
        <f>Unitflowchart!$S$51*(AllocationPrice!$H$33/100)/Unitflowchart!$S$357*(RoadTransportStage2!K35)*Unitflowchart!$S$60</f>
        <v>0</v>
      </c>
      <c r="E142" s="715">
        <f>Unitflowchart!$S$51*(AllocationPrice!$H$33/100)/Unitflowchart!$S$357*(RoadTransportStage2!P35)*Unitflowchart!$S$60</f>
        <v>0</v>
      </c>
      <c r="F142" s="25">
        <f>(E142/E$347)*100</f>
        <v>0</v>
      </c>
      <c r="G142" s="481">
        <f>Unitflowchart!$S$51*(AllocationPrice!$H$33/100)/Unitflowchart!$S$357*(RoadTransportStage2!Q35)*Unitflowchart!$S$60</f>
        <v>0</v>
      </c>
      <c r="H142" s="730">
        <f>Unitflowchart!$S$51*(AllocationPrice!$H$33/100)/Unitflowchart!$S$357*(RoadTransportStage2!V35)*Unitflowchart!$S$60</f>
        <v>0</v>
      </c>
      <c r="I142" s="25">
        <f>(H142/H$347)*100</f>
        <v>0</v>
      </c>
      <c r="J142" s="732">
        <f>Unitflowchart!$S$51*(AllocationPrice!$H$33/100)/Unitflowchart!$S$357*(RoadTransportStage2!W35)*Unitflowchart!$S$60</f>
        <v>0</v>
      </c>
      <c r="K142" s="730">
        <f>Unitflowchart!$S$51*(AllocationPrice!$H$33/100)/Unitflowchart!$S$357*(RoadTransportStage2!AB35)*Unitflowchart!$S$60</f>
        <v>0</v>
      </c>
      <c r="L142" s="25">
        <f>(K142/K$347)*100</f>
        <v>0</v>
      </c>
      <c r="M142" s="732">
        <f>Unitflowchart!$S$51*(AllocationPrice!$H$33/100)/Unitflowchart!$S$357*(RoadTransportStage2!AC35)*Unitflowchart!$S$60</f>
        <v>0</v>
      </c>
      <c r="N142" s="711">
        <f>E142+(GlobalWarmingPotentials!$B$11*H142)+(GlobalWarmingPotentials!$C$11*K142)</f>
        <v>0</v>
      </c>
      <c r="O142" s="25">
        <f>(N142/N$347)*100</f>
        <v>0</v>
      </c>
      <c r="P142" s="736">
        <f>SQRT((G142^2)+((GlobalWarmingPotentials!$B$11*J142)^2)+((GlobalWarmingPotentials!$C$11*M142)^2))</f>
        <v>0</v>
      </c>
    </row>
    <row r="143" spans="1:16" x14ac:dyDescent="0.25">
      <c r="A143" t="str">
        <f>RoadTransportStage2!A29</f>
        <v xml:space="preserve"> - Vehicle </v>
      </c>
      <c r="B143" s="715">
        <f>Unitflowchart!$S$51*(AllocationPrice!$H$33/100)/Unitflowchart!$S$357*(RoadTransportStage2!J36)*Unitflowchart!$S$60</f>
        <v>0</v>
      </c>
      <c r="C143" s="25">
        <f>(B143/B$347)*100</f>
        <v>0</v>
      </c>
      <c r="D143" s="481">
        <f>Unitflowchart!$S$51*(AllocationPrice!$H$33/100)/Unitflowchart!$S$357*(RoadTransportStage2!K36)*Unitflowchart!$S$60</f>
        <v>0</v>
      </c>
      <c r="E143" s="715">
        <f>Unitflowchart!$S$51*(AllocationPrice!$H$33/100)/Unitflowchart!$S$357*(RoadTransportStage2!P36)*Unitflowchart!$S$60</f>
        <v>0</v>
      </c>
      <c r="F143" s="25">
        <f>(E143/E$347)*100</f>
        <v>0</v>
      </c>
      <c r="G143" s="481">
        <f>Unitflowchart!$S$51*(AllocationPrice!$H$33/100)/Unitflowchart!$S$357*(RoadTransportStage2!Q36)*Unitflowchart!$S$60</f>
        <v>0</v>
      </c>
      <c r="H143" s="730">
        <f>Unitflowchart!$S$51*(AllocationPrice!$H$33/100)/Unitflowchart!$S$357*(RoadTransportStage2!V36)*Unitflowchart!$S$60</f>
        <v>0</v>
      </c>
      <c r="I143" s="25">
        <f>(H143/H$347)*100</f>
        <v>0</v>
      </c>
      <c r="J143" s="732">
        <f>Unitflowchart!$S$51*(AllocationPrice!$H$33/100)/Unitflowchart!$S$357*(RoadTransportStage2!W36)*Unitflowchart!$S$60</f>
        <v>0</v>
      </c>
      <c r="K143" s="730">
        <f>Unitflowchart!$S$51*(AllocationPrice!$H$33/100)/Unitflowchart!$S$357*(RoadTransportStage2!AB36)*Unitflowchart!$S$60</f>
        <v>0</v>
      </c>
      <c r="L143" s="25">
        <f>(K143/K$347)*100</f>
        <v>0</v>
      </c>
      <c r="M143" s="732">
        <f>Unitflowchart!$S$51*(AllocationPrice!$H$33/100)/Unitflowchart!$S$357*(RoadTransportStage2!AC36)*Unitflowchart!$S$60</f>
        <v>0</v>
      </c>
      <c r="N143" s="711">
        <f>E143+(GlobalWarmingPotentials!$B$11*H143)+(GlobalWarmingPotentials!$C$11*K143)</f>
        <v>0</v>
      </c>
      <c r="O143" s="25">
        <f>(N143/N$347)*100</f>
        <v>0</v>
      </c>
      <c r="P143" s="736">
        <f>SQRT((G143^2)+((GlobalWarmingPotentials!$B$11*J143)^2)+((GlobalWarmingPotentials!$C$11*M143)^2))</f>
        <v>0</v>
      </c>
    </row>
    <row r="144" spans="1:16" x14ac:dyDescent="0.25">
      <c r="A144" t="str">
        <f>RoadTransportStage2!A30</f>
        <v xml:space="preserve"> - Maintenance</v>
      </c>
      <c r="B144" s="715">
        <f>Unitflowchart!$S$51*(AllocationPrice!$H$33/100)/Unitflowchart!$S$357*(RoadTransportStage2!J37)*Unitflowchart!$S$60</f>
        <v>0</v>
      </c>
      <c r="C144" s="25">
        <f>(B144/B$347)*100</f>
        <v>0</v>
      </c>
      <c r="D144" s="481">
        <f>Unitflowchart!$S$51*(AllocationPrice!$H$33/100)/Unitflowchart!$S$357*(RoadTransportStage2!K37)*Unitflowchart!$S$60</f>
        <v>0</v>
      </c>
      <c r="E144" s="715">
        <f>Unitflowchart!$S$51*(AllocationPrice!$H$33/100)/Unitflowchart!$S$357*(RoadTransportStage2!P37)*Unitflowchart!$S$60</f>
        <v>0</v>
      </c>
      <c r="F144" s="25">
        <f>(E144/E$347)*100</f>
        <v>0</v>
      </c>
      <c r="G144" s="481">
        <f>Unitflowchart!$S$51*(AllocationPrice!$H$33/100)/Unitflowchart!$S$357*(RoadTransportStage2!Q37)*Unitflowchart!$S$60</f>
        <v>0</v>
      </c>
      <c r="H144" s="730">
        <f>Unitflowchart!$S$51*(AllocationPrice!$H$33/100)/Unitflowchart!$S$357*(RoadTransportStage2!V37)*Unitflowchart!$S$60</f>
        <v>0</v>
      </c>
      <c r="I144" s="25">
        <f>(H144/H$347)*100</f>
        <v>0</v>
      </c>
      <c r="J144" s="732">
        <f>Unitflowchart!$S$51*(AllocationPrice!$H$33/100)/Unitflowchart!$S$357*(RoadTransportStage2!W37)*Unitflowchart!$S$60</f>
        <v>0</v>
      </c>
      <c r="K144" s="730">
        <f>Unitflowchart!$S$51*(AllocationPrice!$H$33/100)/Unitflowchart!$S$357*(RoadTransportStage2!AB37)*Unitflowchart!$S$60</f>
        <v>0</v>
      </c>
      <c r="L144" s="25">
        <f>(K144/K$347)*100</f>
        <v>0</v>
      </c>
      <c r="M144" s="732">
        <f>Unitflowchart!$S$51*(AllocationPrice!$H$33/100)/Unitflowchart!$S$357*(RoadTransportStage2!AC37)*Unitflowchart!$S$60</f>
        <v>0</v>
      </c>
      <c r="N144" s="711">
        <f>E144+(GlobalWarmingPotentials!$B$11*H144)+(GlobalWarmingPotentials!$C$11*K144)</f>
        <v>0</v>
      </c>
      <c r="O144" s="25">
        <f>(N144/N$347)*100</f>
        <v>0</v>
      </c>
      <c r="P144" s="736">
        <f>SQRT((G144^2)+((GlobalWarmingPotentials!$B$11*J144)^2)+((GlobalWarmingPotentials!$C$11*M144)^2))</f>
        <v>0</v>
      </c>
    </row>
    <row r="145" spans="1:16" s="42" customFormat="1" x14ac:dyDescent="0.25">
      <c r="B145" s="746"/>
      <c r="C145" s="863"/>
      <c r="D145" s="759"/>
      <c r="E145" s="746"/>
      <c r="F145" s="863"/>
      <c r="G145" s="759"/>
      <c r="H145" s="763"/>
      <c r="I145" s="863"/>
      <c r="J145" s="764"/>
      <c r="K145" s="763"/>
      <c r="L145" s="863"/>
      <c r="M145" s="764"/>
      <c r="N145" s="713"/>
      <c r="O145" s="863"/>
      <c r="P145" s="738"/>
    </row>
    <row r="146" spans="1:16" x14ac:dyDescent="0.25">
      <c r="A146" s="21" t="s">
        <v>844</v>
      </c>
      <c r="B146" s="714">
        <f>Unitflowchart!$S$51*(AllocationPrice!$H$33/100)/Unitflowchart!$S$357*(RoadTransportStage2!J39)*Unitflowchart!$S$60</f>
        <v>0</v>
      </c>
      <c r="C146" s="14">
        <f>(B146/B$347)*100</f>
        <v>0</v>
      </c>
      <c r="D146" s="722">
        <f>Unitflowchart!$S$51*(AllocationPrice!$H$33/100)/Unitflowchart!$S$357*(RoadTransportStage2!K39)*Unitflowchart!$S$60</f>
        <v>0</v>
      </c>
      <c r="E146" s="714">
        <f>Unitflowchart!$S$51*(AllocationPrice!$H$33/100)/Unitflowchart!$S$357*(RoadTransportStage2!P39)*Unitflowchart!$S$60</f>
        <v>0</v>
      </c>
      <c r="F146" s="14">
        <f>(E146/E$347)*100</f>
        <v>0</v>
      </c>
      <c r="G146" s="722">
        <f>Unitflowchart!$S$51*(AllocationPrice!$H$33/100)/Unitflowchart!$S$357*(RoadTransportStage2!Q39)*Unitflowchart!$S$60</f>
        <v>0</v>
      </c>
      <c r="H146" s="211">
        <f>Unitflowchart!$S$51*(AllocationPrice!$H$33/100)/Unitflowchart!$S$357*(RoadTransportStage2!V39)*Unitflowchart!$S$60</f>
        <v>0</v>
      </c>
      <c r="I146" s="14">
        <f>(H146/H$347)*100</f>
        <v>0</v>
      </c>
      <c r="J146" s="212">
        <f>Unitflowchart!$S$51*(AllocationPrice!$H$33/100)/Unitflowchart!$S$357*(RoadTransportStage2!W39)*Unitflowchart!$S$60</f>
        <v>0</v>
      </c>
      <c r="K146" s="211">
        <f>Unitflowchart!$S$51*(AllocationPrice!$H$33/100)/Unitflowchart!$S$357*(RoadTransportStage2!AB39)*Unitflowchart!$S$60</f>
        <v>0</v>
      </c>
      <c r="L146" s="14">
        <f>(K146/K$347)*100</f>
        <v>0</v>
      </c>
      <c r="M146" s="212">
        <f>Unitflowchart!$S$51*(AllocationPrice!$H$33/100)/Unitflowchart!$S$357*(RoadTransportStage2!AC39)*Unitflowchart!$S$60</f>
        <v>0</v>
      </c>
      <c r="N146" s="714">
        <f>E146+(GlobalWarmingPotentials!$B$11*H146)+(GlobalWarmingPotentials!$C$11*K146)</f>
        <v>0</v>
      </c>
      <c r="O146" s="14">
        <f>(N146/N$347)*100</f>
        <v>0</v>
      </c>
      <c r="P146" s="739">
        <f>SQRT((G146^2)+((GlobalWarmingPotentials!$B$11*J146)^2)+((GlobalWarmingPotentials!$C$11*M146)^2))</f>
        <v>0</v>
      </c>
    </row>
    <row r="147" spans="1:16" s="208" customFormat="1" x14ac:dyDescent="0.25">
      <c r="A147" s="755"/>
      <c r="B147" s="743"/>
      <c r="C147" s="753"/>
      <c r="D147" s="758"/>
      <c r="E147" s="743"/>
      <c r="F147" s="753"/>
      <c r="G147" s="758"/>
      <c r="H147" s="745"/>
      <c r="I147" s="753"/>
      <c r="J147" s="762"/>
      <c r="K147" s="745"/>
      <c r="L147" s="753"/>
      <c r="M147" s="762"/>
      <c r="N147" s="743"/>
      <c r="O147" s="753"/>
      <c r="P147" s="767"/>
    </row>
    <row r="148" spans="1:16" s="208" customFormat="1" x14ac:dyDescent="0.25">
      <c r="A148" s="384" t="s">
        <v>856</v>
      </c>
      <c r="B148" s="746"/>
      <c r="C148" s="744"/>
      <c r="D148" s="759"/>
      <c r="E148" s="746"/>
      <c r="F148" s="744"/>
      <c r="G148" s="759"/>
      <c r="H148" s="763"/>
      <c r="I148" s="744"/>
      <c r="J148" s="764"/>
      <c r="K148" s="763"/>
      <c r="L148" s="744"/>
      <c r="M148" s="764"/>
      <c r="N148" s="746"/>
      <c r="O148" s="744"/>
      <c r="P148" s="768"/>
    </row>
    <row r="149" spans="1:16" s="208" customFormat="1" x14ac:dyDescent="0.25">
      <c r="A149"/>
      <c r="B149" s="746"/>
      <c r="C149" s="744"/>
      <c r="D149" s="759"/>
      <c r="E149" s="746"/>
      <c r="F149" s="744"/>
      <c r="G149" s="759"/>
      <c r="H149" s="763"/>
      <c r="I149" s="744"/>
      <c r="J149" s="764"/>
      <c r="K149" s="763"/>
      <c r="L149" s="744"/>
      <c r="M149" s="764"/>
      <c r="N149" s="746"/>
      <c r="O149" s="744"/>
      <c r="P149" s="768"/>
    </row>
    <row r="150" spans="1:16" s="208" customFormat="1" x14ac:dyDescent="0.25">
      <c r="A150" t="str">
        <f>RailTransport!A11</f>
        <v xml:space="preserve"> - Gas Oil</v>
      </c>
      <c r="B150" s="771">
        <f>Unitflowchart!$S$51*(AllocationPrice!$H$33/100)/Unitflowchart!$S$357*(RailTransport!J11)*Unitflowchart!$S$62</f>
        <v>0</v>
      </c>
      <c r="C150" s="744">
        <f>(B150/B$347)*100</f>
        <v>0</v>
      </c>
      <c r="D150" s="772">
        <f>Unitflowchart!$S$51*(AllocationPrice!$H$33/100)/Unitflowchart!$S$357*(RailTransport!K11)*Unitflowchart!$S$62</f>
        <v>0</v>
      </c>
      <c r="E150" s="771">
        <f>Unitflowchart!$S$51*(AllocationPrice!$H$33/100)/Unitflowchart!$S$357*(RailTransport!P11)*Unitflowchart!$S$62</f>
        <v>0</v>
      </c>
      <c r="F150" s="744">
        <f>(E150/E$347)*100</f>
        <v>0</v>
      </c>
      <c r="G150" s="772">
        <f>Unitflowchart!$S$51*(AllocationPrice!$H$33/100)/Unitflowchart!$S$357*(RailTransport!Q11)*Unitflowchart!$S$62</f>
        <v>0</v>
      </c>
      <c r="H150" s="773">
        <f>Unitflowchart!$S51*(AllocationPrice!$H$33/100)/Unitflowchart!$S$357*(RailTransport!V11)*Unitflowchart!$S$62</f>
        <v>0</v>
      </c>
      <c r="I150" s="744">
        <f>(H150/H$347)*100</f>
        <v>0</v>
      </c>
      <c r="J150" s="774">
        <f>Unitflowchart!$S$51*(AllocationPrice!$H$33/100)/Unitflowchart!$S$357*(RailTransport!W11)*Unitflowchart!$S$62</f>
        <v>0</v>
      </c>
      <c r="K150" s="773">
        <f>Unitflowchart!$S$51*(AllocationPrice!$H$33/100)/Unitflowchart!$S$357*(RailTransport!AB11)*Unitflowchart!$S$62</f>
        <v>0</v>
      </c>
      <c r="L150" s="744">
        <f>(K150/K$347)*100</f>
        <v>0</v>
      </c>
      <c r="M150" s="774">
        <f>Unitflowchart!$S$51*(AllocationPrice!$H$33/100)/Unitflowchart!$S$357*(RailTransport!AC11)*Unitflowchart!$S$62</f>
        <v>0</v>
      </c>
      <c r="N150" s="771">
        <f>E150+(GlobalWarmingPotentials!$B$11*H150)+(GlobalWarmingPotentials!$C$11*K150)</f>
        <v>0</v>
      </c>
      <c r="O150" s="744">
        <f>(N150/N$347)*100</f>
        <v>0</v>
      </c>
      <c r="P150" s="776">
        <f>SQRT((G150^2)+((GlobalWarmingPotentials!$B$11*J150)^2)+((GlobalWarmingPotentials!$C$11*M150)^2))</f>
        <v>0</v>
      </c>
    </row>
    <row r="151" spans="1:16" s="208" customFormat="1" x14ac:dyDescent="0.25">
      <c r="A151" t="str">
        <f>RailTransport!A12</f>
        <v xml:space="preserve"> - Capital Equipment</v>
      </c>
      <c r="B151" s="771">
        <f>Unitflowchart!$S$51*(AllocationPrice!$H$33/100)/Unitflowchart!$S$357*(RailTransport!J12)*Unitflowchart!$S$62</f>
        <v>0</v>
      </c>
      <c r="C151" s="744">
        <f>(B151/B$347)*100</f>
        <v>0</v>
      </c>
      <c r="D151" s="772">
        <f>Unitflowchart!$S$51*(AllocationPrice!$H$33/100)/Unitflowchart!$S$357*(RailTransport!K12)*Unitflowchart!$S$62</f>
        <v>0</v>
      </c>
      <c r="E151" s="771">
        <f>Unitflowchart!$S$51*(AllocationPrice!$H$33/100)/Unitflowchart!$S$357*(RailTransport!P12)*Unitflowchart!$S$62</f>
        <v>0</v>
      </c>
      <c r="F151" s="744">
        <f>(E151/E$347)*100</f>
        <v>0</v>
      </c>
      <c r="G151" s="772">
        <f>Unitflowchart!$S$51*(AllocationPrice!$H$33/100)/Unitflowchart!$S$357*(RailTransport!Q12)*Unitflowchart!$S$62</f>
        <v>0</v>
      </c>
      <c r="H151" s="773">
        <f>Unitflowchart!$S52*(AllocationPrice!$H$33/100)/Unitflowchart!$S$357*(RailTransport!V12)*Unitflowchart!$S$62</f>
        <v>0</v>
      </c>
      <c r="I151" s="744">
        <f>(H151/H$347)*100</f>
        <v>0</v>
      </c>
      <c r="J151" s="774">
        <f>Unitflowchart!$S$51*(AllocationPrice!$H$33/100)/Unitflowchart!$S$357*(RailTransport!W12)*Unitflowchart!$S$62</f>
        <v>0</v>
      </c>
      <c r="K151" s="773">
        <f>Unitflowchart!$S$51*(AllocationPrice!$H$33/100)/Unitflowchart!$S$357*(RailTransport!AB12)*Unitflowchart!$S$62</f>
        <v>0</v>
      </c>
      <c r="L151" s="744">
        <f>(K151/K$347)*100</f>
        <v>0</v>
      </c>
      <c r="M151" s="774">
        <f>Unitflowchart!$S$51*(AllocationPrice!$H$33/100)/Unitflowchart!$S$357*(RailTransport!AC12)*Unitflowchart!$S$62</f>
        <v>0</v>
      </c>
      <c r="N151" s="771">
        <f>E151+(GlobalWarmingPotentials!$B$11*H151)+(GlobalWarmingPotentials!$C$11*K151)</f>
        <v>0</v>
      </c>
      <c r="O151" s="744">
        <f>(N151/N$347)*100</f>
        <v>0</v>
      </c>
      <c r="P151" s="776">
        <f>SQRT((G151^2)+((GlobalWarmingPotentials!$B$11*J151)^2)+((GlobalWarmingPotentials!$C$11*M151)^2))</f>
        <v>0</v>
      </c>
    </row>
    <row r="152" spans="1:16" s="208" customFormat="1" x14ac:dyDescent="0.25">
      <c r="A152" t="str">
        <f>RailTransport!A13</f>
        <v xml:space="preserve"> - Maintenance</v>
      </c>
      <c r="B152" s="771">
        <f>Unitflowchart!$S$51*(AllocationPrice!$H$33/100)/Unitflowchart!$S$357*(RailTransport!J13)*Unitflowchart!$S$62</f>
        <v>0</v>
      </c>
      <c r="C152" s="744">
        <f>(B152/B$347)*100</f>
        <v>0</v>
      </c>
      <c r="D152" s="772">
        <f>Unitflowchart!$S$51*(AllocationPrice!$H$33/100)/Unitflowchart!$S$357*(RailTransport!K13)*Unitflowchart!$S$62</f>
        <v>0</v>
      </c>
      <c r="E152" s="771">
        <f>Unitflowchart!$S$51*(AllocationPrice!$H$33/100)/Unitflowchart!$S$357*(RailTransport!P13)*Unitflowchart!$S$62</f>
        <v>0</v>
      </c>
      <c r="F152" s="744">
        <f>(E152/E$347)*100</f>
        <v>0</v>
      </c>
      <c r="G152" s="772">
        <f>Unitflowchart!$S$51*(AllocationPrice!$H$33/100)/Unitflowchart!$S$357*(RailTransport!Q13)*Unitflowchart!$S$62</f>
        <v>0</v>
      </c>
      <c r="H152" s="773">
        <f>Unitflowchart!$S53*(AllocationPrice!$H$33/100)/Unitflowchart!$S$357*(RailTransport!V13)*Unitflowchart!$S$62</f>
        <v>0</v>
      </c>
      <c r="I152" s="744">
        <f>(H152/H$347)*100</f>
        <v>0</v>
      </c>
      <c r="J152" s="774">
        <f>Unitflowchart!$S$51*(AllocationPrice!$H$33/100)/Unitflowchart!$S$357*(RailTransport!W13)*Unitflowchart!$S$62</f>
        <v>0</v>
      </c>
      <c r="K152" s="773">
        <f>Unitflowchart!$S$51*(AllocationPrice!$H$33/100)/Unitflowchart!$S$357*(RailTransport!AB13)*Unitflowchart!$S$62</f>
        <v>0</v>
      </c>
      <c r="L152" s="744">
        <f>(K152/K$347)*100</f>
        <v>0</v>
      </c>
      <c r="M152" s="774">
        <f>Unitflowchart!$S$51*(AllocationPrice!$H$33/100)/Unitflowchart!$S$357*(RailTransport!AC13)*Unitflowchart!$S$62</f>
        <v>0</v>
      </c>
      <c r="N152" s="771">
        <f>E152+(GlobalWarmingPotentials!$B$11*H152)+(GlobalWarmingPotentials!$C$11*K152)</f>
        <v>0</v>
      </c>
      <c r="O152" s="744">
        <f>(N152/N$347)*100</f>
        <v>0</v>
      </c>
      <c r="P152" s="776">
        <f>SQRT((G152^2)+((GlobalWarmingPotentials!$B$11*J152)^2)+((GlobalWarmingPotentials!$C$11*M152)^2))</f>
        <v>0</v>
      </c>
    </row>
    <row r="153" spans="1:16" s="208" customFormat="1" x14ac:dyDescent="0.25">
      <c r="A153" s="42"/>
      <c r="B153" s="746"/>
      <c r="C153" s="744"/>
      <c r="D153" s="759"/>
      <c r="E153" s="746"/>
      <c r="F153" s="744"/>
      <c r="G153" s="759"/>
      <c r="H153" s="763"/>
      <c r="I153" s="744"/>
      <c r="J153" s="764"/>
      <c r="K153" s="763"/>
      <c r="L153" s="744"/>
      <c r="M153" s="764"/>
      <c r="N153" s="746"/>
      <c r="O153" s="744"/>
      <c r="P153" s="768"/>
    </row>
    <row r="154" spans="1:16" s="208" customFormat="1" x14ac:dyDescent="0.25">
      <c r="A154" s="699" t="s">
        <v>857</v>
      </c>
      <c r="B154" s="777">
        <f>Unitflowchart!$S$51*(AllocationPrice!$H$33/100)/Unitflowchart!$S$357*(RailTransport!J15)*Unitflowchart!$S$62</f>
        <v>0</v>
      </c>
      <c r="C154" s="769">
        <f>(B154/B$347)*100</f>
        <v>0</v>
      </c>
      <c r="D154" s="778">
        <f>Unitflowchart!$S$51*(AllocationPrice!$H$33/100)/Unitflowchart!$S$357*(RailTransport!K15)*Unitflowchart!$S$62</f>
        <v>0</v>
      </c>
      <c r="E154" s="777">
        <f>Unitflowchart!$S$51*(AllocationPrice!$H$33/100)/Unitflowchart!$S$357*(RailTransport!P15)*Unitflowchart!$S$62</f>
        <v>0</v>
      </c>
      <c r="F154" s="769">
        <f>(E154/E$347)*100</f>
        <v>0</v>
      </c>
      <c r="G154" s="778">
        <f>Unitflowchart!$S$51*(AllocationPrice!$H$33/100)/Unitflowchart!$S$357*(RailTransport!Q15)*Unitflowchart!$S$62</f>
        <v>0</v>
      </c>
      <c r="H154" s="779">
        <f>Unitflowchart!$S55*(AllocationPrice!$H$33/100)/Unitflowchart!$S$357*(RailTransport!V15)*Unitflowchart!$S$62</f>
        <v>0</v>
      </c>
      <c r="I154" s="769">
        <f>(H154/H$347)*100</f>
        <v>0</v>
      </c>
      <c r="J154" s="780">
        <f>Unitflowchart!$S$51*(AllocationPrice!$H$33/100)/Unitflowchart!$S$357*(RailTransport!W15)*Unitflowchart!$S$62</f>
        <v>0</v>
      </c>
      <c r="K154" s="779">
        <f>Unitflowchart!$S$51*(AllocationPrice!$H$33/100)/Unitflowchart!$S$357*(RailTransport!AB15)*Unitflowchart!$S$62</f>
        <v>0</v>
      </c>
      <c r="L154" s="769">
        <f>(K154/K$347)*100</f>
        <v>0</v>
      </c>
      <c r="M154" s="780">
        <f>Unitflowchart!$S$51*(AllocationPrice!$H$33/100)/Unitflowchart!$S$357*(RailTransport!AC15)*Unitflowchart!$S$62</f>
        <v>0</v>
      </c>
      <c r="N154" s="777">
        <f>E154+(GlobalWarmingPotentials!$B$11*H154)+(GlobalWarmingPotentials!$C$11*K154)</f>
        <v>0</v>
      </c>
      <c r="O154" s="769">
        <f>(N154/N$347)*100</f>
        <v>0</v>
      </c>
      <c r="P154" s="781">
        <f>SQRT((G154^2)+((GlobalWarmingPotentials!$B$11*J154)^2)+((GlobalWarmingPotentials!$C$11*M154)^2))</f>
        <v>0</v>
      </c>
    </row>
    <row r="155" spans="1:16" s="208" customFormat="1" x14ac:dyDescent="0.25">
      <c r="A155" s="756"/>
      <c r="B155" s="746"/>
      <c r="C155" s="744"/>
      <c r="D155" s="759"/>
      <c r="E155" s="746"/>
      <c r="F155" s="744"/>
      <c r="G155" s="759"/>
      <c r="H155" s="763"/>
      <c r="I155" s="744"/>
      <c r="J155" s="764"/>
      <c r="K155" s="763"/>
      <c r="L155" s="744"/>
      <c r="M155" s="764"/>
      <c r="N155" s="746"/>
      <c r="O155" s="744"/>
      <c r="P155" s="768"/>
    </row>
    <row r="156" spans="1:16" s="208" customFormat="1" x14ac:dyDescent="0.25">
      <c r="A156" s="384" t="s">
        <v>858</v>
      </c>
      <c r="B156" s="746"/>
      <c r="C156" s="744"/>
      <c r="D156" s="759"/>
      <c r="E156" s="746"/>
      <c r="F156" s="744"/>
      <c r="G156" s="759"/>
      <c r="H156" s="763"/>
      <c r="I156" s="744"/>
      <c r="J156" s="764"/>
      <c r="K156" s="763"/>
      <c r="L156" s="744"/>
      <c r="M156" s="764"/>
      <c r="N156" s="746"/>
      <c r="O156" s="744"/>
      <c r="P156" s="768"/>
    </row>
    <row r="157" spans="1:16" s="208" customFormat="1" x14ac:dyDescent="0.25">
      <c r="A157"/>
      <c r="B157" s="746"/>
      <c r="C157" s="744"/>
      <c r="D157" s="759"/>
      <c r="E157" s="746"/>
      <c r="F157" s="744"/>
      <c r="G157" s="759"/>
      <c r="H157" s="763"/>
      <c r="I157" s="744"/>
      <c r="J157" s="764"/>
      <c r="K157" s="763"/>
      <c r="L157" s="744"/>
      <c r="M157" s="764"/>
      <c r="N157" s="746"/>
      <c r="O157" s="744"/>
      <c r="P157" s="768"/>
    </row>
    <row r="158" spans="1:16" s="208" customFormat="1" x14ac:dyDescent="0.25">
      <c r="A158" t="str">
        <f>BargeTransport!A11</f>
        <v xml:space="preserve"> - Marine Diesel</v>
      </c>
      <c r="B158" s="771">
        <f>Unitflowchart!$S$51*(AllocationPrice!$H$33/100)/Unitflowchart!$S$357*(BargeTransport!J11)*Unitflowchart!$S$64</f>
        <v>0</v>
      </c>
      <c r="C158" s="744">
        <f>(B158/B$347)*100</f>
        <v>0</v>
      </c>
      <c r="D158" s="772">
        <f>Unitflowchart!$S$51*(AllocationPrice!$H$33/100)/Unitflowchart!$S$357*(BargeTransport!K11)*Unitflowchart!$S$64</f>
        <v>0</v>
      </c>
      <c r="E158" s="771">
        <f>Unitflowchart!$S$51*(AllocationPrice!$H$33/100)/Unitflowchart!$S$357*(BargeTransport!P11)*Unitflowchart!$S$64</f>
        <v>0</v>
      </c>
      <c r="F158" s="744">
        <f>(E158/E$347)*100</f>
        <v>0</v>
      </c>
      <c r="G158" s="772">
        <f>Unitflowchart!$S$51*(AllocationPrice!$H$33/100)/Unitflowchart!$S$357*(BargeTransport!Q11)*Unitflowchart!$S$64</f>
        <v>0</v>
      </c>
      <c r="H158" s="773">
        <f>Unitflowchart!$S59*(AllocationPrice!$H$33/100)/Unitflowchart!$S$357*(BargeTransport!V11)*Unitflowchart!$S$64</f>
        <v>0</v>
      </c>
      <c r="I158" s="744">
        <f>(H158/H$347)*100</f>
        <v>0</v>
      </c>
      <c r="J158" s="774">
        <f>Unitflowchart!$S$51*(AllocationPrice!$H$33/100)/Unitflowchart!$S$357*(BargeTransport!W11)*Unitflowchart!$S$64</f>
        <v>0</v>
      </c>
      <c r="K158" s="773">
        <f>Unitflowchart!$S$51*(AllocationPrice!$H$33/100)/Unitflowchart!$S$357*(BargeTransport!AB11)*Unitflowchart!$S$64</f>
        <v>0</v>
      </c>
      <c r="L158" s="744">
        <f>(K158/K$347)*100</f>
        <v>0</v>
      </c>
      <c r="M158" s="774">
        <f>Unitflowchart!$S$51*(AllocationPrice!$H$33/100)/Unitflowchart!$S$357*(BargeTransport!AC11)*Unitflowchart!$S$64</f>
        <v>0</v>
      </c>
      <c r="N158" s="771">
        <f>E158+(GlobalWarmingPotentials!$B$11*H158)+(GlobalWarmingPotentials!$C$11*K158)</f>
        <v>0</v>
      </c>
      <c r="O158" s="744">
        <f>(N158/N$347)*100</f>
        <v>0</v>
      </c>
      <c r="P158" s="776">
        <f>SQRT((G158^2)+((GlobalWarmingPotentials!$B$11*J158)^2)+((GlobalWarmingPotentials!$C$11*M158)^2))</f>
        <v>0</v>
      </c>
    </row>
    <row r="159" spans="1:16" s="208" customFormat="1" x14ac:dyDescent="0.25">
      <c r="A159" t="str">
        <f>BargeTransport!A12</f>
        <v xml:space="preserve"> - Barge Construction</v>
      </c>
      <c r="B159" s="771">
        <f>Unitflowchart!$S$51*(AllocationPrice!$H$33/100)/Unitflowchart!$S$357*(BargeTransport!J12)*Unitflowchart!$S$64</f>
        <v>0</v>
      </c>
      <c r="C159" s="744">
        <f>(B159/B$347)*100</f>
        <v>0</v>
      </c>
      <c r="D159" s="772">
        <f>Unitflowchart!$S$51*(AllocationPrice!$H$33/100)/Unitflowchart!$S$357*(BargeTransport!K12)*Unitflowchart!$S$64</f>
        <v>0</v>
      </c>
      <c r="E159" s="771">
        <f>Unitflowchart!$S$51*(AllocationPrice!$H$33/100)/Unitflowchart!$S$357*(BargeTransport!P12)*Unitflowchart!$S$64</f>
        <v>0</v>
      </c>
      <c r="F159" s="744">
        <f>(E159/E$347)*100</f>
        <v>0</v>
      </c>
      <c r="G159" s="772">
        <f>Unitflowchart!$S$51*(AllocationPrice!$H$33/100)/Unitflowchart!$S$357*(BargeTransport!Q12)*Unitflowchart!$S$64</f>
        <v>0</v>
      </c>
      <c r="H159" s="773">
        <f>Unitflowchart!$S60*(AllocationPrice!$H$33/100)/Unitflowchart!$S$357*(BargeTransport!V12)*Unitflowchart!$S$64</f>
        <v>0</v>
      </c>
      <c r="I159" s="744">
        <f>(H159/H$347)*100</f>
        <v>0</v>
      </c>
      <c r="J159" s="774">
        <f>Unitflowchart!$S$51*(AllocationPrice!$H$33/100)/Unitflowchart!$S$357*(BargeTransport!W12)*Unitflowchart!$S$64</f>
        <v>0</v>
      </c>
      <c r="K159" s="773">
        <f>Unitflowchart!$S$51*(AllocationPrice!$H$33/100)/Unitflowchart!$S$357*(BargeTransport!AB12)*Unitflowchart!$S$64</f>
        <v>0</v>
      </c>
      <c r="L159" s="744">
        <f>(K159/K$347)*100</f>
        <v>0</v>
      </c>
      <c r="M159" s="774">
        <f>Unitflowchart!$S$51*(AllocationPrice!$H$33/100)/Unitflowchart!$S$357*(BargeTransport!AC12)*Unitflowchart!$S$64</f>
        <v>0</v>
      </c>
      <c r="N159" s="771">
        <f>E159+(GlobalWarmingPotentials!$B$11*H159)+(GlobalWarmingPotentials!$C$11*K159)</f>
        <v>0</v>
      </c>
      <c r="O159" s="744">
        <f>(N159/N$347)*100</f>
        <v>0</v>
      </c>
      <c r="P159" s="776">
        <f>SQRT((G159^2)+((GlobalWarmingPotentials!$B$11*J159)^2)+((GlobalWarmingPotentials!$C$11*M159)^2))</f>
        <v>0</v>
      </c>
    </row>
    <row r="160" spans="1:16" s="208" customFormat="1" x14ac:dyDescent="0.25">
      <c r="A160" t="str">
        <f>BargeTransport!A13</f>
        <v xml:space="preserve"> - Barge Maintenance</v>
      </c>
      <c r="B160" s="771">
        <f>Unitflowchart!$S$51*(AllocationPrice!$H$33/100)/Unitflowchart!$S$357*(BargeTransport!J13)*Unitflowchart!$S$64</f>
        <v>0</v>
      </c>
      <c r="C160" s="744">
        <f>(B160/B$347)*100</f>
        <v>0</v>
      </c>
      <c r="D160" s="772">
        <f>Unitflowchart!$S$51*(AllocationPrice!$H$33/100)/Unitflowchart!$S$357*(BargeTransport!K13)*Unitflowchart!$S$64</f>
        <v>0</v>
      </c>
      <c r="E160" s="771">
        <f>Unitflowchart!$S$51*(AllocationPrice!$H$33/100)/Unitflowchart!$S$357*(BargeTransport!P13)*Unitflowchart!$S$64</f>
        <v>0</v>
      </c>
      <c r="F160" s="744">
        <f>(E160/E$347)*100</f>
        <v>0</v>
      </c>
      <c r="G160" s="772">
        <f>Unitflowchart!$S$51*(AllocationPrice!$H$33/100)/Unitflowchart!$S$357*(BargeTransport!Q13)*Unitflowchart!$S$64</f>
        <v>0</v>
      </c>
      <c r="H160" s="773">
        <f>Unitflowchart!$S61*(AllocationPrice!$H$33/100)/Unitflowchart!$S$357*(BargeTransport!V13)*Unitflowchart!$S$64</f>
        <v>0</v>
      </c>
      <c r="I160" s="744">
        <f>(H160/H$347)*100</f>
        <v>0</v>
      </c>
      <c r="J160" s="774">
        <f>Unitflowchart!$S$51*(AllocationPrice!$H$33/100)/Unitflowchart!$S$357*(BargeTransport!W13)*Unitflowchart!$S$64</f>
        <v>0</v>
      </c>
      <c r="K160" s="773">
        <f>Unitflowchart!$S$51*(AllocationPrice!$H$33/100)/Unitflowchart!$S$357*(BargeTransport!AB13)*Unitflowchart!$S$64</f>
        <v>0</v>
      </c>
      <c r="L160" s="744">
        <f>(K160/K$347)*100</f>
        <v>0</v>
      </c>
      <c r="M160" s="774">
        <f>Unitflowchart!$S$51*(AllocationPrice!$H$33/100)/Unitflowchart!$S$357*(BargeTransport!AC13)*Unitflowchart!$S$64</f>
        <v>0</v>
      </c>
      <c r="N160" s="771">
        <f>E160+(GlobalWarmingPotentials!$B$11*H160)+(GlobalWarmingPotentials!$C$11*K160)</f>
        <v>0</v>
      </c>
      <c r="O160" s="744">
        <f>(N160/N$347)*100</f>
        <v>0</v>
      </c>
      <c r="P160" s="776">
        <f>SQRT((G160^2)+((GlobalWarmingPotentials!$B$11*J160)^2)+((GlobalWarmingPotentials!$C$11*M160)^2))</f>
        <v>0</v>
      </c>
    </row>
    <row r="161" spans="1:17" s="208" customFormat="1" x14ac:dyDescent="0.25">
      <c r="A161" s="42"/>
      <c r="B161" s="746"/>
      <c r="C161" s="744"/>
      <c r="D161" s="759"/>
      <c r="E161" s="746"/>
      <c r="F161" s="744"/>
      <c r="G161" s="759"/>
      <c r="H161" s="763"/>
      <c r="I161" s="744"/>
      <c r="J161" s="764"/>
      <c r="K161" s="763"/>
      <c r="L161" s="744"/>
      <c r="M161" s="764"/>
      <c r="N161" s="746"/>
      <c r="O161" s="744"/>
      <c r="P161" s="768"/>
    </row>
    <row r="162" spans="1:17" s="208" customFormat="1" x14ac:dyDescent="0.25">
      <c r="A162" s="699" t="s">
        <v>859</v>
      </c>
      <c r="B162" s="777">
        <f>Unitflowchart!$S$51*(AllocationPrice!$H$33/100)/Unitflowchart!$S$357*(BargeTransport!J15)*Unitflowchart!$S$64</f>
        <v>0</v>
      </c>
      <c r="C162" s="769">
        <f>(B162/B$347)*100</f>
        <v>0</v>
      </c>
      <c r="D162" s="778">
        <f>Unitflowchart!$S$51*(AllocationPrice!$H$33/100)/Unitflowchart!$S$357*(BargeTransport!K15)*Unitflowchart!$S$64</f>
        <v>0</v>
      </c>
      <c r="E162" s="777">
        <f>Unitflowchart!$S$51*(AllocationPrice!$H$33/100)/Unitflowchart!$S$357*(BargeTransport!P15)*Unitflowchart!$S$64</f>
        <v>0</v>
      </c>
      <c r="F162" s="769">
        <f>(E162/E$347)*100</f>
        <v>0</v>
      </c>
      <c r="G162" s="778">
        <f>Unitflowchart!$S$51*(AllocationPrice!$H$33/100)/Unitflowchart!$S$357*(BargeTransport!Q15)*Unitflowchart!$S$64</f>
        <v>0</v>
      </c>
      <c r="H162" s="779">
        <f>Unitflowchart!$S63*(AllocationPrice!$H$33/100)/Unitflowchart!$S$357*(BargeTransport!V15)*Unitflowchart!$S$64</f>
        <v>0</v>
      </c>
      <c r="I162" s="769">
        <f>(H162/H$347)*100</f>
        <v>0</v>
      </c>
      <c r="J162" s="780">
        <f>Unitflowchart!$S$51*(AllocationPrice!$H$33/100)/Unitflowchart!$S$357*(BargeTransport!W15)*Unitflowchart!$S$64</f>
        <v>0</v>
      </c>
      <c r="K162" s="779">
        <f>Unitflowchart!$S$51*(AllocationPrice!$H$33/100)/Unitflowchart!$S$357*(BargeTransport!AB15)*Unitflowchart!$S$64</f>
        <v>0</v>
      </c>
      <c r="L162" s="769">
        <f>(K162/K$347)*100</f>
        <v>0</v>
      </c>
      <c r="M162" s="780">
        <f>Unitflowchart!$S$51*(AllocationPrice!$H$33/100)/Unitflowchart!$S$357*(BargeTransport!AC15)*Unitflowchart!$S$64</f>
        <v>0</v>
      </c>
      <c r="N162" s="777">
        <f>E162+(GlobalWarmingPotentials!$B$11*H162)+(GlobalWarmingPotentials!$C$11*K162)</f>
        <v>0</v>
      </c>
      <c r="O162" s="769">
        <f>(N162/N$347)*100</f>
        <v>0</v>
      </c>
      <c r="P162" s="781">
        <f>SQRT((G162^2)+((GlobalWarmingPotentials!$B$11*J162)^2)+((GlobalWarmingPotentials!$C$11*M162)^2))</f>
        <v>0</v>
      </c>
    </row>
    <row r="163" spans="1:17" s="208" customFormat="1" x14ac:dyDescent="0.25">
      <c r="A163" s="756"/>
      <c r="B163" s="746"/>
      <c r="C163" s="744"/>
      <c r="D163" s="759"/>
      <c r="E163" s="746"/>
      <c r="F163" s="744"/>
      <c r="G163" s="759"/>
      <c r="H163" s="763"/>
      <c r="I163" s="744"/>
      <c r="J163" s="764"/>
      <c r="K163" s="763"/>
      <c r="L163" s="744"/>
      <c r="M163" s="764"/>
      <c r="N163" s="746"/>
      <c r="O163" s="744"/>
      <c r="P163" s="768"/>
    </row>
    <row r="164" spans="1:17" s="208" customFormat="1" x14ac:dyDescent="0.25">
      <c r="A164" s="384" t="s">
        <v>860</v>
      </c>
      <c r="B164" s="746"/>
      <c r="C164" s="744"/>
      <c r="D164" s="759"/>
      <c r="E164" s="746"/>
      <c r="F164" s="744"/>
      <c r="G164" s="759"/>
      <c r="H164" s="763"/>
      <c r="I164" s="744"/>
      <c r="J164" s="764"/>
      <c r="K164" s="763"/>
      <c r="L164" s="744"/>
      <c r="M164" s="764"/>
      <c r="N164" s="746"/>
      <c r="O164" s="744"/>
      <c r="P164" s="768"/>
    </row>
    <row r="165" spans="1:17" s="208" customFormat="1" x14ac:dyDescent="0.25">
      <c r="A165"/>
      <c r="B165" s="746"/>
      <c r="C165" s="744"/>
      <c r="D165" s="759"/>
      <c r="E165" s="746"/>
      <c r="F165" s="744"/>
      <c r="G165" s="759"/>
      <c r="H165" s="763"/>
      <c r="I165" s="744"/>
      <c r="J165" s="764"/>
      <c r="K165" s="763"/>
      <c r="L165" s="744"/>
      <c r="M165" s="764"/>
      <c r="N165" s="746"/>
      <c r="O165" s="744"/>
      <c r="P165" s="768"/>
    </row>
    <row r="166" spans="1:17" s="208" customFormat="1" x14ac:dyDescent="0.25">
      <c r="A166" t="str">
        <f>ShipTransport!A11</f>
        <v xml:space="preserve"> - Marine Diesel</v>
      </c>
      <c r="B166" s="771">
        <f>Unitflowchart!$S$51*(AllocationPrice!$H$33/100)/Unitflowchart!$S$357*(ShipTransport!J11)*Unitflowchart!$S$66</f>
        <v>0</v>
      </c>
      <c r="C166" s="744">
        <f>(B166/B$347)*100</f>
        <v>0</v>
      </c>
      <c r="D166" s="772">
        <f>Unitflowchart!$S$51*(AllocationPrice!$H$33/100)/Unitflowchart!$S$357*(ShipTransport!K11)*Unitflowchart!$S$66</f>
        <v>0</v>
      </c>
      <c r="E166" s="771">
        <f>Unitflowchart!$S$51*(AllocationPrice!$H$33/100)/Unitflowchart!$S$357*(ShipTransport!P11)*Unitflowchart!$S$66</f>
        <v>0</v>
      </c>
      <c r="F166" s="744">
        <v>0</v>
      </c>
      <c r="G166" s="772">
        <f>Unitflowchart!$S$51*(AllocationPrice!$H$33/100)/Unitflowchart!$S$357*(ShipTransport!Q11)*Unitflowchart!$S$66</f>
        <v>0</v>
      </c>
      <c r="H166" s="773">
        <f>Unitflowchart!$S67*(AllocationPrice!$H$33/100)/Unitflowchart!$S$357*(ShipTransport!V11)*Unitflowchart!$S$66</f>
        <v>0</v>
      </c>
      <c r="I166" s="744">
        <f>(H166/H$347)*100</f>
        <v>0</v>
      </c>
      <c r="J166" s="774">
        <f>Unitflowchart!$S$51*(AllocationPrice!$H$33/100)/Unitflowchart!$S$357*(ShipTransport!W11)*Unitflowchart!$S$66</f>
        <v>0</v>
      </c>
      <c r="K166" s="773">
        <f>Unitflowchart!$S$51*(AllocationPrice!$H$33/100)/Unitflowchart!$S$357*(ShipTransport!AB11)*Unitflowchart!$S$66</f>
        <v>0</v>
      </c>
      <c r="L166" s="744">
        <f>(K166/K$347)*100</f>
        <v>0</v>
      </c>
      <c r="M166" s="774">
        <f>Unitflowchart!$S$51*(AllocationPrice!$H$33/100)/Unitflowchart!$S$357*(ShipTransport!AC11)*Unitflowchart!$S$66</f>
        <v>0</v>
      </c>
      <c r="N166" s="771">
        <f>E166+(GlobalWarmingPotentials!$B$11*H166)+(GlobalWarmingPotentials!$C$11*K166)</f>
        <v>0</v>
      </c>
      <c r="O166" s="744">
        <f>(N166/N$347)*100</f>
        <v>0</v>
      </c>
      <c r="P166" s="776">
        <f>SQRT((G166^2)+((GlobalWarmingPotentials!$B$11*J166)^2)+((GlobalWarmingPotentials!$C$11*M166)^2))</f>
        <v>0</v>
      </c>
    </row>
    <row r="167" spans="1:17" s="208" customFormat="1" x14ac:dyDescent="0.25">
      <c r="A167" t="str">
        <f>ShipTransport!A12</f>
        <v xml:space="preserve"> - Ship Construction</v>
      </c>
      <c r="B167" s="771">
        <f>Unitflowchart!$S$51*(AllocationPrice!$H$33/100)/Unitflowchart!$S$357*(ShipTransport!J12)*Unitflowchart!$S$66</f>
        <v>0</v>
      </c>
      <c r="C167" s="744">
        <f>(B167/B$347)*100</f>
        <v>0</v>
      </c>
      <c r="D167" s="772">
        <f>Unitflowchart!$S$51*(AllocationPrice!$H$33/100)/Unitflowchart!$S$357*(ShipTransport!K12)*Unitflowchart!$S$66</f>
        <v>0</v>
      </c>
      <c r="E167" s="771">
        <f>Unitflowchart!$S$51*(AllocationPrice!$H$33/100)/Unitflowchart!$S$357*(ShipTransport!P12)*Unitflowchart!$S$66</f>
        <v>0</v>
      </c>
      <c r="F167" s="744">
        <v>1</v>
      </c>
      <c r="G167" s="772">
        <f>Unitflowchart!$S$51*(AllocationPrice!$H$33/100)/Unitflowchart!$S$357*(ShipTransport!Q12)*Unitflowchart!$S$66</f>
        <v>0</v>
      </c>
      <c r="H167" s="773">
        <f>Unitflowchart!$S68*(AllocationPrice!$H$33/100)/Unitflowchart!$S$357*(ShipTransport!V12)*Unitflowchart!$S$66</f>
        <v>0</v>
      </c>
      <c r="I167" s="744">
        <f>(H167/H$347)*100</f>
        <v>0</v>
      </c>
      <c r="J167" s="774">
        <f>Unitflowchart!$S$51*(AllocationPrice!$H$33/100)/Unitflowchart!$S$357*(ShipTransport!W12)*Unitflowchart!$S$66</f>
        <v>0</v>
      </c>
      <c r="K167" s="773">
        <f>Unitflowchart!$S$51*(AllocationPrice!$H$33/100)/Unitflowchart!$S$357*(ShipTransport!AB12)*Unitflowchart!$S$66</f>
        <v>0</v>
      </c>
      <c r="L167" s="744">
        <f>(K167/K$347)*100</f>
        <v>0</v>
      </c>
      <c r="M167" s="774">
        <f>Unitflowchart!$S$51*(AllocationPrice!$H$33/100)/Unitflowchart!$S$357*(ShipTransport!AC12)*Unitflowchart!$S$66</f>
        <v>0</v>
      </c>
      <c r="N167" s="771">
        <f>E167+(GlobalWarmingPotentials!$B$11*H167)+(GlobalWarmingPotentials!$C$11*K167)</f>
        <v>0</v>
      </c>
      <c r="O167" s="744">
        <f>(N167/N$347)*100</f>
        <v>0</v>
      </c>
      <c r="P167" s="776">
        <f>SQRT((G167^2)+((GlobalWarmingPotentials!$B$11*J167)^2)+((GlobalWarmingPotentials!$C$11*M167)^2))</f>
        <v>0</v>
      </c>
    </row>
    <row r="168" spans="1:17" s="208" customFormat="1" x14ac:dyDescent="0.25">
      <c r="A168" t="str">
        <f>ShipTransport!A13</f>
        <v xml:space="preserve"> - Ship Maintenance</v>
      </c>
      <c r="B168" s="771">
        <f>Unitflowchart!$S$51*(AllocationPrice!$H$33/100)/Unitflowchart!$S$357*(ShipTransport!J13)*Unitflowchart!$S$66</f>
        <v>0</v>
      </c>
      <c r="C168" s="744">
        <f>(B168/B$347)*100</f>
        <v>0</v>
      </c>
      <c r="D168" s="772">
        <f>Unitflowchart!$S$51*(AllocationPrice!$H$33/100)/Unitflowchart!$S$357*(ShipTransport!K13)*Unitflowchart!$S$66</f>
        <v>0</v>
      </c>
      <c r="E168" s="771">
        <f>Unitflowchart!$S$51*(AllocationPrice!$H$33/100)/Unitflowchart!$S$357*(ShipTransport!P13)*Unitflowchart!$S$66</f>
        <v>0</v>
      </c>
      <c r="F168" s="744">
        <v>2</v>
      </c>
      <c r="G168" s="772">
        <f>Unitflowchart!$S$51*(AllocationPrice!$H$33/100)/Unitflowchart!$S$357*(ShipTransport!Q13)*Unitflowchart!$S$66</f>
        <v>0</v>
      </c>
      <c r="H168" s="773">
        <f>Unitflowchart!$S69*(AllocationPrice!$H$33/100)/Unitflowchart!$S$357*(ShipTransport!V13)*Unitflowchart!$S$66</f>
        <v>0</v>
      </c>
      <c r="I168" s="744">
        <f>(H168/H$347)*100</f>
        <v>0</v>
      </c>
      <c r="J168" s="774">
        <f>Unitflowchart!$S$51*(AllocationPrice!$H$33/100)/Unitflowchart!$S$357*(ShipTransport!W13)*Unitflowchart!$S$66</f>
        <v>0</v>
      </c>
      <c r="K168" s="773">
        <f>Unitflowchart!$S$51*(AllocationPrice!$H$33/100)/Unitflowchart!$S$357*(ShipTransport!AB13)*Unitflowchart!$S$66</f>
        <v>0</v>
      </c>
      <c r="L168" s="744">
        <f>(K168/K$347)*100</f>
        <v>0</v>
      </c>
      <c r="M168" s="774">
        <f>Unitflowchart!$S$51*(AllocationPrice!$H$33/100)/Unitflowchart!$S$357*(ShipTransport!AC13)*Unitflowchart!$S$66</f>
        <v>0</v>
      </c>
      <c r="N168" s="771">
        <f>E168+(GlobalWarmingPotentials!$B$11*H168)+(GlobalWarmingPotentials!$C$11*K168)</f>
        <v>0</v>
      </c>
      <c r="O168" s="744">
        <f>(N168/N$347)*100</f>
        <v>0</v>
      </c>
      <c r="P168" s="776">
        <f>SQRT((G168^2)+((GlobalWarmingPotentials!$B$11*J168)^2)+((GlobalWarmingPotentials!$C$11*M168)^2))</f>
        <v>0</v>
      </c>
    </row>
    <row r="169" spans="1:17" s="208" customFormat="1" x14ac:dyDescent="0.25">
      <c r="A169" s="42"/>
      <c r="B169" s="746"/>
      <c r="C169" s="744"/>
      <c r="D169" s="759"/>
      <c r="E169" s="746"/>
      <c r="F169" s="744"/>
      <c r="G169" s="759"/>
      <c r="H169" s="763"/>
      <c r="I169" s="744"/>
      <c r="J169" s="764"/>
      <c r="K169" s="763"/>
      <c r="L169" s="744"/>
      <c r="M169" s="764"/>
      <c r="N169" s="746"/>
      <c r="O169" s="744"/>
      <c r="P169" s="768"/>
    </row>
    <row r="170" spans="1:17" s="208" customFormat="1" x14ac:dyDescent="0.25">
      <c r="A170" s="699" t="s">
        <v>861</v>
      </c>
      <c r="B170" s="777">
        <f>Unitflowchart!$S$51*(AllocationPrice!$H$33/100)/Unitflowchart!$S$357*(ShipTransport!J15)*Unitflowchart!$S$66</f>
        <v>0</v>
      </c>
      <c r="C170" s="769">
        <f>(B170/B$347)*100</f>
        <v>0</v>
      </c>
      <c r="D170" s="778">
        <f>Unitflowchart!$S$51*(AllocationPrice!$H$33/100)/Unitflowchart!$S$357*(ShipTransport!K15)*Unitflowchart!$S$66</f>
        <v>0</v>
      </c>
      <c r="E170" s="777">
        <f>Unitflowchart!$S$51*(AllocationPrice!$H$33/100)/Unitflowchart!$S$357*(ShipTransport!P15)*Unitflowchart!$S$66</f>
        <v>0</v>
      </c>
      <c r="F170" s="769">
        <v>4</v>
      </c>
      <c r="G170" s="778">
        <f>Unitflowchart!$S$51*(AllocationPrice!$H$33/100)/Unitflowchart!$S$357*(ShipTransport!Q15)*Unitflowchart!$S$66</f>
        <v>0</v>
      </c>
      <c r="H170" s="779">
        <f>Unitflowchart!$S71*(AllocationPrice!$H$33/100)/Unitflowchart!$S$357*(ShipTransport!V15)*Unitflowchart!$S$66</f>
        <v>0</v>
      </c>
      <c r="I170" s="769">
        <f>(H170/H$347)*100</f>
        <v>0</v>
      </c>
      <c r="J170" s="780">
        <f>Unitflowchart!$S$51*(AllocationPrice!$H$33/100)/Unitflowchart!$S$357*(ShipTransport!W15)*Unitflowchart!$S$66</f>
        <v>0</v>
      </c>
      <c r="K170" s="779">
        <f>Unitflowchart!$S$51*(AllocationPrice!$H$33/100)/Unitflowchart!$S$357*(ShipTransport!AB15)*Unitflowchart!$S$66</f>
        <v>0</v>
      </c>
      <c r="L170" s="769">
        <f>(K170/K$347)*100</f>
        <v>0</v>
      </c>
      <c r="M170" s="780">
        <f>Unitflowchart!$S$51*(AllocationPrice!$H$33/100)/Unitflowchart!$S$357*(ShipTransport!AC15)*Unitflowchart!$S$66</f>
        <v>0</v>
      </c>
      <c r="N170" s="777">
        <f>E170+(GlobalWarmingPotentials!$B$11*H170)+(GlobalWarmingPotentials!$C$11*K170)</f>
        <v>0</v>
      </c>
      <c r="O170" s="769">
        <f>(N170/N$347)*100</f>
        <v>0</v>
      </c>
      <c r="P170" s="781">
        <f>SQRT((G170^2)+((GlobalWarmingPotentials!$B$11*J170)^2)+((GlobalWarmingPotentials!$C$11*M170)^2))</f>
        <v>0</v>
      </c>
    </row>
    <row r="171" spans="1:17" s="358" customFormat="1" x14ac:dyDescent="0.25">
      <c r="A171" s="757"/>
      <c r="B171" s="760"/>
      <c r="C171" s="754"/>
      <c r="D171" s="761"/>
      <c r="E171" s="760"/>
      <c r="F171" s="754"/>
      <c r="G171" s="761"/>
      <c r="H171" s="765"/>
      <c r="I171" s="754"/>
      <c r="J171" s="766"/>
      <c r="K171" s="765"/>
      <c r="L171" s="754"/>
      <c r="M171" s="766"/>
      <c r="N171" s="760"/>
      <c r="O171" s="754"/>
      <c r="P171" s="761"/>
    </row>
    <row r="172" spans="1:17" x14ac:dyDescent="0.25">
      <c r="A172" s="20" t="s">
        <v>845</v>
      </c>
      <c r="B172" s="748">
        <f>B146+B154+B162+B170</f>
        <v>0</v>
      </c>
      <c r="C172" s="749">
        <f>(B172/B$347)*100</f>
        <v>0</v>
      </c>
      <c r="D172" s="750">
        <f>SQRT((D146^2)+(D154^2)+(D162^2)+(D170^2))</f>
        <v>0</v>
      </c>
      <c r="E172" s="748">
        <f t="shared" ref="E172" si="32">E146+E154+E162+E170</f>
        <v>0</v>
      </c>
      <c r="F172" s="749">
        <f>(E172/E$347)*100</f>
        <v>0</v>
      </c>
      <c r="G172" s="750">
        <f t="shared" ref="G172" si="33">SQRT((G146^2)+(G154^2)+(G162^2)+(G170^2))</f>
        <v>0</v>
      </c>
      <c r="H172" s="751">
        <f t="shared" ref="H172" si="34">H146+H154+H162+H170</f>
        <v>0</v>
      </c>
      <c r="I172" s="749">
        <f>(H172/H$347)*100</f>
        <v>0</v>
      </c>
      <c r="J172" s="752">
        <f t="shared" ref="J172" si="35">SQRT((J146^2)+(J154^2)+(J162^2)+(J170^2))</f>
        <v>0</v>
      </c>
      <c r="K172" s="751">
        <f t="shared" ref="K172" si="36">K146+K154+K162+K170</f>
        <v>0</v>
      </c>
      <c r="L172" s="749">
        <f>(K172/K$347)*100</f>
        <v>0</v>
      </c>
      <c r="M172" s="752">
        <f t="shared" ref="M172" si="37">SQRT((M146^2)+(M154^2)+(M162^2)+(M170^2))</f>
        <v>0</v>
      </c>
      <c r="N172" s="748">
        <f t="shared" ref="N172" si="38">N146+N154+N162+N170</f>
        <v>0</v>
      </c>
      <c r="O172" s="749">
        <f>(N172/N$347)*100</f>
        <v>0</v>
      </c>
      <c r="P172" s="750">
        <f t="shared" ref="P172" si="39">SQRT((P146^2)+(P154^2)+(P162^2)+(P170^2))</f>
        <v>0</v>
      </c>
      <c r="Q172" s="29"/>
    </row>
    <row r="173" spans="1:17" s="208" customFormat="1" x14ac:dyDescent="0.25">
      <c r="A173" s="28"/>
      <c r="B173" s="746"/>
      <c r="C173" s="744"/>
      <c r="D173" s="759"/>
      <c r="E173" s="746"/>
      <c r="F173" s="744"/>
      <c r="G173" s="759"/>
      <c r="H173" s="763"/>
      <c r="I173" s="744"/>
      <c r="J173" s="764"/>
      <c r="K173" s="763"/>
      <c r="L173" s="744"/>
      <c r="M173" s="764"/>
      <c r="N173" s="746"/>
      <c r="O173" s="744"/>
      <c r="P173" s="768"/>
    </row>
    <row r="174" spans="1:17" s="208" customFormat="1" x14ac:dyDescent="0.25">
      <c r="A174" s="1512" t="s">
        <v>1918</v>
      </c>
      <c r="B174" s="746"/>
      <c r="C174" s="744"/>
      <c r="D174" s="759"/>
      <c r="E174" s="746"/>
      <c r="F174" s="744"/>
      <c r="G174" s="759"/>
      <c r="H174" s="763"/>
      <c r="I174" s="744"/>
      <c r="J174" s="764"/>
      <c r="K174" s="763"/>
      <c r="L174" s="744"/>
      <c r="M174" s="764"/>
      <c r="N174" s="746"/>
      <c r="O174" s="744"/>
      <c r="P174" s="768"/>
    </row>
    <row r="175" spans="1:17" s="208" customFormat="1" x14ac:dyDescent="0.25">
      <c r="A175" s="1517"/>
      <c r="B175" s="746"/>
      <c r="C175" s="744"/>
      <c r="D175" s="759"/>
      <c r="E175" s="746"/>
      <c r="F175" s="744"/>
      <c r="G175" s="759"/>
      <c r="H175" s="763"/>
      <c r="I175" s="744"/>
      <c r="J175" s="764"/>
      <c r="K175" s="763"/>
      <c r="L175" s="744"/>
      <c r="M175" s="764"/>
      <c r="N175" s="746"/>
      <c r="O175" s="744"/>
      <c r="P175" s="768"/>
    </row>
    <row r="176" spans="1:17" s="208" customFormat="1" x14ac:dyDescent="0.25">
      <c r="A176" s="1518" t="str">
        <f>Milling!A18</f>
        <v>Electricity Input</v>
      </c>
      <c r="B176" s="715">
        <f>(AllocationPrice!$H$33/100)*Milling!J18*(Unitflowchart!$S$286/Unitflowchart!$S$357)</f>
        <v>0</v>
      </c>
      <c r="C176" s="25">
        <f>(B176/B$347)*100</f>
        <v>0</v>
      </c>
      <c r="D176" s="481">
        <f>(AllocationPrice!$H$33/100)*Milling!K18*(Unitflowchart!$S$286/Unitflowchart!$S$357)</f>
        <v>0</v>
      </c>
      <c r="E176" s="715">
        <f>(AllocationPrice!$H$33/100)*Milling!P18*(Unitflowchart!$S$286/Unitflowchart!$S$357)</f>
        <v>0</v>
      </c>
      <c r="F176" s="25">
        <f>(E176/E$347)*100</f>
        <v>0</v>
      </c>
      <c r="G176" s="715">
        <f>(AllocationPrice!$H$33/100)*Milling!Q18*(Unitflowchart!$S$286/Unitflowchart!$S$357)</f>
        <v>0</v>
      </c>
      <c r="H176" s="715">
        <f>(AllocationPrice!$H$33/100)*Milling!V18*(Unitflowchart!$S$286/Unitflowchart!$S$357)</f>
        <v>4.9893379868219297E-3</v>
      </c>
      <c r="I176" s="25">
        <f>(H176/H$347)*100</f>
        <v>0.27912553591362649</v>
      </c>
      <c r="J176" s="481">
        <f>(AllocationPrice!$H$33/100)*Milling!W18*(Unitflowchart!$S$286/Unitflowchart!$S$357)</f>
        <v>0</v>
      </c>
      <c r="K176" s="715">
        <f>(AllocationPrice!$H$33/100)*Milling!AB18*(Unitflowchart!$S$286/Unitflowchart!$S$357)</f>
        <v>1.4968013960465786E-3</v>
      </c>
      <c r="L176" s="25">
        <f>(K176/K$347)*100</f>
        <v>8.2399818806171962E-2</v>
      </c>
      <c r="M176" s="481">
        <f>(AllocationPrice!$H$33/100)*Milling!AC18*(Unitflowchart!$S$286/Unitflowchart!$S$357)</f>
        <v>0</v>
      </c>
      <c r="N176" s="711">
        <f>E176+(GlobalWarmingPotentials!$B$11*H176)+(GlobalWarmingPotentials!$C$11*K176)</f>
        <v>0.55780798692669165</v>
      </c>
      <c r="O176" s="25">
        <f>(N176/N$347)*100</f>
        <v>3.142600432636522E-2</v>
      </c>
      <c r="P176" s="740">
        <f>SQRT((G176^2)+((GlobalWarmingPotentials!$B$11*J176)^2)+((GlobalWarmingPotentials!$C$11*M176)^2))</f>
        <v>0</v>
      </c>
    </row>
    <row r="177" spans="1:17" s="208" customFormat="1" x14ac:dyDescent="0.25">
      <c r="A177" s="1517"/>
      <c r="B177" s="746"/>
      <c r="C177" s="744"/>
      <c r="D177" s="759"/>
      <c r="E177" s="746"/>
      <c r="F177" s="744"/>
      <c r="G177" s="759"/>
      <c r="H177" s="763"/>
      <c r="I177" s="744"/>
      <c r="J177" s="764"/>
      <c r="K177" s="763"/>
      <c r="L177" s="744"/>
      <c r="M177" s="764"/>
      <c r="N177" s="746"/>
      <c r="O177" s="744"/>
      <c r="P177" s="768"/>
    </row>
    <row r="178" spans="1:17" s="154" customFormat="1" x14ac:dyDescent="0.25">
      <c r="A178" s="1513" t="s">
        <v>1919</v>
      </c>
      <c r="B178" s="714">
        <f>(AllocationPrice!$H$33/100)*Milling!J20*(Unitflowchart!$S$286/Unitflowchart!$S$357)</f>
        <v>0</v>
      </c>
      <c r="C178" s="14">
        <f>(B178/B$347)*100</f>
        <v>0</v>
      </c>
      <c r="D178" s="722">
        <f>(AllocationPrice!$H$33/100)*Milling!K20*(Unitflowchart!$S$286/Unitflowchart!$S$357)</f>
        <v>0</v>
      </c>
      <c r="E178" s="714">
        <f>(AllocationPrice!$H$33/100)*Milling!P20*(Unitflowchart!$S$286/Unitflowchart!$S$357)</f>
        <v>0</v>
      </c>
      <c r="F178" s="14">
        <f>(E178/E$347)*100</f>
        <v>0</v>
      </c>
      <c r="G178" s="714">
        <f>(AllocationPrice!$H$33/100)*Milling!Q20*(Unitflowchart!$S$286/Unitflowchart!$S$357)</f>
        <v>0</v>
      </c>
      <c r="H178" s="714">
        <f>(AllocationPrice!$H$33/100)*Milling!V20*(Unitflowchart!$S$286/Unitflowchart!$S$357)</f>
        <v>4.9893379868219297E-3</v>
      </c>
      <c r="I178" s="14">
        <f>(H178/H$347)*100</f>
        <v>0.27912553591362649</v>
      </c>
      <c r="J178" s="714">
        <f>(AllocationPrice!$H$33/100)*Milling!W20*(Unitflowchart!$S$286/Unitflowchart!$S$357)</f>
        <v>0</v>
      </c>
      <c r="K178" s="714">
        <f>(AllocationPrice!$H$33/100)*Milling!AB20*(Unitflowchart!$S$286/Unitflowchart!$S$357)</f>
        <v>1.4968013960465786E-3</v>
      </c>
      <c r="L178" s="14">
        <f>(K178/K$347)*100</f>
        <v>8.2399818806171962E-2</v>
      </c>
      <c r="M178" s="924">
        <f>(AllocationPrice!$H$33/100)*Milling!AC20*(Unitflowchart!$S$286/Unitflowchart!$S$357)</f>
        <v>0</v>
      </c>
      <c r="N178" s="714">
        <f>E178+(GlobalWarmingPotentials!$B$11*H178)+(GlobalWarmingPotentials!$C$11*K178)</f>
        <v>0.55780798692669165</v>
      </c>
      <c r="O178" s="14">
        <f>(N178/N$347)*100</f>
        <v>3.142600432636522E-2</v>
      </c>
      <c r="P178" s="741">
        <f>SQRT((G178^2)+((GlobalWarmingPotentials!$B$11*J178)^2)+((GlobalWarmingPotentials!$C$11*M178)^2))</f>
        <v>0</v>
      </c>
    </row>
    <row r="179" spans="1:17" x14ac:dyDescent="0.25">
      <c r="A179" s="219"/>
      <c r="B179" s="712"/>
      <c r="D179" s="718"/>
      <c r="E179" s="712"/>
      <c r="G179" s="718"/>
      <c r="H179" s="30"/>
      <c r="J179" s="708"/>
      <c r="K179" s="30"/>
      <c r="M179" s="708"/>
      <c r="N179" s="712"/>
      <c r="P179" s="718"/>
      <c r="Q179" s="29"/>
    </row>
    <row r="180" spans="1:17" x14ac:dyDescent="0.25">
      <c r="A180" s="817" t="s">
        <v>1920</v>
      </c>
      <c r="B180" s="712"/>
      <c r="D180" s="718"/>
      <c r="E180" s="712"/>
      <c r="G180" s="718"/>
      <c r="H180" s="30"/>
      <c r="J180" s="708"/>
      <c r="K180" s="30"/>
      <c r="M180" s="708"/>
      <c r="N180" s="712"/>
      <c r="P180" s="718"/>
      <c r="Q180" s="29"/>
    </row>
    <row r="181" spans="1:17" x14ac:dyDescent="0.25">
      <c r="A181" s="219"/>
      <c r="B181" s="712"/>
      <c r="D181" s="718"/>
      <c r="E181" s="712"/>
      <c r="G181" s="718"/>
      <c r="H181" s="30"/>
      <c r="J181" s="708"/>
      <c r="K181" s="30"/>
      <c r="M181" s="708"/>
      <c r="N181" s="712"/>
      <c r="P181" s="718"/>
      <c r="Q181" s="29"/>
    </row>
    <row r="182" spans="1:17" x14ac:dyDescent="0.25">
      <c r="A182" s="219" t="str">
        <f>'Pre-TreatHydrolysis'!A29</f>
        <v>Heat Input</v>
      </c>
      <c r="B182" s="715">
        <f>(AllocationPrice!$H$33/100)*'Pre-TreatHydrolysis'!J29*(Unitflowchart!$S$286/Unitflowchart!$S$357)</f>
        <v>0</v>
      </c>
      <c r="C182" s="25">
        <f t="shared" ref="C182:C193" si="40">(B182/B$347)*100</f>
        <v>0</v>
      </c>
      <c r="D182" s="355">
        <f>(AllocationPrice!$H$33/100)*'Pre-TreatHydrolysis'!K29*(Unitflowchart!$S$286/Unitflowchart!$S$357)</f>
        <v>0</v>
      </c>
      <c r="E182" s="715">
        <f>(AllocationPrice!$H$33/100)*'Pre-TreatHydrolysis'!P29*(Unitflowchart!$S$286/Unitflowchart!$S$357)</f>
        <v>0</v>
      </c>
      <c r="F182" s="25">
        <f t="shared" ref="F182:F193" si="41">(E182/E$347)*100</f>
        <v>0</v>
      </c>
      <c r="G182" s="355">
        <f>(AllocationPrice!$H$33/100)*'Pre-TreatHydrolysis'!Q29*(Unitflowchart!$S$286/Unitflowchart!$S$357)</f>
        <v>0</v>
      </c>
      <c r="H182" s="730">
        <f>(AllocationPrice!$H$33/100)*'Pre-TreatHydrolysis'!V29*(Unitflowchart!$S$286/Unitflowchart!$S$357)</f>
        <v>4.2299481139922218E-3</v>
      </c>
      <c r="I182" s="25">
        <f t="shared" ref="I182:I193" si="42">(H182/H$347)*100</f>
        <v>0.23664192270064613</v>
      </c>
      <c r="J182" s="733">
        <f>(AllocationPrice!$H$33/100)*'Pre-TreatHydrolysis'!W29*(Unitflowchart!$S$286/Unitflowchart!$S$357)</f>
        <v>0</v>
      </c>
      <c r="K182" s="730">
        <f>(AllocationPrice!$H$33/100)*'Pre-TreatHydrolysis'!AB29*(Unitflowchart!$S$286/Unitflowchart!$S$357)</f>
        <v>1.2689844341976667E-3</v>
      </c>
      <c r="L182" s="25">
        <f t="shared" ref="L182:L193" si="43">(K182/K$347)*100</f>
        <v>6.9858357776736379E-2</v>
      </c>
      <c r="M182" s="733">
        <f>(AllocationPrice!$H$33/100)*'Pre-TreatHydrolysis'!AC29*(Unitflowchart!$S$286/Unitflowchart!$S$357)</f>
        <v>0</v>
      </c>
      <c r="N182" s="711">
        <f>E182+(GlobalWarmingPotentials!$B$11*H182)+(GlobalWarmingPotentials!$C$11*K182)</f>
        <v>0.47290819914433041</v>
      </c>
      <c r="O182" s="25">
        <f t="shared" ref="O182:O193" si="44">(N182/N$347)*100</f>
        <v>2.6642886908387814E-2</v>
      </c>
      <c r="P182" s="740">
        <f>SQRT((G182^2)+((GlobalWarmingPotentials!$B$11*J182)^2)+((GlobalWarmingPotentials!$C$11*M182)^2))</f>
        <v>0</v>
      </c>
      <c r="Q182" s="29"/>
    </row>
    <row r="183" spans="1:17" x14ac:dyDescent="0.25">
      <c r="A183" s="219" t="str">
        <f>'Pre-TreatHydrolysis'!A30</f>
        <v>Electricity Input</v>
      </c>
      <c r="B183" s="715">
        <f>(AllocationPrice!$H$33/100)*'Pre-TreatHydrolysis'!J30*(Unitflowchart!$S$286/Unitflowchart!$S$357)</f>
        <v>0</v>
      </c>
      <c r="C183" s="25">
        <f t="shared" si="40"/>
        <v>0</v>
      </c>
      <c r="D183" s="355">
        <f>(AllocationPrice!$H$33/100)*'Pre-TreatHydrolysis'!K30*(Unitflowchart!$S$286/Unitflowchart!$S$357)</f>
        <v>0</v>
      </c>
      <c r="E183" s="715">
        <f>(AllocationPrice!$H$33/100)*'Pre-TreatHydrolysis'!P30*(Unitflowchart!$S$286/Unitflowchart!$S$357)</f>
        <v>0</v>
      </c>
      <c r="F183" s="25">
        <f t="shared" si="41"/>
        <v>0</v>
      </c>
      <c r="G183" s="355">
        <f>(AllocationPrice!$H$33/100)*'Pre-TreatHydrolysis'!Q30*(Unitflowchart!$S$286/Unitflowchart!$S$357)</f>
        <v>0</v>
      </c>
      <c r="H183" s="730">
        <f>(AllocationPrice!$H$33/100)*'Pre-TreatHydrolysis'!V30*(Unitflowchart!$S$286/Unitflowchart!$S$357)</f>
        <v>3.215407285887064E-2</v>
      </c>
      <c r="I183" s="25">
        <f t="shared" si="42"/>
        <v>1.7988404157512086</v>
      </c>
      <c r="J183" s="733">
        <f>(AllocationPrice!$H$33/100)*'Pre-TreatHydrolysis'!W30*(Unitflowchart!$S$286/Unitflowchart!$S$357)</f>
        <v>0</v>
      </c>
      <c r="K183" s="730">
        <f>(AllocationPrice!$H$33/100)*'Pre-TreatHydrolysis'!AB30*(Unitflowchart!$S$286/Unitflowchart!$S$357)</f>
        <v>9.6462218576611903E-3</v>
      </c>
      <c r="L183" s="25">
        <f t="shared" si="43"/>
        <v>0.53103032595694</v>
      </c>
      <c r="M183" s="733">
        <f>(AllocationPrice!$H$33/100)*'Pre-TreatHydrolysis'!AC30*(Unitflowchart!$S$286/Unitflowchart!$S$357)</f>
        <v>0</v>
      </c>
      <c r="N183" s="711">
        <f>E183+(GlobalWarmingPotentials!$B$11*H183)+(GlobalWarmingPotentials!$C$11*K183)</f>
        <v>3.5948253456217367</v>
      </c>
      <c r="O183" s="25">
        <f t="shared" si="44"/>
        <v>0.20252667497011467</v>
      </c>
      <c r="P183" s="740">
        <f>SQRT((G183^2)+((GlobalWarmingPotentials!$B$11*J183)^2)+((GlobalWarmingPotentials!$C$11*M183)^2))</f>
        <v>0</v>
      </c>
      <c r="Q183" s="29"/>
    </row>
    <row r="184" spans="1:17" x14ac:dyDescent="0.25">
      <c r="A184" s="219" t="str">
        <f>'Pre-TreatHydrolysis'!A31</f>
        <v>Sulphuric Acid (93%) Input</v>
      </c>
      <c r="B184" s="715">
        <f>(AllocationPrice!$H$33/100)*'Pre-TreatHydrolysis'!J31*(Unitflowchart!$S$286/Unitflowchart!$S$357)</f>
        <v>408.8478277403853</v>
      </c>
      <c r="C184" s="25">
        <f t="shared" si="40"/>
        <v>2.1484469125798289</v>
      </c>
      <c r="D184" s="355">
        <f>(AllocationPrice!$H$33/100)*'Pre-TreatHydrolysis'!K31*(Unitflowchart!$S$286/Unitflowchart!$S$357)</f>
        <v>459.9538062079335</v>
      </c>
      <c r="E184" s="715">
        <f>(AllocationPrice!$H$33/100)*'Pre-TreatHydrolysis'!P31*(Unitflowchart!$S$286/Unitflowchart!$S$357)</f>
        <v>22.145924002604204</v>
      </c>
      <c r="F184" s="25">
        <f t="shared" si="41"/>
        <v>1.8513729930997784</v>
      </c>
      <c r="G184" s="355">
        <f>(AllocationPrice!$H$33/100)*'Pre-TreatHydrolysis'!Q31*(Unitflowchart!$S$286/Unitflowchart!$S$357)</f>
        <v>27.256521849359018</v>
      </c>
      <c r="H184" s="730">
        <f>(AllocationPrice!$H$33/100)*'Pre-TreatHydrolysis'!V31*(Unitflowchart!$S$286/Unitflowchart!$S$357)</f>
        <v>4.5995380620793343E-2</v>
      </c>
      <c r="I184" s="25">
        <f t="shared" si="42"/>
        <v>2.5731841176604533</v>
      </c>
      <c r="J184" s="733">
        <f>(AllocationPrice!$H$33/100)*'Pre-TreatHydrolysis'!W31*(Unitflowchart!$S$286/Unitflowchart!$S$357)</f>
        <v>5.1105978467548156E-2</v>
      </c>
      <c r="K184" s="730">
        <f>(AllocationPrice!$H$33/100)*'Pre-TreatHydrolysis'!AB31*(Unitflowchart!$S$286/Unitflowchart!$S$357)</f>
        <v>3.4070652311698774E-5</v>
      </c>
      <c r="L184" s="25">
        <f t="shared" si="43"/>
        <v>1.8756099403081392E-3</v>
      </c>
      <c r="M184" s="733">
        <f>(AllocationPrice!$H$33/100)*'Pre-TreatHydrolysis'!AC31*(Unitflowchart!$S$286/Unitflowchart!$S$357)</f>
        <v>5.1105978467548161E-5</v>
      </c>
      <c r="N184" s="711">
        <f>E184+(GlobalWarmingPotentials!$B$11*H184)+(GlobalWarmingPotentials!$C$11*K184)</f>
        <v>23.213902669966714</v>
      </c>
      <c r="O184" s="25">
        <f t="shared" si="44"/>
        <v>1.3078339192623827</v>
      </c>
      <c r="P184" s="740">
        <f>SQRT((G184^2)+((GlobalWarmingPotentials!$B$11*J184)^2)+((GlobalWarmingPotentials!$C$11*M184)^2))</f>
        <v>27.281859641334545</v>
      </c>
      <c r="Q184" s="29"/>
    </row>
    <row r="185" spans="1:17" x14ac:dyDescent="0.25">
      <c r="A185" s="219" t="str">
        <f>'Pre-TreatHydrolysis'!A32</f>
        <v>Caustic Soda Input</v>
      </c>
      <c r="B185" s="715">
        <f>(AllocationPrice!$H$33/100)*'Pre-TreatHydrolysis'!J32*(Unitflowchart!$S$286/Unitflowchart!$S$357)</f>
        <v>0</v>
      </c>
      <c r="C185" s="25">
        <f t="shared" si="40"/>
        <v>0</v>
      </c>
      <c r="D185" s="355">
        <f>(AllocationPrice!$H$33/100)*'Pre-TreatHydrolysis'!K32*(Unitflowchart!$S$286/Unitflowchart!$S$357)</f>
        <v>0</v>
      </c>
      <c r="E185" s="715">
        <f>(AllocationPrice!$H$33/100)*'Pre-TreatHydrolysis'!P32*(Unitflowchart!$S$286/Unitflowchart!$S$357)</f>
        <v>0</v>
      </c>
      <c r="F185" s="25">
        <f t="shared" si="41"/>
        <v>0</v>
      </c>
      <c r="G185" s="355">
        <f>(AllocationPrice!$H$33/100)*'Pre-TreatHydrolysis'!Q32*(Unitflowchart!$S$286/Unitflowchart!$S$357)</f>
        <v>0</v>
      </c>
      <c r="H185" s="730">
        <f>(AllocationPrice!$H$33/100)*'Pre-TreatHydrolysis'!V32*(Unitflowchart!$S$286/Unitflowchart!$S$357)</f>
        <v>0</v>
      </c>
      <c r="I185" s="25">
        <f t="shared" si="42"/>
        <v>0</v>
      </c>
      <c r="J185" s="733">
        <f>(AllocationPrice!$H$33/100)*'Pre-TreatHydrolysis'!W32*(Unitflowchart!$S$286/Unitflowchart!$S$357)</f>
        <v>0</v>
      </c>
      <c r="K185" s="730">
        <f>(AllocationPrice!$H$33/100)*'Pre-TreatHydrolysis'!AB32*(Unitflowchart!$S$286/Unitflowchart!$S$357)</f>
        <v>0</v>
      </c>
      <c r="L185" s="25">
        <f t="shared" si="43"/>
        <v>0</v>
      </c>
      <c r="M185" s="733">
        <f>(AllocationPrice!$H$33/100)*'Pre-TreatHydrolysis'!AC32*(Unitflowchart!$S$286/Unitflowchart!$S$357)</f>
        <v>0</v>
      </c>
      <c r="N185" s="711">
        <f>E185+(GlobalWarmingPotentials!$B$11*H185)+(GlobalWarmingPotentials!$C$11*K185)</f>
        <v>0</v>
      </c>
      <c r="O185" s="25">
        <f t="shared" si="44"/>
        <v>0</v>
      </c>
      <c r="P185" s="740">
        <f>SQRT((G185^2)+((GlobalWarmingPotentials!$B$11*J185)^2)+((GlobalWarmingPotentials!$C$11*M185)^2))</f>
        <v>0</v>
      </c>
      <c r="Q185" s="29"/>
    </row>
    <row r="186" spans="1:17" x14ac:dyDescent="0.25">
      <c r="A186" s="219" t="str">
        <f>'Pre-TreatHydrolysis'!A33</f>
        <v>Water Input</v>
      </c>
      <c r="B186" s="715">
        <f>(AllocationPrice!$H$33/100)*'Pre-TreatHydrolysis'!J33*(Unitflowchart!$S$286/Unitflowchart!$S$357)</f>
        <v>0</v>
      </c>
      <c r="C186" s="25">
        <f t="shared" si="40"/>
        <v>0</v>
      </c>
      <c r="D186" s="355">
        <f>(AllocationPrice!$H$33/100)*'Pre-TreatHydrolysis'!K33*(Unitflowchart!$S$286/Unitflowchart!$S$357)</f>
        <v>0</v>
      </c>
      <c r="E186" s="715">
        <f>(AllocationPrice!$H$33/100)*'Pre-TreatHydrolysis'!P33*(Unitflowchart!$S$286/Unitflowchart!$S$357)</f>
        <v>0</v>
      </c>
      <c r="F186" s="25">
        <f t="shared" si="41"/>
        <v>0</v>
      </c>
      <c r="G186" s="355">
        <f>(AllocationPrice!$H$33/100)*'Pre-TreatHydrolysis'!Q33*(Unitflowchart!$S$286/Unitflowchart!$S$357)</f>
        <v>0</v>
      </c>
      <c r="H186" s="730">
        <f>(AllocationPrice!$H$33/100)*'Pre-TreatHydrolysis'!V33*(Unitflowchart!$S$286/Unitflowchart!$S$357)</f>
        <v>0</v>
      </c>
      <c r="I186" s="25">
        <f t="shared" si="42"/>
        <v>0</v>
      </c>
      <c r="J186" s="733">
        <f>(AllocationPrice!$H$33/100)*'Pre-TreatHydrolysis'!W33*(Unitflowchart!$S$286/Unitflowchart!$S$357)</f>
        <v>0</v>
      </c>
      <c r="K186" s="730">
        <f>(AllocationPrice!$H$33/100)*'Pre-TreatHydrolysis'!AB33*(Unitflowchart!$S$286/Unitflowchart!$S$357)</f>
        <v>0</v>
      </c>
      <c r="L186" s="25">
        <f t="shared" si="43"/>
        <v>0</v>
      </c>
      <c r="M186" s="733">
        <f>(AllocationPrice!$H$33/100)*'Pre-TreatHydrolysis'!AC33*(Unitflowchart!$S$286/Unitflowchart!$S$357)</f>
        <v>0</v>
      </c>
      <c r="N186" s="711">
        <f>E186+(GlobalWarmingPotentials!$B$11*H186)+(GlobalWarmingPotentials!$C$11*K186)</f>
        <v>0</v>
      </c>
      <c r="O186" s="25">
        <f t="shared" si="44"/>
        <v>0</v>
      </c>
      <c r="P186" s="740">
        <f>SQRT((G186^2)+((GlobalWarmingPotentials!$B$11*J186)^2)+((GlobalWarmingPotentials!$C$11*M186)^2))</f>
        <v>0</v>
      </c>
      <c r="Q186" s="29"/>
    </row>
    <row r="187" spans="1:17" x14ac:dyDescent="0.25">
      <c r="A187" s="219" t="str">
        <f>'Pre-TreatHydrolysis'!A34</f>
        <v>Ammonia Input</v>
      </c>
      <c r="B187" s="715">
        <f>(AllocationPrice!$H$33/100)*'Pre-TreatHydrolysis'!J34*(Unitflowchart!$S$286/Unitflowchart!$S$357)</f>
        <v>3196.6288492446788</v>
      </c>
      <c r="C187" s="25">
        <f t="shared" si="40"/>
        <v>16.797906007670719</v>
      </c>
      <c r="D187" s="355">
        <f>(AllocationPrice!$H$33/100)*'Pre-TreatHydrolysis'!K34*(Unitflowchart!$S$286/Unitflowchart!$S$357)</f>
        <v>511.05978467548158</v>
      </c>
      <c r="E187" s="715">
        <f>(AllocationPrice!$H$33/100)*'Pre-TreatHydrolysis'!P34*(Unitflowchart!$S$286/Unitflowchart!$S$357)</f>
        <v>144.29923332013598</v>
      </c>
      <c r="F187" s="25">
        <f t="shared" si="41"/>
        <v>12.063244841917109</v>
      </c>
      <c r="G187" s="355">
        <f>(AllocationPrice!$H$33/100)*'Pre-TreatHydrolysis'!Q34*(Unitflowchart!$S$286/Unitflowchart!$S$357)</f>
        <v>21.043638192519829</v>
      </c>
      <c r="H187" s="730">
        <f>(AllocationPrice!$H$33/100)*'Pre-TreatHydrolysis'!V34*(Unitflowchart!$S$286/Unitflowchart!$S$357)</f>
        <v>0.31164626085112701</v>
      </c>
      <c r="I187" s="25">
        <f t="shared" si="42"/>
        <v>17.434864065193921</v>
      </c>
      <c r="J187" s="733">
        <f>(AllocationPrice!$H$33/100)*'Pre-TreatHydrolysis'!W34*(Unitflowchart!$S$286/Unitflowchart!$S$357)</f>
        <v>4.9101822449212941E-2</v>
      </c>
      <c r="K187" s="730">
        <f>(AllocationPrice!$H$33/100)*'Pre-TreatHydrolysis'!AB34*(Unitflowchart!$S$286/Unitflowchart!$S$357)</f>
        <v>3.8479795552036258E-4</v>
      </c>
      <c r="L187" s="25">
        <f t="shared" si="43"/>
        <v>2.1183359325833099E-2</v>
      </c>
      <c r="M187" s="733">
        <f>(AllocationPrice!$H$33/100)*'Pre-TreatHydrolysis'!AC34*(Unitflowchart!$S$286/Unitflowchart!$S$357)</f>
        <v>1.5732624743931492E-4</v>
      </c>
      <c r="N187" s="711">
        <f>E187+(GlobalWarmingPotentials!$B$11*H187)+(GlobalWarmingPotentials!$C$11*K187)</f>
        <v>151.58099751454594</v>
      </c>
      <c r="O187" s="25">
        <f t="shared" si="44"/>
        <v>8.5398294670042389</v>
      </c>
      <c r="P187" s="740">
        <f>SQRT((G187^2)+((GlobalWarmingPotentials!$B$11*J187)^2)+((GlobalWarmingPotentials!$C$11*M187)^2))</f>
        <v>21.073971865154054</v>
      </c>
      <c r="Q187" s="29"/>
    </row>
    <row r="188" spans="1:17" x14ac:dyDescent="0.25">
      <c r="A188" s="219" t="str">
        <f>'Pre-TreatHydrolysis'!A35</f>
        <v>Corn Steep Liquor Input</v>
      </c>
      <c r="B188" s="715">
        <f>(AllocationPrice!$H$33/100)*'Pre-TreatHydrolysis'!J35*(Unitflowchart!$S$286/Unitflowchart!$S$357)</f>
        <v>2157.7888925407474</v>
      </c>
      <c r="C188" s="25">
        <f t="shared" si="40"/>
        <v>11.338925070972783</v>
      </c>
      <c r="D188" s="355">
        <f>(AllocationPrice!$H$33/100)*'Pre-TreatHydrolysis'!K35*(Unitflowchart!$S$286/Unitflowchart!$S$357)</f>
        <v>20.087011578768031</v>
      </c>
      <c r="E188" s="715">
        <f>(AllocationPrice!$H$33/100)*'Pre-TreatHydrolysis'!P35*(Unitflowchart!$S$286/Unitflowchart!$S$357)</f>
        <v>115.37228321799486</v>
      </c>
      <c r="F188" s="25">
        <f t="shared" si="41"/>
        <v>9.6449861056570505</v>
      </c>
      <c r="G188" s="355">
        <f>(AllocationPrice!$H$33/100)*'Pre-TreatHydrolysis'!Q35*(Unitflowchart!$S$286/Unitflowchart!$S$357)</f>
        <v>12.097729919677292</v>
      </c>
      <c r="H188" s="730">
        <f>(AllocationPrice!$H$33/100)*'Pre-TreatHydrolysis'!V35*(Unitflowchart!$S$286/Unitflowchart!$S$357)</f>
        <v>0.28713614851689379</v>
      </c>
      <c r="I188" s="25">
        <f t="shared" si="42"/>
        <v>16.063660458890674</v>
      </c>
      <c r="J188" s="733">
        <f>(AllocationPrice!$H$33/100)*'Pre-TreatHydrolysis'!W35*(Unitflowchart!$S$286/Unitflowchart!$S$357)</f>
        <v>2.1623411897823946E-3</v>
      </c>
      <c r="K188" s="730">
        <f>(AllocationPrice!$H$33/100)*'Pre-TreatHydrolysis'!AB35*(Unitflowchart!$S$286/Unitflowchart!$S$357)</f>
        <v>0.11335220131701394</v>
      </c>
      <c r="L188" s="25">
        <f t="shared" si="43"/>
        <v>6.240106987120968</v>
      </c>
      <c r="M188" s="733">
        <f>(AllocationPrice!$H$33/100)*'Pre-TreatHydrolysis'!AC35*(Unitflowchart!$S$286/Unitflowchart!$S$357)</f>
        <v>2.276148620823573E-4</v>
      </c>
      <c r="N188" s="711">
        <f>E188+(GlobalWarmingPotentials!$B$11*H188)+(GlobalWarmingPotentials!$C$11*K188)</f>
        <v>155.52866622371954</v>
      </c>
      <c r="O188" s="25">
        <f t="shared" si="44"/>
        <v>8.7622347692607843</v>
      </c>
      <c r="P188" s="740">
        <f>SQRT((G188^2)+((GlobalWarmingPotentials!$B$11*J188)^2)+((GlobalWarmingPotentials!$C$11*M188)^2))</f>
        <v>12.098019752041814</v>
      </c>
      <c r="Q188" s="29"/>
    </row>
    <row r="189" spans="1:17" x14ac:dyDescent="0.25">
      <c r="A189" s="219" t="str">
        <f>'Pre-TreatHydrolysis'!A36</f>
        <v>Diammonium Phosphate Input</v>
      </c>
      <c r="B189" s="715">
        <f>(AllocationPrice!$H$33/100)*'Pre-TreatHydrolysis'!J36*(Unitflowchart!$S$286/Unitflowchart!$S$357)</f>
        <v>146.3091154985236</v>
      </c>
      <c r="C189" s="25">
        <f t="shared" si="40"/>
        <v>0.76883707371606724</v>
      </c>
      <c r="D189" s="355">
        <f>(AllocationPrice!$H$33/100)*'Pre-TreatHydrolysis'!K36*(Unitflowchart!$S$286/Unitflowchart!$S$357)</f>
        <v>21.902562200377783</v>
      </c>
      <c r="E189" s="715">
        <f>(AllocationPrice!$H$33/100)*'Pre-TreatHydrolysis'!P36*(Unitflowchart!$S$286/Unitflowchart!$S$357)</f>
        <v>8.1521336509806108</v>
      </c>
      <c r="F189" s="25">
        <f t="shared" si="41"/>
        <v>0.68150870904237792</v>
      </c>
      <c r="G189" s="355">
        <f>(AllocationPrice!$H$33/100)*'Pre-TreatHydrolysis'!Q36*(Unitflowchart!$S$286/Unitflowchart!$S$357)</f>
        <v>1.2228200476470916</v>
      </c>
      <c r="H189" s="730">
        <f>(AllocationPrice!$H$33/100)*'Pre-TreatHydrolysis'!V36*(Unitflowchart!$S$286/Unitflowchart!$S$357)</f>
        <v>1.5769844784272007E-2</v>
      </c>
      <c r="I189" s="25">
        <f t="shared" si="42"/>
        <v>0.8822345546264414</v>
      </c>
      <c r="J189" s="733">
        <f>(AllocationPrice!$H$33/100)*'Pre-TreatHydrolysis'!W36*(Unitflowchart!$S$286/Unitflowchart!$S$357)</f>
        <v>2.3654767176408006E-3</v>
      </c>
      <c r="K189" s="730">
        <f>(AllocationPrice!$H$33/100)*'Pre-TreatHydrolysis'!AB36*(Unitflowchart!$S$286/Unitflowchart!$S$357)</f>
        <v>0</v>
      </c>
      <c r="L189" s="25">
        <f t="shared" si="43"/>
        <v>0</v>
      </c>
      <c r="M189" s="733">
        <f>(AllocationPrice!$H$33/100)*'Pre-TreatHydrolysis'!AC36*(Unitflowchart!$S$286/Unitflowchart!$S$357)</f>
        <v>0</v>
      </c>
      <c r="N189" s="711">
        <f>E189+(GlobalWarmingPotentials!$B$11*H189)+(GlobalWarmingPotentials!$C$11*K189)</f>
        <v>8.5148400810188676</v>
      </c>
      <c r="O189" s="25">
        <f t="shared" si="44"/>
        <v>0.47971238758826495</v>
      </c>
      <c r="P189" s="740">
        <f>SQRT((G189^2)+((GlobalWarmingPotentials!$B$11*J189)^2)+((GlobalWarmingPotentials!$C$11*M189)^2))</f>
        <v>1.2240297700225413</v>
      </c>
      <c r="Q189" s="29"/>
    </row>
    <row r="190" spans="1:17" x14ac:dyDescent="0.25">
      <c r="A190" s="219" t="str">
        <f>'Pre-TreatHydrolysis'!A37</f>
        <v>Sorbitol Input</v>
      </c>
      <c r="B190" s="715">
        <f>(AllocationPrice!$H$33/100)*'Pre-TreatHydrolysis'!J37*(Unitflowchart!$S$286/Unitflowchart!$S$357)</f>
        <v>38.293695350333699</v>
      </c>
      <c r="C190" s="25">
        <f t="shared" si="40"/>
        <v>0.20122883372377595</v>
      </c>
      <c r="D190" s="355">
        <f>(AllocationPrice!$H$33/100)*'Pre-TreatHydrolysis'!K37*(Unitflowchart!$S$286/Unitflowchart!$S$357)</f>
        <v>5.761948552713763</v>
      </c>
      <c r="E190" s="715">
        <f>(AllocationPrice!$H$33/100)*'Pre-TreatHydrolysis'!P37*(Unitflowchart!$S$286/Unitflowchart!$S$357)</f>
        <v>2.5731931735411151</v>
      </c>
      <c r="F190" s="25">
        <f t="shared" si="41"/>
        <v>0.21511589884271828</v>
      </c>
      <c r="G190" s="355">
        <f>(AllocationPrice!$H$33/100)*'Pre-TreatHydrolysis'!Q37*(Unitflowchart!$S$286/Unitflowchart!$S$357)</f>
        <v>0.38651580353607845</v>
      </c>
      <c r="H190" s="730">
        <f>(AllocationPrice!$H$33/100)*'Pre-TreatHydrolysis'!V37*(Unitflowchart!$S$286/Unitflowchart!$S$357)</f>
        <v>3.686215533723712E-3</v>
      </c>
      <c r="I190" s="25">
        <f t="shared" si="42"/>
        <v>0.2062231280104472</v>
      </c>
      <c r="J190" s="733">
        <f>(AllocationPrice!$H$33/100)*'Pre-TreatHydrolysis'!W37*(Unitflowchart!$S$286/Unitflowchart!$S$357)</f>
        <v>5.3682750491122007E-4</v>
      </c>
      <c r="K190" s="730">
        <f>(AllocationPrice!$H$33/100)*'Pre-TreatHydrolysis'!AB37*(Unitflowchart!$S$286/Unitflowchart!$S$357)</f>
        <v>3.7220040340511257E-3</v>
      </c>
      <c r="L190" s="25">
        <f t="shared" si="43"/>
        <v>0.2048985649076118</v>
      </c>
      <c r="M190" s="733">
        <f>(AllocationPrice!$H$33/100)*'Pre-TreatHydrolysis'!AC37*(Unitflowchart!$S$286/Unitflowchart!$S$357)</f>
        <v>5.726160052386348E-4</v>
      </c>
      <c r="N190" s="711">
        <f>E190+(GlobalWarmingPotentials!$B$11*H190)+(GlobalWarmingPotentials!$C$11*K190)</f>
        <v>3.759689324895894</v>
      </c>
      <c r="O190" s="25">
        <f t="shared" si="44"/>
        <v>0.21181484625370792</v>
      </c>
      <c r="P190" s="740">
        <f>SQRT((G190^2)+((GlobalWarmingPotentials!$B$11*J190)^2)+((GlobalWarmingPotentials!$C$11*M190)^2))</f>
        <v>0.42222653405395394</v>
      </c>
      <c r="Q190" s="29"/>
    </row>
    <row r="191" spans="1:17" x14ac:dyDescent="0.25">
      <c r="A191" s="219" t="str">
        <f>'Pre-TreatHydrolysis'!A38</f>
        <v>Glucose Input</v>
      </c>
      <c r="B191" s="715">
        <f>(AllocationPrice!$H$33/100)*'Pre-TreatHydrolysis'!J38*(Unitflowchart!$S$286/Unitflowchart!$S$357)</f>
        <v>1670.965080286991</v>
      </c>
      <c r="C191" s="25">
        <f t="shared" si="40"/>
        <v>8.7807235949187845</v>
      </c>
      <c r="D191" s="355">
        <f>(AllocationPrice!$H$33/100)*'Pre-TreatHydrolysis'!K38*(Unitflowchart!$S$286/Unitflowchart!$S$357)</f>
        <v>251.16369529779615</v>
      </c>
      <c r="E191" s="715">
        <f>(AllocationPrice!$H$33/100)*'Pre-TreatHydrolysis'!P38*(Unitflowchart!$S$286/Unitflowchart!$S$357)</f>
        <v>186.81597170910459</v>
      </c>
      <c r="F191" s="25">
        <f t="shared" si="41"/>
        <v>15.617593768553398</v>
      </c>
      <c r="G191" s="355">
        <f>(AllocationPrice!$H$33/100)*'Pre-TreatHydrolysis'!Q38*(Unitflowchart!$S$286/Unitflowchart!$S$357)</f>
        <v>28.02239575636569</v>
      </c>
      <c r="H191" s="730">
        <f>(AllocationPrice!$H$33/100)*'Pre-TreatHydrolysis'!V38*(Unitflowchart!$S$286/Unitflowchart!$S$357)</f>
        <v>0</v>
      </c>
      <c r="I191" s="25">
        <f t="shared" si="42"/>
        <v>0</v>
      </c>
      <c r="J191" s="733">
        <f>(AllocationPrice!$H$33/100)*'Pre-TreatHydrolysis'!W38*(Unitflowchart!$S$286/Unitflowchart!$S$357)</f>
        <v>0</v>
      </c>
      <c r="K191" s="730">
        <f>(AllocationPrice!$H$33/100)*'Pre-TreatHydrolysis'!AB38*(Unitflowchart!$S$286/Unitflowchart!$S$357)</f>
        <v>0</v>
      </c>
      <c r="L191" s="25">
        <f t="shared" si="43"/>
        <v>0</v>
      </c>
      <c r="M191" s="733">
        <f>(AllocationPrice!$H$33/100)*'Pre-TreatHydrolysis'!AC38*(Unitflowchart!$S$286/Unitflowchart!$S$357)</f>
        <v>0</v>
      </c>
      <c r="N191" s="711">
        <f>E191+(GlobalWarmingPotentials!$B$11*H191)+(GlobalWarmingPotentials!$C$11*K191)</f>
        <v>186.81597170910459</v>
      </c>
      <c r="O191" s="25">
        <f t="shared" si="44"/>
        <v>10.524911210954043</v>
      </c>
      <c r="P191" s="740">
        <f>SQRT((G191^2)+((GlobalWarmingPotentials!$B$11*J191)^2)+((GlobalWarmingPotentials!$C$11*M191)^2))</f>
        <v>28.02239575636569</v>
      </c>
      <c r="Q191" s="29"/>
    </row>
    <row r="192" spans="1:17" x14ac:dyDescent="0.25">
      <c r="A192" s="219" t="str">
        <f>'Pre-TreatHydrolysis'!A39</f>
        <v>Hot Nutrient Input</v>
      </c>
      <c r="B192" s="715">
        <f>(AllocationPrice!$H$33/100)*'Pre-TreatHydrolysis'!J39*(Unitflowchart!$S$286/Unitflowchart!$S$357)</f>
        <v>46.095588421710104</v>
      </c>
      <c r="C192" s="25">
        <f t="shared" si="40"/>
        <v>0.24222685779086303</v>
      </c>
      <c r="D192" s="355">
        <f>(AllocationPrice!$H$33/100)*'Pre-TreatHydrolysis'!K39*(Unitflowchart!$S$286/Unitflowchart!$S$357)</f>
        <v>6.9286536633874807</v>
      </c>
      <c r="E192" s="715">
        <f>(AllocationPrice!$H$33/100)*'Pre-TreatHydrolysis'!P39*(Unitflowchart!$S$286/Unitflowchart!$S$357)</f>
        <v>5.1535440471477134</v>
      </c>
      <c r="F192" s="25">
        <f t="shared" si="41"/>
        <v>0.43083017292561099</v>
      </c>
      <c r="G192" s="355">
        <f>(AllocationPrice!$H$33/100)*'Pre-TreatHydrolysis'!Q39*(Unitflowchart!$S$286/Unitflowchart!$S$357)</f>
        <v>0.77303160707215701</v>
      </c>
      <c r="H192" s="730">
        <f>(AllocationPrice!$H$33/100)*'Pre-TreatHydrolysis'!V39*(Unitflowchart!$S$286/Unitflowchart!$S$357)</f>
        <v>0</v>
      </c>
      <c r="I192" s="25">
        <f t="shared" si="42"/>
        <v>0</v>
      </c>
      <c r="J192" s="733">
        <f>(AllocationPrice!$H$33/100)*'Pre-TreatHydrolysis'!W39*(Unitflowchart!$S$286/Unitflowchart!$S$357)</f>
        <v>0</v>
      </c>
      <c r="K192" s="730">
        <f>(AllocationPrice!$H$33/100)*'Pre-TreatHydrolysis'!AB39*(Unitflowchart!$S$286/Unitflowchart!$S$357)</f>
        <v>0</v>
      </c>
      <c r="L192" s="25">
        <f t="shared" si="43"/>
        <v>0</v>
      </c>
      <c r="M192" s="733">
        <f>(AllocationPrice!$H$33/100)*'Pre-TreatHydrolysis'!AC39*(Unitflowchart!$S$286/Unitflowchart!$S$357)</f>
        <v>0</v>
      </c>
      <c r="N192" s="711">
        <f>E192+(GlobalWarmingPotentials!$B$11*H192)+(GlobalWarmingPotentials!$C$11*K192)</f>
        <v>5.1535440471477134</v>
      </c>
      <c r="O192" s="25">
        <f t="shared" si="44"/>
        <v>0.29034237823321507</v>
      </c>
      <c r="P192" s="740">
        <f>SQRT((G192^2)+((GlobalWarmingPotentials!$B$11*J192)^2)+((GlobalWarmingPotentials!$C$11*M192)^2))</f>
        <v>0.77303160707215701</v>
      </c>
      <c r="Q192" s="29"/>
    </row>
    <row r="193" spans="1:17" x14ac:dyDescent="0.25">
      <c r="A193" s="219" t="str">
        <f>'Pre-TreatHydrolysis'!A40</f>
        <v>Sulphur Dioxide Input</v>
      </c>
      <c r="B193" s="715">
        <f>(AllocationPrice!$H$33/100)*'Pre-TreatHydrolysis'!J40*(Unitflowchart!$S$286/Unitflowchart!$S$357)</f>
        <v>7.8734700720312283</v>
      </c>
      <c r="C193" s="25">
        <f t="shared" si="40"/>
        <v>4.1374152728252997E-2</v>
      </c>
      <c r="D193" s="355">
        <f>(AllocationPrice!$H$33/100)*'Pre-TreatHydrolysis'!K40*(Unitflowchart!$S$286/Unitflowchart!$S$357)</f>
        <v>2.1473100196448804</v>
      </c>
      <c r="E193" s="715">
        <f>(AllocationPrice!$H$33/100)*'Pre-TreatHydrolysis'!P40*(Unitflowchart!$S$286/Unitflowchart!$S$357)</f>
        <v>0.63703530582798118</v>
      </c>
      <c r="F193" s="25">
        <f t="shared" si="41"/>
        <v>5.3255396375526912E-2</v>
      </c>
      <c r="G193" s="355">
        <f>(AllocationPrice!$H$33/100)*'Pre-TreatHydrolysis'!Q40*(Unitflowchart!$S$286/Unitflowchart!$S$357)</f>
        <v>0.17178480157159043</v>
      </c>
      <c r="H193" s="730">
        <f>(AllocationPrice!$H$33/100)*'Pre-TreatHydrolysis'!V40*(Unitflowchart!$S$286/Unitflowchart!$S$357)</f>
        <v>1.7894250163707337E-5</v>
      </c>
      <c r="I193" s="25">
        <f t="shared" si="42"/>
        <v>1.0010831456817824E-3</v>
      </c>
      <c r="J193" s="733">
        <f>(AllocationPrice!$H$33/100)*'Pre-TreatHydrolysis'!W40*(Unitflowchart!$S$286/Unitflowchart!$S$357)</f>
        <v>5.0103900458380541E-6</v>
      </c>
      <c r="K193" s="730">
        <f>(AllocationPrice!$H$33/100)*'Pre-TreatHydrolysis'!AB40*(Unitflowchart!$S$286/Unitflowchart!$S$357)</f>
        <v>4.7240820432187374E-6</v>
      </c>
      <c r="L193" s="25">
        <f t="shared" si="43"/>
        <v>2.6006356315196884E-4</v>
      </c>
      <c r="M193" s="733">
        <f>(AllocationPrice!$H$33/100)*'Pre-TreatHydrolysis'!AC40*(Unitflowchart!$S$286/Unitflowchart!$S$357)</f>
        <v>1.2883860117869281E-6</v>
      </c>
      <c r="N193" s="711">
        <f>E193+(GlobalWarmingPotentials!$B$11*H193)+(GlobalWarmingPotentials!$C$11*K193)</f>
        <v>0.63884520186653915</v>
      </c>
      <c r="O193" s="25">
        <f t="shared" si="44"/>
        <v>3.5991510606272481E-2</v>
      </c>
      <c r="P193" s="740">
        <f>SQRT((G193^2)+((GlobalWarmingPotentials!$B$11*J193)^2)+((GlobalWarmingPotentials!$C$11*M193)^2))</f>
        <v>0.17178526353614884</v>
      </c>
      <c r="Q193" s="29"/>
    </row>
    <row r="194" spans="1:17" s="42" customFormat="1" x14ac:dyDescent="0.25">
      <c r="A194" s="219"/>
      <c r="B194" s="746"/>
      <c r="C194" s="863"/>
      <c r="D194" s="805"/>
      <c r="E194" s="746"/>
      <c r="F194" s="863"/>
      <c r="G194" s="805"/>
      <c r="H194" s="763"/>
      <c r="I194" s="863"/>
      <c r="J194" s="806"/>
      <c r="K194" s="763"/>
      <c r="L194" s="863"/>
      <c r="M194" s="806"/>
      <c r="N194" s="713"/>
      <c r="O194" s="863"/>
      <c r="P194" s="892"/>
      <c r="Q194" s="823"/>
    </row>
    <row r="195" spans="1:17" x14ac:dyDescent="0.25">
      <c r="A195" s="1514" t="s">
        <v>1921</v>
      </c>
      <c r="B195" s="714">
        <f>(AllocationPrice!$H$33/100)*'Pre-TreatHydrolysis'!J42*(Unitflowchart!$S$286/Unitflowchart!$S$357)</f>
        <v>7672.8025191554007</v>
      </c>
      <c r="C195" s="14">
        <f>(B195/B$347)*100</f>
        <v>40.319668504101067</v>
      </c>
      <c r="D195" s="720">
        <f>(AllocationPrice!$H$33/100)*'Pre-TreatHydrolysis'!K42*(Unitflowchart!$S$286/Unitflowchart!$S$357)</f>
        <v>732.66079238041505</v>
      </c>
      <c r="E195" s="714">
        <f>(AllocationPrice!$H$33/100)*'Pre-TreatHydrolysis'!P42*(Unitflowchart!$S$286/Unitflowchart!$S$357)</f>
        <v>485.14931842733705</v>
      </c>
      <c r="F195" s="14">
        <f>(E195/E$347)*100</f>
        <v>40.557907886413567</v>
      </c>
      <c r="G195" s="720">
        <f>(AllocationPrice!$H$33/100)*'Pre-TreatHydrolysis'!Q42*(Unitflowchart!$S$286/Unitflowchart!$S$357)</f>
        <v>46.039485184534769</v>
      </c>
      <c r="H195" s="211">
        <f>(AllocationPrice!$H$33/100)*'Pre-TreatHydrolysis'!V42*(Unitflowchart!$S$286/Unitflowchart!$S$357)</f>
        <v>0.70063576552983653</v>
      </c>
      <c r="I195" s="14">
        <f>(H195/H$347)*100</f>
        <v>39.196649745979478</v>
      </c>
      <c r="J195" s="728">
        <f>(AllocationPrice!$H$33/100)*'Pre-TreatHydrolysis'!W42*(Unitflowchart!$S$286/Unitflowchart!$S$357)</f>
        <v>7.0946243109528323E-2</v>
      </c>
      <c r="K195" s="211">
        <f>(AllocationPrice!$H$33/100)*'Pre-TreatHydrolysis'!AB42*(Unitflowchart!$S$286/Unitflowchart!$S$357)</f>
        <v>0.1284130043327992</v>
      </c>
      <c r="L195" s="14">
        <f>(K195/K$347)*100</f>
        <v>7.0692132685915494</v>
      </c>
      <c r="M195" s="728">
        <f>(AllocationPrice!$H$33/100)*'Pre-TreatHydrolysis'!AC42*(Unitflowchart!$S$286/Unitflowchart!$S$357)</f>
        <v>6.3801461112046663E-4</v>
      </c>
      <c r="N195" s="714">
        <f>E195+(GlobalWarmingPotentials!$B$11*H195)+(GlobalWarmingPotentials!$C$11*K195)</f>
        <v>539.27419031703187</v>
      </c>
      <c r="O195" s="14">
        <f>(N195/N$347)*100</f>
        <v>30.381840051041415</v>
      </c>
      <c r="P195" s="739">
        <f>SQRT((G195^2)+((GlobalWarmingPotentials!$B$11*J195)^2)+((GlobalWarmingPotentials!$C$11*M195)^2))</f>
        <v>46.068780249494573</v>
      </c>
      <c r="Q195" s="29"/>
    </row>
    <row r="196" spans="1:17" s="42" customFormat="1" x14ac:dyDescent="0.25">
      <c r="B196" s="746"/>
      <c r="C196" s="863"/>
      <c r="D196" s="759"/>
      <c r="E196" s="746"/>
      <c r="F196" s="863"/>
      <c r="G196" s="805"/>
      <c r="H196" s="763"/>
      <c r="I196" s="863"/>
      <c r="J196" s="806"/>
      <c r="K196" s="763"/>
      <c r="L196" s="863"/>
      <c r="M196" s="806"/>
      <c r="N196" s="713"/>
      <c r="O196" s="863"/>
      <c r="P196" s="892"/>
      <c r="Q196" s="823"/>
    </row>
    <row r="197" spans="1:17" x14ac:dyDescent="0.25">
      <c r="A197" s="2" t="s">
        <v>284</v>
      </c>
      <c r="B197" s="712"/>
      <c r="D197" s="718"/>
      <c r="E197" s="712"/>
      <c r="G197" s="718"/>
      <c r="H197" s="30"/>
      <c r="J197" s="708"/>
      <c r="K197" s="30"/>
      <c r="M197" s="708"/>
      <c r="N197" s="712"/>
      <c r="P197" s="718"/>
      <c r="Q197" s="29"/>
    </row>
    <row r="198" spans="1:17" x14ac:dyDescent="0.25">
      <c r="B198" s="712"/>
      <c r="D198" s="718"/>
      <c r="E198" s="712"/>
      <c r="G198" s="718"/>
      <c r="H198" s="30"/>
      <c r="J198" s="708"/>
      <c r="K198" s="30"/>
      <c r="M198" s="708"/>
      <c r="N198" s="712"/>
      <c r="P198" s="718"/>
      <c r="Q198" s="29"/>
    </row>
    <row r="199" spans="1:17" x14ac:dyDescent="0.25">
      <c r="A199" t="str">
        <f>Ferment!A19</f>
        <v>Heat Input</v>
      </c>
      <c r="B199" s="715">
        <f>(AllocationPrice!$H$40/100)*Ferment!J19*Unitflowchart!$S$286/Unitflowchart!$S$357</f>
        <v>0</v>
      </c>
      <c r="C199" s="25">
        <f>(B199/B$347)*100</f>
        <v>0</v>
      </c>
      <c r="D199" s="355">
        <f>(AllocationPrice!$H$40/100)*Ferment!K19*Unitflowchart!$S$286/Unitflowchart!$S$357</f>
        <v>0</v>
      </c>
      <c r="E199" s="715">
        <f>(AllocationPrice!$H$40/100)*Ferment!P19*Unitflowchart!$S$286/Unitflowchart!$S$357</f>
        <v>0</v>
      </c>
      <c r="F199" s="25">
        <f>(E199/E$347)*100</f>
        <v>0</v>
      </c>
      <c r="G199" s="355">
        <f>(AllocationPrice!$H$40/100)*Ferment!Q19*Unitflowchart!$S$286/Unitflowchart!$S$357</f>
        <v>0</v>
      </c>
      <c r="H199" s="730">
        <f>(AllocationPrice!$H$40/100)*Ferment!V19*Unitflowchart!$S$286/Unitflowchart!$S$357</f>
        <v>0</v>
      </c>
      <c r="I199" s="25">
        <f>(H199/H$347)*100</f>
        <v>0</v>
      </c>
      <c r="J199" s="733">
        <f>(AllocationPrice!$H$40/100)*Ferment!W19*Unitflowchart!$S$286/Unitflowchart!$S$357</f>
        <v>0</v>
      </c>
      <c r="K199" s="730">
        <f>(AllocationPrice!$H$40/100)*Ferment!AB19*Unitflowchart!$S$286/Unitflowchart!$S$357</f>
        <v>0</v>
      </c>
      <c r="L199" s="25">
        <f>(K199/K$347)*100</f>
        <v>0</v>
      </c>
      <c r="M199" s="733">
        <f>(AllocationPrice!$H$40/100)*Ferment!AC19*Unitflowchart!$S$286/Unitflowchart!$S$357</f>
        <v>0</v>
      </c>
      <c r="N199" s="711">
        <f>E199+(GlobalWarmingPotentials!$B$11*H199)+(GlobalWarmingPotentials!$C$11*K199)</f>
        <v>0</v>
      </c>
      <c r="O199" s="25">
        <f>(N199/N$347)*100</f>
        <v>0</v>
      </c>
      <c r="P199" s="740">
        <f>SQRT((G199^2)+((GlobalWarmingPotentials!$B$11*J199)^2)+((GlobalWarmingPotentials!$C$11*M199)^2))</f>
        <v>0</v>
      </c>
      <c r="Q199" s="29"/>
    </row>
    <row r="200" spans="1:17" x14ac:dyDescent="0.25">
      <c r="A200" t="str">
        <f>Ferment!A20</f>
        <v>Electricity Input</v>
      </c>
      <c r="B200" s="715">
        <f>(AllocationPrice!$H$40/100)*Ferment!J20*Unitflowchart!$S$286/Unitflowchart!$S$357</f>
        <v>0</v>
      </c>
      <c r="C200" s="25">
        <f>(B200/B$347)*100</f>
        <v>0</v>
      </c>
      <c r="D200" s="355">
        <f>(AllocationPrice!$H$40/100)*Ferment!K20*Unitflowchart!$S$286/Unitflowchart!$S$357</f>
        <v>0</v>
      </c>
      <c r="E200" s="715">
        <f>(AllocationPrice!$H$40/100)*Ferment!P20*Unitflowchart!$S$286/Unitflowchart!$S$357</f>
        <v>0</v>
      </c>
      <c r="F200" s="25">
        <f>(E200/E$347)*100</f>
        <v>0</v>
      </c>
      <c r="G200" s="355">
        <f>(AllocationPrice!$H$40/100)*Ferment!Q20*Unitflowchart!$S$286/Unitflowchart!$S$357</f>
        <v>0</v>
      </c>
      <c r="H200" s="730">
        <f>(AllocationPrice!$H$40/100)*Ferment!V20*Unitflowchart!$S$286/Unitflowchart!$S$357</f>
        <v>3.3882352941176478E-4</v>
      </c>
      <c r="I200" s="25">
        <f>(H200/H$347)*100</f>
        <v>1.8955280134759209E-2</v>
      </c>
      <c r="J200" s="733">
        <f>(AllocationPrice!$H$40/100)*Ferment!W20*Unitflowchart!$S$286/Unitflowchart!$S$357</f>
        <v>0</v>
      </c>
      <c r="K200" s="730">
        <f>(AllocationPrice!$H$40/100)*Ferment!AB20*Unitflowchart!$S$286/Unitflowchart!$S$357</f>
        <v>1.0164705882352942E-4</v>
      </c>
      <c r="L200" s="25">
        <f>(K200/K$347)*100</f>
        <v>5.5957318394821197E-3</v>
      </c>
      <c r="M200" s="733">
        <f>(AllocationPrice!$H$40/100)*Ferment!AC20*Unitflowchart!$S$286/Unitflowchart!$S$357</f>
        <v>0</v>
      </c>
      <c r="N200" s="711">
        <f>E200+(GlobalWarmingPotentials!$B$11*H200)+(GlobalWarmingPotentials!$C$11*K200)</f>
        <v>3.78804705882353E-2</v>
      </c>
      <c r="O200" s="25">
        <f>(N200/N$347)*100</f>
        <v>2.1341247534827469E-3</v>
      </c>
      <c r="P200" s="740">
        <f>SQRT((G200^2)+((GlobalWarmingPotentials!$B$11*J200)^2)+((GlobalWarmingPotentials!$C$11*M200)^2))</f>
        <v>0</v>
      </c>
      <c r="Q200" s="29"/>
    </row>
    <row r="201" spans="1:17" x14ac:dyDescent="0.25">
      <c r="B201" s="712"/>
      <c r="D201" s="718"/>
      <c r="E201" s="712"/>
      <c r="G201" s="718"/>
      <c r="H201" s="30"/>
      <c r="J201" s="708"/>
      <c r="K201" s="30"/>
      <c r="M201" s="708"/>
      <c r="N201" s="712"/>
      <c r="P201" s="718"/>
      <c r="Q201" s="29"/>
    </row>
    <row r="202" spans="1:17" x14ac:dyDescent="0.25">
      <c r="A202" s="214" t="s">
        <v>879</v>
      </c>
      <c r="B202" s="714">
        <f>(AllocationPrice!$H$40/100)*Ferment!J22*Unitflowchart!$S$286/Unitflowchart!$S$357</f>
        <v>0</v>
      </c>
      <c r="C202" s="14">
        <f>(B202/B$347)*100</f>
        <v>0</v>
      </c>
      <c r="D202" s="722">
        <f>(AllocationPrice!$H$40/100)*Ferment!K22*Unitflowchart!$S$286/Unitflowchart!$S$357</f>
        <v>0</v>
      </c>
      <c r="E202" s="714">
        <f>(AllocationPrice!$H$40/100)*Ferment!P22*Unitflowchart!$S$286/Unitflowchart!$S$357</f>
        <v>0</v>
      </c>
      <c r="F202" s="14">
        <f>(E202/E$347)*100</f>
        <v>0</v>
      </c>
      <c r="G202" s="722">
        <f>(AllocationPrice!$H$40/100)*Ferment!Q22*Unitflowchart!$S$286/Unitflowchart!$S$357</f>
        <v>0</v>
      </c>
      <c r="H202" s="211">
        <f>(AllocationPrice!$H$40/100)*Ferment!V22*Unitflowchart!$S$286/Unitflowchart!$S$357</f>
        <v>3.3882352941176478E-4</v>
      </c>
      <c r="I202" s="14">
        <f>(H202/H$347)*100</f>
        <v>1.8955280134759209E-2</v>
      </c>
      <c r="J202" s="212">
        <f>(AllocationPrice!$H$40/100)*Ferment!W22*Unitflowchart!$S$286/Unitflowchart!$S$357</f>
        <v>0</v>
      </c>
      <c r="K202" s="211">
        <f>(AllocationPrice!$H$40/100)*Ferment!AB22*Unitflowchart!$S$286/Unitflowchart!$S$357</f>
        <v>1.0164705882352942E-4</v>
      </c>
      <c r="L202" s="14">
        <f>(K202/K$347)*100</f>
        <v>5.5957318394821197E-3</v>
      </c>
      <c r="M202" s="212">
        <f>(AllocationPrice!$H$40/100)*Ferment!AC22*Unitflowchart!$S$286/Unitflowchart!$S$357</f>
        <v>0</v>
      </c>
      <c r="N202" s="714">
        <f>E202+(GlobalWarmingPotentials!$B$11*H202)+(GlobalWarmingPotentials!$C$11*K202)</f>
        <v>3.78804705882353E-2</v>
      </c>
      <c r="O202" s="14">
        <f>(N202/N$347)*100</f>
        <v>2.1341247534827469E-3</v>
      </c>
      <c r="P202" s="739">
        <f>SQRT((G202^2)+((GlobalWarmingPotentials!$B$11*J202)^2)+((GlobalWarmingPotentials!$C$11*M202)^2))</f>
        <v>0</v>
      </c>
    </row>
    <row r="203" spans="1:17" x14ac:dyDescent="0.25">
      <c r="B203" s="712"/>
      <c r="D203" s="718"/>
      <c r="E203" s="716"/>
      <c r="G203" s="718"/>
      <c r="H203" s="731"/>
      <c r="J203" s="708"/>
      <c r="K203" s="731"/>
      <c r="M203" s="708"/>
      <c r="N203" s="716"/>
      <c r="P203" s="718"/>
      <c r="Q203" s="29"/>
    </row>
    <row r="204" spans="1:17" x14ac:dyDescent="0.25">
      <c r="A204" s="817" t="s">
        <v>1959</v>
      </c>
      <c r="B204" s="712"/>
      <c r="D204" s="718"/>
      <c r="E204" s="712"/>
      <c r="G204" s="718"/>
      <c r="H204" s="30"/>
      <c r="J204" s="708"/>
      <c r="K204" s="30"/>
      <c r="M204" s="708"/>
      <c r="N204" s="712"/>
      <c r="P204" s="718"/>
      <c r="Q204" s="29"/>
    </row>
    <row r="205" spans="1:17" x14ac:dyDescent="0.25">
      <c r="A205" s="219"/>
      <c r="B205" s="712"/>
      <c r="D205" s="718"/>
      <c r="E205" s="712"/>
      <c r="G205" s="718"/>
      <c r="H205" s="30"/>
      <c r="J205" s="708"/>
      <c r="K205" s="30"/>
      <c r="M205" s="708"/>
      <c r="N205" s="712"/>
      <c r="P205" s="718"/>
      <c r="Q205" s="29"/>
    </row>
    <row r="206" spans="1:17" x14ac:dyDescent="0.25">
      <c r="A206" s="219" t="str">
        <f>EthanolRecovery!A19</f>
        <v>Heat Input</v>
      </c>
      <c r="B206" s="715">
        <f>(AllocationPrice!$H$45/100)*EthanolRecovery!J19*(Unitflowchart!$S$286/Unitflowchart!$S$357)</f>
        <v>0</v>
      </c>
      <c r="C206" s="25">
        <f>(B206/B$347)*100</f>
        <v>0</v>
      </c>
      <c r="D206" s="355">
        <f>(AllocationPrice!$H$45/100)*EthanolRecovery!K19*(Unitflowchart!$S$286/Unitflowchart!$S$357)</f>
        <v>0</v>
      </c>
      <c r="E206" s="715">
        <f>(AllocationPrice!$H$45/100)*EthanolRecovery!P19*(Unitflowchart!$S$286/Unitflowchart!$S$357)</f>
        <v>0</v>
      </c>
      <c r="F206" s="25">
        <f>(E206/E$347)*100</f>
        <v>0</v>
      </c>
      <c r="G206" s="355">
        <f>(AllocationPrice!$H$45/100)*EthanolRecovery!Q19*(Unitflowchart!$S$286/Unitflowchart!$S$357)</f>
        <v>0</v>
      </c>
      <c r="H206" s="730">
        <f>(AllocationPrice!$H$45/100)*EthanolRecovery!V19*(Unitflowchart!$S$286/Unitflowchart!$S$357)</f>
        <v>2.9162823529411762E-2</v>
      </c>
      <c r="I206" s="25">
        <f>(H206/H$347)*100</f>
        <v>1.6314967572655035</v>
      </c>
      <c r="J206" s="733">
        <f>(AllocationPrice!$H$45/100)*EthanolRecovery!W19*(Unitflowchart!$S$286/Unitflowchart!$S$357)</f>
        <v>0</v>
      </c>
      <c r="K206" s="730">
        <f>(AllocationPrice!$H$45/100)*EthanolRecovery!AB19*(Unitflowchart!$S$286/Unitflowchart!$S$357)</f>
        <v>8.7488470588235299E-3</v>
      </c>
      <c r="L206" s="25">
        <f>(K206/K$347)*100</f>
        <v>0.48162930253409231</v>
      </c>
      <c r="M206" s="733">
        <f>(AllocationPrice!$H$45/100)*EthanolRecovery!AC19*(Unitflowchart!$S$286/Unitflowchart!$S$357)</f>
        <v>0</v>
      </c>
      <c r="N206" s="711">
        <f>E206+(GlobalWarmingPotentials!$B$11*H206)+(GlobalWarmingPotentials!$C$11*K206)</f>
        <v>3.2604036705882353</v>
      </c>
      <c r="O206" s="25">
        <f>(N206/N$347)*100</f>
        <v>0.18368589596955456</v>
      </c>
      <c r="P206" s="740">
        <f>SQRT((G206^2)+((GlobalWarmingPotentials!$B$11*J206)^2)+((GlobalWarmingPotentials!$C$11*M206)^2))</f>
        <v>0</v>
      </c>
      <c r="Q206" s="29"/>
    </row>
    <row r="207" spans="1:17" x14ac:dyDescent="0.25">
      <c r="A207" s="219" t="str">
        <f>EthanolRecovery!A20</f>
        <v>Electricity Input</v>
      </c>
      <c r="B207" s="715">
        <f>(AllocationPrice!$H$45/100)*EthanolRecovery!J20*(Unitflowchart!$S$286/Unitflowchart!$S$357)</f>
        <v>0</v>
      </c>
      <c r="C207" s="25">
        <f>(B207/B$347)*100</f>
        <v>0</v>
      </c>
      <c r="D207" s="355">
        <f>(AllocationPrice!$H$45/100)*EthanolRecovery!K20*(Unitflowchart!$S$286/Unitflowchart!$S$357)</f>
        <v>0</v>
      </c>
      <c r="E207" s="715">
        <f>(AllocationPrice!$H$45/100)*EthanolRecovery!P20*(Unitflowchart!$S$286/Unitflowchart!$S$357)</f>
        <v>0</v>
      </c>
      <c r="F207" s="25">
        <f>(E207/E$347)*100</f>
        <v>0</v>
      </c>
      <c r="G207" s="355">
        <f>(AllocationPrice!$H$45/100)*EthanolRecovery!Q20*(Unitflowchart!$S$286/Unitflowchart!$S$357)</f>
        <v>0</v>
      </c>
      <c r="H207" s="730">
        <f>(AllocationPrice!$H$45/100)*EthanolRecovery!V20*(Unitflowchart!$S$286/Unitflowchart!$S$357)</f>
        <v>2.6371764705882361E-3</v>
      </c>
      <c r="I207" s="25">
        <f>(H207/H$347)*100</f>
        <v>0.14753526371554251</v>
      </c>
      <c r="J207" s="733">
        <f>(AllocationPrice!$H$45/100)*EthanolRecovery!W20*(Unitflowchart!$S$286/Unitflowchart!$S$357)</f>
        <v>0</v>
      </c>
      <c r="K207" s="730">
        <f>(AllocationPrice!$H$45/100)*EthanolRecovery!AB20*(Unitflowchart!$S$286/Unitflowchart!$S$357)</f>
        <v>7.9115294117647068E-4</v>
      </c>
      <c r="L207" s="25">
        <f>(K207/K$347)*100</f>
        <v>4.355344615063584E-2</v>
      </c>
      <c r="M207" s="733">
        <f>(AllocationPrice!$H$45/100)*EthanolRecovery!AC20*(Unitflowchart!$S$286/Unitflowchart!$S$357)</f>
        <v>0</v>
      </c>
      <c r="N207" s="711">
        <f>E207+(GlobalWarmingPotentials!$B$11*H207)+(GlobalWarmingPotentials!$C$11*K207)</f>
        <v>0.29483632941176474</v>
      </c>
      <c r="O207" s="25">
        <f>(N207/N$347)*100</f>
        <v>1.6610604331274044E-2</v>
      </c>
      <c r="P207" s="740">
        <f>SQRT((G207^2)+((GlobalWarmingPotentials!$B$11*J207)^2)+((GlobalWarmingPotentials!$C$11*M207)^2))</f>
        <v>0</v>
      </c>
      <c r="Q207" s="29"/>
    </row>
    <row r="208" spans="1:17" x14ac:dyDescent="0.25">
      <c r="A208" s="219"/>
      <c r="B208" s="712"/>
      <c r="D208" s="718"/>
      <c r="E208" s="712"/>
      <c r="G208" s="718"/>
      <c r="H208" s="30"/>
      <c r="J208" s="708"/>
      <c r="K208" s="30"/>
      <c r="M208" s="708"/>
      <c r="N208" s="712"/>
      <c r="P208" s="718"/>
      <c r="Q208" s="29"/>
    </row>
    <row r="209" spans="1:17" x14ac:dyDescent="0.25">
      <c r="A209" s="1515" t="s">
        <v>1989</v>
      </c>
      <c r="B209" s="714">
        <f>(AllocationPrice!$H$45/100)*EthanolRecovery!J22*(Unitflowchart!$S$286/Unitflowchart!$S$357)</f>
        <v>0</v>
      </c>
      <c r="C209" s="14">
        <f>(B209/B$347)*100</f>
        <v>0</v>
      </c>
      <c r="D209" s="722">
        <f>(AllocationPrice!$H$45/100)*EthanolRecovery!K22*(Unitflowchart!$S$286/Unitflowchart!$S$357)</f>
        <v>0</v>
      </c>
      <c r="E209" s="714">
        <f>(AllocationPrice!$H$45/100)*EthanolRecovery!P22*(Unitflowchart!$S$286/Unitflowchart!$S$357)</f>
        <v>0</v>
      </c>
      <c r="F209" s="14">
        <f>(E209/E$347)*100</f>
        <v>0</v>
      </c>
      <c r="G209" s="722">
        <f>(AllocationPrice!$H$45/100)*EthanolRecovery!Q22*(Unitflowchart!$S$286/Unitflowchart!$S$357)</f>
        <v>0</v>
      </c>
      <c r="H209" s="211">
        <f>(AllocationPrice!$H$45/100)*EthanolRecovery!V22*(Unitflowchart!$S$286/Unitflowchart!$S$357)</f>
        <v>3.1799999999999995E-2</v>
      </c>
      <c r="I209" s="14">
        <f>(H209/H$347)*100</f>
        <v>1.779032020981046</v>
      </c>
      <c r="J209" s="212">
        <f>(AllocationPrice!$H$45/100)*EthanolRecovery!W22*(Unitflowchart!$S$286/Unitflowchart!$S$357)</f>
        <v>0</v>
      </c>
      <c r="K209" s="211">
        <f>(AllocationPrice!$H$45/100)*EthanolRecovery!AB22*(Unitflowchart!$S$286/Unitflowchart!$S$357)</f>
        <v>9.5399999999999999E-3</v>
      </c>
      <c r="L209" s="14">
        <f>(K209/K$347)*100</f>
        <v>0.52518274868472814</v>
      </c>
      <c r="M209" s="212">
        <f>(AllocationPrice!$H$45/100)*EthanolRecovery!AC22*(Unitflowchart!$S$286/Unitflowchart!$S$357)</f>
        <v>0</v>
      </c>
      <c r="N209" s="714">
        <f>E209+(GlobalWarmingPotentials!$B$11*H209)+(GlobalWarmingPotentials!$C$11*K209)</f>
        <v>3.55524</v>
      </c>
      <c r="O209" s="14">
        <f>(N209/N$347)*100</f>
        <v>0.2002965003008286</v>
      </c>
      <c r="P209" s="739">
        <f>SQRT((G209^2)+((GlobalWarmingPotentials!$B$11*J209)^2)+((GlobalWarmingPotentials!$C$11*M209)^2))</f>
        <v>0</v>
      </c>
    </row>
    <row r="210" spans="1:17" x14ac:dyDescent="0.25">
      <c r="A210" s="219"/>
      <c r="B210" s="716"/>
      <c r="D210" s="718"/>
      <c r="E210" s="716"/>
      <c r="G210" s="718"/>
      <c r="H210" s="731"/>
      <c r="J210" s="708"/>
      <c r="K210" s="731"/>
      <c r="M210" s="708"/>
      <c r="N210" s="716"/>
      <c r="P210" s="718"/>
      <c r="Q210" s="29"/>
    </row>
    <row r="211" spans="1:17" x14ac:dyDescent="0.25">
      <c r="A211" s="817" t="s">
        <v>2007</v>
      </c>
      <c r="B211" s="712"/>
      <c r="D211" s="718"/>
      <c r="E211" s="712"/>
      <c r="G211" s="718"/>
      <c r="H211" s="30"/>
      <c r="J211" s="708"/>
      <c r="K211" s="30"/>
      <c r="M211" s="708"/>
      <c r="N211" s="712"/>
      <c r="P211" s="718"/>
      <c r="Q211" s="29"/>
    </row>
    <row r="212" spans="1:17" x14ac:dyDescent="0.25">
      <c r="A212" s="219"/>
      <c r="B212" s="712"/>
      <c r="D212" s="718"/>
      <c r="E212" s="712"/>
      <c r="G212" s="718"/>
      <c r="H212" s="30"/>
      <c r="J212" s="708"/>
      <c r="K212" s="30"/>
      <c r="M212" s="708"/>
      <c r="N212" s="712"/>
      <c r="P212" s="718"/>
      <c r="Q212" s="29"/>
    </row>
    <row r="213" spans="1:17" x14ac:dyDescent="0.25">
      <c r="A213" s="219" t="str">
        <f>WasteSolidFilter!A19</f>
        <v>Heat Input</v>
      </c>
      <c r="B213" s="715">
        <f>(AllocationPrice!$H$48/100)*WasteSolidFilter!J19*(Unitflowchart!$S$286/Unitflowchart!$S$357)</f>
        <v>0</v>
      </c>
      <c r="C213" s="25">
        <f>(B213/B$347)*100</f>
        <v>0</v>
      </c>
      <c r="D213" s="355">
        <f>(AllocationPrice!$H$48/100)*WasteSolidFilter!K19*(Unitflowchart!$S$286/Unitflowchart!$S$357)</f>
        <v>0</v>
      </c>
      <c r="E213" s="715">
        <f>(AllocationPrice!$H$48/100)*WasteSolidFilter!P19*(Unitflowchart!$S$286/Unitflowchart!$S$357)</f>
        <v>0</v>
      </c>
      <c r="F213" s="25">
        <f>(E213/E$347)*100</f>
        <v>0</v>
      </c>
      <c r="G213" s="355">
        <f>(AllocationPrice!$H$48/100)*WasteSolidFilter!Q19*(Unitflowchart!$S$286/Unitflowchart!$S$357)</f>
        <v>0</v>
      </c>
      <c r="H213" s="730">
        <f>(AllocationPrice!$H$48/100)*WasteSolidFilter!V19*(Unitflowchart!$S$286/Unitflowchart!$S$357)</f>
        <v>0</v>
      </c>
      <c r="I213" s="25">
        <f>(H213/H$347)*100</f>
        <v>0</v>
      </c>
      <c r="J213" s="733">
        <f>(AllocationPrice!$H$48/100)*WasteSolidFilter!W19*(Unitflowchart!$S$286/Unitflowchart!$S$357)</f>
        <v>0</v>
      </c>
      <c r="K213" s="730">
        <f>(AllocationPrice!$H$48/100)*WasteSolidFilter!AB19*(Unitflowchart!$S$286/Unitflowchart!$S$357)</f>
        <v>0</v>
      </c>
      <c r="L213" s="25">
        <f>(K213/K$347)*100</f>
        <v>0</v>
      </c>
      <c r="M213" s="733">
        <f>(AllocationPrice!$H$48/100)*WasteSolidFilter!AC19*(Unitflowchart!$S$286/Unitflowchart!$S$357)</f>
        <v>0</v>
      </c>
      <c r="N213" s="711">
        <f>E213+(GlobalWarmingPotentials!$B$11*H213)+(GlobalWarmingPotentials!$C$11*K213)</f>
        <v>0</v>
      </c>
      <c r="O213" s="25">
        <f>(N213/N$347)*100</f>
        <v>0</v>
      </c>
      <c r="P213" s="740">
        <f>SQRT((G213^2)+((GlobalWarmingPotentials!$B$11*J213)^2)+((GlobalWarmingPotentials!$C$11*M213)^2))</f>
        <v>0</v>
      </c>
      <c r="Q213" s="29"/>
    </row>
    <row r="214" spans="1:17" x14ac:dyDescent="0.25">
      <c r="A214" s="219" t="str">
        <f>WasteSolidFilter!A20</f>
        <v>Electricity Input</v>
      </c>
      <c r="B214" s="715">
        <f>(AllocationPrice!$H$48/100)*WasteSolidFilter!J20*(Unitflowchart!$S$286/Unitflowchart!$S$357)</f>
        <v>0</v>
      </c>
      <c r="C214" s="25">
        <f>(B214/B$347)*100</f>
        <v>0</v>
      </c>
      <c r="D214" s="355">
        <f>(AllocationPrice!$H$48/100)*WasteSolidFilter!K20*(Unitflowchart!$S$286/Unitflowchart!$S$357)</f>
        <v>0</v>
      </c>
      <c r="E214" s="715">
        <f>(AllocationPrice!$H$48/100)*WasteSolidFilter!P20*(Unitflowchart!$S$286/Unitflowchart!$S$357)</f>
        <v>0</v>
      </c>
      <c r="F214" s="25">
        <f>(E214/E$347)*100</f>
        <v>0</v>
      </c>
      <c r="G214" s="355">
        <f>(AllocationPrice!$H$48/100)*WasteSolidFilter!Q20*(Unitflowchart!$S$286/Unitflowchart!$S$357)</f>
        <v>0</v>
      </c>
      <c r="H214" s="730">
        <f>(AllocationPrice!$H$48/100)*WasteSolidFilter!V20*(Unitflowchart!$S$286/Unitflowchart!$S$357)</f>
        <v>3.2504775017513283E-3</v>
      </c>
      <c r="I214" s="25">
        <f>(H214/H$347)*100</f>
        <v>0.18184602387088325</v>
      </c>
      <c r="J214" s="733">
        <f>(AllocationPrice!$H$48/100)*WasteSolidFilter!W20*(Unitflowchart!$S$286/Unitflowchart!$S$357)</f>
        <v>0</v>
      </c>
      <c r="K214" s="730">
        <f>(AllocationPrice!$H$48/100)*WasteSolidFilter!AB20*(Unitflowchart!$S$286/Unitflowchart!$S$357)</f>
        <v>9.7514325052539832E-4</v>
      </c>
      <c r="L214" s="25">
        <f>(K214/K$347)*100</f>
        <v>5.3682223550554416E-2</v>
      </c>
      <c r="M214" s="733">
        <f>(AllocationPrice!$H$48/100)*WasteSolidFilter!AC20*(Unitflowchart!$S$286/Unitflowchart!$S$357)</f>
        <v>0</v>
      </c>
      <c r="N214" s="711">
        <f>E214+(GlobalWarmingPotentials!$B$11*H214)+(GlobalWarmingPotentials!$C$11*K214)</f>
        <v>0.36340338469579847</v>
      </c>
      <c r="O214" s="25">
        <f>(N214/N$347)*100</f>
        <v>2.0473561883879606E-2</v>
      </c>
      <c r="P214" s="740">
        <f>SQRT((G214^2)+((GlobalWarmingPotentials!$B$11*J214)^2)+((GlobalWarmingPotentials!$C$11*M214)^2))</f>
        <v>0</v>
      </c>
      <c r="Q214" s="29"/>
    </row>
    <row r="215" spans="1:17" x14ac:dyDescent="0.25">
      <c r="A215" s="219"/>
      <c r="B215" s="712"/>
      <c r="D215" s="718"/>
      <c r="E215" s="712"/>
      <c r="G215" s="718"/>
      <c r="H215" s="30"/>
      <c r="J215" s="708"/>
      <c r="K215" s="30"/>
      <c r="M215" s="708"/>
      <c r="N215" s="712"/>
      <c r="P215" s="718"/>
      <c r="Q215" s="29"/>
    </row>
    <row r="216" spans="1:17" x14ac:dyDescent="0.25">
      <c r="A216" s="1515" t="s">
        <v>2008</v>
      </c>
      <c r="B216" s="714">
        <f>(AllocationPrice!$H$48/100)*WasteSolidFilter!J22*(Unitflowchart!$S$286/Unitflowchart!$S$357)</f>
        <v>0</v>
      </c>
      <c r="C216" s="14">
        <f>(B216/B$347)*100</f>
        <v>0</v>
      </c>
      <c r="D216" s="722">
        <f>(AllocationPrice!$H$48/100)*WasteSolidFilter!K22*(Unitflowchart!$S$286/Unitflowchart!$S$357)</f>
        <v>0</v>
      </c>
      <c r="E216" s="714">
        <f>(AllocationPrice!$H$48/100)*WasteSolidFilter!P22*(Unitflowchart!$S$286/Unitflowchart!$S$357)</f>
        <v>0</v>
      </c>
      <c r="F216" s="14">
        <f>(E216/E$347)*100</f>
        <v>0</v>
      </c>
      <c r="G216" s="722">
        <f>(AllocationPrice!$H$48/100)*WasteSolidFilter!Q22*(Unitflowchart!$S$286/Unitflowchart!$S$357)</f>
        <v>0</v>
      </c>
      <c r="H216" s="211">
        <f>(AllocationPrice!$H$48/100)*WasteSolidFilter!V22*(Unitflowchart!$S$286/Unitflowchart!$S$357)</f>
        <v>3.2504775017513283E-3</v>
      </c>
      <c r="I216" s="14">
        <f>(H216/H$347)*100</f>
        <v>0.18184602387088325</v>
      </c>
      <c r="J216" s="212">
        <f>(AllocationPrice!$H$48/100)*WasteSolidFilter!W22*(Unitflowchart!$S$286/Unitflowchart!$S$357)</f>
        <v>0</v>
      </c>
      <c r="K216" s="211">
        <f>(AllocationPrice!$H$48/100)*WasteSolidFilter!AB22*(Unitflowchart!$S$286/Unitflowchart!$S$357)</f>
        <v>9.7514325052539832E-4</v>
      </c>
      <c r="L216" s="14">
        <f>(K216/K$347)*100</f>
        <v>5.3682223550554416E-2</v>
      </c>
      <c r="M216" s="212">
        <f>(AllocationPrice!$H$48/100)*WasteSolidFilter!AC22*(Unitflowchart!$S$286/Unitflowchart!$S$357)</f>
        <v>0</v>
      </c>
      <c r="N216" s="714">
        <f>E216+(GlobalWarmingPotentials!$B$11*H216)+(GlobalWarmingPotentials!$C$11*K216)</f>
        <v>0.36340338469579847</v>
      </c>
      <c r="O216" s="14">
        <f>(N216/N$347)*100</f>
        <v>2.0473561883879606E-2</v>
      </c>
      <c r="P216" s="741">
        <f>SQRT((G216^2)+((GlobalWarmingPotentials!$B$11*J216)^2)+((GlobalWarmingPotentials!$C$11*M216)^2))</f>
        <v>0</v>
      </c>
      <c r="Q216" s="29"/>
    </row>
    <row r="217" spans="1:17" x14ac:dyDescent="0.25">
      <c r="A217" s="219"/>
      <c r="B217" s="716"/>
      <c r="D217" s="718"/>
      <c r="E217" s="716"/>
      <c r="G217" s="718"/>
      <c r="H217" s="731"/>
      <c r="J217" s="708"/>
      <c r="K217" s="731"/>
      <c r="M217" s="708"/>
      <c r="N217" s="716"/>
      <c r="P217" s="718"/>
      <c r="Q217" s="29"/>
    </row>
    <row r="218" spans="1:17" x14ac:dyDescent="0.25">
      <c r="A218" s="817" t="s">
        <v>871</v>
      </c>
      <c r="B218" s="712"/>
      <c r="D218" s="718"/>
      <c r="E218" s="712"/>
      <c r="G218" s="718"/>
      <c r="H218" s="30"/>
      <c r="J218" s="708"/>
      <c r="K218" s="30"/>
      <c r="M218" s="708"/>
      <c r="N218" s="712"/>
      <c r="P218" s="718"/>
      <c r="Q218" s="29"/>
    </row>
    <row r="219" spans="1:17" x14ac:dyDescent="0.25">
      <c r="A219" s="219"/>
      <c r="B219" s="712"/>
      <c r="D219" s="718"/>
      <c r="E219" s="712"/>
      <c r="G219" s="718"/>
      <c r="H219" s="30"/>
      <c r="J219" s="708"/>
      <c r="K219" s="30"/>
      <c r="M219" s="708"/>
      <c r="N219" s="712"/>
      <c r="P219" s="718"/>
      <c r="Q219" s="29"/>
    </row>
    <row r="220" spans="1:17" x14ac:dyDescent="0.25">
      <c r="A220" s="219" t="str">
        <f>AnaerobicDigestion!A19</f>
        <v>Electricity Input</v>
      </c>
      <c r="B220" s="715">
        <f>(AllocationPrice!$H$48/100)*AnaerobicDigestion!J19*(Unitflowchart!$S$286/Unitflowchart!$S$357)</f>
        <v>0</v>
      </c>
      <c r="C220" s="25">
        <f>(B220/B$347)*100</f>
        <v>0</v>
      </c>
      <c r="D220" s="355">
        <f>(AllocationPrice!$H$48/100)*AnaerobicDigestion!K19*(Unitflowchart!$S$286/Unitflowchart!$S$357)</f>
        <v>0</v>
      </c>
      <c r="E220" s="715">
        <f>(AllocationPrice!$H$48/100)*AnaerobicDigestion!P19*(Unitflowchart!$S$286/Unitflowchart!$S$357)</f>
        <v>0</v>
      </c>
      <c r="F220" s="25">
        <f>(E220/E$347)*100</f>
        <v>0</v>
      </c>
      <c r="G220" s="355">
        <f>(AllocationPrice!$H$48/100)*AnaerobicDigestion!Q19*(Unitflowchart!$S$286/Unitflowchart!$S$357)</f>
        <v>0</v>
      </c>
      <c r="H220" s="730">
        <f>(AllocationPrice!$H$48/100)*AnaerobicDigestion!V19*(Unitflowchart!$S$286/Unitflowchart!$S$357)</f>
        <v>9.5522823529411768E-3</v>
      </c>
      <c r="I220" s="25">
        <f>(H220/H$347)*100</f>
        <v>0.53439673519919884</v>
      </c>
      <c r="J220" s="733">
        <f>(AllocationPrice!$H$48/100)*AnaerobicDigestion!W19*(Unitflowchart!$S$286/Unitflowchart!$S$357)</f>
        <v>0</v>
      </c>
      <c r="K220" s="730">
        <f>(AllocationPrice!$H$48/100)*AnaerobicDigestion!AB19*(Unitflowchart!$S$286/Unitflowchart!$S$357)</f>
        <v>2.8656847058823529E-3</v>
      </c>
      <c r="L220" s="25">
        <f>(K220/K$347)*100</f>
        <v>0.15775766988459966</v>
      </c>
      <c r="M220" s="733">
        <f>(AllocationPrice!$H$48/100)*AnaerobicDigestion!AC19*(Unitflowchart!$S$286/Unitflowchart!$S$357)</f>
        <v>0</v>
      </c>
      <c r="N220" s="711">
        <f>E220+(GlobalWarmingPotentials!$B$11*H220)+(GlobalWarmingPotentials!$C$11*K220)</f>
        <v>1.0679451670588236</v>
      </c>
      <c r="O220" s="25">
        <f>(N220/N$347)*100</f>
        <v>6.0166312112562334E-2</v>
      </c>
      <c r="P220" s="740">
        <f>SQRT((G220^2)+((GlobalWarmingPotentials!$B$11*J220)^2)+((GlobalWarmingPotentials!$C$11*M220)^2))</f>
        <v>0</v>
      </c>
      <c r="Q220" s="29"/>
    </row>
    <row r="221" spans="1:17" x14ac:dyDescent="0.25">
      <c r="A221" s="219" t="str">
        <f>AnaerobicDigestion!A20</f>
        <v>Caustic Soda Input</v>
      </c>
      <c r="B221" s="715">
        <f>(AllocationPrice!$H$48/100)*AnaerobicDigestion!J20*(Unitflowchart!$S$286/Unitflowchart!$S$357)</f>
        <v>1927.7999999999997</v>
      </c>
      <c r="C221" s="25">
        <f>(B221/B$347)*100</f>
        <v>10.130360679576324</v>
      </c>
      <c r="D221" s="355">
        <f>(AllocationPrice!$H$48/100)*AnaerobicDigestion!K20*(Unitflowchart!$S$286/Unitflowchart!$S$357)</f>
        <v>289.16999999999996</v>
      </c>
      <c r="E221" s="715">
        <f>(AllocationPrice!$H$48/100)*AnaerobicDigestion!P20*(Unitflowchart!$S$286/Unitflowchart!$S$357)</f>
        <v>107.9568</v>
      </c>
      <c r="F221" s="25">
        <f>(E221/E$347)*100</f>
        <v>9.0250604995289923</v>
      </c>
      <c r="G221" s="355">
        <f>(AllocationPrice!$H$48/100)*AnaerobicDigestion!Q20*(Unitflowchart!$S$286/Unitflowchart!$S$357)</f>
        <v>16.386299999999999</v>
      </c>
      <c r="H221" s="730">
        <f>(AllocationPrice!$H$48/100)*AnaerobicDigestion!V20*(Unitflowchart!$S$286/Unitflowchart!$S$357)</f>
        <v>0.31326749999999992</v>
      </c>
      <c r="I221" s="25">
        <f>(H221/H$347)*100</f>
        <v>17.525563321782382</v>
      </c>
      <c r="J221" s="733">
        <f>(AllocationPrice!$H$48/100)*AnaerobicDigestion!W20*(Unitflowchart!$S$286/Unitflowchart!$S$357)</f>
        <v>4.7231099999999991E-2</v>
      </c>
      <c r="K221" s="730">
        <f>(AllocationPrice!$H$48/100)*AnaerobicDigestion!AB20*(Unitflowchart!$S$286/Unitflowchart!$S$357)</f>
        <v>0</v>
      </c>
      <c r="L221" s="25">
        <f>(K221/K$347)*100</f>
        <v>0</v>
      </c>
      <c r="M221" s="733">
        <f>(AllocationPrice!$H$48/100)*AnaerobicDigestion!AC20*(Unitflowchart!$S$286/Unitflowchart!$S$357)</f>
        <v>0</v>
      </c>
      <c r="N221" s="711">
        <f>E221+(GlobalWarmingPotentials!$B$11*H221)+(GlobalWarmingPotentials!$C$11*K221)</f>
        <v>115.1619525</v>
      </c>
      <c r="O221" s="25">
        <f>(N221/N$347)*100</f>
        <v>6.4880390785320428</v>
      </c>
      <c r="P221" s="740">
        <f>SQRT((G221^2)+((GlobalWarmingPotentials!$B$11*J221)^2)+((GlobalWarmingPotentials!$C$11*M221)^2))</f>
        <v>16.422268680697378</v>
      </c>
      <c r="Q221" s="29"/>
    </row>
    <row r="222" spans="1:17" x14ac:dyDescent="0.25">
      <c r="A222" s="219"/>
      <c r="B222" s="712"/>
      <c r="D222" s="718"/>
      <c r="E222" s="712"/>
      <c r="G222" s="718"/>
      <c r="H222" s="30"/>
      <c r="J222" s="708"/>
      <c r="K222" s="30"/>
      <c r="M222" s="708"/>
      <c r="N222" s="712"/>
      <c r="P222" s="721"/>
      <c r="Q222" s="29"/>
    </row>
    <row r="223" spans="1:17" x14ac:dyDescent="0.25">
      <c r="A223" s="1515" t="s">
        <v>880</v>
      </c>
      <c r="B223" s="714">
        <f>(AllocationPrice!$H$48/100)*AnaerobicDigestion!J22*(Unitflowchart!$S$286/Unitflowchart!$S$357)</f>
        <v>1927.7999999999997</v>
      </c>
      <c r="C223" s="14">
        <f>(B223/B$347)*100</f>
        <v>10.130360679576324</v>
      </c>
      <c r="D223" s="722">
        <f>(AllocationPrice!$H$48/100)*AnaerobicDigestion!K22*(Unitflowchart!$S$286/Unitflowchart!$S$357)</f>
        <v>289.16999999999996</v>
      </c>
      <c r="E223" s="714">
        <f>(AllocationPrice!$H$48/100)*AnaerobicDigestion!P22*(Unitflowchart!$S$286/Unitflowchart!$S$357)</f>
        <v>107.9568</v>
      </c>
      <c r="F223" s="14">
        <f>(E223/E$347)*100</f>
        <v>9.0250604995289923</v>
      </c>
      <c r="G223" s="722">
        <f>(AllocationPrice!$H$48/100)*AnaerobicDigestion!Q22*(Unitflowchart!$S$286/Unitflowchart!$S$357)</f>
        <v>16.386299999999999</v>
      </c>
      <c r="H223" s="211">
        <f>(AllocationPrice!$H$48/100)*AnaerobicDigestion!V22*(Unitflowchart!$S$286/Unitflowchart!$S$357)</f>
        <v>0.32281978235294112</v>
      </c>
      <c r="I223" s="14">
        <f>(H223/H$347)*100</f>
        <v>18.059960056981581</v>
      </c>
      <c r="J223" s="212">
        <f>(AllocationPrice!$H$48/100)*AnaerobicDigestion!W22*(Unitflowchart!$S$286/Unitflowchart!$S$357)</f>
        <v>4.7231099999999991E-2</v>
      </c>
      <c r="K223" s="211">
        <f>(AllocationPrice!$H$48/100)*AnaerobicDigestion!AB22*(Unitflowchart!$S$286/Unitflowchart!$S$357)</f>
        <v>2.8656847058823529E-3</v>
      </c>
      <c r="L223" s="14">
        <f>(K223/K$347)*100</f>
        <v>0.15775766988459966</v>
      </c>
      <c r="M223" s="212">
        <f>(AllocationPrice!$H$48/100)*AnaerobicDigestion!AC22*(Unitflowchart!$S$286/Unitflowchart!$S$357)</f>
        <v>0</v>
      </c>
      <c r="N223" s="714">
        <f>E223+(GlobalWarmingPotentials!$B$11*H223)+(GlobalWarmingPotentials!$C$11*K223)</f>
        <v>116.22989766705884</v>
      </c>
      <c r="O223" s="14">
        <f>(N223/N$347)*100</f>
        <v>6.5482053906446058</v>
      </c>
      <c r="P223" s="741">
        <f>SQRT((G223^2)+((GlobalWarmingPotentials!$B$11*J223)^2)+((GlobalWarmingPotentials!$C$11*M223)^2))</f>
        <v>16.422268680697378</v>
      </c>
      <c r="Q223" s="29"/>
    </row>
    <row r="224" spans="1:17" x14ac:dyDescent="0.25">
      <c r="A224" s="219"/>
      <c r="B224" s="716"/>
      <c r="D224" s="718"/>
      <c r="E224" s="716"/>
      <c r="G224" s="718"/>
      <c r="H224" s="731"/>
      <c r="J224" s="708"/>
      <c r="K224" s="731"/>
      <c r="M224" s="708"/>
      <c r="N224" s="716"/>
      <c r="P224" s="718"/>
      <c r="Q224" s="29"/>
    </row>
    <row r="225" spans="1:17" x14ac:dyDescent="0.25">
      <c r="A225" s="817" t="s">
        <v>1996</v>
      </c>
      <c r="B225" s="712"/>
      <c r="D225" s="718"/>
      <c r="E225" s="712"/>
      <c r="G225" s="718"/>
      <c r="H225" s="30"/>
      <c r="J225" s="708"/>
      <c r="K225" s="30"/>
      <c r="M225" s="708"/>
      <c r="N225" s="712"/>
      <c r="P225" s="718"/>
      <c r="Q225" s="29"/>
    </row>
    <row r="226" spans="1:17" x14ac:dyDescent="0.25">
      <c r="B226" s="712"/>
      <c r="D226" s="718"/>
      <c r="E226" s="712"/>
      <c r="G226" s="718"/>
      <c r="H226" s="30"/>
      <c r="J226" s="708"/>
      <c r="K226" s="30"/>
      <c r="M226" s="708"/>
      <c r="N226" s="712"/>
      <c r="P226" s="718"/>
      <c r="Q226" s="29"/>
    </row>
    <row r="227" spans="1:17" x14ac:dyDescent="0.25">
      <c r="A227" t="str">
        <f>Utilities!A16</f>
        <v>Biorefinery Utilities</v>
      </c>
      <c r="B227" s="710">
        <f>(AllocationPrice!$H$48/100)*Utilities!J18*(Unitflowchart!$S$294/Unitflowchart!$S$357)</f>
        <v>0</v>
      </c>
      <c r="C227" s="25">
        <f>(B227/B$347)*100</f>
        <v>0</v>
      </c>
      <c r="D227" s="726">
        <f>(AllocationPrice!$H$48/100)*Utilities!K18*(Unitflowchart!$S$294/Unitflowchart!$S$357)</f>
        <v>0</v>
      </c>
      <c r="E227" s="710">
        <f>(AllocationPrice!$H$48/100)*Utilities!P18*(Unitflowchart!$S$294/Unitflowchart!$S$357)</f>
        <v>0</v>
      </c>
      <c r="F227" s="24">
        <f t="shared" ref="F227:F229" si="45">(E227/E$347)*100</f>
        <v>0</v>
      </c>
      <c r="G227" s="726">
        <f>(AllocationPrice!$H$48/100)*Utilities!Q18*(Unitflowchart!$S$294/Unitflowchart!$S$357)</f>
        <v>0</v>
      </c>
      <c r="H227" s="707">
        <f>(AllocationPrice!$H$48/100)*Utilities!V18*(Unitflowchart!$S$294/Unitflowchart!$S$357)</f>
        <v>4.2465882352941192E-3</v>
      </c>
      <c r="I227" s="24">
        <f t="shared" ref="I227:I229" si="46">(H227/H$347)*100</f>
        <v>0.23757284435564877</v>
      </c>
      <c r="J227" s="709">
        <f>(AllocationPrice!$H$48/100)*Utilities!W18*(Unitflowchart!$S$294/Unitflowchart!$S$357)</f>
        <v>0</v>
      </c>
      <c r="K227" s="707">
        <f>(AllocationPrice!$H$48/100)*Utilities!AB18*(Unitflowchart!$S$294/Unitflowchart!$S$357)</f>
        <v>1.2739764705882355E-3</v>
      </c>
      <c r="L227" s="24">
        <f t="shared" ref="L227:L229" si="47">(K227/K$347)*100</f>
        <v>7.0133172388175902E-2</v>
      </c>
      <c r="M227" s="709">
        <f>(AllocationPrice!$H$48/100)*Utilities!AC18*(Unitflowchart!$S$294/Unitflowchart!$S$357)</f>
        <v>0</v>
      </c>
      <c r="N227" s="710">
        <f>E227+(GlobalWarmingPotentials!$B$11*H227)+(GlobalWarmingPotentials!$C$11*K227)</f>
        <v>0.47476856470588247</v>
      </c>
      <c r="O227" s="24">
        <f>(N227/N$347)*100</f>
        <v>2.6747696910317097E-2</v>
      </c>
      <c r="P227" s="726">
        <f>SQRT((G227^2)+((GlobalWarmingPotentials!$B$11*J227)^2)+((GlobalWarmingPotentials!$C$11*M227)^2))</f>
        <v>0</v>
      </c>
      <c r="Q227" s="29"/>
    </row>
    <row r="228" spans="1:17" x14ac:dyDescent="0.25">
      <c r="B228" s="712"/>
      <c r="D228" s="718"/>
      <c r="E228" s="712"/>
      <c r="G228" s="718"/>
      <c r="H228" s="30"/>
      <c r="J228" s="708"/>
      <c r="K228" s="30"/>
      <c r="M228" s="708"/>
      <c r="N228" s="712"/>
      <c r="P228" s="718"/>
      <c r="Q228" s="29"/>
    </row>
    <row r="229" spans="1:17" x14ac:dyDescent="0.25">
      <c r="A229" s="214" t="s">
        <v>2021</v>
      </c>
      <c r="B229" s="717">
        <f>(AllocationPrice!$H$48/100)*Utilities!J20*(Unitflowchart!$S$294/Unitflowchart!$S$357)</f>
        <v>0</v>
      </c>
      <c r="C229" s="705">
        <f>(B229/B$347)*100</f>
        <v>0</v>
      </c>
      <c r="D229" s="727">
        <f>(AllocationPrice!$H$48/100)*Utilities!K20*(Unitflowchart!$S$294/Unitflowchart!$S$357)</f>
        <v>0</v>
      </c>
      <c r="E229" s="717">
        <f>(AllocationPrice!$H$48/100)*Utilities!P20*(Unitflowchart!$S$294/Unitflowchart!$S$357)</f>
        <v>0</v>
      </c>
      <c r="F229" s="705">
        <f t="shared" si="45"/>
        <v>0</v>
      </c>
      <c r="G229" s="727">
        <f>(AllocationPrice!$H$48/100)*Utilities!Q20*(Unitflowchart!$S$294/Unitflowchart!$S$357)</f>
        <v>0</v>
      </c>
      <c r="H229" s="706">
        <f>(AllocationPrice!$H$48/100)*Utilities!V20*(Unitflowchart!$S$294/Unitflowchart!$S$357)</f>
        <v>4.2465882352941192E-3</v>
      </c>
      <c r="I229" s="705">
        <f t="shared" si="46"/>
        <v>0.23757284435564877</v>
      </c>
      <c r="J229" s="704">
        <f>(AllocationPrice!$H$48/100)*Utilities!W20*(Unitflowchart!$S$294/Unitflowchart!$S$357)</f>
        <v>0</v>
      </c>
      <c r="K229" s="706">
        <f>(AllocationPrice!$H$48/100)*Utilities!AB20*(Unitflowchart!$S$294/Unitflowchart!$S$357)</f>
        <v>1.2739764705882355E-3</v>
      </c>
      <c r="L229" s="705">
        <f t="shared" si="47"/>
        <v>7.0133172388175902E-2</v>
      </c>
      <c r="M229" s="704">
        <f>(AllocationPrice!$H$48/100)*Utilities!AC20*(Unitflowchart!$S$294/Unitflowchart!$S$357)</f>
        <v>0</v>
      </c>
      <c r="N229" s="717">
        <f>E229+(GlobalWarmingPotentials!$B$11*H229)+(GlobalWarmingPotentials!$C$11*K229)</f>
        <v>0.47476856470588247</v>
      </c>
      <c r="O229" s="705">
        <f>(N229/N$347)*100</f>
        <v>2.6747696910317097E-2</v>
      </c>
      <c r="P229" s="725">
        <f>SQRT((G229^2)+((GlobalWarmingPotentials!$B$11*J229)^2)+((GlobalWarmingPotentials!$C$11*M229)^2))</f>
        <v>0</v>
      </c>
      <c r="Q229" s="29"/>
    </row>
    <row r="230" spans="1:17" x14ac:dyDescent="0.25">
      <c r="B230" s="712"/>
      <c r="D230" s="718"/>
      <c r="E230" s="712"/>
      <c r="G230" s="718"/>
      <c r="H230" s="30"/>
      <c r="J230" s="708"/>
      <c r="K230" s="30"/>
      <c r="M230" s="708"/>
      <c r="N230" s="712"/>
      <c r="P230" s="718"/>
      <c r="Q230" s="29"/>
    </row>
    <row r="231" spans="1:17" x14ac:dyDescent="0.25">
      <c r="A231" s="2" t="s">
        <v>872</v>
      </c>
      <c r="B231" s="712"/>
      <c r="D231" s="718"/>
      <c r="E231" s="712"/>
      <c r="G231" s="718"/>
      <c r="H231" s="30"/>
      <c r="J231" s="708"/>
      <c r="K231" s="30"/>
      <c r="M231" s="708"/>
      <c r="N231" s="712"/>
      <c r="P231" s="718"/>
      <c r="Q231" s="29"/>
    </row>
    <row r="232" spans="1:17" x14ac:dyDescent="0.25">
      <c r="B232" s="712"/>
      <c r="D232" s="718"/>
      <c r="E232" s="712"/>
      <c r="G232" s="718"/>
      <c r="H232" s="30"/>
      <c r="J232" s="708"/>
      <c r="K232" s="30"/>
      <c r="M232" s="708"/>
      <c r="N232" s="712"/>
      <c r="P232" s="718"/>
      <c r="Q232" s="29"/>
    </row>
    <row r="233" spans="1:17" x14ac:dyDescent="0.25">
      <c r="A233" t="str">
        <f>ElectricitySales!A15</f>
        <v>Electricity Credit</v>
      </c>
      <c r="B233" s="715">
        <f>Unitflowchart!$S$286*(AllocationPrice!$H$48/100)/Unitflowchart!$S$357*(ElectricitySales!J15)</f>
        <v>0</v>
      </c>
      <c r="C233" s="25">
        <f>(B233/B$347)*100</f>
        <v>0</v>
      </c>
      <c r="D233" s="355">
        <f>Unitflowchart!S286*(AllocationPrice!$H$48/100)/Unitflowchart!$S$357*(ElectricitySales!K15)</f>
        <v>0</v>
      </c>
      <c r="E233" s="715">
        <f>Unitflowchart!$S$286*(AllocationPrice!$H$48/100)/Unitflowchart!$S$357*(ElectricitySales!P15)</f>
        <v>0</v>
      </c>
      <c r="F233" s="25">
        <f>(E233/E$347)*100</f>
        <v>0</v>
      </c>
      <c r="G233" s="355">
        <f>Unitflowchart!S286*(AllocationPrice!$H$48/100)/Unitflowchart!$S$357*(ElectricitySales!Q15)</f>
        <v>0</v>
      </c>
      <c r="H233" s="730">
        <f>Unitflowchart!$S$286*(AllocationPrice!$H$48/100)/Unitflowchart!$S$357*(ElectricitySales!V15)</f>
        <v>-4.9045600190756829E-2</v>
      </c>
      <c r="I233" s="25">
        <f>(H233/H$347)*100</f>
        <v>-2.743826831056305</v>
      </c>
      <c r="J233" s="733">
        <f>Unitflowchart!S286*(AllocationPrice!$H$48/100)/Unitflowchart!$S$357*(ElectricitySales!W15)</f>
        <v>0</v>
      </c>
      <c r="K233" s="730">
        <f>Unitflowchart!$S$286*(AllocationPrice!$H$48/100)/Unitflowchart!$S$357*(ElectricitySales!AB15)</f>
        <v>-1.4713680057227048E-2</v>
      </c>
      <c r="L233" s="25">
        <f>(K233/K$347)*100</f>
        <v>-0.80999695342999656</v>
      </c>
      <c r="M233" s="733">
        <f>Unitflowchart!S286*(AllocationPrice!$H$48/100)/Unitflowchart!$S$357*(ElectricitySales!AC15)</f>
        <v>0</v>
      </c>
      <c r="N233" s="711">
        <f>E233+(GlobalWarmingPotentials!$B$11*H233)+(GlobalWarmingPotentials!$C$11*K233)</f>
        <v>-5.4832981013266133</v>
      </c>
      <c r="O233" s="25">
        <f>(N233/N$347)*100</f>
        <v>-0.30892019098623408</v>
      </c>
      <c r="P233" s="740">
        <f>SQRT((G233^2)+((GlobalWarmingPotentials!$B$11*J233)^2)+((GlobalWarmingPotentials!$C$11*M233)^2))</f>
        <v>0</v>
      </c>
      <c r="Q233" s="29"/>
    </row>
    <row r="234" spans="1:17" x14ac:dyDescent="0.25">
      <c r="B234" s="712"/>
      <c r="D234" s="718"/>
      <c r="E234" s="712"/>
      <c r="G234" s="718"/>
      <c r="H234" s="30"/>
      <c r="J234" s="729"/>
      <c r="K234" s="30"/>
      <c r="M234" s="708"/>
      <c r="N234" s="712"/>
      <c r="P234" s="718"/>
      <c r="Q234" s="29"/>
    </row>
    <row r="235" spans="1:17" x14ac:dyDescent="0.25">
      <c r="A235" s="214" t="s">
        <v>881</v>
      </c>
      <c r="B235" s="714">
        <f>Unitflowchart!$S$286*(AllocationPrice!$H$48/100)/Unitflowchart!$S$357*(ElectricitySales!J17)</f>
        <v>0</v>
      </c>
      <c r="C235" s="14">
        <f>(B235/B$347)*100</f>
        <v>0</v>
      </c>
      <c r="D235" s="722">
        <f>Unitflowchart!S286*(AllocationPrice!$H$48/100)/Unitflowchart!$S$357*(ElectricitySales!K17)</f>
        <v>0</v>
      </c>
      <c r="E235" s="714">
        <f>Unitflowchart!$S$286*(AllocationPrice!$H$48/100)/Unitflowchart!$S$357*(ElectricitySales!P17)</f>
        <v>0</v>
      </c>
      <c r="F235" s="14">
        <f>(E235/E$347)*100</f>
        <v>0</v>
      </c>
      <c r="G235" s="722">
        <f>Unitflowchart!S286*(AllocationPrice!$H$48/100)/Unitflowchart!$S$357*(ElectricitySales!Q17)</f>
        <v>0</v>
      </c>
      <c r="H235" s="211">
        <f>Unitflowchart!$S$286*(AllocationPrice!$H$48/100)/Unitflowchart!$S$357*(ElectricitySales!V17)</f>
        <v>-4.9045600190756829E-2</v>
      </c>
      <c r="I235" s="14">
        <f>(H235/H$347)*100</f>
        <v>-2.743826831056305</v>
      </c>
      <c r="J235" s="212">
        <f>Unitflowchart!S286*(AllocationPrice!$H$48/100)/Unitflowchart!$S$357*(ElectricitySales!W17)</f>
        <v>0</v>
      </c>
      <c r="K235" s="211">
        <f>Unitflowchart!$S$286*(AllocationPrice!$H$48/100)/Unitflowchart!$S$357*(ElectricitySales!AB17)</f>
        <v>-1.4713680057227048E-2</v>
      </c>
      <c r="L235" s="14">
        <f>(K235/K$347)*100</f>
        <v>-0.80999695342999656</v>
      </c>
      <c r="M235" s="212">
        <f>Unitflowchart!S286*(AllocationPrice!$H$48/100)/Unitflowchart!$S$357*(ElectricitySales!AC17)</f>
        <v>0</v>
      </c>
      <c r="N235" s="714">
        <f>E235+(GlobalWarmingPotentials!$B$11*H235)+(GlobalWarmingPotentials!$C$11*K235)</f>
        <v>-5.4832981013266133</v>
      </c>
      <c r="O235" s="14">
        <f>(N235/N$347)*100</f>
        <v>-0.30892019098623408</v>
      </c>
      <c r="P235" s="741">
        <f>SQRT((G235^2)+((GlobalWarmingPotentials!$B$11*J235)^2)+((GlobalWarmingPotentials!$C$11*M235)^2))</f>
        <v>0</v>
      </c>
      <c r="Q235" s="29"/>
    </row>
    <row r="236" spans="1:17" x14ac:dyDescent="0.25">
      <c r="B236" s="716"/>
      <c r="D236" s="718"/>
      <c r="E236" s="716"/>
      <c r="G236" s="718"/>
      <c r="H236" s="731"/>
      <c r="J236" s="708"/>
      <c r="K236" s="731"/>
      <c r="M236" s="708"/>
      <c r="N236" s="716"/>
      <c r="P236" s="718"/>
      <c r="Q236" s="29"/>
    </row>
    <row r="237" spans="1:17" x14ac:dyDescent="0.25">
      <c r="A237" s="384" t="s">
        <v>415</v>
      </c>
      <c r="B237" s="712"/>
      <c r="D237" s="718"/>
      <c r="E237" s="712"/>
      <c r="G237" s="718"/>
      <c r="H237" s="30"/>
      <c r="J237" s="708"/>
      <c r="K237" s="30"/>
      <c r="M237" s="708"/>
      <c r="N237" s="712"/>
      <c r="P237" s="718"/>
      <c r="Q237" s="29"/>
    </row>
    <row r="238" spans="1:17" x14ac:dyDescent="0.25">
      <c r="B238" s="712"/>
      <c r="D238" s="718"/>
      <c r="E238" s="712"/>
      <c r="G238" s="718"/>
      <c r="H238" s="30"/>
      <c r="J238" s="708"/>
      <c r="K238" s="30"/>
      <c r="M238" s="708"/>
      <c r="N238" s="712"/>
      <c r="P238" s="718"/>
      <c r="Q238" s="29"/>
    </row>
    <row r="239" spans="1:17" x14ac:dyDescent="0.25">
      <c r="A239" s="13" t="str">
        <f>RoadTransportEthanolStage1!A42</f>
        <v xml:space="preserve"> - Diesel Fuel</v>
      </c>
      <c r="B239" s="715">
        <f>(Unitflowchart!$S$294/Unitflowchart!$S$357)*RoadTransportEthanolStage1!J42*Unitflowchart!$S$303</f>
        <v>517.88672232212184</v>
      </c>
      <c r="C239" s="25">
        <f>(B239/B$347)*100</f>
        <v>2.7214333895044533</v>
      </c>
      <c r="D239" s="481">
        <f>(Unitflowchart!$S$294/Unitflowchart!$S$357)*RoadTransportEthanolStage1!K42*Unitflowchart!$S$303</f>
        <v>24.34067594913973</v>
      </c>
      <c r="E239" s="715">
        <f>(Unitflowchart!$S$294/Unitflowchart!$S$357)*RoadTransportEthanolStage1!P42*Unitflowchart!$S$303</f>
        <v>37.164284826471004</v>
      </c>
      <c r="F239" s="25">
        <f>(E239/E$347)*100</f>
        <v>3.106890154030391</v>
      </c>
      <c r="G239" s="355">
        <f>(Unitflowchart!$S$294/Unitflowchart!$S$357)*RoadTransportEthanolStage1!Q42*Unitflowchart!$S$303</f>
        <v>1.7467213868441371</v>
      </c>
      <c r="H239" s="730">
        <f>(Unitflowchart!$S$294/Unitflowchart!$S$357)*RoadTransportEthanolStage1!V42*Unitflowchart!$S$303</f>
        <v>7.7224487951108563E-3</v>
      </c>
      <c r="I239" s="25">
        <f>(H239/H$347)*100</f>
        <v>0.4320277888958714</v>
      </c>
      <c r="J239" s="733">
        <f>(Unitflowchart!$S$294/Unitflowchart!$S$357)*RoadTransportEthanolStage1!W42*Unitflowchart!$S$303</f>
        <v>3.6295509337021026E-4</v>
      </c>
      <c r="K239" s="730">
        <f>(Unitflowchart!$S$294/Unitflowchart!$S$357)*RoadTransportEthanolStage1!AB42*Unitflowchart!$S$303</f>
        <v>1.0039183433644116E-2</v>
      </c>
      <c r="L239" s="25">
        <f>(K239/K$347)*100</f>
        <v>0.55266309750853282</v>
      </c>
      <c r="M239" s="733">
        <f>(Unitflowchart!$S$294/Unitflowchart!$S$357)*RoadTransportEthanolStage1!AC42*Unitflowchart!$S$303</f>
        <v>4.7184162138127345E-4</v>
      </c>
      <c r="N239" s="711">
        <f>E239+(GlobalWarmingPotentials!$B$11*H239)+(GlobalWarmingPotentials!$C$11*K239)</f>
        <v>40.313499445117209</v>
      </c>
      <c r="O239" s="25">
        <f>(N239/N$347)*100</f>
        <v>2.2711976839078019</v>
      </c>
      <c r="P239" s="740">
        <f>SQRT((G239^2)+((GlobalWarmingPotentials!$B$11*J239)^2)+((GlobalWarmingPotentials!$C$11*M239)^2))</f>
        <v>1.7523160780917761</v>
      </c>
      <c r="Q239" s="29"/>
    </row>
    <row r="240" spans="1:17" x14ac:dyDescent="0.25">
      <c r="A240" s="13" t="str">
        <f>RoadTransportEthanolStage1!A43</f>
        <v xml:space="preserve"> - Vehicle </v>
      </c>
      <c r="B240" s="715">
        <f>(Unitflowchart!$S$294/Unitflowchart!$S$357)*RoadTransportEthanolStage1!J43*Unitflowchart!$S$303</f>
        <v>0</v>
      </c>
      <c r="C240" s="25">
        <f t="shared" ref="C240:C243" si="48">(B240/B$347)*100</f>
        <v>0</v>
      </c>
      <c r="D240" s="481">
        <f>(Unitflowchart!$S$294/Unitflowchart!$S$357)*RoadTransportEthanolStage1!K43*Unitflowchart!$S$303</f>
        <v>0</v>
      </c>
      <c r="E240" s="715">
        <f>(Unitflowchart!$S$294/Unitflowchart!$S$357)*RoadTransportEthanolStage1!P43*Unitflowchart!$S$303</f>
        <v>0</v>
      </c>
      <c r="F240" s="25">
        <f t="shared" ref="F240:F243" si="49">(E240/E$347)*100</f>
        <v>0</v>
      </c>
      <c r="G240" s="355">
        <f>(Unitflowchart!$S$294/Unitflowchart!$S$357)*RoadTransportEthanolStage1!Q43*Unitflowchart!$S$303</f>
        <v>0</v>
      </c>
      <c r="H240" s="730">
        <f>(Unitflowchart!$S$294/Unitflowchart!$S$357)*RoadTransportEthanolStage1!V43*Unitflowchart!$S$303</f>
        <v>0</v>
      </c>
      <c r="I240" s="25">
        <f t="shared" ref="I240:I243" si="50">(H240/H$347)*100</f>
        <v>0</v>
      </c>
      <c r="J240" s="733">
        <f>(Unitflowchart!$S$294/Unitflowchart!$S$357)*RoadTransportEthanolStage1!W43*Unitflowchart!$S$303</f>
        <v>0</v>
      </c>
      <c r="K240" s="730">
        <f>(Unitflowchart!$S$294/Unitflowchart!$S$357)*RoadTransportEthanolStage1!AB43*Unitflowchart!$S$303</f>
        <v>0</v>
      </c>
      <c r="L240" s="25">
        <f t="shared" ref="L240:L243" si="51">(K240/K$347)*100</f>
        <v>0</v>
      </c>
      <c r="M240" s="733">
        <f>(Unitflowchart!$S$294/Unitflowchart!$S$357)*RoadTransportEthanolStage1!AC43*Unitflowchart!$S$303</f>
        <v>0</v>
      </c>
      <c r="N240" s="711">
        <f>E240+(GlobalWarmingPotentials!$B$11*H240)+(GlobalWarmingPotentials!$C$11*K240)</f>
        <v>0</v>
      </c>
      <c r="O240" s="25">
        <f>(N240/N$347)*100</f>
        <v>0</v>
      </c>
      <c r="P240" s="740">
        <f>SQRT((G240^2)+((GlobalWarmingPotentials!$B$11*J240)^2)+((GlobalWarmingPotentials!$C$11*M240)^2))</f>
        <v>0</v>
      </c>
      <c r="Q240" s="29"/>
    </row>
    <row r="241" spans="1:17" x14ac:dyDescent="0.25">
      <c r="A241" s="13" t="str">
        <f>RoadTransportEthanolStage1!A44</f>
        <v xml:space="preserve"> - Maintenance</v>
      </c>
      <c r="B241" s="715">
        <f>(Unitflowchart!$S$294/Unitflowchart!$S$357)*RoadTransportEthanolStage1!J44*Unitflowchart!$S$303</f>
        <v>0</v>
      </c>
      <c r="C241" s="25">
        <f t="shared" si="48"/>
        <v>0</v>
      </c>
      <c r="D241" s="481">
        <f>(Unitflowchart!$S$294/Unitflowchart!$S$357)*RoadTransportEthanolStage1!K44*Unitflowchart!$S$303</f>
        <v>0</v>
      </c>
      <c r="E241" s="715">
        <f>(Unitflowchart!$S$294/Unitflowchart!$S$357)*RoadTransportEthanolStage1!P44*Unitflowchart!$S$303</f>
        <v>0</v>
      </c>
      <c r="F241" s="25">
        <f t="shared" si="49"/>
        <v>0</v>
      </c>
      <c r="G241" s="355">
        <f>(Unitflowchart!$S$294/Unitflowchart!$S$357)*RoadTransportEthanolStage1!Q44*Unitflowchart!$S$303</f>
        <v>0</v>
      </c>
      <c r="H241" s="730">
        <f>(Unitflowchart!$S$294/Unitflowchart!$S$357)*RoadTransportEthanolStage1!V44*Unitflowchart!$S$303</f>
        <v>0</v>
      </c>
      <c r="I241" s="25">
        <f t="shared" si="50"/>
        <v>0</v>
      </c>
      <c r="J241" s="733">
        <f>(Unitflowchart!$S$294/Unitflowchart!$S$357)*RoadTransportEthanolStage1!W44*Unitflowchart!$S$303</f>
        <v>0</v>
      </c>
      <c r="K241" s="730">
        <f>(Unitflowchart!$S$294/Unitflowchart!$S$357)*RoadTransportEthanolStage1!AB44*Unitflowchart!$S$303</f>
        <v>0</v>
      </c>
      <c r="L241" s="25">
        <f t="shared" si="51"/>
        <v>0</v>
      </c>
      <c r="M241" s="733">
        <f>(Unitflowchart!$S$294/Unitflowchart!$S$357)*RoadTransportEthanolStage1!AC44*Unitflowchart!$S$303</f>
        <v>0</v>
      </c>
      <c r="N241" s="711">
        <f>E241+(GlobalWarmingPotentials!$B$11*H241)+(GlobalWarmingPotentials!$C$11*K241)</f>
        <v>0</v>
      </c>
      <c r="O241" s="25">
        <f>(N241/N$347)*100</f>
        <v>0</v>
      </c>
      <c r="P241" s="740">
        <f>SQRT((G241^2)+((GlobalWarmingPotentials!$B$11*J241)^2)+((GlobalWarmingPotentials!$C$11*M241)^2))</f>
        <v>0</v>
      </c>
      <c r="Q241" s="29"/>
    </row>
    <row r="242" spans="1:17" s="42" customFormat="1" x14ac:dyDescent="0.25">
      <c r="B242" s="746"/>
      <c r="C242" s="863"/>
      <c r="D242" s="759"/>
      <c r="E242" s="746"/>
      <c r="F242" s="863"/>
      <c r="G242" s="805"/>
      <c r="H242" s="763"/>
      <c r="I242" s="863"/>
      <c r="J242" s="806"/>
      <c r="K242" s="763"/>
      <c r="L242" s="863"/>
      <c r="M242" s="806"/>
      <c r="N242" s="897"/>
      <c r="O242" s="893"/>
      <c r="P242" s="898"/>
      <c r="Q242" s="823"/>
    </row>
    <row r="243" spans="1:17" x14ac:dyDescent="0.25">
      <c r="A243" s="214" t="s">
        <v>842</v>
      </c>
      <c r="B243" s="714">
        <f>(Unitflowchart!$S$294/Unitflowchart!$S$357)*RoadTransportEthanolStage1!J46*Unitflowchart!$S$303</f>
        <v>517.88672232212184</v>
      </c>
      <c r="C243" s="14">
        <f t="shared" si="48"/>
        <v>2.7214333895044533</v>
      </c>
      <c r="D243" s="722">
        <f>(Unitflowchart!$S$294/Unitflowchart!$S$357)*RoadTransportEthanolStage1!K46*Unitflowchart!$S$303</f>
        <v>24.34067594913973</v>
      </c>
      <c r="E243" s="714">
        <f>(Unitflowchart!$S$294/Unitflowchart!$S$357)*RoadTransportEthanolStage1!P46*Unitflowchart!$S$303</f>
        <v>37.164284826471004</v>
      </c>
      <c r="F243" s="14">
        <f t="shared" si="49"/>
        <v>3.106890154030391</v>
      </c>
      <c r="G243" s="720">
        <f>(Unitflowchart!$S$294/Unitflowchart!$S$357)*RoadTransportEthanolStage1!Q46*Unitflowchart!$S$303</f>
        <v>1.7467213868441371</v>
      </c>
      <c r="H243" s="211">
        <f>(Unitflowchart!$S$294/Unitflowchart!$S$357)*RoadTransportEthanolStage1!V46*Unitflowchart!$S$303</f>
        <v>7.7224487951108563E-3</v>
      </c>
      <c r="I243" s="14">
        <f t="shared" si="50"/>
        <v>0.4320277888958714</v>
      </c>
      <c r="J243" s="728">
        <f>(Unitflowchart!$S$294/Unitflowchart!$S$357)*RoadTransportEthanolStage1!W46*Unitflowchart!$S$303</f>
        <v>3.6295509337021026E-4</v>
      </c>
      <c r="K243" s="211">
        <f>(Unitflowchart!$S$294/Unitflowchart!$S$357)*RoadTransportEthanolStage1!AB46*Unitflowchart!$S$303</f>
        <v>1.0039183433644116E-2</v>
      </c>
      <c r="L243" s="14">
        <f t="shared" si="51"/>
        <v>0.55266309750853282</v>
      </c>
      <c r="M243" s="212">
        <f>(Unitflowchart!$S$294/Unitflowchart!$S$357)*RoadTransportEthanolStage1!AC46*Unitflowchart!$S$303</f>
        <v>4.7184162138127345E-4</v>
      </c>
      <c r="N243" s="714">
        <f>E243+(GlobalWarmingPotentials!$B$11*H243)+(GlobalWarmingPotentials!$C$11*K243)</f>
        <v>40.313499445117209</v>
      </c>
      <c r="O243" s="14">
        <f>(N243/N$347)*100</f>
        <v>2.2711976839078019</v>
      </c>
      <c r="P243" s="741">
        <f>SQRT((G243^2)+((GlobalWarmingPotentials!$B$11*J243)^2)+((GlobalWarmingPotentials!$C$11*M243)^2))</f>
        <v>1.7523160780917761</v>
      </c>
      <c r="Q243" s="29"/>
    </row>
    <row r="244" spans="1:17" x14ac:dyDescent="0.25">
      <c r="B244" s="712"/>
      <c r="D244" s="718"/>
      <c r="E244" s="712"/>
      <c r="G244" s="718"/>
      <c r="H244" s="30"/>
      <c r="J244" s="708"/>
      <c r="K244" s="30"/>
      <c r="M244" s="708"/>
      <c r="N244" s="716"/>
      <c r="P244" s="718"/>
      <c r="Q244" s="29"/>
    </row>
    <row r="245" spans="1:17" x14ac:dyDescent="0.25">
      <c r="A245" s="384" t="s">
        <v>883</v>
      </c>
      <c r="B245" s="712"/>
      <c r="D245" s="718"/>
      <c r="E245" s="712"/>
      <c r="G245" s="718"/>
      <c r="H245" s="30"/>
      <c r="J245" s="708"/>
      <c r="K245" s="30"/>
      <c r="M245" s="708"/>
      <c r="N245" s="712"/>
      <c r="P245" s="718"/>
      <c r="Q245" s="29"/>
    </row>
    <row r="246" spans="1:17" x14ac:dyDescent="0.25">
      <c r="B246" s="712"/>
      <c r="D246" s="718"/>
      <c r="E246" s="712"/>
      <c r="G246" s="718"/>
      <c r="H246" s="30"/>
      <c r="J246" s="708"/>
      <c r="K246" s="30"/>
      <c r="M246" s="708"/>
      <c r="N246" s="712"/>
      <c r="P246" s="718"/>
      <c r="Q246" s="29"/>
    </row>
    <row r="247" spans="1:17" x14ac:dyDescent="0.25">
      <c r="A247" t="str">
        <f>RailTransport!A11</f>
        <v xml:space="preserve"> - Gas Oil</v>
      </c>
      <c r="B247" s="710">
        <f>(Unitflowchart!$S$294/Unitflowchart!$S$357)*RailTransport!J11*Unitflowchart!$S$305</f>
        <v>0</v>
      </c>
      <c r="C247" s="24">
        <f>(B247/B$347)*100</f>
        <v>0</v>
      </c>
      <c r="D247" s="726">
        <f>(Unitflowchart!$S$294/Unitflowchart!$S$357)*RailTransport!K11*Unitflowchart!$S$305</f>
        <v>0</v>
      </c>
      <c r="E247" s="710">
        <f>(Unitflowchart!$S$294/Unitflowchart!$S$357)*RailTransport!P11*Unitflowchart!$S$305</f>
        <v>0</v>
      </c>
      <c r="F247" s="24">
        <f>(E247/E$347)*100</f>
        <v>0</v>
      </c>
      <c r="G247" s="726">
        <f>(Unitflowchart!$S$294/Unitflowchart!$S$357)*RailTransport!Q11*Unitflowchart!$S$305</f>
        <v>0</v>
      </c>
      <c r="H247" s="707">
        <f>(Unitflowchart!$S$294/Unitflowchart!$S$357)*RailTransport!V11*Unitflowchart!$S$305</f>
        <v>0</v>
      </c>
      <c r="I247" s="24">
        <f>(H247/H$347)*100</f>
        <v>0</v>
      </c>
      <c r="J247" s="709">
        <f>(Unitflowchart!$S$294/Unitflowchart!$S$357)*RailTransport!W11*Unitflowchart!$S$305</f>
        <v>0</v>
      </c>
      <c r="K247" s="707">
        <f>(Unitflowchart!$S$294/Unitflowchart!$S$357)*RailTransport!AB11*Unitflowchart!$S$305</f>
        <v>0</v>
      </c>
      <c r="L247" s="24">
        <f>(K247/K$347)*100</f>
        <v>0</v>
      </c>
      <c r="M247" s="709">
        <f>(Unitflowchart!$S$294/Unitflowchart!$S$357)*RailTransport!AC11*Unitflowchart!$S$305</f>
        <v>0</v>
      </c>
      <c r="N247" s="710">
        <f>E247+(GlobalWarmingPotentials!$B$11*H247)+(GlobalWarmingPotentials!$C$11*K247)</f>
        <v>0</v>
      </c>
      <c r="O247" s="24">
        <f>(N247/N$347)*100</f>
        <v>0</v>
      </c>
      <c r="P247" s="726">
        <f>SQRT((G247^2)+((GlobalWarmingPotentials!$B$11*J247)^2)+((GlobalWarmingPotentials!$C$11*M247)^2))</f>
        <v>0</v>
      </c>
      <c r="Q247" s="29"/>
    </row>
    <row r="248" spans="1:17" x14ac:dyDescent="0.25">
      <c r="A248" t="str">
        <f>RailTransport!A12</f>
        <v xml:space="preserve"> - Capital Equipment</v>
      </c>
      <c r="B248" s="710">
        <f>(Unitflowchart!$S$294/Unitflowchart!$S$357)*RailTransport!J12*Unitflowchart!$S$305</f>
        <v>0</v>
      </c>
      <c r="C248" s="24">
        <f>(B248/B$347)*100</f>
        <v>0</v>
      </c>
      <c r="D248" s="726">
        <f>(Unitflowchart!$S$294/Unitflowchart!$S$357)*RailTransport!K12*Unitflowchart!$S$305</f>
        <v>0</v>
      </c>
      <c r="E248" s="710">
        <f>(Unitflowchart!$S$294/Unitflowchart!$S$357)*RailTransport!P12*Unitflowchart!$S$305</f>
        <v>0</v>
      </c>
      <c r="F248" s="24">
        <f>(E248/E$347)*100</f>
        <v>0</v>
      </c>
      <c r="G248" s="726">
        <f>(Unitflowchart!$S$294/Unitflowchart!$S$357)*RailTransport!Q12*Unitflowchart!$S$305</f>
        <v>0</v>
      </c>
      <c r="H248" s="707">
        <f>(Unitflowchart!$S$294/Unitflowchart!$S$357)*RailTransport!V12*Unitflowchart!$S$305</f>
        <v>0</v>
      </c>
      <c r="I248" s="24">
        <f>(H248/H$347)*100</f>
        <v>0</v>
      </c>
      <c r="J248" s="709">
        <f>(Unitflowchart!$S$294/Unitflowchart!$S$357)*RailTransport!W12*Unitflowchart!$S$305</f>
        <v>0</v>
      </c>
      <c r="K248" s="707">
        <f>(Unitflowchart!$S$294/Unitflowchart!$S$357)*RailTransport!AB12*Unitflowchart!$S$305</f>
        <v>0</v>
      </c>
      <c r="L248" s="24">
        <f>(K248/K$347)*100</f>
        <v>0</v>
      </c>
      <c r="M248" s="709">
        <f>(Unitflowchart!$S$294/Unitflowchart!$S$357)*RailTransport!AC12*Unitflowchart!$S$305</f>
        <v>0</v>
      </c>
      <c r="N248" s="710">
        <f>E248+(GlobalWarmingPotentials!$B$11*H248)+(GlobalWarmingPotentials!$C$11*K248)</f>
        <v>0</v>
      </c>
      <c r="O248" s="24">
        <f>(N248/N$347)*100</f>
        <v>0</v>
      </c>
      <c r="P248" s="726">
        <f>SQRT((G248^2)+((GlobalWarmingPotentials!$B$11*J248)^2)+((GlobalWarmingPotentials!$C$11*M248)^2))</f>
        <v>0</v>
      </c>
      <c r="Q248" s="29"/>
    </row>
    <row r="249" spans="1:17" x14ac:dyDescent="0.25">
      <c r="A249" t="str">
        <f>RailTransport!A13</f>
        <v xml:space="preserve"> - Maintenance</v>
      </c>
      <c r="B249" s="710">
        <f>(Unitflowchart!$S$294/Unitflowchart!$S$357)*RailTransport!J13*Unitflowchart!$S$305</f>
        <v>0</v>
      </c>
      <c r="C249" s="24">
        <f>(B249/B$347)*100</f>
        <v>0</v>
      </c>
      <c r="D249" s="726">
        <f>(Unitflowchart!$S$294/Unitflowchart!$S$357)*RailTransport!K13*Unitflowchart!$S$305</f>
        <v>0</v>
      </c>
      <c r="E249" s="710">
        <f>(Unitflowchart!$S$294/Unitflowchart!$S$357)*RailTransport!P13*Unitflowchart!$S$305</f>
        <v>0</v>
      </c>
      <c r="F249" s="24">
        <f>(E249/E$347)*100</f>
        <v>0</v>
      </c>
      <c r="G249" s="726">
        <f>(Unitflowchart!$S$294/Unitflowchart!$S$357)*RailTransport!Q13*Unitflowchart!$S$305</f>
        <v>0</v>
      </c>
      <c r="H249" s="707">
        <f>(Unitflowchart!$S$294/Unitflowchart!$S$357)*RailTransport!V13*Unitflowchart!$S$305</f>
        <v>0</v>
      </c>
      <c r="I249" s="24">
        <f>(H249/H$347)*100</f>
        <v>0</v>
      </c>
      <c r="J249" s="709">
        <f>(Unitflowchart!$S$294/Unitflowchart!$S$357)*RailTransport!W13*Unitflowchart!$S$305</f>
        <v>0</v>
      </c>
      <c r="K249" s="707">
        <f>(Unitflowchart!$S$294/Unitflowchart!$S$357)*RailTransport!AB13*Unitflowchart!$S$305</f>
        <v>0</v>
      </c>
      <c r="L249" s="24">
        <f>(K249/K$347)*100</f>
        <v>0</v>
      </c>
      <c r="M249" s="709">
        <f>(Unitflowchart!$S$294/Unitflowchart!$S$357)*RailTransport!AC13*Unitflowchart!$S$305</f>
        <v>0</v>
      </c>
      <c r="N249" s="710">
        <f>E249+(GlobalWarmingPotentials!$B$11*H249)+(GlobalWarmingPotentials!$C$11*K249)</f>
        <v>0</v>
      </c>
      <c r="O249" s="24">
        <f>(N249/N$347)*100</f>
        <v>0</v>
      </c>
      <c r="P249" s="726">
        <f>SQRT((G249^2)+((GlobalWarmingPotentials!$B$11*J249)^2)+((GlobalWarmingPotentials!$C$11*M249)^2))</f>
        <v>0</v>
      </c>
      <c r="Q249" s="29"/>
    </row>
    <row r="250" spans="1:17" x14ac:dyDescent="0.25">
      <c r="B250" s="712"/>
      <c r="C250" s="24"/>
      <c r="D250" s="718"/>
      <c r="E250" s="712"/>
      <c r="F250" s="24"/>
      <c r="G250" s="718"/>
      <c r="H250" s="30"/>
      <c r="I250" s="24"/>
      <c r="J250" s="708"/>
      <c r="K250" s="30"/>
      <c r="L250" s="24"/>
      <c r="M250" s="708"/>
      <c r="N250" s="712"/>
      <c r="O250" s="24"/>
      <c r="P250" s="718"/>
      <c r="Q250" s="29"/>
    </row>
    <row r="251" spans="1:17" x14ac:dyDescent="0.25">
      <c r="A251" s="214" t="s">
        <v>843</v>
      </c>
      <c r="B251" s="717">
        <f>(Unitflowchart!$S$294/Unitflowchart!$S$357)*RailTransport!J15*Unitflowchart!$S$305</f>
        <v>0</v>
      </c>
      <c r="C251" s="705">
        <f>(B251/B$347)*100</f>
        <v>0</v>
      </c>
      <c r="D251" s="727">
        <f>(Unitflowchart!$S$294/Unitflowchart!$S$357)*RailTransport!K15*Unitflowchart!$S$305</f>
        <v>0</v>
      </c>
      <c r="E251" s="717">
        <f>(Unitflowchart!$S$294/Unitflowchart!$S$357)*RailTransport!P15*Unitflowchart!$S$305</f>
        <v>0</v>
      </c>
      <c r="F251" s="705">
        <f>(E251/E$347)*100</f>
        <v>0</v>
      </c>
      <c r="G251" s="727">
        <f>(Unitflowchart!$S$294/Unitflowchart!$S$357)*RailTransport!Q15*Unitflowchart!$S$305</f>
        <v>0</v>
      </c>
      <c r="H251" s="706">
        <f>(Unitflowchart!$S$294/Unitflowchart!$S$357)*RailTransport!V15*Unitflowchart!$S$305</f>
        <v>0</v>
      </c>
      <c r="I251" s="705">
        <f>(H251/H$347)*100</f>
        <v>0</v>
      </c>
      <c r="J251" s="704">
        <f>(Unitflowchart!$S$294/Unitflowchart!$S$357)*RailTransport!W15*Unitflowchart!$S$305</f>
        <v>0</v>
      </c>
      <c r="K251" s="706">
        <f>(Unitflowchart!$S$294/Unitflowchart!$S$357)*RailTransport!AB15*Unitflowchart!$S$305</f>
        <v>0</v>
      </c>
      <c r="L251" s="705">
        <f>(K251/K$347)*100</f>
        <v>0</v>
      </c>
      <c r="M251" s="704">
        <f>(Unitflowchart!$S$294/Unitflowchart!$S$357)*RailTransport!AC15*Unitflowchart!$S$305</f>
        <v>0</v>
      </c>
      <c r="N251" s="717">
        <f>E251+(GlobalWarmingPotentials!$B$11*H251)+(GlobalWarmingPotentials!$C$11*K251)</f>
        <v>0</v>
      </c>
      <c r="O251" s="705">
        <f>(N251/N$347)*100</f>
        <v>0</v>
      </c>
      <c r="P251" s="725">
        <f>SQRT((G251^2)+((GlobalWarmingPotentials!$B$11*J251)^2)+((GlobalWarmingPotentials!$C$11*M251)^2))</f>
        <v>0</v>
      </c>
      <c r="Q251" s="29"/>
    </row>
    <row r="252" spans="1:17" x14ac:dyDescent="0.25">
      <c r="B252" s="712"/>
      <c r="C252" s="24"/>
      <c r="D252" s="718"/>
      <c r="E252" s="712"/>
      <c r="F252" s="24"/>
      <c r="G252" s="718"/>
      <c r="H252" s="30"/>
      <c r="I252" s="24"/>
      <c r="J252" s="708"/>
      <c r="K252" s="30"/>
      <c r="L252" s="24"/>
      <c r="M252" s="708"/>
      <c r="N252" s="712"/>
      <c r="O252" s="24"/>
      <c r="P252" s="718"/>
      <c r="Q252" s="29"/>
    </row>
    <row r="253" spans="1:17" x14ac:dyDescent="0.25">
      <c r="A253" s="384" t="s">
        <v>884</v>
      </c>
      <c r="B253" s="712"/>
      <c r="C253" s="24"/>
      <c r="D253" s="718"/>
      <c r="E253" s="712"/>
      <c r="F253" s="24"/>
      <c r="G253" s="718"/>
      <c r="H253" s="30"/>
      <c r="I253" s="24"/>
      <c r="J253" s="708"/>
      <c r="K253" s="30"/>
      <c r="L253" s="24"/>
      <c r="M253" s="708"/>
      <c r="N253" s="712"/>
      <c r="O253" s="24"/>
      <c r="P253" s="718"/>
      <c r="Q253" s="29"/>
    </row>
    <row r="254" spans="1:17" x14ac:dyDescent="0.25">
      <c r="B254" s="712"/>
      <c r="C254" s="24"/>
      <c r="D254" s="718"/>
      <c r="E254" s="712"/>
      <c r="F254" s="24"/>
      <c r="G254" s="718"/>
      <c r="H254" s="30"/>
      <c r="I254" s="24"/>
      <c r="J254" s="708"/>
      <c r="K254" s="30"/>
      <c r="L254" s="24"/>
      <c r="M254" s="708"/>
      <c r="N254" s="712"/>
      <c r="O254" s="24"/>
      <c r="P254" s="718"/>
      <c r="Q254" s="29"/>
    </row>
    <row r="255" spans="1:17" x14ac:dyDescent="0.25">
      <c r="A255" t="str">
        <f>BargeTransport!A11</f>
        <v xml:space="preserve"> - Marine Diesel</v>
      </c>
      <c r="B255" s="710">
        <f>(Unitflowchart!$S$294/Unitflowchart!$S$357)*BargeTransport!J11*Unitflowchart!$S$307</f>
        <v>0</v>
      </c>
      <c r="C255" s="24">
        <f>(B255/B$347)*100</f>
        <v>0</v>
      </c>
      <c r="D255" s="726">
        <f>(Unitflowchart!$S$294/Unitflowchart!$S$357)*BargeTransport!K11*Unitflowchart!$S$307</f>
        <v>0</v>
      </c>
      <c r="E255" s="710">
        <f>(Unitflowchart!$S$294/Unitflowchart!$S$357)*BargeTransport!P11*Unitflowchart!$S$307</f>
        <v>0</v>
      </c>
      <c r="F255" s="24">
        <f>(E255/E$347)*100</f>
        <v>0</v>
      </c>
      <c r="G255" s="726">
        <f>(Unitflowchart!$S$294/Unitflowchart!$S$357)*BargeTransport!Q11*Unitflowchart!$S$307</f>
        <v>0</v>
      </c>
      <c r="H255" s="707">
        <f>(Unitflowchart!$S$294/Unitflowchart!$S$357)*BargeTransport!V11*Unitflowchart!$S$307</f>
        <v>0</v>
      </c>
      <c r="I255" s="24">
        <f>(H255/H$347)*100</f>
        <v>0</v>
      </c>
      <c r="J255" s="709">
        <f>(Unitflowchart!$S$294/Unitflowchart!$S$357)*BargeTransport!W11*Unitflowchart!$S$307</f>
        <v>0</v>
      </c>
      <c r="K255" s="707">
        <f>(Unitflowchart!$S$294/Unitflowchart!$S$357)*BargeTransport!AB11*Unitflowchart!$S$307</f>
        <v>0</v>
      </c>
      <c r="L255" s="24">
        <f>(K255/K$347)*100</f>
        <v>0</v>
      </c>
      <c r="M255" s="709">
        <f>(Unitflowchart!$S$294/Unitflowchart!$S$357)*BargeTransport!AC11*Unitflowchart!$S$307</f>
        <v>0</v>
      </c>
      <c r="N255" s="710">
        <f>E255+(GlobalWarmingPotentials!$B$11*H255)+(GlobalWarmingPotentials!$C$11*K255)</f>
        <v>0</v>
      </c>
      <c r="O255" s="24">
        <f>(N255/N$347)*100</f>
        <v>0</v>
      </c>
      <c r="P255" s="726">
        <f>SQRT((G255^2)+((GlobalWarmingPotentials!$B$11*J255)^2)+((GlobalWarmingPotentials!$C$11*M255)^2))</f>
        <v>0</v>
      </c>
      <c r="Q255" s="29"/>
    </row>
    <row r="256" spans="1:17" x14ac:dyDescent="0.25">
      <c r="A256" t="str">
        <f>BargeTransport!A12</f>
        <v xml:space="preserve"> - Barge Construction</v>
      </c>
      <c r="B256" s="710">
        <f>(Unitflowchart!$S$294/Unitflowchart!$S$357)*BargeTransport!J12*Unitflowchart!$S$307</f>
        <v>0</v>
      </c>
      <c r="C256" s="24">
        <f>(B256/B$347)*100</f>
        <v>0</v>
      </c>
      <c r="D256" s="726">
        <f>(Unitflowchart!$S$294/Unitflowchart!$S$357)*BargeTransport!K12*Unitflowchart!$S$307</f>
        <v>0</v>
      </c>
      <c r="E256" s="710">
        <f>(Unitflowchart!$S$294/Unitflowchart!$S$357)*BargeTransport!P12*Unitflowchart!$S$307</f>
        <v>0</v>
      </c>
      <c r="F256" s="24">
        <f>(E256/E$347)*100</f>
        <v>0</v>
      </c>
      <c r="G256" s="726">
        <f>(Unitflowchart!$S$294/Unitflowchart!$S$357)*BargeTransport!Q12*Unitflowchart!$S$307</f>
        <v>0</v>
      </c>
      <c r="H256" s="707">
        <f>(Unitflowchart!$S$294/Unitflowchart!$S$357)*BargeTransport!V12*Unitflowchart!$S$307</f>
        <v>0</v>
      </c>
      <c r="I256" s="24">
        <f>(H256/H$347)*100</f>
        <v>0</v>
      </c>
      <c r="J256" s="709">
        <f>(Unitflowchart!$S$294/Unitflowchart!$S$357)*BargeTransport!W12*Unitflowchart!$S$307</f>
        <v>0</v>
      </c>
      <c r="K256" s="707">
        <f>(Unitflowchart!$S$294/Unitflowchart!$S$357)*BargeTransport!AB12*Unitflowchart!$S$307</f>
        <v>0</v>
      </c>
      <c r="L256" s="24">
        <f>(K256/K$347)*100</f>
        <v>0</v>
      </c>
      <c r="M256" s="709">
        <f>(Unitflowchart!$S$294/Unitflowchart!$S$357)*BargeTransport!AC12*Unitflowchart!$S$307</f>
        <v>0</v>
      </c>
      <c r="N256" s="710">
        <f>E256+(GlobalWarmingPotentials!$B$11*H256)+(GlobalWarmingPotentials!$C$11*K256)</f>
        <v>0</v>
      </c>
      <c r="O256" s="24">
        <f>(N256/N$347)*100</f>
        <v>0</v>
      </c>
      <c r="P256" s="726">
        <f>SQRT((G256^2)+((GlobalWarmingPotentials!$B$11*J256)^2)+((GlobalWarmingPotentials!$C$11*M256)^2))</f>
        <v>0</v>
      </c>
      <c r="Q256" s="29"/>
    </row>
    <row r="257" spans="1:17" x14ac:dyDescent="0.25">
      <c r="A257" t="str">
        <f>BargeTransport!A13</f>
        <v xml:space="preserve"> - Barge Maintenance</v>
      </c>
      <c r="B257" s="710">
        <f>(Unitflowchart!$S$294/Unitflowchart!$S$357)*BargeTransport!J13*Unitflowchart!$S$307</f>
        <v>0</v>
      </c>
      <c r="C257" s="24">
        <f>(B257/B$347)*100</f>
        <v>0</v>
      </c>
      <c r="D257" s="726">
        <f>(Unitflowchart!$S$294/Unitflowchart!$S$357)*BargeTransport!K13*Unitflowchart!$S$307</f>
        <v>0</v>
      </c>
      <c r="E257" s="710">
        <f>(Unitflowchart!$S$294/Unitflowchart!$S$357)*BargeTransport!P13*Unitflowchart!$S$307</f>
        <v>0</v>
      </c>
      <c r="F257" s="24">
        <f>(E257/E$347)*100</f>
        <v>0</v>
      </c>
      <c r="G257" s="726">
        <f>(Unitflowchart!$S$294/Unitflowchart!$S$357)*BargeTransport!Q13*Unitflowchart!$S$307</f>
        <v>0</v>
      </c>
      <c r="H257" s="707">
        <f>(Unitflowchart!$S$294/Unitflowchart!$S$357)*BargeTransport!V13*Unitflowchart!$S$307</f>
        <v>0</v>
      </c>
      <c r="I257" s="24">
        <f>(H257/H$347)*100</f>
        <v>0</v>
      </c>
      <c r="J257" s="709">
        <f>(Unitflowchart!$S$294/Unitflowchart!$S$357)*BargeTransport!W13*Unitflowchart!$S$307</f>
        <v>0</v>
      </c>
      <c r="K257" s="707">
        <f>(Unitflowchart!$S$294/Unitflowchart!$S$357)*BargeTransport!AB13*Unitflowchart!$S$307</f>
        <v>0</v>
      </c>
      <c r="L257" s="24">
        <f>(K257/K$347)*100</f>
        <v>0</v>
      </c>
      <c r="M257" s="709">
        <f>(Unitflowchart!$S$294/Unitflowchart!$S$357)*BargeTransport!AC13*Unitflowchart!$S$307</f>
        <v>0</v>
      </c>
      <c r="N257" s="710">
        <f>E257+(GlobalWarmingPotentials!$B$11*H257)+(GlobalWarmingPotentials!$C$11*K257)</f>
        <v>0</v>
      </c>
      <c r="O257" s="24">
        <f>(N257/N$347)*100</f>
        <v>0</v>
      </c>
      <c r="P257" s="726">
        <f>SQRT((G257^2)+((GlobalWarmingPotentials!$B$11*J257)^2)+((GlobalWarmingPotentials!$C$11*M257)^2))</f>
        <v>0</v>
      </c>
      <c r="Q257" s="29"/>
    </row>
    <row r="258" spans="1:17" x14ac:dyDescent="0.25">
      <c r="B258" s="712"/>
      <c r="C258" s="24"/>
      <c r="D258" s="718"/>
      <c r="E258" s="712"/>
      <c r="F258" s="24"/>
      <c r="G258" s="718"/>
      <c r="H258" s="30"/>
      <c r="I258" s="24"/>
      <c r="J258" s="708"/>
      <c r="K258" s="30"/>
      <c r="L258" s="24"/>
      <c r="M258" s="708"/>
      <c r="N258" s="712"/>
      <c r="O258" s="24"/>
      <c r="P258" s="718"/>
      <c r="Q258" s="29"/>
    </row>
    <row r="259" spans="1:17" x14ac:dyDescent="0.25">
      <c r="A259" s="214" t="s">
        <v>847</v>
      </c>
      <c r="B259" s="717">
        <f>(Unitflowchart!$S$294/Unitflowchart!$S$357)*BargeTransport!J15*Unitflowchart!$S$307</f>
        <v>0</v>
      </c>
      <c r="C259" s="705">
        <f>(B259/B$347)*100</f>
        <v>0</v>
      </c>
      <c r="D259" s="727">
        <f>(Unitflowchart!$S$294/Unitflowchart!$S$357)*BargeTransport!K15*Unitflowchart!$S$307</f>
        <v>0</v>
      </c>
      <c r="E259" s="717">
        <f>(Unitflowchart!$S$294/Unitflowchart!$S$357)*BargeTransport!P15*Unitflowchart!$S$307</f>
        <v>0</v>
      </c>
      <c r="F259" s="705">
        <f>(E259/E$347)*100</f>
        <v>0</v>
      </c>
      <c r="G259" s="727">
        <f>(Unitflowchart!$S$294/Unitflowchart!$S$357)*BargeTransport!Q15*Unitflowchart!$S$307</f>
        <v>0</v>
      </c>
      <c r="H259" s="706">
        <f>(Unitflowchart!$S$294/Unitflowchart!$S$357)*BargeTransport!V15*Unitflowchart!$S$307</f>
        <v>0</v>
      </c>
      <c r="I259" s="705">
        <f>(H259/H$347)*100</f>
        <v>0</v>
      </c>
      <c r="J259" s="704">
        <f>(Unitflowchart!$S$294/Unitflowchart!$S$357)*BargeTransport!W15*Unitflowchart!$S$307</f>
        <v>0</v>
      </c>
      <c r="K259" s="706">
        <f>(Unitflowchart!$S$294/Unitflowchart!$S$357)*BargeTransport!AB15*Unitflowchart!$S$307</f>
        <v>0</v>
      </c>
      <c r="L259" s="705">
        <f>(K259/K$347)*100</f>
        <v>0</v>
      </c>
      <c r="M259" s="704">
        <f>(Unitflowchart!$S$294/Unitflowchart!$S$357)*BargeTransport!AC15*Unitflowchart!$S$307</f>
        <v>0</v>
      </c>
      <c r="N259" s="717">
        <f>E259+(GlobalWarmingPotentials!$B$11*H259)+(GlobalWarmingPotentials!$C$11*K259)</f>
        <v>0</v>
      </c>
      <c r="O259" s="705">
        <f>(N259/N$347)*100</f>
        <v>0</v>
      </c>
      <c r="P259" s="725">
        <f>SQRT((G259^2)+((GlobalWarmingPotentials!$B$11*J259)^2)+((GlobalWarmingPotentials!$C$11*M259)^2))</f>
        <v>0</v>
      </c>
      <c r="Q259" s="29"/>
    </row>
    <row r="260" spans="1:17" x14ac:dyDescent="0.25">
      <c r="B260" s="712"/>
      <c r="C260" s="24"/>
      <c r="D260" s="718"/>
      <c r="E260" s="712"/>
      <c r="F260" s="24"/>
      <c r="G260" s="718"/>
      <c r="H260" s="30"/>
      <c r="I260" s="24"/>
      <c r="J260" s="708"/>
      <c r="K260" s="30"/>
      <c r="L260" s="24"/>
      <c r="M260" s="708"/>
      <c r="N260" s="712"/>
      <c r="O260" s="24"/>
      <c r="P260" s="718"/>
      <c r="Q260" s="29"/>
    </row>
    <row r="261" spans="1:17" x14ac:dyDescent="0.25">
      <c r="A261" s="384" t="s">
        <v>885</v>
      </c>
      <c r="B261" s="712"/>
      <c r="C261" s="24"/>
      <c r="D261" s="718"/>
      <c r="E261" s="712"/>
      <c r="F261" s="24"/>
      <c r="G261" s="718"/>
      <c r="H261" s="30"/>
      <c r="I261" s="24"/>
      <c r="J261" s="708"/>
      <c r="K261" s="30"/>
      <c r="L261" s="24"/>
      <c r="M261" s="708"/>
      <c r="N261" s="712"/>
      <c r="O261" s="24"/>
      <c r="P261" s="718"/>
      <c r="Q261" s="29"/>
    </row>
    <row r="262" spans="1:17" x14ac:dyDescent="0.25">
      <c r="B262" s="712"/>
      <c r="C262" s="24"/>
      <c r="D262" s="718"/>
      <c r="E262" s="712"/>
      <c r="F262" s="24"/>
      <c r="G262" s="718"/>
      <c r="H262" s="30"/>
      <c r="I262" s="24"/>
      <c r="J262" s="708"/>
      <c r="K262" s="30"/>
      <c r="L262" s="24"/>
      <c r="M262" s="708"/>
      <c r="N262" s="712"/>
      <c r="O262" s="24"/>
      <c r="P262" s="718"/>
      <c r="Q262" s="29"/>
    </row>
    <row r="263" spans="1:17" x14ac:dyDescent="0.25">
      <c r="A263" t="str">
        <f>ShipTransport!A11</f>
        <v xml:space="preserve"> - Marine Diesel</v>
      </c>
      <c r="B263" s="710">
        <f>(Unitflowchart!$S$294/Unitflowchart!$S$357)*ShipTransport!J11*Unitflowchart!$S$309</f>
        <v>0</v>
      </c>
      <c r="C263" s="24">
        <f>(B263/B$347)*100</f>
        <v>0</v>
      </c>
      <c r="D263" s="726">
        <f>(Unitflowchart!$S$294/Unitflowchart!$S$357)*ShipTransport!K11*Unitflowchart!$S$309</f>
        <v>0</v>
      </c>
      <c r="E263" s="710">
        <f>(Unitflowchart!$S$294/Unitflowchart!$S$357)*ShipTransport!P11*Unitflowchart!$S$309</f>
        <v>0</v>
      </c>
      <c r="F263" s="24">
        <f>(E263/E$347)*100</f>
        <v>0</v>
      </c>
      <c r="G263" s="726">
        <f>(Unitflowchart!$S$294/Unitflowchart!$S$357)*ShipTransport!Q11*Unitflowchart!$S$309</f>
        <v>0</v>
      </c>
      <c r="H263" s="707">
        <f>(Unitflowchart!$S$294/Unitflowchart!$S$357)*ShipTransport!V11*Unitflowchart!$S$309</f>
        <v>0</v>
      </c>
      <c r="I263" s="24">
        <f>(H263/H$347)*100</f>
        <v>0</v>
      </c>
      <c r="J263" s="709">
        <f>(Unitflowchart!$S$294/Unitflowchart!$S$357)*ShipTransport!W11*Unitflowchart!$S$309</f>
        <v>0</v>
      </c>
      <c r="K263" s="707">
        <f>(Unitflowchart!$S$294/Unitflowchart!$S$357)*ShipTransport!AB11*Unitflowchart!$S$309</f>
        <v>0</v>
      </c>
      <c r="L263" s="24">
        <f>(K263/K$347)*100</f>
        <v>0</v>
      </c>
      <c r="M263" s="709">
        <f>(Unitflowchart!$S$294/Unitflowchart!$S$357)*ShipTransport!AC11*Unitflowchart!$S$309</f>
        <v>0</v>
      </c>
      <c r="N263" s="710">
        <f>E263+(GlobalWarmingPotentials!$B$11*H263)+(GlobalWarmingPotentials!$C$11*K263)</f>
        <v>0</v>
      </c>
      <c r="O263" s="24">
        <f>(N263/N$347)*100</f>
        <v>0</v>
      </c>
      <c r="P263" s="726">
        <f>SQRT((G263^2)+((GlobalWarmingPotentials!$B$11*J263)^2)+((GlobalWarmingPotentials!$C$11*M263)^2))</f>
        <v>0</v>
      </c>
      <c r="Q263" s="29"/>
    </row>
    <row r="264" spans="1:17" x14ac:dyDescent="0.25">
      <c r="A264" t="str">
        <f>ShipTransport!A12</f>
        <v xml:space="preserve"> - Ship Construction</v>
      </c>
      <c r="B264" s="710">
        <f>(Unitflowchart!$S$294/Unitflowchart!$S$357)*ShipTransport!J12*Unitflowchart!$S$309</f>
        <v>0</v>
      </c>
      <c r="C264" s="24">
        <f>(B264/B$347)*100</f>
        <v>0</v>
      </c>
      <c r="D264" s="726">
        <f>(Unitflowchart!$S$294/Unitflowchart!$S$357)*ShipTransport!K12*Unitflowchart!$S$309</f>
        <v>0</v>
      </c>
      <c r="E264" s="710">
        <f>(Unitflowchart!$S$294/Unitflowchart!$S$357)*ShipTransport!P12*Unitflowchart!$S$309</f>
        <v>0</v>
      </c>
      <c r="F264" s="24">
        <f>(E264/E$347)*100</f>
        <v>0</v>
      </c>
      <c r="G264" s="726">
        <f>(Unitflowchart!$S$294/Unitflowchart!$S$357)*ShipTransport!Q12*Unitflowchart!$S$309</f>
        <v>0</v>
      </c>
      <c r="H264" s="707">
        <f>(Unitflowchart!$S$294/Unitflowchart!$S$357)*ShipTransport!V12*Unitflowchart!$S$309</f>
        <v>0</v>
      </c>
      <c r="I264" s="24">
        <f>(H264/H$347)*100</f>
        <v>0</v>
      </c>
      <c r="J264" s="709">
        <f>(Unitflowchart!$S$294/Unitflowchart!$S$357)*ShipTransport!W12*Unitflowchart!$S$309</f>
        <v>0</v>
      </c>
      <c r="K264" s="707">
        <f>(Unitflowchart!$S$294/Unitflowchart!$S$357)*ShipTransport!AB12*Unitflowchart!$S$309</f>
        <v>0</v>
      </c>
      <c r="L264" s="24">
        <f>(K264/K$347)*100</f>
        <v>0</v>
      </c>
      <c r="M264" s="709">
        <f>(Unitflowchart!$S$294/Unitflowchart!$S$357)*ShipTransport!AC12*Unitflowchart!$S$309</f>
        <v>0</v>
      </c>
      <c r="N264" s="710">
        <f>E264+(GlobalWarmingPotentials!$B$11*H264)+(GlobalWarmingPotentials!$C$11*K264)</f>
        <v>0</v>
      </c>
      <c r="O264" s="24">
        <f>(N264/N$347)*100</f>
        <v>0</v>
      </c>
      <c r="P264" s="726">
        <f>SQRT((G264^2)+((GlobalWarmingPotentials!$B$11*J264)^2)+((GlobalWarmingPotentials!$C$11*M264)^2))</f>
        <v>0</v>
      </c>
      <c r="Q264" s="29"/>
    </row>
    <row r="265" spans="1:17" x14ac:dyDescent="0.25">
      <c r="A265" t="str">
        <f>ShipTransport!A13</f>
        <v xml:space="preserve"> - Ship Maintenance</v>
      </c>
      <c r="B265" s="710">
        <f>(Unitflowchart!$S$294/Unitflowchart!$S$357)*ShipTransport!J13*Unitflowchart!$S$309</f>
        <v>0</v>
      </c>
      <c r="C265" s="24">
        <f>(B265/B$347)*100</f>
        <v>0</v>
      </c>
      <c r="D265" s="726">
        <f>(Unitflowchart!$S$294/Unitflowchart!$S$357)*ShipTransport!K13*Unitflowchart!$S$309</f>
        <v>0</v>
      </c>
      <c r="E265" s="710">
        <f>(Unitflowchart!$S$294/Unitflowchart!$S$357)*ShipTransport!P13*Unitflowchart!$S$309</f>
        <v>0</v>
      </c>
      <c r="F265" s="24">
        <f>(E265/E$347)*100</f>
        <v>0</v>
      </c>
      <c r="G265" s="726">
        <f>(Unitflowchart!$S$294/Unitflowchart!$S$357)*ShipTransport!Q13*Unitflowchart!$S$309</f>
        <v>0</v>
      </c>
      <c r="H265" s="707">
        <f>(Unitflowchart!$S$294/Unitflowchart!$S$357)*ShipTransport!V13*Unitflowchart!$S$309</f>
        <v>0</v>
      </c>
      <c r="I265" s="24">
        <f>(H265/H$347)*100</f>
        <v>0</v>
      </c>
      <c r="J265" s="709">
        <f>(Unitflowchart!$S$294/Unitflowchart!$S$357)*ShipTransport!W13*Unitflowchart!$S$309</f>
        <v>0</v>
      </c>
      <c r="K265" s="707">
        <f>(Unitflowchart!$S$294/Unitflowchart!$S$357)*ShipTransport!AB13*Unitflowchart!$S$309</f>
        <v>0</v>
      </c>
      <c r="L265" s="24">
        <f>(K265/K$347)*100</f>
        <v>0</v>
      </c>
      <c r="M265" s="709">
        <f>(Unitflowchart!$S$294/Unitflowchart!$S$357)*ShipTransport!AC13*Unitflowchart!$S$309</f>
        <v>0</v>
      </c>
      <c r="N265" s="710">
        <f>E265+(GlobalWarmingPotentials!$B$11*H265)+(GlobalWarmingPotentials!$C$11*K265)</f>
        <v>0</v>
      </c>
      <c r="O265" s="24">
        <f>(N265/N$347)*100</f>
        <v>0</v>
      </c>
      <c r="P265" s="726">
        <f>SQRT((G265^2)+((GlobalWarmingPotentials!$B$11*J265)^2)+((GlobalWarmingPotentials!$C$11*M265)^2))</f>
        <v>0</v>
      </c>
      <c r="Q265" s="29"/>
    </row>
    <row r="266" spans="1:17" x14ac:dyDescent="0.25">
      <c r="B266" s="712"/>
      <c r="C266" s="24"/>
      <c r="D266" s="718"/>
      <c r="E266" s="712"/>
      <c r="F266" s="24"/>
      <c r="G266" s="718"/>
      <c r="H266" s="30"/>
      <c r="I266" s="24"/>
      <c r="J266" s="708"/>
      <c r="K266" s="30"/>
      <c r="L266" s="24"/>
      <c r="M266" s="708"/>
      <c r="N266" s="712"/>
      <c r="O266" s="24"/>
      <c r="P266" s="718"/>
      <c r="Q266" s="29"/>
    </row>
    <row r="267" spans="1:17" x14ac:dyDescent="0.25">
      <c r="A267" s="214" t="s">
        <v>849</v>
      </c>
      <c r="B267" s="717">
        <f>(Unitflowchart!$S$294/Unitflowchart!$S$357)*ShipTransport!J15*Unitflowchart!$S$309</f>
        <v>0</v>
      </c>
      <c r="C267" s="705">
        <f>(B267/B$347)*100</f>
        <v>0</v>
      </c>
      <c r="D267" s="727">
        <f>(Unitflowchart!$S$294/Unitflowchart!$S$357)*ShipTransport!K15*Unitflowchart!$S$309</f>
        <v>0</v>
      </c>
      <c r="E267" s="717">
        <f>(Unitflowchart!$S$294/Unitflowchart!$S$357)*ShipTransport!P15*Unitflowchart!$S$309</f>
        <v>0</v>
      </c>
      <c r="F267" s="705">
        <f>(E267/E$347)*100</f>
        <v>0</v>
      </c>
      <c r="G267" s="727">
        <f>(Unitflowchart!$S$294/Unitflowchart!$S$357)*ShipTransport!Q15*Unitflowchart!$S$309</f>
        <v>0</v>
      </c>
      <c r="H267" s="706">
        <f>(Unitflowchart!$S$294/Unitflowchart!$S$357)*ShipTransport!V15*Unitflowchart!$S$309</f>
        <v>0</v>
      </c>
      <c r="I267" s="705">
        <f>(H267/H$347)*100</f>
        <v>0</v>
      </c>
      <c r="J267" s="704">
        <f>(Unitflowchart!$S$294/Unitflowchart!$S$357)*ShipTransport!W15*Unitflowchart!$S$309</f>
        <v>0</v>
      </c>
      <c r="K267" s="706">
        <f>(Unitflowchart!$S$294/Unitflowchart!$S$357)*ShipTransport!AB15*Unitflowchart!$S$309</f>
        <v>0</v>
      </c>
      <c r="L267" s="705">
        <f>(K267/K$347)*100</f>
        <v>0</v>
      </c>
      <c r="M267" s="704">
        <f>(Unitflowchart!$S$294/Unitflowchart!$S$357)*ShipTransport!AC15*Unitflowchart!$S$309</f>
        <v>0</v>
      </c>
      <c r="N267" s="717">
        <f>E267+(GlobalWarmingPotentials!$B$11*H267)+(GlobalWarmingPotentials!$C$11*K267)</f>
        <v>0</v>
      </c>
      <c r="O267" s="705">
        <f>(N267/N$347)*100</f>
        <v>0</v>
      </c>
      <c r="P267" s="725">
        <f>SQRT((G267^2)+((GlobalWarmingPotentials!$B$11*J267)^2)+((GlobalWarmingPotentials!$C$11*M267)^2))</f>
        <v>0</v>
      </c>
      <c r="Q267" s="29"/>
    </row>
    <row r="268" spans="1:17" x14ac:dyDescent="0.25">
      <c r="B268" s="712"/>
      <c r="D268" s="718"/>
      <c r="E268" s="712"/>
      <c r="F268" s="24"/>
      <c r="G268" s="718"/>
      <c r="H268" s="30"/>
      <c r="I268" s="24"/>
      <c r="J268" s="708"/>
      <c r="K268" s="30"/>
      <c r="L268" s="24"/>
      <c r="M268" s="708"/>
      <c r="N268" s="712"/>
      <c r="O268" s="24"/>
      <c r="P268" s="718"/>
      <c r="Q268" s="29"/>
    </row>
    <row r="269" spans="1:17" x14ac:dyDescent="0.25">
      <c r="A269" s="699" t="s">
        <v>876</v>
      </c>
      <c r="B269" s="717">
        <f>B243+B251+B259+B267</f>
        <v>517.88672232212184</v>
      </c>
      <c r="C269" s="705">
        <f>(B269/B$347)*100</f>
        <v>2.7214333895044533</v>
      </c>
      <c r="D269" s="727">
        <f>SQRT((D243^2)+(D251^2)+(D259^2)+(D267^2))</f>
        <v>24.34067594913973</v>
      </c>
      <c r="E269" s="717">
        <f t="shared" ref="E269" si="52">E243+E251+E259+E267</f>
        <v>37.164284826471004</v>
      </c>
      <c r="F269" s="705">
        <f t="shared" ref="F269" si="53">(E269/E$347)*100</f>
        <v>3.106890154030391</v>
      </c>
      <c r="G269" s="727">
        <f t="shared" ref="G269" si="54">SQRT((G243^2)+(G251^2)+(G259^2)+(G267^2))</f>
        <v>1.7467213868441371</v>
      </c>
      <c r="H269" s="706">
        <f t="shared" ref="H269" si="55">H243+H251+H259+H267</f>
        <v>7.7224487951108563E-3</v>
      </c>
      <c r="I269" s="705">
        <f t="shared" ref="I269" si="56">(H269/H$347)*100</f>
        <v>0.4320277888958714</v>
      </c>
      <c r="J269" s="704">
        <f t="shared" ref="J269" si="57">SQRT((J243^2)+(J251^2)+(J259^2)+(J267^2))</f>
        <v>3.6295509337021026E-4</v>
      </c>
      <c r="K269" s="706">
        <f t="shared" ref="K269" si="58">K243+K251+K259+K267</f>
        <v>1.0039183433644116E-2</v>
      </c>
      <c r="L269" s="705">
        <f t="shared" ref="L269" si="59">(K269/K$347)*100</f>
        <v>0.55266309750853282</v>
      </c>
      <c r="M269" s="704">
        <f t="shared" ref="M269" si="60">SQRT((M243^2)+(M251^2)+(M259^2)+(M267^2))</f>
        <v>4.7184162138127345E-4</v>
      </c>
      <c r="N269" s="717">
        <f t="shared" ref="N269" si="61">N243+N251+N259+N267</f>
        <v>40.313499445117209</v>
      </c>
      <c r="O269" s="705">
        <f t="shared" ref="O269" si="62">(N269/N$347)*100</f>
        <v>2.2711976839078019</v>
      </c>
      <c r="P269" s="725">
        <f t="shared" ref="P269" si="63">SQRT((P243^2)+(P251^2)+(P259^2)+(P267^2))</f>
        <v>1.7523160780917761</v>
      </c>
      <c r="Q269" s="29"/>
    </row>
    <row r="270" spans="1:17" x14ac:dyDescent="0.25">
      <c r="B270" s="712"/>
      <c r="D270" s="718"/>
      <c r="E270" s="712"/>
      <c r="G270" s="718"/>
      <c r="H270" s="30"/>
      <c r="J270" s="708"/>
      <c r="K270" s="30"/>
      <c r="M270" s="708"/>
      <c r="N270" s="712"/>
      <c r="P270" s="718"/>
      <c r="Q270" s="29"/>
    </row>
    <row r="271" spans="1:17" x14ac:dyDescent="0.25">
      <c r="A271" s="384" t="s">
        <v>416</v>
      </c>
      <c r="B271" s="712"/>
      <c r="D271" s="718"/>
      <c r="E271" s="712"/>
      <c r="G271" s="718"/>
      <c r="H271" s="30"/>
      <c r="J271" s="708"/>
      <c r="K271" s="30"/>
      <c r="M271" s="708"/>
      <c r="N271" s="712"/>
      <c r="P271" s="718"/>
      <c r="Q271" s="29"/>
    </row>
    <row r="272" spans="1:17" x14ac:dyDescent="0.25">
      <c r="B272" s="712"/>
      <c r="D272" s="718"/>
      <c r="E272" s="712"/>
      <c r="G272" s="718"/>
      <c r="H272" s="30"/>
      <c r="J272" s="708"/>
      <c r="K272" s="30"/>
      <c r="M272" s="708"/>
      <c r="N272" s="712"/>
      <c r="P272" s="718"/>
      <c r="Q272" s="29"/>
    </row>
    <row r="273" spans="1:17" x14ac:dyDescent="0.25">
      <c r="A273" s="13" t="str">
        <f>RoadTransportEthanolStage2!A42</f>
        <v xml:space="preserve"> - Diesel Fuel</v>
      </c>
      <c r="B273" s="715">
        <f>(Unitflowchart!$S$315/Unitflowchart!$S$357)*RoadTransportEthanolStage2!J42*Unitflowchart!$S$324</f>
        <v>0</v>
      </c>
      <c r="C273" s="25">
        <f>(B273/B$347)*100</f>
        <v>0</v>
      </c>
      <c r="D273" s="481">
        <f>(Unitflowchart!$S$315/Unitflowchart!$S$357)*RoadTransportEthanolStage2!K42*Unitflowchart!$S$324</f>
        <v>0</v>
      </c>
      <c r="E273" s="715">
        <f>(Unitflowchart!$S$315/Unitflowchart!$S$357)*RoadTransportEthanolStage2!P42*Unitflowchart!$S$324</f>
        <v>0</v>
      </c>
      <c r="F273" s="25">
        <f>(E273/E$347)*100</f>
        <v>0</v>
      </c>
      <c r="G273" s="481">
        <f>(Unitflowchart!$S$315/Unitflowchart!$S$357)*RoadTransportEthanolStage2!Q42*Unitflowchart!$S$324</f>
        <v>0</v>
      </c>
      <c r="H273" s="730">
        <f>(Unitflowchart!$S$315/Unitflowchart!$S$357)*RoadTransportEthanolStage2!V42*Unitflowchart!$S$324</f>
        <v>0</v>
      </c>
      <c r="I273" s="25">
        <f>(H273/H$347)*100</f>
        <v>0</v>
      </c>
      <c r="J273" s="733">
        <f>(Unitflowchart!$S$315/Unitflowchart!$S$357)*RoadTransportEthanolStage2!W42*Unitflowchart!$S$324</f>
        <v>0</v>
      </c>
      <c r="K273" s="730">
        <f>(Unitflowchart!$S$315/Unitflowchart!$S$357)*RoadTransportEthanolStage2!AB42*Unitflowchart!$S$324</f>
        <v>0</v>
      </c>
      <c r="L273" s="25">
        <f>(K273/K$347)*100</f>
        <v>0</v>
      </c>
      <c r="M273" s="732">
        <f>(Unitflowchart!$S$315/Unitflowchart!$S$357)*RoadTransportEthanolStage2!AC42*Unitflowchart!$S$324</f>
        <v>0</v>
      </c>
      <c r="N273" s="711">
        <f>E273+(GlobalWarmingPotentials!$B$11*H273)+(GlobalWarmingPotentials!$C$11*K273)</f>
        <v>0</v>
      </c>
      <c r="O273" s="25">
        <f>(N273/N$347)*100</f>
        <v>0</v>
      </c>
      <c r="P273" s="740">
        <f>SQRT((G273^2)+((GlobalWarmingPotentials!$B$11*J273)^2)+((GlobalWarmingPotentials!$C$11*M273)^2))</f>
        <v>0</v>
      </c>
      <c r="Q273" s="29"/>
    </row>
    <row r="274" spans="1:17" x14ac:dyDescent="0.25">
      <c r="A274" s="13" t="str">
        <f>RoadTransportEthanolStage2!A43</f>
        <v xml:space="preserve"> - Vehicle </v>
      </c>
      <c r="B274" s="715">
        <f>(Unitflowchart!$S$315/Unitflowchart!$S$357)*RoadTransportEthanolStage2!J43*Unitflowchart!$S$324</f>
        <v>0</v>
      </c>
      <c r="C274" s="25">
        <f t="shared" ref="C274:C277" si="64">(B274/B$347)*100</f>
        <v>0</v>
      </c>
      <c r="D274" s="481">
        <f>(Unitflowchart!$S$315/Unitflowchart!$S$357)*RoadTransportEthanolStage2!K43*Unitflowchart!$S$324</f>
        <v>0</v>
      </c>
      <c r="E274" s="715">
        <f>(Unitflowchart!$S$315/Unitflowchart!$S$357)*RoadTransportEthanolStage2!P43*Unitflowchart!$S$324</f>
        <v>0</v>
      </c>
      <c r="F274" s="25">
        <f t="shared" ref="F274:F277" si="65">(E274/E$347)*100</f>
        <v>0</v>
      </c>
      <c r="G274" s="481">
        <f>(Unitflowchart!$S$315/Unitflowchart!$S$357)*RoadTransportEthanolStage2!Q43*Unitflowchart!$S$324</f>
        <v>0</v>
      </c>
      <c r="H274" s="730">
        <f>(Unitflowchart!$S$315/Unitflowchart!$S$357)*RoadTransportEthanolStage2!V43*Unitflowchart!$S$324</f>
        <v>0</v>
      </c>
      <c r="I274" s="25">
        <f t="shared" ref="I274:I277" si="66">(H274/H$347)*100</f>
        <v>0</v>
      </c>
      <c r="J274" s="733">
        <f>(Unitflowchart!$S$315/Unitflowchart!$S$357)*RoadTransportEthanolStage2!W43*Unitflowchart!$S$324</f>
        <v>0</v>
      </c>
      <c r="K274" s="730">
        <f>(Unitflowchart!$S$315/Unitflowchart!$S$357)*RoadTransportEthanolStage2!AB43*Unitflowchart!$S$324</f>
        <v>0</v>
      </c>
      <c r="L274" s="25">
        <f t="shared" ref="L274:L277" si="67">(K274/K$347)*100</f>
        <v>0</v>
      </c>
      <c r="M274" s="732">
        <f>(Unitflowchart!$S$315/Unitflowchart!$S$357)*RoadTransportEthanolStage2!AC43*Unitflowchart!$S$324</f>
        <v>0</v>
      </c>
      <c r="N274" s="711">
        <f>E274+(GlobalWarmingPotentials!$B$11*H274)+(GlobalWarmingPotentials!$C$11*K274)</f>
        <v>0</v>
      </c>
      <c r="O274" s="25">
        <f>(N274/N$347)*100</f>
        <v>0</v>
      </c>
      <c r="P274" s="740">
        <f>SQRT((G274^2)+((GlobalWarmingPotentials!$B$11*J274)^2)+((GlobalWarmingPotentials!$C$11*M274)^2))</f>
        <v>0</v>
      </c>
      <c r="Q274" s="29"/>
    </row>
    <row r="275" spans="1:17" x14ac:dyDescent="0.25">
      <c r="A275" s="13" t="str">
        <f>RoadTransportEthanolStage2!A44</f>
        <v xml:space="preserve"> - Maintenance</v>
      </c>
      <c r="B275" s="715">
        <f>(Unitflowchart!$S$315/Unitflowchart!$S$357)*RoadTransportEthanolStage2!J44*Unitflowchart!$S$324</f>
        <v>0</v>
      </c>
      <c r="C275" s="25">
        <f t="shared" si="64"/>
        <v>0</v>
      </c>
      <c r="D275" s="481">
        <f>(Unitflowchart!$S$315/Unitflowchart!$S$357)*RoadTransportEthanolStage2!K44*Unitflowchart!$S$324</f>
        <v>0</v>
      </c>
      <c r="E275" s="715">
        <f>(Unitflowchart!$S$315/Unitflowchart!$S$357)*RoadTransportEthanolStage2!P44*Unitflowchart!$S$324</f>
        <v>0</v>
      </c>
      <c r="F275" s="25">
        <f t="shared" si="65"/>
        <v>0</v>
      </c>
      <c r="G275" s="481">
        <f>(Unitflowchart!$S$315/Unitflowchart!$S$357)*RoadTransportEthanolStage2!Q44*Unitflowchart!$S$324</f>
        <v>0</v>
      </c>
      <c r="H275" s="730">
        <f>(Unitflowchart!$S$315/Unitflowchart!$S$357)*RoadTransportEthanolStage2!V44*Unitflowchart!$S$324</f>
        <v>0</v>
      </c>
      <c r="I275" s="25">
        <f t="shared" si="66"/>
        <v>0</v>
      </c>
      <c r="J275" s="733">
        <f>(Unitflowchart!$S$315/Unitflowchart!$S$357)*RoadTransportEthanolStage2!W44*Unitflowchart!$S$324</f>
        <v>0</v>
      </c>
      <c r="K275" s="730">
        <f>(Unitflowchart!$S$315/Unitflowchart!$S$357)*RoadTransportEthanolStage2!AB44*Unitflowchart!$S$324</f>
        <v>0</v>
      </c>
      <c r="L275" s="25">
        <f t="shared" si="67"/>
        <v>0</v>
      </c>
      <c r="M275" s="732">
        <f>(Unitflowchart!$S$315/Unitflowchart!$S$357)*RoadTransportEthanolStage2!AC44*Unitflowchart!$S$324</f>
        <v>0</v>
      </c>
      <c r="N275" s="711">
        <f>E275+(GlobalWarmingPotentials!$B$11*H275)+(GlobalWarmingPotentials!$C$11*K275)</f>
        <v>0</v>
      </c>
      <c r="O275" s="25">
        <f>(N275/N$347)*100</f>
        <v>0</v>
      </c>
      <c r="P275" s="740">
        <f>SQRT((G275^2)+((GlobalWarmingPotentials!$B$11*J275)^2)+((GlobalWarmingPotentials!$C$11*M275)^2))</f>
        <v>0</v>
      </c>
      <c r="Q275" s="29"/>
    </row>
    <row r="276" spans="1:17" s="42" customFormat="1" x14ac:dyDescent="0.25">
      <c r="B276" s="746"/>
      <c r="C276" s="863"/>
      <c r="D276" s="759"/>
      <c r="E276" s="746"/>
      <c r="F276" s="863"/>
      <c r="G276" s="759"/>
      <c r="H276" s="763"/>
      <c r="I276" s="863"/>
      <c r="J276" s="806"/>
      <c r="K276" s="763"/>
      <c r="L276" s="863"/>
      <c r="M276" s="764"/>
      <c r="N276" s="713"/>
      <c r="O276" s="893"/>
      <c r="P276" s="209"/>
      <c r="Q276" s="823"/>
    </row>
    <row r="277" spans="1:17" x14ac:dyDescent="0.25">
      <c r="A277" s="214" t="s">
        <v>844</v>
      </c>
      <c r="B277" s="871">
        <f>(Unitflowchart!$S$315/Unitflowchart!$S$357)*RoadTransportEthanolStage2!J46*Unitflowchart!$S$324</f>
        <v>0</v>
      </c>
      <c r="C277" s="864">
        <f t="shared" si="64"/>
        <v>0</v>
      </c>
      <c r="D277" s="872">
        <f>(Unitflowchart!$S$315/Unitflowchart!$S$357)*RoadTransportEthanolStage2!K46*Unitflowchart!$S$324</f>
        <v>0</v>
      </c>
      <c r="E277" s="871">
        <f>(Unitflowchart!$S$315/Unitflowchart!$S$357)*RoadTransportEthanolStage2!P46*Unitflowchart!$S$324</f>
        <v>0</v>
      </c>
      <c r="F277" s="864">
        <f t="shared" si="65"/>
        <v>0</v>
      </c>
      <c r="G277" s="872">
        <f>(Unitflowchart!$S$315/Unitflowchart!$S$357)*RoadTransportEthanolStage2!Q46*Unitflowchart!$S$324</f>
        <v>0</v>
      </c>
      <c r="H277" s="873">
        <f>(Unitflowchart!$S$315/Unitflowchart!$S$357)*RoadTransportEthanolStage2!V46*Unitflowchart!$S$324</f>
        <v>0</v>
      </c>
      <c r="I277" s="864">
        <f t="shared" si="66"/>
        <v>0</v>
      </c>
      <c r="J277" s="876">
        <f>(Unitflowchart!$S$315/Unitflowchart!$S$357)*RoadTransportEthanolStage2!W46*Unitflowchart!$S$324</f>
        <v>0</v>
      </c>
      <c r="K277" s="873">
        <f>(Unitflowchart!$S$315/Unitflowchart!$S$357)*RoadTransportEthanolStage2!AB46*Unitflowchart!$S$324</f>
        <v>0</v>
      </c>
      <c r="L277" s="864">
        <f t="shared" si="67"/>
        <v>0</v>
      </c>
      <c r="M277" s="874">
        <f>(Unitflowchart!$S$315/Unitflowchart!$S$357)*RoadTransportEthanolStage2!AC46*Unitflowchart!$S$324</f>
        <v>0</v>
      </c>
      <c r="N277" s="714">
        <f>E277+(GlobalWarmingPotentials!$B$11*H277)+(GlobalWarmingPotentials!$C$11*K277)</f>
        <v>0</v>
      </c>
      <c r="O277" s="14">
        <f>(N277/N$347)*100</f>
        <v>0</v>
      </c>
      <c r="P277" s="741">
        <f>SQRT((G277^2)+((GlobalWarmingPotentials!$B$11*J277)^2)+((GlobalWarmingPotentials!$C$11*M277)^2))</f>
        <v>0</v>
      </c>
      <c r="Q277" s="29"/>
    </row>
    <row r="278" spans="1:17" x14ac:dyDescent="0.25">
      <c r="B278" s="712"/>
      <c r="D278" s="718"/>
      <c r="E278" s="712"/>
      <c r="G278" s="718"/>
      <c r="H278" s="30"/>
      <c r="J278" s="708"/>
      <c r="K278" s="30"/>
      <c r="M278" s="708"/>
      <c r="N278" s="716"/>
      <c r="P278" s="718"/>
      <c r="Q278" s="29"/>
    </row>
    <row r="279" spans="1:17" x14ac:dyDescent="0.25">
      <c r="A279" s="384" t="s">
        <v>887</v>
      </c>
      <c r="B279" s="712"/>
      <c r="D279" s="718"/>
      <c r="E279" s="712"/>
      <c r="G279" s="718"/>
      <c r="H279" s="30"/>
      <c r="J279" s="708"/>
      <c r="K279" s="30"/>
      <c r="M279" s="708"/>
      <c r="N279" s="712"/>
      <c r="P279" s="718"/>
      <c r="Q279" s="29"/>
    </row>
    <row r="280" spans="1:17" x14ac:dyDescent="0.25">
      <c r="B280" s="712"/>
      <c r="D280" s="718"/>
      <c r="E280" s="712"/>
      <c r="G280" s="718"/>
      <c r="H280" s="30"/>
      <c r="J280" s="708"/>
      <c r="K280" s="30"/>
      <c r="M280" s="708"/>
      <c r="N280" s="712"/>
      <c r="P280" s="718"/>
      <c r="Q280" s="29"/>
    </row>
    <row r="281" spans="1:17" x14ac:dyDescent="0.25">
      <c r="A281" t="str">
        <f>RailTransport!A11</f>
        <v xml:space="preserve"> - Gas Oil</v>
      </c>
      <c r="B281" s="710">
        <f>(Unitflowchart!$S$315/Unitflowchart!$S$357)*RailTransport!J11*Unitflowchart!$S$326</f>
        <v>0</v>
      </c>
      <c r="C281" s="24">
        <f>(B281/B$347)*100</f>
        <v>0</v>
      </c>
      <c r="D281" s="726">
        <f>(Unitflowchart!$S$315/Unitflowchart!$S$357)*RailTransport!K11*Unitflowchart!$S$326</f>
        <v>0</v>
      </c>
      <c r="E281" s="710">
        <f>(Unitflowchart!$S$315/Unitflowchart!$S$357)*RailTransport!P11*Unitflowchart!$S$326</f>
        <v>0</v>
      </c>
      <c r="F281" s="24">
        <f>(E281/E$347)*100</f>
        <v>0</v>
      </c>
      <c r="G281" s="726">
        <f>(Unitflowchart!$S$315/Unitflowchart!$S$357)*RailTransport!Q11*Unitflowchart!$S$326</f>
        <v>0</v>
      </c>
      <c r="H281" s="707">
        <f>(Unitflowchart!$S$315/Unitflowchart!$S$357)*RailTransport!V11*Unitflowchart!$S$326</f>
        <v>0</v>
      </c>
      <c r="I281" s="24">
        <f>(H281/H$347)*100</f>
        <v>0</v>
      </c>
      <c r="J281" s="709">
        <f>(Unitflowchart!$S$315/Unitflowchart!$S$357)*RailTransport!W11*Unitflowchart!$S$326</f>
        <v>0</v>
      </c>
      <c r="K281" s="707">
        <f>(Unitflowchart!$S$315/Unitflowchart!$S$357)*RailTransport!AB11*Unitflowchart!$S$326</f>
        <v>0</v>
      </c>
      <c r="L281" s="24">
        <f>(K281/K$347)*100</f>
        <v>0</v>
      </c>
      <c r="M281" s="709">
        <f>(Unitflowchart!$S$315/Unitflowchart!$S$357)*RailTransport!AC11*Unitflowchart!$S$326</f>
        <v>0</v>
      </c>
      <c r="N281" s="710">
        <f>E281+(GlobalWarmingPotentials!$B$11*H281)+(GlobalWarmingPotentials!$C$11*K281)</f>
        <v>0</v>
      </c>
      <c r="O281" s="24">
        <f>(N281/N$347)*100</f>
        <v>0</v>
      </c>
      <c r="P281" s="726">
        <f>SQRT((G281^2)+((GlobalWarmingPotentials!$B$11*J281)^2)+((GlobalWarmingPotentials!$C$11*M281)^2))</f>
        <v>0</v>
      </c>
      <c r="Q281" s="29"/>
    </row>
    <row r="282" spans="1:17" x14ac:dyDescent="0.25">
      <c r="A282" t="str">
        <f>RailTransport!A12</f>
        <v xml:space="preserve"> - Capital Equipment</v>
      </c>
      <c r="B282" s="710">
        <f>(Unitflowchart!$S$315/Unitflowchart!$S$357)*RailTransport!J12*Unitflowchart!$S$326</f>
        <v>0</v>
      </c>
      <c r="C282" s="24">
        <f>(B282/B$347)*100</f>
        <v>0</v>
      </c>
      <c r="D282" s="726">
        <f>(Unitflowchart!$S$315/Unitflowchart!$S$357)*RailTransport!K12*Unitflowchart!$S$326</f>
        <v>0</v>
      </c>
      <c r="E282" s="710">
        <f>(Unitflowchart!$S$315/Unitflowchart!$S$357)*RailTransport!P12*Unitflowchart!$S$326</f>
        <v>0</v>
      </c>
      <c r="F282" s="24">
        <f>(E282/E$347)*100</f>
        <v>0</v>
      </c>
      <c r="G282" s="726">
        <f>(Unitflowchart!$S$315/Unitflowchart!$S$357)*RailTransport!Q12*Unitflowchart!$S$326</f>
        <v>0</v>
      </c>
      <c r="H282" s="707">
        <f>(Unitflowchart!$S$315/Unitflowchart!$S$357)*RailTransport!V12*Unitflowchart!$S$326</f>
        <v>0</v>
      </c>
      <c r="I282" s="24">
        <f>(H282/H$347)*100</f>
        <v>0</v>
      </c>
      <c r="J282" s="709">
        <f>(Unitflowchart!$S$315/Unitflowchart!$S$357)*RailTransport!W12*Unitflowchart!$S$326</f>
        <v>0</v>
      </c>
      <c r="K282" s="707">
        <f>(Unitflowchart!$S$315/Unitflowchart!$S$357)*RailTransport!AB12*Unitflowchart!$S$326</f>
        <v>0</v>
      </c>
      <c r="L282" s="24">
        <f>(K282/K$347)*100</f>
        <v>0</v>
      </c>
      <c r="M282" s="709">
        <f>(Unitflowchart!$S$315/Unitflowchart!$S$357)*RailTransport!AC12*Unitflowchart!$S$326</f>
        <v>0</v>
      </c>
      <c r="N282" s="710">
        <f>E282+(GlobalWarmingPotentials!$B$11*H282)+(GlobalWarmingPotentials!$C$11*K282)</f>
        <v>0</v>
      </c>
      <c r="O282" s="24">
        <f>(N282/N$347)*100</f>
        <v>0</v>
      </c>
      <c r="P282" s="726">
        <f>SQRT((G282^2)+((GlobalWarmingPotentials!$B$11*J282)^2)+((GlobalWarmingPotentials!$C$11*M282)^2))</f>
        <v>0</v>
      </c>
      <c r="Q282" s="29"/>
    </row>
    <row r="283" spans="1:17" x14ac:dyDescent="0.25">
      <c r="A283" t="str">
        <f>RailTransport!A13</f>
        <v xml:space="preserve"> - Maintenance</v>
      </c>
      <c r="B283" s="710">
        <f>(Unitflowchart!$S$315/Unitflowchart!$S$357)*RailTransport!J13*Unitflowchart!$S$326</f>
        <v>0</v>
      </c>
      <c r="C283" s="24">
        <f>(B283/B$347)*100</f>
        <v>0</v>
      </c>
      <c r="D283" s="726">
        <f>(Unitflowchart!$S$315/Unitflowchart!$S$357)*RailTransport!K13*Unitflowchart!$S$326</f>
        <v>0</v>
      </c>
      <c r="E283" s="710">
        <f>(Unitflowchart!$S$315/Unitflowchart!$S$357)*RailTransport!P13*Unitflowchart!$S$326</f>
        <v>0</v>
      </c>
      <c r="F283" s="24">
        <f>(E283/E$347)*100</f>
        <v>0</v>
      </c>
      <c r="G283" s="726">
        <f>(Unitflowchart!$S$315/Unitflowchart!$S$357)*RailTransport!Q13*Unitflowchart!$S$326</f>
        <v>0</v>
      </c>
      <c r="H283" s="707">
        <f>(Unitflowchart!$S$315/Unitflowchart!$S$357)*RailTransport!V13*Unitflowchart!$S$326</f>
        <v>0</v>
      </c>
      <c r="I283" s="24">
        <f>(H283/H$347)*100</f>
        <v>0</v>
      </c>
      <c r="J283" s="709">
        <f>(Unitflowchart!$S$315/Unitflowchart!$S$357)*RailTransport!W13*Unitflowchart!$S$326</f>
        <v>0</v>
      </c>
      <c r="K283" s="707">
        <f>(Unitflowchart!$S$315/Unitflowchart!$S$357)*RailTransport!AB13*Unitflowchart!$S$326</f>
        <v>0</v>
      </c>
      <c r="L283" s="24">
        <f>(K283/K$347)*100</f>
        <v>0</v>
      </c>
      <c r="M283" s="709">
        <f>(Unitflowchart!$S$315/Unitflowchart!$S$357)*RailTransport!AC13*Unitflowchart!$S$326</f>
        <v>0</v>
      </c>
      <c r="N283" s="710">
        <f>E283+(GlobalWarmingPotentials!$B$11*H283)+(GlobalWarmingPotentials!$C$11*K283)</f>
        <v>0</v>
      </c>
      <c r="O283" s="24">
        <f>(N283/N$347)*100</f>
        <v>0</v>
      </c>
      <c r="P283" s="726">
        <f>SQRT((G283^2)+((GlobalWarmingPotentials!$B$11*J283)^2)+((GlobalWarmingPotentials!$C$11*M283)^2))</f>
        <v>0</v>
      </c>
      <c r="Q283" s="29"/>
    </row>
    <row r="284" spans="1:17" x14ac:dyDescent="0.25">
      <c r="B284" s="712"/>
      <c r="C284" s="24"/>
      <c r="D284" s="718"/>
      <c r="E284" s="712"/>
      <c r="F284" s="24"/>
      <c r="G284" s="718"/>
      <c r="H284" s="30"/>
      <c r="I284" s="24"/>
      <c r="J284" s="708"/>
      <c r="K284" s="30"/>
      <c r="L284" s="24"/>
      <c r="M284" s="708"/>
      <c r="N284" s="712"/>
      <c r="O284" s="24"/>
      <c r="P284" s="718"/>
      <c r="Q284" s="29"/>
    </row>
    <row r="285" spans="1:17" x14ac:dyDescent="0.25">
      <c r="A285" s="214" t="s">
        <v>857</v>
      </c>
      <c r="B285" s="717">
        <f>(Unitflowchart!$S$315/Unitflowchart!$S$357)*RailTransport!J15*Unitflowchart!$S$326</f>
        <v>0</v>
      </c>
      <c r="C285" s="705">
        <f>(B285/B$347)*100</f>
        <v>0</v>
      </c>
      <c r="D285" s="727">
        <f>(Unitflowchart!$S$315/Unitflowchart!$S$357)*RailTransport!K15*Unitflowchart!$S$326</f>
        <v>0</v>
      </c>
      <c r="E285" s="717">
        <f>(Unitflowchart!$S$315/Unitflowchart!$S$357)*RailTransport!P15*Unitflowchart!$S$326</f>
        <v>0</v>
      </c>
      <c r="F285" s="705">
        <f>(E285/E$347)*100</f>
        <v>0</v>
      </c>
      <c r="G285" s="727">
        <f>(Unitflowchart!$S$315/Unitflowchart!$S$357)*RailTransport!Q15*Unitflowchart!$S$326</f>
        <v>0</v>
      </c>
      <c r="H285" s="706">
        <f>(Unitflowchart!$S$315/Unitflowchart!$S$357)*RailTransport!V15*Unitflowchart!$S$326</f>
        <v>0</v>
      </c>
      <c r="I285" s="705">
        <f>(H285/H$347)*100</f>
        <v>0</v>
      </c>
      <c r="J285" s="704">
        <f>(Unitflowchart!$S$315/Unitflowchart!$S$357)*RailTransport!W15*Unitflowchart!$S$326</f>
        <v>0</v>
      </c>
      <c r="K285" s="706">
        <f>(Unitflowchart!$S$315/Unitflowchart!$S$357)*RailTransport!AB15*Unitflowchart!$S$326</f>
        <v>0</v>
      </c>
      <c r="L285" s="705">
        <f>(K285/K$347)*100</f>
        <v>0</v>
      </c>
      <c r="M285" s="704">
        <f>(Unitflowchart!$S$315/Unitflowchart!$S$357)*RailTransport!AC15*Unitflowchart!$S$326</f>
        <v>0</v>
      </c>
      <c r="N285" s="717">
        <f>E285+(GlobalWarmingPotentials!$B$11*H285)+(GlobalWarmingPotentials!$C$11*K285)</f>
        <v>0</v>
      </c>
      <c r="O285" s="705">
        <f>(N285/N$347)*100</f>
        <v>0</v>
      </c>
      <c r="P285" s="725">
        <f>SQRT((G285^2)+((GlobalWarmingPotentials!$B$11*J285)^2)+((GlobalWarmingPotentials!$C$11*M285)^2))</f>
        <v>0</v>
      </c>
      <c r="Q285" s="29"/>
    </row>
    <row r="286" spans="1:17" x14ac:dyDescent="0.25">
      <c r="B286" s="712"/>
      <c r="D286" s="718"/>
      <c r="E286" s="712"/>
      <c r="G286" s="718"/>
      <c r="H286" s="30"/>
      <c r="J286" s="708"/>
      <c r="K286" s="30"/>
      <c r="M286" s="708"/>
      <c r="N286" s="712"/>
      <c r="P286" s="718"/>
      <c r="Q286" s="29"/>
    </row>
    <row r="287" spans="1:17" x14ac:dyDescent="0.25">
      <c r="A287" s="384" t="s">
        <v>888</v>
      </c>
      <c r="B287" s="712"/>
      <c r="D287" s="718"/>
      <c r="E287" s="712"/>
      <c r="G287" s="718"/>
      <c r="H287" s="30"/>
      <c r="J287" s="708"/>
      <c r="K287" s="30"/>
      <c r="M287" s="708"/>
      <c r="N287" s="712"/>
      <c r="P287" s="718"/>
      <c r="Q287" s="29"/>
    </row>
    <row r="288" spans="1:17" x14ac:dyDescent="0.25">
      <c r="B288" s="712"/>
      <c r="D288" s="718"/>
      <c r="E288" s="712"/>
      <c r="G288" s="718"/>
      <c r="H288" s="30"/>
      <c r="J288" s="708"/>
      <c r="K288" s="30"/>
      <c r="M288" s="708"/>
      <c r="N288" s="712"/>
      <c r="P288" s="718"/>
      <c r="Q288" s="29"/>
    </row>
    <row r="289" spans="1:17" x14ac:dyDescent="0.25">
      <c r="A289" t="str">
        <f>BargeTransport!A11</f>
        <v xml:space="preserve"> - Marine Diesel</v>
      </c>
      <c r="B289" s="710">
        <f>(Unitflowchart!$S$315/Unitflowchart!$S$357)*BargeTransport!J11*Unitflowchart!$S$328</f>
        <v>0</v>
      </c>
      <c r="C289" s="24">
        <f>(B289/B$347)*100</f>
        <v>0</v>
      </c>
      <c r="D289" s="726">
        <f>(Unitflowchart!$S$315/Unitflowchart!$S$357)*BargeTransport!K11*Unitflowchart!$S$328</f>
        <v>0</v>
      </c>
      <c r="E289" s="710">
        <f>(Unitflowchart!$S$315/Unitflowchart!$S$357)*BargeTransport!P11*Unitflowchart!$S$328</f>
        <v>0</v>
      </c>
      <c r="F289" s="24">
        <f>(E289/E$347)*100</f>
        <v>0</v>
      </c>
      <c r="G289" s="726">
        <f>(Unitflowchart!$S$315/Unitflowchart!$S$357)*BargeTransport!Q11*Unitflowchart!$S$328</f>
        <v>0</v>
      </c>
      <c r="H289" s="707">
        <f>(Unitflowchart!$S$315/Unitflowchart!$S$357)*BargeTransport!V11*Unitflowchart!$S$328</f>
        <v>0</v>
      </c>
      <c r="I289" s="24">
        <f>(H289/H$347)*100</f>
        <v>0</v>
      </c>
      <c r="J289" s="709">
        <f>(Unitflowchart!$S$315/Unitflowchart!$S$357)*BargeTransport!W11*Unitflowchart!$S$328</f>
        <v>0</v>
      </c>
      <c r="K289" s="707">
        <f>(Unitflowchart!$S$315/Unitflowchart!$S$357)*BargeTransport!AB11*Unitflowchart!$S$328</f>
        <v>0</v>
      </c>
      <c r="L289" s="24">
        <f>(K289/K$347)*100</f>
        <v>0</v>
      </c>
      <c r="M289" s="709">
        <f>(Unitflowchart!$S$315/Unitflowchart!$S$357)*BargeTransport!AC11*Unitflowchart!$S$328</f>
        <v>0</v>
      </c>
      <c r="N289" s="710">
        <f>E289+(GlobalWarmingPotentials!$B$11*H289)+(GlobalWarmingPotentials!$C$11*K289)</f>
        <v>0</v>
      </c>
      <c r="O289" s="24">
        <f>(N289/N$347)*100</f>
        <v>0</v>
      </c>
      <c r="P289" s="726">
        <f>SQRT((G289^2)+((GlobalWarmingPotentials!$B$11*J289)^2)+((GlobalWarmingPotentials!$C$11*M289)^2))</f>
        <v>0</v>
      </c>
      <c r="Q289" s="29"/>
    </row>
    <row r="290" spans="1:17" x14ac:dyDescent="0.25">
      <c r="A290" t="str">
        <f>BargeTransport!A12</f>
        <v xml:space="preserve"> - Barge Construction</v>
      </c>
      <c r="B290" s="710">
        <f>(Unitflowchart!$S$315/Unitflowchart!$S$357)*BargeTransport!J12*Unitflowchart!$S$328</f>
        <v>0</v>
      </c>
      <c r="C290" s="24">
        <f>(B290/B$347)*100</f>
        <v>0</v>
      </c>
      <c r="D290" s="726">
        <f>(Unitflowchart!$S$315/Unitflowchart!$S$357)*BargeTransport!K12*Unitflowchart!$S$328</f>
        <v>0</v>
      </c>
      <c r="E290" s="710">
        <f>(Unitflowchart!$S$315/Unitflowchart!$S$357)*BargeTransport!P12*Unitflowchart!$S$328</f>
        <v>0</v>
      </c>
      <c r="F290" s="24">
        <f>(E290/E$347)*100</f>
        <v>0</v>
      </c>
      <c r="G290" s="726">
        <f>(Unitflowchart!$S$315/Unitflowchart!$S$357)*BargeTransport!Q12*Unitflowchart!$S$328</f>
        <v>0</v>
      </c>
      <c r="H290" s="707">
        <f>(Unitflowchart!$S$315/Unitflowchart!$S$357)*BargeTransport!V12*Unitflowchart!$S$328</f>
        <v>0</v>
      </c>
      <c r="I290" s="24">
        <f>(H290/H$347)*100</f>
        <v>0</v>
      </c>
      <c r="J290" s="709">
        <f>(Unitflowchart!$S$315/Unitflowchart!$S$357)*BargeTransport!W12*Unitflowchart!$S$328</f>
        <v>0</v>
      </c>
      <c r="K290" s="707">
        <f>(Unitflowchart!$S$315/Unitflowchart!$S$357)*BargeTransport!AB12*Unitflowchart!$S$328</f>
        <v>0</v>
      </c>
      <c r="L290" s="24">
        <f>(K290/K$347)*100</f>
        <v>0</v>
      </c>
      <c r="M290" s="709">
        <f>(Unitflowchart!$S$315/Unitflowchart!$S$357)*BargeTransport!AC12*Unitflowchart!$S$328</f>
        <v>0</v>
      </c>
      <c r="N290" s="710">
        <f>E290+(GlobalWarmingPotentials!$B$11*H290)+(GlobalWarmingPotentials!$C$11*K290)</f>
        <v>0</v>
      </c>
      <c r="O290" s="24">
        <f>(N290/N$347)*100</f>
        <v>0</v>
      </c>
      <c r="P290" s="726">
        <f>SQRT((G290^2)+((GlobalWarmingPotentials!$B$11*J290)^2)+((GlobalWarmingPotentials!$C$11*M290)^2))</f>
        <v>0</v>
      </c>
      <c r="Q290" s="29"/>
    </row>
    <row r="291" spans="1:17" x14ac:dyDescent="0.25">
      <c r="A291" t="str">
        <f>BargeTransport!A13</f>
        <v xml:space="preserve"> - Barge Maintenance</v>
      </c>
      <c r="B291" s="710">
        <f>(Unitflowchart!$S$315/Unitflowchart!$S$357)*BargeTransport!J13*Unitflowchart!$S$328</f>
        <v>0</v>
      </c>
      <c r="C291" s="24">
        <f>(B291/B$347)*100</f>
        <v>0</v>
      </c>
      <c r="D291" s="726">
        <f>(Unitflowchart!$S$315/Unitflowchart!$S$357)*BargeTransport!K13*Unitflowchart!$S$328</f>
        <v>0</v>
      </c>
      <c r="E291" s="710">
        <f>(Unitflowchart!$S$315/Unitflowchart!$S$357)*BargeTransport!P13*Unitflowchart!$S$328</f>
        <v>0</v>
      </c>
      <c r="F291" s="24">
        <f>(E291/E$347)*100</f>
        <v>0</v>
      </c>
      <c r="G291" s="726">
        <f>(Unitflowchart!$S$315/Unitflowchart!$S$357)*BargeTransport!Q13*Unitflowchart!$S$328</f>
        <v>0</v>
      </c>
      <c r="H291" s="707">
        <f>(Unitflowchart!$S$315/Unitflowchart!$S$357)*BargeTransport!V13*Unitflowchart!$S$328</f>
        <v>0</v>
      </c>
      <c r="I291" s="24">
        <f>(H291/H$347)*100</f>
        <v>0</v>
      </c>
      <c r="J291" s="709">
        <f>(Unitflowchart!$S$315/Unitflowchart!$S$357)*BargeTransport!W13*Unitflowchart!$S$328</f>
        <v>0</v>
      </c>
      <c r="K291" s="707">
        <f>(Unitflowchart!$S$315/Unitflowchart!$S$357)*BargeTransport!AB13*Unitflowchart!$S$328</f>
        <v>0</v>
      </c>
      <c r="L291" s="24">
        <f>(K291/K$347)*100</f>
        <v>0</v>
      </c>
      <c r="M291" s="709">
        <f>(Unitflowchart!$S$315/Unitflowchart!$S$357)*BargeTransport!AC13*Unitflowchart!$S$328</f>
        <v>0</v>
      </c>
      <c r="N291" s="710">
        <f>E291+(GlobalWarmingPotentials!$B$11*H291)+(GlobalWarmingPotentials!$C$11*K291)</f>
        <v>0</v>
      </c>
      <c r="O291" s="24">
        <f>(N291/N$347)*100</f>
        <v>0</v>
      </c>
      <c r="P291" s="726">
        <f>SQRT((G291^2)+((GlobalWarmingPotentials!$B$11*J291)^2)+((GlobalWarmingPotentials!$C$11*M291)^2))</f>
        <v>0</v>
      </c>
      <c r="Q291" s="29"/>
    </row>
    <row r="292" spans="1:17" x14ac:dyDescent="0.25">
      <c r="B292" s="712"/>
      <c r="C292" s="24"/>
      <c r="D292" s="718"/>
      <c r="E292" s="712"/>
      <c r="F292" s="24"/>
      <c r="G292" s="718"/>
      <c r="H292" s="30"/>
      <c r="I292" s="24"/>
      <c r="J292" s="708"/>
      <c r="K292" s="30"/>
      <c r="L292" s="24"/>
      <c r="M292" s="708"/>
      <c r="N292" s="712"/>
      <c r="O292" s="24"/>
      <c r="P292" s="718"/>
      <c r="Q292" s="29"/>
    </row>
    <row r="293" spans="1:17" x14ac:dyDescent="0.25">
      <c r="A293" s="214" t="s">
        <v>859</v>
      </c>
      <c r="B293" s="717">
        <f>(Unitflowchart!$S$315/Unitflowchart!$S$357)*BargeTransport!J15*Unitflowchart!$S$328</f>
        <v>0</v>
      </c>
      <c r="C293" s="705">
        <f>(B293/B$347)*100</f>
        <v>0</v>
      </c>
      <c r="D293" s="727">
        <f>(Unitflowchart!$S$315/Unitflowchart!$S$357)*BargeTransport!K15*Unitflowchart!$S$328</f>
        <v>0</v>
      </c>
      <c r="E293" s="717">
        <f>(Unitflowchart!$S$315/Unitflowchart!$S$357)*BargeTransport!P15*Unitflowchart!$S$328</f>
        <v>0</v>
      </c>
      <c r="F293" s="705">
        <f>(E293/E$347)*100</f>
        <v>0</v>
      </c>
      <c r="G293" s="727">
        <f>(Unitflowchart!$S$315/Unitflowchart!$S$357)*BargeTransport!Q15*Unitflowchart!$S$328</f>
        <v>0</v>
      </c>
      <c r="H293" s="706">
        <f>(Unitflowchart!$S$315/Unitflowchart!$S$357)*BargeTransport!V15*Unitflowchart!$S$328</f>
        <v>0</v>
      </c>
      <c r="I293" s="705">
        <f>(H293/H$347)*100</f>
        <v>0</v>
      </c>
      <c r="J293" s="704">
        <f>(Unitflowchart!$S$315/Unitflowchart!$S$357)*BargeTransport!W15*Unitflowchart!$S$328</f>
        <v>0</v>
      </c>
      <c r="K293" s="706">
        <f>(Unitflowchart!$S$315/Unitflowchart!$S$357)*BargeTransport!AB15*Unitflowchart!$S$328</f>
        <v>0</v>
      </c>
      <c r="L293" s="705">
        <f>(K293/K$347)*100</f>
        <v>0</v>
      </c>
      <c r="M293" s="704">
        <f>(Unitflowchart!$S$315/Unitflowchart!$S$357)*BargeTransport!AC15*Unitflowchart!$S$328</f>
        <v>0</v>
      </c>
      <c r="N293" s="717">
        <f>E293+(GlobalWarmingPotentials!$B$11*H293)+(GlobalWarmingPotentials!$C$11*K293)</f>
        <v>0</v>
      </c>
      <c r="O293" s="705">
        <f>(N293/N$347)*100</f>
        <v>0</v>
      </c>
      <c r="P293" s="725">
        <f>SQRT((G293^2)+((GlobalWarmingPotentials!$B$11*J293)^2)+((GlobalWarmingPotentials!$C$11*M293)^2))</f>
        <v>0</v>
      </c>
      <c r="Q293" s="29"/>
    </row>
    <row r="294" spans="1:17" x14ac:dyDescent="0.25">
      <c r="B294" s="712"/>
      <c r="D294" s="718"/>
      <c r="E294" s="712"/>
      <c r="G294" s="718"/>
      <c r="H294" s="30"/>
      <c r="J294" s="708"/>
      <c r="K294" s="30"/>
      <c r="M294" s="708"/>
      <c r="N294" s="712"/>
      <c r="P294" s="718"/>
      <c r="Q294" s="29"/>
    </row>
    <row r="295" spans="1:17" x14ac:dyDescent="0.25">
      <c r="A295" s="384" t="s">
        <v>889</v>
      </c>
      <c r="B295" s="712"/>
      <c r="D295" s="718"/>
      <c r="E295" s="712"/>
      <c r="G295" s="718"/>
      <c r="H295" s="30"/>
      <c r="J295" s="708"/>
      <c r="K295" s="30"/>
      <c r="M295" s="708"/>
      <c r="N295" s="712"/>
      <c r="P295" s="718"/>
      <c r="Q295" s="29"/>
    </row>
    <row r="296" spans="1:17" x14ac:dyDescent="0.25">
      <c r="B296" s="712"/>
      <c r="D296" s="718"/>
      <c r="E296" s="712"/>
      <c r="G296" s="718"/>
      <c r="H296" s="30"/>
      <c r="J296" s="708"/>
      <c r="K296" s="30"/>
      <c r="M296" s="708"/>
      <c r="N296" s="712"/>
      <c r="P296" s="718"/>
      <c r="Q296" s="29"/>
    </row>
    <row r="297" spans="1:17" x14ac:dyDescent="0.25">
      <c r="A297" t="str">
        <f>ShipTransport!A11</f>
        <v xml:space="preserve"> - Marine Diesel</v>
      </c>
      <c r="B297" s="710">
        <f>(Unitflowchart!$S$315/Unitflowchart!$S$357)*ShipTransport!J11*Unitflowchart!$S$330</f>
        <v>0</v>
      </c>
      <c r="C297" s="24">
        <f>(B297/B$347)*100</f>
        <v>0</v>
      </c>
      <c r="D297" s="726">
        <f>(Unitflowchart!$S$315/Unitflowchart!$S$357)*ShipTransport!K11*Unitflowchart!$S$330</f>
        <v>0</v>
      </c>
      <c r="E297" s="710">
        <f>(Unitflowchart!$S$315/Unitflowchart!$S$357)*ShipTransport!P11*Unitflowchart!$S$330</f>
        <v>0</v>
      </c>
      <c r="F297" s="24">
        <f>(E297/E$347)*100</f>
        <v>0</v>
      </c>
      <c r="G297" s="726">
        <f>(Unitflowchart!$S$315/Unitflowchart!$S$357)*ShipTransport!Q11*Unitflowchart!$S$330</f>
        <v>0</v>
      </c>
      <c r="H297" s="707">
        <f>(Unitflowchart!$S$315/Unitflowchart!$S$357)*ShipTransport!V11*Unitflowchart!$S$330</f>
        <v>0</v>
      </c>
      <c r="I297" s="24">
        <f>(H297/H$347)*100</f>
        <v>0</v>
      </c>
      <c r="J297" s="709">
        <f>(Unitflowchart!$S$315/Unitflowchart!$S$357)*ShipTransport!W11*Unitflowchart!$S$330</f>
        <v>0</v>
      </c>
      <c r="K297" s="707">
        <f>(Unitflowchart!$S$315/Unitflowchart!$S$357)*ShipTransport!AB11*Unitflowchart!$S$330</f>
        <v>0</v>
      </c>
      <c r="L297" s="24">
        <f>(K297/K$347)*100</f>
        <v>0</v>
      </c>
      <c r="M297" s="709">
        <f>(Unitflowchart!$S$315/Unitflowchart!$S$357)*BargeTransport!AC19*Unitflowchart!$S$328</f>
        <v>0</v>
      </c>
      <c r="N297" s="710">
        <f>E297+(GlobalWarmingPotentials!$B$11*H297)+(GlobalWarmingPotentials!$C$11*K297)</f>
        <v>0</v>
      </c>
      <c r="O297" s="24">
        <f>(N297/N$347)*100</f>
        <v>0</v>
      </c>
      <c r="P297" s="726">
        <f>SQRT((G297^2)+((GlobalWarmingPotentials!$B$11*J297)^2)+((GlobalWarmingPotentials!$C$11*M297)^2))</f>
        <v>0</v>
      </c>
      <c r="Q297" s="29"/>
    </row>
    <row r="298" spans="1:17" x14ac:dyDescent="0.25">
      <c r="A298" t="str">
        <f>ShipTransport!A12</f>
        <v xml:space="preserve"> - Ship Construction</v>
      </c>
      <c r="B298" s="710">
        <f>(Unitflowchart!$S$315/Unitflowchart!$S$357)*ShipTransport!J12*Unitflowchart!$S$330</f>
        <v>0</v>
      </c>
      <c r="C298" s="24">
        <f t="shared" ref="C298:C299" si="68">(B298/B$347)*100</f>
        <v>0</v>
      </c>
      <c r="D298" s="726">
        <f>(Unitflowchart!$S$315/Unitflowchart!$S$357)*ShipTransport!K12*Unitflowchart!$S$330</f>
        <v>0</v>
      </c>
      <c r="E298" s="710">
        <f>(Unitflowchart!$S$315/Unitflowchart!$S$357)*ShipTransport!P12*Unitflowchart!$S$330</f>
        <v>0</v>
      </c>
      <c r="F298" s="24">
        <f t="shared" ref="F298:F299" si="69">(E298/E$347)*100</f>
        <v>0</v>
      </c>
      <c r="G298" s="726">
        <f>(Unitflowchart!$S$315/Unitflowchart!$S$357)*ShipTransport!Q12*Unitflowchart!$S$330</f>
        <v>0</v>
      </c>
      <c r="H298" s="707">
        <f>(Unitflowchart!$S$315/Unitflowchart!$S$357)*ShipTransport!V12*Unitflowchart!$S$330</f>
        <v>0</v>
      </c>
      <c r="I298" s="24">
        <f t="shared" ref="I298:I299" si="70">(H298/H$347)*100</f>
        <v>0</v>
      </c>
      <c r="J298" s="709">
        <f>(Unitflowchart!$S$315/Unitflowchart!$S$357)*ShipTransport!W12*Unitflowchart!$S$330</f>
        <v>0</v>
      </c>
      <c r="K298" s="707">
        <f>(Unitflowchart!$S$315/Unitflowchart!$S$357)*ShipTransport!AB12*Unitflowchart!$S$330</f>
        <v>0</v>
      </c>
      <c r="L298" s="24">
        <f t="shared" ref="L298:L299" si="71">(K298/K$347)*100</f>
        <v>0</v>
      </c>
      <c r="M298" s="709">
        <f>(Unitflowchart!$S$315/Unitflowchart!$S$357)*BargeTransport!AC20*Unitflowchart!$S$328</f>
        <v>0</v>
      </c>
      <c r="N298" s="710">
        <f>E298+(GlobalWarmingPotentials!$B$11*H298)+(GlobalWarmingPotentials!$C$11*K298)</f>
        <v>0</v>
      </c>
      <c r="O298" s="24">
        <f t="shared" ref="O298:O299" si="72">(N298/N$347)*100</f>
        <v>0</v>
      </c>
      <c r="P298" s="726">
        <f>SQRT((G298^2)+((GlobalWarmingPotentials!$B$11*J298)^2)+((GlobalWarmingPotentials!$C$11*M298)^2))</f>
        <v>0</v>
      </c>
      <c r="Q298" s="29"/>
    </row>
    <row r="299" spans="1:17" x14ac:dyDescent="0.25">
      <c r="A299" t="str">
        <f>ShipTransport!A13</f>
        <v xml:space="preserve"> - Ship Maintenance</v>
      </c>
      <c r="B299" s="710">
        <f>(Unitflowchart!$S$315/Unitflowchart!$S$357)*ShipTransport!J13*Unitflowchart!$S$330</f>
        <v>0</v>
      </c>
      <c r="C299" s="24">
        <f t="shared" si="68"/>
        <v>0</v>
      </c>
      <c r="D299" s="726">
        <f>(Unitflowchart!$S$315/Unitflowchart!$S$357)*ShipTransport!K13*Unitflowchart!$S$330</f>
        <v>0</v>
      </c>
      <c r="E299" s="710">
        <f>(Unitflowchart!$S$315/Unitflowchart!$S$357)*ShipTransport!P13*Unitflowchart!$S$330</f>
        <v>0</v>
      </c>
      <c r="F299" s="24">
        <f t="shared" si="69"/>
        <v>0</v>
      </c>
      <c r="G299" s="726">
        <f>(Unitflowchart!$S$315/Unitflowchart!$S$357)*ShipTransport!Q13*Unitflowchart!$S$330</f>
        <v>0</v>
      </c>
      <c r="H299" s="707">
        <f>(Unitflowchart!$S$315/Unitflowchart!$S$357)*ShipTransport!V13*Unitflowchart!$S$330</f>
        <v>0</v>
      </c>
      <c r="I299" s="24">
        <f t="shared" si="70"/>
        <v>0</v>
      </c>
      <c r="J299" s="709">
        <f>(Unitflowchart!$S$315/Unitflowchart!$S$357)*ShipTransport!W13*Unitflowchart!$S$330</f>
        <v>0</v>
      </c>
      <c r="K299" s="707">
        <f>(Unitflowchart!$S$315/Unitflowchart!$S$357)*ShipTransport!AB13*Unitflowchart!$S$330</f>
        <v>0</v>
      </c>
      <c r="L299" s="24">
        <f t="shared" si="71"/>
        <v>0</v>
      </c>
      <c r="M299" s="709">
        <f>(Unitflowchart!$S$315/Unitflowchart!$S$357)*BargeTransport!AC21*Unitflowchart!$S$328</f>
        <v>0</v>
      </c>
      <c r="N299" s="710">
        <f>E299+(GlobalWarmingPotentials!$B$11*H299)+(GlobalWarmingPotentials!$C$11*K299)</f>
        <v>0</v>
      </c>
      <c r="O299" s="24">
        <f t="shared" si="72"/>
        <v>0</v>
      </c>
      <c r="P299" s="726">
        <f>SQRT((G299^2)+((GlobalWarmingPotentials!$B$11*J299)^2)+((GlobalWarmingPotentials!$C$11*M299)^2))</f>
        <v>0</v>
      </c>
      <c r="Q299" s="29"/>
    </row>
    <row r="300" spans="1:17" x14ac:dyDescent="0.25">
      <c r="B300" s="712"/>
      <c r="D300" s="718"/>
      <c r="E300" s="712"/>
      <c r="F300" s="24"/>
      <c r="G300" s="718"/>
      <c r="H300" s="30"/>
      <c r="I300" s="24"/>
      <c r="J300" s="708"/>
      <c r="K300" s="30"/>
      <c r="L300" s="24"/>
      <c r="M300" s="708"/>
      <c r="N300" s="712"/>
      <c r="O300" s="24"/>
      <c r="P300" s="718"/>
      <c r="Q300" s="29"/>
    </row>
    <row r="301" spans="1:17" x14ac:dyDescent="0.25">
      <c r="A301" s="214" t="s">
        <v>861</v>
      </c>
      <c r="B301" s="717">
        <f>(Unitflowchart!$S$315/Unitflowchart!$S$357)*ShipTransport!J15*Unitflowchart!$S$330</f>
        <v>0</v>
      </c>
      <c r="C301" s="705">
        <f>(B301/B$347)*100</f>
        <v>0</v>
      </c>
      <c r="D301" s="727">
        <f>(Unitflowchart!$S$315/Unitflowchart!$S$357)*ShipTransport!K15*Unitflowchart!$S$330</f>
        <v>0</v>
      </c>
      <c r="E301" s="717">
        <f>(Unitflowchart!$S$315/Unitflowchart!$S$357)*ShipTransport!P15*Unitflowchart!$S$330</f>
        <v>0</v>
      </c>
      <c r="F301" s="705">
        <f>(E301/E$347)*100</f>
        <v>0</v>
      </c>
      <c r="G301" s="727">
        <f>(Unitflowchart!$S$315/Unitflowchart!$S$357)*ShipTransport!Q15*Unitflowchart!$S$330</f>
        <v>0</v>
      </c>
      <c r="H301" s="706">
        <f>(Unitflowchart!$S$315/Unitflowchart!$S$357)*ShipTransport!V15*Unitflowchart!$S$330</f>
        <v>0</v>
      </c>
      <c r="I301" s="705">
        <f>(H301/H$347)*100</f>
        <v>0</v>
      </c>
      <c r="J301" s="704">
        <f>(Unitflowchart!$S$315/Unitflowchart!$S$357)*ShipTransport!W15*Unitflowchart!$S$330</f>
        <v>0</v>
      </c>
      <c r="K301" s="706">
        <f>(Unitflowchart!$S$315/Unitflowchart!$S$357)*ShipTransport!AB15*Unitflowchart!$S$330</f>
        <v>0</v>
      </c>
      <c r="L301" s="705">
        <f>(K301/K$347)*100</f>
        <v>0</v>
      </c>
      <c r="M301" s="704">
        <f>(Unitflowchart!$S$315/Unitflowchart!$S$357)*BargeTransport!AC23*Unitflowchart!$S$328</f>
        <v>0</v>
      </c>
      <c r="N301" s="717">
        <f>E301+(GlobalWarmingPotentials!$B$11*H301)+(GlobalWarmingPotentials!$C$11*K301)</f>
        <v>0</v>
      </c>
      <c r="O301" s="705">
        <f>(N301/N$347)*100</f>
        <v>0</v>
      </c>
      <c r="P301" s="725">
        <f>SQRT((G301^2)+((GlobalWarmingPotentials!$B$11*J301)^2)+((GlobalWarmingPotentials!$C$11*M301)^2))</f>
        <v>0</v>
      </c>
      <c r="Q301" s="29"/>
    </row>
    <row r="302" spans="1:17" x14ac:dyDescent="0.25">
      <c r="B302" s="712"/>
      <c r="D302" s="718"/>
      <c r="E302" s="712"/>
      <c r="G302" s="718"/>
      <c r="H302" s="30"/>
      <c r="J302" s="708"/>
      <c r="K302" s="30"/>
      <c r="M302" s="708"/>
      <c r="N302" s="712"/>
      <c r="P302" s="718"/>
      <c r="Q302" s="29"/>
    </row>
    <row r="303" spans="1:17" x14ac:dyDescent="0.25">
      <c r="A303" s="214" t="s">
        <v>898</v>
      </c>
      <c r="B303" s="714">
        <f>B277+B285+B293+B301</f>
        <v>0</v>
      </c>
      <c r="C303" s="14">
        <f>(B303/B$347)*100</f>
        <v>0</v>
      </c>
      <c r="D303" s="722">
        <f>SQRT((D277^2)+(D285^2)+(D293^2)+(D301^2))</f>
        <v>0</v>
      </c>
      <c r="E303" s="714">
        <f t="shared" ref="E303" si="73">E277+E285+E293+E301</f>
        <v>0</v>
      </c>
      <c r="F303" s="14">
        <f t="shared" ref="F303" si="74">(E303/E$347)*100</f>
        <v>0</v>
      </c>
      <c r="G303" s="722">
        <f t="shared" ref="G303" si="75">SQRT((G277^2)+(G285^2)+(G293^2)+(G301^2))</f>
        <v>0</v>
      </c>
      <c r="H303" s="211">
        <f t="shared" ref="H303" si="76">H277+H285+H293+H301</f>
        <v>0</v>
      </c>
      <c r="I303" s="14">
        <f t="shared" ref="I303" si="77">(H303/H$347)*100</f>
        <v>0</v>
      </c>
      <c r="J303" s="212">
        <f t="shared" ref="J303" si="78">SQRT((J277^2)+(J285^2)+(J293^2)+(J301^2))</f>
        <v>0</v>
      </c>
      <c r="K303" s="211">
        <f t="shared" ref="K303" si="79">K277+K285+K293+K301</f>
        <v>0</v>
      </c>
      <c r="L303" s="14">
        <f t="shared" ref="L303" si="80">(K303/K$347)*100</f>
        <v>0</v>
      </c>
      <c r="M303" s="212">
        <f t="shared" ref="M303" si="81">SQRT((M277^2)+(M285^2)+(M293^2)+(M301^2))</f>
        <v>0</v>
      </c>
      <c r="N303" s="714">
        <f t="shared" ref="N303" si="82">N277+N285+N293+N301</f>
        <v>0</v>
      </c>
      <c r="O303" s="14">
        <f t="shared" ref="O303" si="83">(N303/N$347)*100</f>
        <v>0</v>
      </c>
      <c r="P303" s="722">
        <f t="shared" ref="P303" si="84">SQRT((P277^2)+(P285^2)+(P293^2)+(P301^2))</f>
        <v>0</v>
      </c>
      <c r="Q303" s="29"/>
    </row>
    <row r="304" spans="1:17" x14ac:dyDescent="0.25">
      <c r="B304" s="712"/>
      <c r="D304" s="718"/>
      <c r="E304" s="712"/>
      <c r="G304" s="718"/>
      <c r="H304" s="30"/>
      <c r="J304" s="708"/>
      <c r="K304" s="30"/>
      <c r="M304" s="708"/>
      <c r="N304" s="712"/>
      <c r="P304" s="718"/>
      <c r="Q304" s="29"/>
    </row>
    <row r="305" spans="1:17" x14ac:dyDescent="0.25">
      <c r="A305" s="384" t="s">
        <v>890</v>
      </c>
      <c r="B305" s="712"/>
      <c r="D305" s="718"/>
      <c r="E305" s="712"/>
      <c r="G305" s="718"/>
      <c r="H305" s="30"/>
      <c r="J305" s="708"/>
      <c r="K305" s="30"/>
      <c r="M305" s="708"/>
      <c r="N305" s="712"/>
      <c r="P305" s="718"/>
      <c r="Q305" s="29"/>
    </row>
    <row r="306" spans="1:17" x14ac:dyDescent="0.25">
      <c r="B306" s="712"/>
      <c r="D306" s="718"/>
      <c r="E306" s="712"/>
      <c r="G306" s="718"/>
      <c r="H306" s="30"/>
      <c r="J306" s="708"/>
      <c r="K306" s="30"/>
      <c r="M306" s="708"/>
      <c r="N306" s="712"/>
      <c r="P306" s="718"/>
      <c r="Q306" s="29"/>
    </row>
    <row r="307" spans="1:17" x14ac:dyDescent="0.25">
      <c r="A307" s="13" t="str">
        <f>RoadTransportEthanolStage3!A42</f>
        <v xml:space="preserve"> - Diesel Fuel</v>
      </c>
      <c r="B307" s="715">
        <f>(Unitflowchart!$S$336/Unitflowchart!$S$357)*RoadTransportEthanolStage3!J42*Unitflowchart!$S$345</f>
        <v>0</v>
      </c>
      <c r="C307" s="25">
        <f>(B307/B$347)*100</f>
        <v>0</v>
      </c>
      <c r="D307" s="481">
        <f>(Unitflowchart!$S$336/Unitflowchart!$S$357)*RoadTransportEthanolStage3!K42*Unitflowchart!$S$345</f>
        <v>0</v>
      </c>
      <c r="E307" s="715">
        <f>(Unitflowchart!$S$336/Unitflowchart!$S$357)*RoadTransportEthanolStage3!P42*Unitflowchart!$S$345</f>
        <v>0</v>
      </c>
      <c r="F307" s="25">
        <f>(E307/E$347)*100</f>
        <v>0</v>
      </c>
      <c r="G307" s="481">
        <f>(Unitflowchart!$S$336/Unitflowchart!$S$357)*RoadTransportEthanolStage3!Q42*Unitflowchart!$S$345</f>
        <v>0</v>
      </c>
      <c r="H307" s="730">
        <f>(Unitflowchart!$S$336/Unitflowchart!$S$357)*RoadTransportEthanolStage3!V42*Unitflowchart!$S$345</f>
        <v>0</v>
      </c>
      <c r="I307" s="25">
        <f>(H307/H$347)*100</f>
        <v>0</v>
      </c>
      <c r="J307" s="733">
        <f>(Unitflowchart!$S$336/Unitflowchart!$S$357)*RoadTransportEthanolStage3!W42*Unitflowchart!$S$345</f>
        <v>0</v>
      </c>
      <c r="K307" s="730">
        <f>(Unitflowchart!$S$336/Unitflowchart!$S$357)*RoadTransportEthanolStage3!AB42*Unitflowchart!$S$345</f>
        <v>0</v>
      </c>
      <c r="L307" s="25">
        <f>(K307/K$347)*100</f>
        <v>0</v>
      </c>
      <c r="M307" s="732">
        <f>(Unitflowchart!$S$336/Unitflowchart!$S$357)*RoadTransportEthanolStage3!AC42*Unitflowchart!$S$345</f>
        <v>0</v>
      </c>
      <c r="N307" s="711">
        <f>E307+(GlobalWarmingPotentials!$B$11*H307)+(GlobalWarmingPotentials!$C$11*K307)</f>
        <v>0</v>
      </c>
      <c r="O307" s="25">
        <f>(N307/N$347)*100</f>
        <v>0</v>
      </c>
      <c r="P307" s="740">
        <f>SQRT((G307^2)+((GlobalWarmingPotentials!$B$11*J307)^2)+((GlobalWarmingPotentials!$C$11*M307)^2))</f>
        <v>0</v>
      </c>
      <c r="Q307" s="29"/>
    </row>
    <row r="308" spans="1:17" x14ac:dyDescent="0.25">
      <c r="A308" s="13" t="str">
        <f>RoadTransportEthanolStage3!A43</f>
        <v xml:space="preserve"> - Vehicle</v>
      </c>
      <c r="B308" s="715">
        <f>(Unitflowchart!$S$336/Unitflowchart!$S$357)*RoadTransportEthanolStage3!J43*Unitflowchart!$S$345</f>
        <v>0</v>
      </c>
      <c r="C308" s="25">
        <f t="shared" ref="C308:C311" si="85">(B308/B$347)*100</f>
        <v>0</v>
      </c>
      <c r="D308" s="481">
        <f>(Unitflowchart!$S$336/Unitflowchart!$S$357)*RoadTransportEthanolStage3!K43*Unitflowchart!$S$345</f>
        <v>0</v>
      </c>
      <c r="E308" s="715">
        <f>(Unitflowchart!$S$336/Unitflowchart!$S$357)*RoadTransportEthanolStage3!P43*Unitflowchart!$S$345</f>
        <v>0</v>
      </c>
      <c r="F308" s="25">
        <f t="shared" ref="F308:F311" si="86">(E308/E$347)*100</f>
        <v>0</v>
      </c>
      <c r="G308" s="481">
        <f>(Unitflowchart!$S$336/Unitflowchart!$S$357)*RoadTransportEthanolStage3!Q43*Unitflowchart!$S$345</f>
        <v>0</v>
      </c>
      <c r="H308" s="730">
        <f>(Unitflowchart!$S$336/Unitflowchart!$S$357)*RoadTransportEthanolStage3!V43*Unitflowchart!$S$345</f>
        <v>0</v>
      </c>
      <c r="I308" s="25">
        <f t="shared" ref="I308:I311" si="87">(H308/H$347)*100</f>
        <v>0</v>
      </c>
      <c r="J308" s="733">
        <f>(Unitflowchart!$S$336/Unitflowchart!$S$357)*RoadTransportEthanolStage3!W43*Unitflowchart!$S$345</f>
        <v>0</v>
      </c>
      <c r="K308" s="730">
        <f>(Unitflowchart!$S$336/Unitflowchart!$S$357)*RoadTransportEthanolStage3!AB43*Unitflowchart!$S$345</f>
        <v>0</v>
      </c>
      <c r="L308" s="25">
        <f t="shared" ref="L308:L311" si="88">(K308/K$347)*100</f>
        <v>0</v>
      </c>
      <c r="M308" s="732">
        <f>(Unitflowchart!$S$336/Unitflowchart!$S$357)*RoadTransportEthanolStage3!AC43*Unitflowchart!$S$345</f>
        <v>0</v>
      </c>
      <c r="N308" s="711">
        <f>E308+(GlobalWarmingPotentials!$B$11*H308)+(GlobalWarmingPotentials!$C$11*K308)</f>
        <v>0</v>
      </c>
      <c r="O308" s="25">
        <f t="shared" ref="O308:O309" si="89">(N308/N$347)*100</f>
        <v>0</v>
      </c>
      <c r="P308" s="740">
        <f>SQRT((G308^2)+((GlobalWarmingPotentials!$B$11*J308)^2)+((GlobalWarmingPotentials!$C$11*M308)^2))</f>
        <v>0</v>
      </c>
      <c r="Q308" s="29"/>
    </row>
    <row r="309" spans="1:17" x14ac:dyDescent="0.25">
      <c r="A309" s="13" t="str">
        <f>RoadTransportEthanolStage3!A44</f>
        <v xml:space="preserve"> - Maintenance</v>
      </c>
      <c r="B309" s="715">
        <f>(Unitflowchart!$S$336/Unitflowchart!$S$357)*RoadTransportEthanolStage3!J44*Unitflowchart!$S$345</f>
        <v>0</v>
      </c>
      <c r="C309" s="25">
        <f t="shared" si="85"/>
        <v>0</v>
      </c>
      <c r="D309" s="481">
        <f>(Unitflowchart!$S$336/Unitflowchart!$S$357)*RoadTransportEthanolStage3!K44*Unitflowchart!$S$345</f>
        <v>0</v>
      </c>
      <c r="E309" s="715">
        <f>(Unitflowchart!$S$336/Unitflowchart!$S$357)*RoadTransportEthanolStage3!P44*Unitflowchart!$S$345</f>
        <v>0</v>
      </c>
      <c r="F309" s="25">
        <f t="shared" si="86"/>
        <v>0</v>
      </c>
      <c r="G309" s="481">
        <f>(Unitflowchart!$S$336/Unitflowchart!$S$357)*RoadTransportEthanolStage3!Q44*Unitflowchart!$S$345</f>
        <v>0</v>
      </c>
      <c r="H309" s="730">
        <f>(Unitflowchart!$S$336/Unitflowchart!$S$357)*RoadTransportEthanolStage3!V44*Unitflowchart!$S$345</f>
        <v>0</v>
      </c>
      <c r="I309" s="25">
        <f t="shared" si="87"/>
        <v>0</v>
      </c>
      <c r="J309" s="733">
        <f>(Unitflowchart!$S$336/Unitflowchart!$S$357)*RoadTransportEthanolStage3!W44*Unitflowchart!$S$345</f>
        <v>0</v>
      </c>
      <c r="K309" s="730">
        <f>(Unitflowchart!$S$336/Unitflowchart!$S$357)*RoadTransportEthanolStage3!AB44*Unitflowchart!$S$345</f>
        <v>0</v>
      </c>
      <c r="L309" s="25">
        <f t="shared" si="88"/>
        <v>0</v>
      </c>
      <c r="M309" s="732">
        <f>(Unitflowchart!$S$336/Unitflowchart!$S$357)*RoadTransportEthanolStage3!AC44*Unitflowchart!$S$345</f>
        <v>0</v>
      </c>
      <c r="N309" s="711">
        <f>E309+(GlobalWarmingPotentials!$B$11*H309)+(GlobalWarmingPotentials!$C$11*K309)</f>
        <v>0</v>
      </c>
      <c r="O309" s="25">
        <f t="shared" si="89"/>
        <v>0</v>
      </c>
      <c r="P309" s="740">
        <f>SQRT((G309^2)+((GlobalWarmingPotentials!$B$11*J309)^2)+((GlobalWarmingPotentials!$C$11*M309)^2))</f>
        <v>0</v>
      </c>
      <c r="Q309" s="29"/>
    </row>
    <row r="310" spans="1:17" s="42" customFormat="1" x14ac:dyDescent="0.25">
      <c r="A310" s="150"/>
      <c r="B310" s="746"/>
      <c r="C310" s="863"/>
      <c r="D310" s="759"/>
      <c r="E310" s="746"/>
      <c r="F310" s="863"/>
      <c r="G310" s="759"/>
      <c r="H310" s="763"/>
      <c r="I310" s="863"/>
      <c r="J310" s="806"/>
      <c r="K310" s="763"/>
      <c r="L310" s="863"/>
      <c r="M310" s="764"/>
      <c r="N310" s="713"/>
      <c r="O310" s="152"/>
      <c r="P310" s="209"/>
      <c r="Q310" s="823"/>
    </row>
    <row r="311" spans="1:17" x14ac:dyDescent="0.25">
      <c r="A311" s="214" t="s">
        <v>893</v>
      </c>
      <c r="B311" s="714">
        <f>(Unitflowchart!$S$336/Unitflowchart!$S$357)*RoadTransportEthanolStage3!J46*Unitflowchart!$S$345</f>
        <v>0</v>
      </c>
      <c r="C311" s="14">
        <f t="shared" si="85"/>
        <v>0</v>
      </c>
      <c r="D311" s="722">
        <f>(Unitflowchart!$S$336/Unitflowchart!$S$357)*RoadTransportEthanolStage3!K46*Unitflowchart!$S$345</f>
        <v>0</v>
      </c>
      <c r="E311" s="714">
        <f>(Unitflowchart!$S$336/Unitflowchart!$S$357)*RoadTransportEthanolStage3!P46*Unitflowchart!$S$345</f>
        <v>0</v>
      </c>
      <c r="F311" s="14">
        <f t="shared" si="86"/>
        <v>0</v>
      </c>
      <c r="G311" s="722">
        <f>(Unitflowchart!$S$336/Unitflowchart!$S$357)*RoadTransportEthanolStage3!Q46*Unitflowchart!$S$345</f>
        <v>0</v>
      </c>
      <c r="H311" s="211">
        <f>(Unitflowchart!$S$336/Unitflowchart!$S$357)*RoadTransportEthanolStage3!V46*Unitflowchart!$S$345</f>
        <v>0</v>
      </c>
      <c r="I311" s="14">
        <f t="shared" si="87"/>
        <v>0</v>
      </c>
      <c r="J311" s="728">
        <f>(Unitflowchart!$S$336/Unitflowchart!$S$357)*RoadTransportEthanolStage3!W46*Unitflowchart!$S$345</f>
        <v>0</v>
      </c>
      <c r="K311" s="211">
        <f>(Unitflowchart!$S$336/Unitflowchart!$S$357)*RoadTransportEthanolStage3!AB46*Unitflowchart!$S$345</f>
        <v>0</v>
      </c>
      <c r="L311" s="14">
        <f t="shared" si="88"/>
        <v>0</v>
      </c>
      <c r="M311" s="212">
        <f>(Unitflowchart!$S$336/Unitflowchart!$S$357)*RoadTransportEthanolStage3!AC46*Unitflowchart!$S$345</f>
        <v>0</v>
      </c>
      <c r="N311" s="717">
        <f>E311+(GlobalWarmingPotentials!$B$11*H311)+(GlobalWarmingPotentials!$C$11*K311)</f>
        <v>0</v>
      </c>
      <c r="O311" s="214">
        <f>(N311/N$347)*100</f>
        <v>0</v>
      </c>
      <c r="P311" s="725">
        <f>SQRT((G311^2)+((GlobalWarmingPotentials!$B$11*J311)^2)+((GlobalWarmingPotentials!$C$11*M311)^2))</f>
        <v>0</v>
      </c>
      <c r="Q311" s="29"/>
    </row>
    <row r="312" spans="1:17" x14ac:dyDescent="0.25">
      <c r="B312" s="712"/>
      <c r="D312" s="718"/>
      <c r="E312" s="712"/>
      <c r="G312" s="718"/>
      <c r="H312" s="30"/>
      <c r="J312" s="708"/>
      <c r="K312" s="30"/>
      <c r="M312" s="708"/>
      <c r="N312" s="712"/>
      <c r="P312" s="718"/>
      <c r="Q312" s="29"/>
    </row>
    <row r="313" spans="1:17" x14ac:dyDescent="0.25">
      <c r="A313" s="384" t="s">
        <v>891</v>
      </c>
      <c r="B313" s="712"/>
      <c r="D313" s="718"/>
      <c r="E313" s="712"/>
      <c r="G313" s="718"/>
      <c r="H313" s="30"/>
      <c r="J313" s="708"/>
      <c r="K313" s="30"/>
      <c r="M313" s="708"/>
      <c r="N313" s="712"/>
      <c r="P313" s="718"/>
      <c r="Q313" s="29"/>
    </row>
    <row r="314" spans="1:17" x14ac:dyDescent="0.25">
      <c r="B314" s="712"/>
      <c r="D314" s="718"/>
      <c r="E314" s="712"/>
      <c r="G314" s="718"/>
      <c r="H314" s="30"/>
      <c r="J314" s="708"/>
      <c r="K314" s="30"/>
      <c r="M314" s="708"/>
      <c r="N314" s="712"/>
      <c r="P314" s="718"/>
      <c r="Q314" s="29"/>
    </row>
    <row r="315" spans="1:17" x14ac:dyDescent="0.25">
      <c r="A315" s="13" t="str">
        <f>RailTransport!A11</f>
        <v xml:space="preserve"> - Gas Oil</v>
      </c>
      <c r="B315" s="710">
        <f>(Unitflowchart!$S$336/Unitflowchart!$S$357)*RailTransport!J11*Unitflowchart!$S$347</f>
        <v>0</v>
      </c>
      <c r="C315" s="24">
        <f>(B315/B$347)*100</f>
        <v>0</v>
      </c>
      <c r="D315" s="726">
        <f>(Unitflowchart!$S$336/Unitflowchart!$S$357)*RailTransport!K11*Unitflowchart!$S$347</f>
        <v>0</v>
      </c>
      <c r="E315" s="710">
        <f>(Unitflowchart!$S$336/Unitflowchart!$S$357)*RailTransport!P11*Unitflowchart!$S$347</f>
        <v>0</v>
      </c>
      <c r="F315" s="24">
        <f>(E315/E$347)*100</f>
        <v>0</v>
      </c>
      <c r="G315" s="726">
        <f>(Unitflowchart!$S$336/Unitflowchart!$S$357)*RailTransport!Q11*Unitflowchart!$S$347</f>
        <v>0</v>
      </c>
      <c r="H315" s="707">
        <f>(Unitflowchart!$S$336/Unitflowchart!$S$357)*RailTransport!V11*Unitflowchart!$S$347</f>
        <v>0</v>
      </c>
      <c r="I315" s="24">
        <f>(H315/H$347)*100</f>
        <v>0</v>
      </c>
      <c r="J315" s="709">
        <f>(Unitflowchart!$S$336/Unitflowchart!$S$357)*RailTransport!W11*Unitflowchart!$S$347</f>
        <v>0</v>
      </c>
      <c r="K315" s="707">
        <f>(Unitflowchart!$S$336/Unitflowchart!$S$357)*RailTransport!AB11*Unitflowchart!$S$347</f>
        <v>0</v>
      </c>
      <c r="L315" s="24">
        <f>(K315/K$347)*100</f>
        <v>0</v>
      </c>
      <c r="M315" s="709">
        <f>(Unitflowchart!$S$336/Unitflowchart!$S$357)*RailTransport!AC11*Unitflowchart!$S$347</f>
        <v>0</v>
      </c>
      <c r="N315" s="710">
        <f>E315+(GlobalWarmingPotentials!$B$11*H315)+(GlobalWarmingPotentials!$C$11*K315)</f>
        <v>0</v>
      </c>
      <c r="O315" s="24">
        <f>(N315/N$347)*100</f>
        <v>0</v>
      </c>
      <c r="P315" s="726">
        <f>SQRT((G315^2)+((GlobalWarmingPotentials!$B$11*J315)^2)+((GlobalWarmingPotentials!$C$11*M315)^2))</f>
        <v>0</v>
      </c>
      <c r="Q315" s="29"/>
    </row>
    <row r="316" spans="1:17" x14ac:dyDescent="0.25">
      <c r="A316" s="13" t="str">
        <f>RailTransport!A12</f>
        <v xml:space="preserve"> - Capital Equipment</v>
      </c>
      <c r="B316" s="710">
        <f>(Unitflowchart!$S$336/Unitflowchart!$S$357)*RailTransport!J12*Unitflowchart!$S$347</f>
        <v>0</v>
      </c>
      <c r="C316" s="24">
        <f t="shared" ref="C316:C317" si="90">(B316/B$347)*100</f>
        <v>0</v>
      </c>
      <c r="D316" s="726">
        <f>(Unitflowchart!$S$336/Unitflowchart!$S$357)*RailTransport!K12*Unitflowchart!$S$347</f>
        <v>0</v>
      </c>
      <c r="E316" s="710">
        <f>(Unitflowchart!$S$336/Unitflowchart!$S$357)*RailTransport!P12*Unitflowchart!$S$347</f>
        <v>0</v>
      </c>
      <c r="F316" s="24">
        <f t="shared" ref="F316:F317" si="91">(E316/E$347)*100</f>
        <v>0</v>
      </c>
      <c r="G316" s="726">
        <f>(Unitflowchart!$S$336/Unitflowchart!$S$357)*RailTransport!Q12*Unitflowchart!$S$347</f>
        <v>0</v>
      </c>
      <c r="H316" s="707">
        <f>(Unitflowchart!$S$336/Unitflowchart!$S$357)*RailTransport!V12*Unitflowchart!$S$347</f>
        <v>0</v>
      </c>
      <c r="I316" s="24">
        <f t="shared" ref="I316:I317" si="92">(H316/H$347)*100</f>
        <v>0</v>
      </c>
      <c r="J316" s="709">
        <f>(Unitflowchart!$S$336/Unitflowchart!$S$357)*RailTransport!W12*Unitflowchart!$S$347</f>
        <v>0</v>
      </c>
      <c r="K316" s="707">
        <f>(Unitflowchart!$S$336/Unitflowchart!$S$357)*RailTransport!AB12*Unitflowchart!$S$347</f>
        <v>0</v>
      </c>
      <c r="L316" s="24">
        <f t="shared" ref="L316:L317" si="93">(K316/K$347)*100</f>
        <v>0</v>
      </c>
      <c r="M316" s="709">
        <f>(Unitflowchart!$S$336/Unitflowchart!$S$357)*RailTransport!AC12*Unitflowchart!$S$347</f>
        <v>0</v>
      </c>
      <c r="N316" s="710">
        <f>E316+(GlobalWarmingPotentials!$B$11*H316)+(GlobalWarmingPotentials!$C$11*K316)</f>
        <v>0</v>
      </c>
      <c r="O316" s="24">
        <f t="shared" ref="O316:O317" si="94">(N316/N$347)*100</f>
        <v>0</v>
      </c>
      <c r="P316" s="726">
        <f>SQRT((G316^2)+((GlobalWarmingPotentials!$B$11*J316)^2)+((GlobalWarmingPotentials!$C$11*M316)^2))</f>
        <v>0</v>
      </c>
      <c r="Q316" s="29"/>
    </row>
    <row r="317" spans="1:17" x14ac:dyDescent="0.25">
      <c r="A317" s="13" t="str">
        <f>RailTransport!A13</f>
        <v xml:space="preserve"> - Maintenance</v>
      </c>
      <c r="B317" s="710">
        <f>(Unitflowchart!$S$336/Unitflowchart!$S$357)*RailTransport!J13*Unitflowchart!$S$347</f>
        <v>0</v>
      </c>
      <c r="C317" s="24">
        <f t="shared" si="90"/>
        <v>0</v>
      </c>
      <c r="D317" s="726">
        <f>(Unitflowchart!$S$336/Unitflowchart!$S$357)*RailTransport!K13*Unitflowchart!$S$347</f>
        <v>0</v>
      </c>
      <c r="E317" s="710">
        <f>(Unitflowchart!$S$336/Unitflowchart!$S$357)*RailTransport!P13*Unitflowchart!$S$347</f>
        <v>0</v>
      </c>
      <c r="F317" s="24">
        <f t="shared" si="91"/>
        <v>0</v>
      </c>
      <c r="G317" s="726">
        <f>(Unitflowchart!$S$336/Unitflowchart!$S$357)*RailTransport!Q13*Unitflowchart!$S$347</f>
        <v>0</v>
      </c>
      <c r="H317" s="707">
        <f>(Unitflowchart!$S$336/Unitflowchart!$S$357)*RailTransport!V13*Unitflowchart!$S$347</f>
        <v>0</v>
      </c>
      <c r="I317" s="24">
        <f t="shared" si="92"/>
        <v>0</v>
      </c>
      <c r="J317" s="709">
        <f>(Unitflowchart!$S$336/Unitflowchart!$S$357)*RailTransport!W13*Unitflowchart!$S$347</f>
        <v>0</v>
      </c>
      <c r="K317" s="707">
        <f>(Unitflowchart!$S$336/Unitflowchart!$S$357)*RailTransport!AB13*Unitflowchart!$S$347</f>
        <v>0</v>
      </c>
      <c r="L317" s="24">
        <f t="shared" si="93"/>
        <v>0</v>
      </c>
      <c r="M317" s="709">
        <f>(Unitflowchart!$S$336/Unitflowchart!$S$357)*RailTransport!AC13*Unitflowchart!$S$347</f>
        <v>0</v>
      </c>
      <c r="N317" s="710">
        <f>E317+(GlobalWarmingPotentials!$B$11*H317)+(GlobalWarmingPotentials!$C$11*K317)</f>
        <v>0</v>
      </c>
      <c r="O317" s="24">
        <f t="shared" si="94"/>
        <v>0</v>
      </c>
      <c r="P317" s="726">
        <f>SQRT((G317^2)+((GlobalWarmingPotentials!$B$11*J317)^2)+((GlobalWarmingPotentials!$C$11*M317)^2))</f>
        <v>0</v>
      </c>
      <c r="Q317" s="29"/>
    </row>
    <row r="318" spans="1:17" x14ac:dyDescent="0.25">
      <c r="B318" s="712"/>
      <c r="C318" s="24"/>
      <c r="D318" s="718"/>
      <c r="E318" s="712"/>
      <c r="F318" s="24"/>
      <c r="G318" s="718"/>
      <c r="H318" s="30"/>
      <c r="I318" s="24"/>
      <c r="J318" s="708"/>
      <c r="K318" s="30"/>
      <c r="L318" s="24"/>
      <c r="M318" s="708"/>
      <c r="N318" s="712"/>
      <c r="O318" s="24"/>
      <c r="P318" s="718"/>
      <c r="Q318" s="29"/>
    </row>
    <row r="319" spans="1:17" x14ac:dyDescent="0.25">
      <c r="A319" s="214" t="s">
        <v>892</v>
      </c>
      <c r="B319" s="717">
        <f>(Unitflowchart!$S$336/Unitflowchart!$S$357)*RailTransport!J15*Unitflowchart!$S$347</f>
        <v>0</v>
      </c>
      <c r="C319" s="705">
        <f>(B319/B$347)*100</f>
        <v>0</v>
      </c>
      <c r="D319" s="727">
        <f>(Unitflowchart!$S$336/Unitflowchart!$S$357)*RailTransport!K15*Unitflowchart!$S$347</f>
        <v>0</v>
      </c>
      <c r="E319" s="717">
        <f>(Unitflowchart!$S$336/Unitflowchart!$S$357)*RailTransport!P15*Unitflowchart!$S$347</f>
        <v>0</v>
      </c>
      <c r="F319" s="705">
        <f>(E319/E$347)*100</f>
        <v>0</v>
      </c>
      <c r="G319" s="727">
        <f>(Unitflowchart!$S$336/Unitflowchart!$S$357)*RailTransport!Q15*Unitflowchart!$S$347</f>
        <v>0</v>
      </c>
      <c r="H319" s="706">
        <f>(Unitflowchart!$S$336/Unitflowchart!$S$357)*RailTransport!V15*Unitflowchart!$S$347</f>
        <v>0</v>
      </c>
      <c r="I319" s="705">
        <f>(H319/H$347)*100</f>
        <v>0</v>
      </c>
      <c r="J319" s="704">
        <f>(Unitflowchart!$S$336/Unitflowchart!$S$357)*RailTransport!W15*Unitflowchart!$S$347</f>
        <v>0</v>
      </c>
      <c r="K319" s="706">
        <f>(Unitflowchart!$S$336/Unitflowchart!$S$357)*RailTransport!AB15*Unitflowchart!$S$347</f>
        <v>0</v>
      </c>
      <c r="L319" s="705">
        <f>(K319/K$347)*100</f>
        <v>0</v>
      </c>
      <c r="M319" s="704">
        <f>(Unitflowchart!$S$336/Unitflowchart!$S$357)*RailTransport!AC15*Unitflowchart!$S$347</f>
        <v>0</v>
      </c>
      <c r="N319" s="717">
        <f>E319+(GlobalWarmingPotentials!$B$11*H319)+(GlobalWarmingPotentials!$C$11*K319)</f>
        <v>0</v>
      </c>
      <c r="O319" s="705">
        <f>(N319/N$347)*100</f>
        <v>0</v>
      </c>
      <c r="P319" s="725">
        <f>SQRT((G319^2)+((GlobalWarmingPotentials!$B$11*J319)^2)+((GlobalWarmingPotentials!$C$11*M319)^2))</f>
        <v>0</v>
      </c>
      <c r="Q319" s="29"/>
    </row>
    <row r="320" spans="1:17" x14ac:dyDescent="0.25">
      <c r="B320" s="712"/>
      <c r="D320" s="718"/>
      <c r="E320" s="712"/>
      <c r="G320" s="718"/>
      <c r="H320" s="30"/>
      <c r="J320" s="708"/>
      <c r="K320" s="30"/>
      <c r="M320" s="708"/>
      <c r="N320" s="712"/>
      <c r="P320" s="718"/>
      <c r="Q320" s="29"/>
    </row>
    <row r="321" spans="1:17" x14ac:dyDescent="0.25">
      <c r="A321" s="384" t="s">
        <v>894</v>
      </c>
      <c r="B321" s="712"/>
      <c r="D321" s="718"/>
      <c r="E321" s="712"/>
      <c r="G321" s="718"/>
      <c r="H321" s="30"/>
      <c r="J321" s="708"/>
      <c r="K321" s="30"/>
      <c r="M321" s="708"/>
      <c r="N321" s="712"/>
      <c r="P321" s="718"/>
      <c r="Q321" s="29"/>
    </row>
    <row r="322" spans="1:17" x14ac:dyDescent="0.25">
      <c r="B322" s="712"/>
      <c r="D322" s="718"/>
      <c r="E322" s="712"/>
      <c r="G322" s="718"/>
      <c r="H322" s="30"/>
      <c r="J322" s="708"/>
      <c r="K322" s="30"/>
      <c r="M322" s="708"/>
      <c r="N322" s="712"/>
      <c r="P322" s="718"/>
      <c r="Q322" s="29"/>
    </row>
    <row r="323" spans="1:17" x14ac:dyDescent="0.25">
      <c r="A323" s="13" t="str">
        <f>BargeTransport!A11</f>
        <v xml:space="preserve"> - Marine Diesel</v>
      </c>
      <c r="B323" s="710">
        <f>(Unitflowchart!$S$336/Unitflowchart!$S$357)*BargeTransport!J11*Unitflowchart!$S$349</f>
        <v>0</v>
      </c>
      <c r="C323" s="24">
        <f>(B323/B$347)*100</f>
        <v>0</v>
      </c>
      <c r="D323" s="726">
        <f>(Unitflowchart!$S$336/Unitflowchart!$S$357)*BargeTransport!K11*Unitflowchart!$S$349</f>
        <v>0</v>
      </c>
      <c r="E323" s="710">
        <f>(Unitflowchart!$S$336/Unitflowchart!$S$357)*BargeTransport!P11*Unitflowchart!$S$349</f>
        <v>0</v>
      </c>
      <c r="F323" s="24">
        <f>(E323/E$347)*100</f>
        <v>0</v>
      </c>
      <c r="G323" s="726">
        <f>(Unitflowchart!$S$336/Unitflowchart!$S$357)*BargeTransport!Q11*Unitflowchart!$S$349</f>
        <v>0</v>
      </c>
      <c r="H323" s="707">
        <f>(Unitflowchart!$S$336/Unitflowchart!$S$357)*BargeTransport!V11*Unitflowchart!$S$349</f>
        <v>0</v>
      </c>
      <c r="I323" s="24">
        <f>(H323/H$347)*100</f>
        <v>0</v>
      </c>
      <c r="J323" s="709">
        <f>(Unitflowchart!$S$336/Unitflowchart!$S$357)*BargeTransport!W11*Unitflowchart!$S$349</f>
        <v>0</v>
      </c>
      <c r="K323" s="707">
        <f>(Unitflowchart!$S$336/Unitflowchart!$S$357)*BargeTransport!AB11*Unitflowchart!$S$349</f>
        <v>0</v>
      </c>
      <c r="L323" s="24">
        <f>(K323/K$347)*100</f>
        <v>0</v>
      </c>
      <c r="M323" s="709">
        <f>(Unitflowchart!$S$336/Unitflowchart!$S$357)*BargeTransport!AC11*Unitflowchart!$S$349</f>
        <v>0</v>
      </c>
      <c r="N323" s="710">
        <f>E323+(GlobalWarmingPotentials!$B$11*H323)+(GlobalWarmingPotentials!$C$11*K323)</f>
        <v>0</v>
      </c>
      <c r="O323" s="24">
        <f>(N323/N$347)*100</f>
        <v>0</v>
      </c>
      <c r="P323" s="726">
        <f>SQRT((G323^2)+((GlobalWarmingPotentials!$B$11*J323)^2)+((GlobalWarmingPotentials!$C$11*M323)^2))</f>
        <v>0</v>
      </c>
      <c r="Q323" s="29"/>
    </row>
    <row r="324" spans="1:17" x14ac:dyDescent="0.25">
      <c r="A324" s="13" t="str">
        <f>BargeTransport!A12</f>
        <v xml:space="preserve"> - Barge Construction</v>
      </c>
      <c r="B324" s="710">
        <f>(Unitflowchart!$S$336/Unitflowchart!$S$357)*BargeTransport!J12*Unitflowchart!$S$349</f>
        <v>0</v>
      </c>
      <c r="C324" s="24">
        <f t="shared" ref="C324:C325" si="95">(B324/B$347)*100</f>
        <v>0</v>
      </c>
      <c r="D324" s="726">
        <f>(Unitflowchart!$S$336/Unitflowchart!$S$357)*BargeTransport!K12*Unitflowchart!$S$349</f>
        <v>0</v>
      </c>
      <c r="E324" s="710">
        <f>(Unitflowchart!$S$336/Unitflowchart!$S$357)*BargeTransport!P12*Unitflowchart!$S$349</f>
        <v>0</v>
      </c>
      <c r="F324" s="24">
        <f t="shared" ref="F324:F325" si="96">(E324/E$347)*100</f>
        <v>0</v>
      </c>
      <c r="G324" s="726">
        <f>(Unitflowchart!$S$336/Unitflowchart!$S$357)*BargeTransport!Q12*Unitflowchart!$S$349</f>
        <v>0</v>
      </c>
      <c r="H324" s="707">
        <f>(Unitflowchart!$S$336/Unitflowchart!$S$357)*BargeTransport!V12*Unitflowchart!$S$349</f>
        <v>0</v>
      </c>
      <c r="I324" s="24">
        <f t="shared" ref="I324:I325" si="97">(H324/H$347)*100</f>
        <v>0</v>
      </c>
      <c r="J324" s="709">
        <f>(Unitflowchart!$S$336/Unitflowchart!$S$357)*BargeTransport!W12*Unitflowchart!$S$349</f>
        <v>0</v>
      </c>
      <c r="K324" s="707">
        <f>(Unitflowchart!$S$336/Unitflowchart!$S$357)*BargeTransport!AB12*Unitflowchart!$S$349</f>
        <v>0</v>
      </c>
      <c r="L324" s="24">
        <f t="shared" ref="L324:L325" si="98">(K324/K$347)*100</f>
        <v>0</v>
      </c>
      <c r="M324" s="709">
        <f>(Unitflowchart!$S$336/Unitflowchart!$S$357)*BargeTransport!AC12*Unitflowchart!$S$349</f>
        <v>0</v>
      </c>
      <c r="N324" s="710">
        <f>E324+(GlobalWarmingPotentials!$B$11*H324)+(GlobalWarmingPotentials!$C$11*K324)</f>
        <v>0</v>
      </c>
      <c r="O324" s="24">
        <f t="shared" ref="O324:O325" si="99">(N324/N$347)*100</f>
        <v>0</v>
      </c>
      <c r="P324" s="726">
        <f>SQRT((G324^2)+((GlobalWarmingPotentials!$B$11*J324)^2)+((GlobalWarmingPotentials!$C$11*M324)^2))</f>
        <v>0</v>
      </c>
      <c r="Q324" s="29"/>
    </row>
    <row r="325" spans="1:17" x14ac:dyDescent="0.25">
      <c r="A325" s="13" t="str">
        <f>BargeTransport!A13</f>
        <v xml:space="preserve"> - Barge Maintenance</v>
      </c>
      <c r="B325" s="710">
        <f>(Unitflowchart!$S$336/Unitflowchart!$S$357)*BargeTransport!J13*Unitflowchart!$S$349</f>
        <v>0</v>
      </c>
      <c r="C325" s="24">
        <f t="shared" si="95"/>
        <v>0</v>
      </c>
      <c r="D325" s="726">
        <f>(Unitflowchart!$S$336/Unitflowchart!$S$357)*BargeTransport!K13*Unitflowchart!$S$349</f>
        <v>0</v>
      </c>
      <c r="E325" s="710">
        <f>(Unitflowchart!$S$336/Unitflowchart!$S$357)*BargeTransport!P13*Unitflowchart!$S$349</f>
        <v>0</v>
      </c>
      <c r="F325" s="24">
        <f t="shared" si="96"/>
        <v>0</v>
      </c>
      <c r="G325" s="726">
        <f>(Unitflowchart!$S$336/Unitflowchart!$S$357)*BargeTransport!Q13*Unitflowchart!$S$349</f>
        <v>0</v>
      </c>
      <c r="H325" s="707">
        <f>(Unitflowchart!$S$336/Unitflowchart!$S$357)*BargeTransport!V13*Unitflowchart!$S$349</f>
        <v>0</v>
      </c>
      <c r="I325" s="24">
        <f t="shared" si="97"/>
        <v>0</v>
      </c>
      <c r="J325" s="709">
        <f>(Unitflowchart!$S$336/Unitflowchart!$S$357)*BargeTransport!W13*Unitflowchart!$S$349</f>
        <v>0</v>
      </c>
      <c r="K325" s="707">
        <f>(Unitflowchart!$S$336/Unitflowchart!$S$357)*BargeTransport!AB13*Unitflowchart!$S$349</f>
        <v>0</v>
      </c>
      <c r="L325" s="24">
        <f t="shared" si="98"/>
        <v>0</v>
      </c>
      <c r="M325" s="709">
        <f>(Unitflowchart!$S$336/Unitflowchart!$S$357)*BargeTransport!AC13*Unitflowchart!$S$349</f>
        <v>0</v>
      </c>
      <c r="N325" s="710">
        <f>E325+(GlobalWarmingPotentials!$B$11*H325)+(GlobalWarmingPotentials!$C$11*K325)</f>
        <v>0</v>
      </c>
      <c r="O325" s="24">
        <f t="shared" si="99"/>
        <v>0</v>
      </c>
      <c r="P325" s="726">
        <f>SQRT((G325^2)+((GlobalWarmingPotentials!$B$11*J325)^2)+((GlobalWarmingPotentials!$C$11*M325)^2))</f>
        <v>0</v>
      </c>
      <c r="Q325" s="29"/>
    </row>
    <row r="326" spans="1:17" x14ac:dyDescent="0.25">
      <c r="B326" s="712"/>
      <c r="D326" s="718"/>
      <c r="E326" s="712"/>
      <c r="G326" s="718"/>
      <c r="H326" s="30"/>
      <c r="J326" s="708"/>
      <c r="K326" s="30"/>
      <c r="M326" s="708"/>
      <c r="N326" s="712"/>
      <c r="P326" s="718"/>
      <c r="Q326" s="29"/>
    </row>
    <row r="327" spans="1:17" x14ac:dyDescent="0.25">
      <c r="A327" s="214" t="s">
        <v>895</v>
      </c>
      <c r="B327" s="717">
        <f>(Unitflowchart!$S$336/Unitflowchart!$S$357)*BargeTransport!J15*Unitflowchart!$S$349</f>
        <v>0</v>
      </c>
      <c r="C327" s="705">
        <f>(B327/B$347)*100</f>
        <v>0</v>
      </c>
      <c r="D327" s="727">
        <f>(Unitflowchart!$S$336/Unitflowchart!$S$357)*BargeTransport!K15*Unitflowchart!$S$349</f>
        <v>0</v>
      </c>
      <c r="E327" s="717">
        <f>(Unitflowchart!$S$336/Unitflowchart!$S$357)*BargeTransport!P15*Unitflowchart!$S$349</f>
        <v>0</v>
      </c>
      <c r="F327" s="705">
        <f>(E327/E$347)*100</f>
        <v>0</v>
      </c>
      <c r="G327" s="727">
        <f>(Unitflowchart!$S$336/Unitflowchart!$S$357)*BargeTransport!Q15*Unitflowchart!$S$349</f>
        <v>0</v>
      </c>
      <c r="H327" s="706">
        <f>(Unitflowchart!$S$336/Unitflowchart!$S$357)*BargeTransport!V15*Unitflowchart!$S$349</f>
        <v>0</v>
      </c>
      <c r="I327" s="705">
        <f>(H327/H$347)*100</f>
        <v>0</v>
      </c>
      <c r="J327" s="704">
        <f>(Unitflowchart!$S$336/Unitflowchart!$S$357)*BargeTransport!W15*Unitflowchart!$S$349</f>
        <v>0</v>
      </c>
      <c r="K327" s="706">
        <f>(Unitflowchart!$S$336/Unitflowchart!$S$357)*BargeTransport!AB15*Unitflowchart!$S$349</f>
        <v>0</v>
      </c>
      <c r="L327" s="705">
        <f>(K327/K$347)*100</f>
        <v>0</v>
      </c>
      <c r="M327" s="704">
        <f>(Unitflowchart!$S$336/Unitflowchart!$S$357)*BargeTransport!AC15*Unitflowchart!$S$349</f>
        <v>0</v>
      </c>
      <c r="N327" s="717">
        <f>E327+(GlobalWarmingPotentials!$B$11*H327)+(GlobalWarmingPotentials!$C$11*K327)</f>
        <v>0</v>
      </c>
      <c r="O327" s="705">
        <f>(N327/N$347)*100</f>
        <v>0</v>
      </c>
      <c r="P327" s="725">
        <f>SQRT((G327^2)+((GlobalWarmingPotentials!$B$11*J327)^2)+((GlobalWarmingPotentials!$C$11*M327)^2))</f>
        <v>0</v>
      </c>
      <c r="Q327" s="29"/>
    </row>
    <row r="328" spans="1:17" x14ac:dyDescent="0.25">
      <c r="B328" s="712"/>
      <c r="D328" s="718"/>
      <c r="E328" s="712"/>
      <c r="G328" s="718"/>
      <c r="H328" s="30"/>
      <c r="J328" s="708"/>
      <c r="K328" s="30"/>
      <c r="M328" s="708"/>
      <c r="N328" s="712"/>
      <c r="P328" s="718"/>
      <c r="Q328" s="29"/>
    </row>
    <row r="329" spans="1:17" x14ac:dyDescent="0.25">
      <c r="A329" s="384" t="s">
        <v>896</v>
      </c>
      <c r="B329" s="712"/>
      <c r="D329" s="718"/>
      <c r="E329" s="712"/>
      <c r="G329" s="718"/>
      <c r="H329" s="30"/>
      <c r="J329" s="708"/>
      <c r="K329" s="30"/>
      <c r="M329" s="708"/>
      <c r="N329" s="712"/>
      <c r="P329" s="718"/>
      <c r="Q329" s="29"/>
    </row>
    <row r="330" spans="1:17" x14ac:dyDescent="0.25">
      <c r="B330" s="712"/>
      <c r="D330" s="718"/>
      <c r="E330" s="712"/>
      <c r="G330" s="718"/>
      <c r="H330" s="30"/>
      <c r="J330" s="708"/>
      <c r="K330" s="30"/>
      <c r="M330" s="708"/>
      <c r="N330" s="712"/>
      <c r="P330" s="718"/>
      <c r="Q330" s="29"/>
    </row>
    <row r="331" spans="1:17" x14ac:dyDescent="0.25">
      <c r="A331" s="13" t="str">
        <f>ShipTransport!A11</f>
        <v xml:space="preserve"> - Marine Diesel</v>
      </c>
      <c r="B331" s="710">
        <f>(Unitflowchart!$S$336/Unitflowchart!$S$357)*ShipTransport!J11*Unitflowchart!$S$351</f>
        <v>0</v>
      </c>
      <c r="C331" s="24">
        <f>(B331/B$347)*100</f>
        <v>0</v>
      </c>
      <c r="D331" s="726">
        <f>(Unitflowchart!$S$336/Unitflowchart!$S$357)*ShipTransport!K11*Unitflowchart!$S$351</f>
        <v>0</v>
      </c>
      <c r="E331" s="710">
        <f>(Unitflowchart!$S$336/Unitflowchart!$S$357)*ShipTransport!P11*Unitflowchart!$S$351</f>
        <v>0</v>
      </c>
      <c r="F331" s="24">
        <f>(E331/E$347)*100</f>
        <v>0</v>
      </c>
      <c r="G331" s="726">
        <f>(Unitflowchart!$S$336/Unitflowchart!$S$357)*ShipTransport!Q11*Unitflowchart!$S$351</f>
        <v>0</v>
      </c>
      <c r="H331" s="707">
        <f>(Unitflowchart!$S$336/Unitflowchart!$S$357)*ShipTransport!V11*Unitflowchart!$S$351</f>
        <v>0</v>
      </c>
      <c r="I331" s="24">
        <f>(H331/H$347)*100</f>
        <v>0</v>
      </c>
      <c r="J331" s="709">
        <f>(Unitflowchart!$S$336/Unitflowchart!$S$357)*ShipTransport!W11*Unitflowchart!$S$351</f>
        <v>0</v>
      </c>
      <c r="K331" s="707">
        <f>(Unitflowchart!$S$336/Unitflowchart!$S$357)*ShipTransport!AB11*Unitflowchart!$S$351</f>
        <v>0</v>
      </c>
      <c r="L331" s="24">
        <f>(K331/K$347)*100</f>
        <v>0</v>
      </c>
      <c r="M331" s="709">
        <f>(Unitflowchart!$S$336/Unitflowchart!$S$357)*ShipTransport!AC11*Unitflowchart!$S$351</f>
        <v>0</v>
      </c>
      <c r="N331" s="710">
        <f>E331+(GlobalWarmingPotentials!$B$11*H331)+(GlobalWarmingPotentials!$C$11*K331)</f>
        <v>0</v>
      </c>
      <c r="O331" s="24">
        <f>(N331/N$347)*100</f>
        <v>0</v>
      </c>
      <c r="P331" s="726">
        <f>SQRT((G331^2)+((GlobalWarmingPotentials!$B$11*J331)^2)+((GlobalWarmingPotentials!$C$11*M331)^2))</f>
        <v>0</v>
      </c>
      <c r="Q331" s="29"/>
    </row>
    <row r="332" spans="1:17" x14ac:dyDescent="0.25">
      <c r="A332" s="13" t="str">
        <f>ShipTransport!A12</f>
        <v xml:space="preserve"> - Ship Construction</v>
      </c>
      <c r="B332" s="710">
        <f>(Unitflowchart!$S$336/Unitflowchart!$S$357)*ShipTransport!J12*Unitflowchart!$S$351</f>
        <v>0</v>
      </c>
      <c r="C332" s="24">
        <f t="shared" ref="C332:C333" si="100">(B332/B$347)*100</f>
        <v>0</v>
      </c>
      <c r="D332" s="726">
        <f>(Unitflowchart!$S$336/Unitflowchart!$S$357)*ShipTransport!K12*Unitflowchart!$S$351</f>
        <v>0</v>
      </c>
      <c r="E332" s="710">
        <f>(Unitflowchart!$S$336/Unitflowchart!$S$357)*ShipTransport!P12*Unitflowchart!$S$351</f>
        <v>0</v>
      </c>
      <c r="F332" s="24">
        <f t="shared" ref="F332:F333" si="101">(E332/E$347)*100</f>
        <v>0</v>
      </c>
      <c r="G332" s="726">
        <f>(Unitflowchart!$S$336/Unitflowchart!$S$357)*ShipTransport!Q12*Unitflowchart!$S$351</f>
        <v>0</v>
      </c>
      <c r="H332" s="707">
        <f>(Unitflowchart!$S$336/Unitflowchart!$S$357)*ShipTransport!V12*Unitflowchart!$S$351</f>
        <v>0</v>
      </c>
      <c r="I332" s="24">
        <f t="shared" ref="I332:I333" si="102">(H332/H$347)*100</f>
        <v>0</v>
      </c>
      <c r="J332" s="709">
        <f>(Unitflowchart!$S$336/Unitflowchart!$S$357)*ShipTransport!W12*Unitflowchart!$S$351</f>
        <v>0</v>
      </c>
      <c r="K332" s="707">
        <f>(Unitflowchart!$S$336/Unitflowchart!$S$357)*ShipTransport!AB12*Unitflowchart!$S$351</f>
        <v>0</v>
      </c>
      <c r="L332" s="24">
        <f t="shared" ref="L332:L333" si="103">(K332/K$347)*100</f>
        <v>0</v>
      </c>
      <c r="M332" s="709">
        <f>(Unitflowchart!$S$336/Unitflowchart!$S$357)*ShipTransport!AC12*Unitflowchart!$S$351</f>
        <v>0</v>
      </c>
      <c r="N332" s="710">
        <f>E332+(GlobalWarmingPotentials!$B$11*H332)+(GlobalWarmingPotentials!$C$11*K332)</f>
        <v>0</v>
      </c>
      <c r="O332" s="24">
        <f t="shared" ref="O332:O333" si="104">(N332/N$347)*100</f>
        <v>0</v>
      </c>
      <c r="P332" s="726">
        <f>SQRT((G332^2)+((GlobalWarmingPotentials!$B$11*J332)^2)+((GlobalWarmingPotentials!$C$11*M332)^2))</f>
        <v>0</v>
      </c>
      <c r="Q332" s="29"/>
    </row>
    <row r="333" spans="1:17" x14ac:dyDescent="0.25">
      <c r="A333" s="13" t="str">
        <f>ShipTransport!A13</f>
        <v xml:space="preserve"> - Ship Maintenance</v>
      </c>
      <c r="B333" s="710">
        <f>(Unitflowchart!$S$336/Unitflowchart!$S$357)*ShipTransport!J13*Unitflowchart!$S$351</f>
        <v>0</v>
      </c>
      <c r="C333" s="24">
        <f t="shared" si="100"/>
        <v>0</v>
      </c>
      <c r="D333" s="726">
        <f>(Unitflowchart!$S$336/Unitflowchart!$S$357)*ShipTransport!K13*Unitflowchart!$S$351</f>
        <v>0</v>
      </c>
      <c r="E333" s="710">
        <f>(Unitflowchart!$S$336/Unitflowchart!$S$357)*ShipTransport!P13*Unitflowchart!$S$351</f>
        <v>0</v>
      </c>
      <c r="F333" s="24">
        <f t="shared" si="101"/>
        <v>0</v>
      </c>
      <c r="G333" s="726">
        <f>(Unitflowchart!$S$336/Unitflowchart!$S$357)*ShipTransport!Q13*Unitflowchart!$S$351</f>
        <v>0</v>
      </c>
      <c r="H333" s="707">
        <f>(Unitflowchart!$S$336/Unitflowchart!$S$357)*ShipTransport!V13*Unitflowchart!$S$351</f>
        <v>0</v>
      </c>
      <c r="I333" s="24">
        <f t="shared" si="102"/>
        <v>0</v>
      </c>
      <c r="J333" s="709">
        <f>(Unitflowchart!$S$336/Unitflowchart!$S$357)*ShipTransport!W13*Unitflowchart!$S$351</f>
        <v>0</v>
      </c>
      <c r="K333" s="707">
        <f>(Unitflowchart!$S$336/Unitflowchart!$S$357)*ShipTransport!AB13*Unitflowchart!$S$351</f>
        <v>0</v>
      </c>
      <c r="L333" s="24">
        <f t="shared" si="103"/>
        <v>0</v>
      </c>
      <c r="M333" s="709">
        <f>(Unitflowchart!$S$336/Unitflowchart!$S$357)*ShipTransport!AC13*Unitflowchart!$S$351</f>
        <v>0</v>
      </c>
      <c r="N333" s="710">
        <f>E333+(GlobalWarmingPotentials!$B$11*H333)+(GlobalWarmingPotentials!$C$11*K333)</f>
        <v>0</v>
      </c>
      <c r="O333" s="24">
        <f t="shared" si="104"/>
        <v>0</v>
      </c>
      <c r="P333" s="726">
        <f>SQRT((G333^2)+((GlobalWarmingPotentials!$B$11*J333)^2)+((GlobalWarmingPotentials!$C$11*M333)^2))</f>
        <v>0</v>
      </c>
      <c r="Q333" s="29"/>
    </row>
    <row r="334" spans="1:17" x14ac:dyDescent="0.25">
      <c r="B334" s="712"/>
      <c r="C334" s="24"/>
      <c r="D334" s="718"/>
      <c r="E334" s="712"/>
      <c r="F334" s="24"/>
      <c r="G334" s="718"/>
      <c r="H334" s="30"/>
      <c r="I334" s="24"/>
      <c r="J334" s="708"/>
      <c r="K334" s="30"/>
      <c r="L334" s="24"/>
      <c r="M334" s="708"/>
      <c r="N334" s="712"/>
      <c r="O334" s="24"/>
      <c r="P334" s="718"/>
      <c r="Q334" s="29"/>
    </row>
    <row r="335" spans="1:17" x14ac:dyDescent="0.25">
      <c r="A335" s="214" t="s">
        <v>897</v>
      </c>
      <c r="B335" s="717">
        <f>(Unitflowchart!$S$336/Unitflowchart!$S$357)*ShipTransport!J15*Unitflowchart!$S$351</f>
        <v>0</v>
      </c>
      <c r="C335" s="705">
        <f>(B335/B$347)*100</f>
        <v>0</v>
      </c>
      <c r="D335" s="727">
        <f>(Unitflowchart!$S$336/Unitflowchart!$S$357)*ShipTransport!K15*Unitflowchart!$S$351</f>
        <v>0</v>
      </c>
      <c r="E335" s="717">
        <f>(Unitflowchart!$S$336/Unitflowchart!$S$357)*ShipTransport!P15*Unitflowchart!$S$351</f>
        <v>0</v>
      </c>
      <c r="F335" s="705">
        <f>(E335/E$347)*100</f>
        <v>0</v>
      </c>
      <c r="G335" s="727">
        <f>(Unitflowchart!$S$336/Unitflowchart!$S$357)*ShipTransport!Q15*Unitflowchart!$S$351</f>
        <v>0</v>
      </c>
      <c r="H335" s="706">
        <f>(Unitflowchart!$S$336/Unitflowchart!$S$357)*ShipTransport!V15*Unitflowchart!$S$351</f>
        <v>0</v>
      </c>
      <c r="I335" s="705">
        <f>(H335/H$347)*100</f>
        <v>0</v>
      </c>
      <c r="J335" s="704">
        <f>(Unitflowchart!$S$336/Unitflowchart!$S$357)*ShipTransport!W15*Unitflowchart!$S$351</f>
        <v>0</v>
      </c>
      <c r="K335" s="706">
        <f>(Unitflowchart!$S$336/Unitflowchart!$S$357)*ShipTransport!AB15*Unitflowchart!$S$351</f>
        <v>0</v>
      </c>
      <c r="L335" s="705">
        <f>(K335/K$347)*100</f>
        <v>0</v>
      </c>
      <c r="M335" s="704">
        <f>(Unitflowchart!$S$336/Unitflowchart!$S$357)*ShipTransport!AC15*Unitflowchart!$S$351</f>
        <v>0</v>
      </c>
      <c r="N335" s="717">
        <f>E335+(GlobalWarmingPotentials!$B$11*H335)+(GlobalWarmingPotentials!$C$11*K335)</f>
        <v>0</v>
      </c>
      <c r="O335" s="705">
        <f>(N335/N$347)*100</f>
        <v>0</v>
      </c>
      <c r="P335" s="725">
        <f>SQRT((G335^2)+((GlobalWarmingPotentials!$B$11*J335)^2)+((GlobalWarmingPotentials!$C$11*M335)^2))</f>
        <v>0</v>
      </c>
      <c r="Q335" s="29"/>
    </row>
    <row r="336" spans="1:17" x14ac:dyDescent="0.25">
      <c r="A336" s="22"/>
      <c r="B336" s="712"/>
      <c r="D336" s="718"/>
      <c r="E336" s="712"/>
      <c r="G336" s="718"/>
      <c r="H336" s="30"/>
      <c r="J336" s="708"/>
      <c r="K336" s="30"/>
      <c r="M336" s="708"/>
      <c r="N336" s="712"/>
      <c r="P336" s="718"/>
      <c r="Q336" s="29"/>
    </row>
    <row r="337" spans="1:17" x14ac:dyDescent="0.25">
      <c r="A337" s="214" t="s">
        <v>886</v>
      </c>
      <c r="B337" s="717">
        <f>B311+B319+B327+B335</f>
        <v>0</v>
      </c>
      <c r="C337" s="705">
        <f>(B337/B$347)*100</f>
        <v>0</v>
      </c>
      <c r="D337" s="727">
        <f>SQRT((D311^2)+(D319^2)+(D327^2)+(D335^2))</f>
        <v>0</v>
      </c>
      <c r="E337" s="717">
        <f t="shared" ref="E337" si="105">E311+E319+E327+E335</f>
        <v>0</v>
      </c>
      <c r="F337" s="705">
        <f t="shared" ref="F337" si="106">(E337/E$347)*100</f>
        <v>0</v>
      </c>
      <c r="G337" s="727">
        <f t="shared" ref="G337" si="107">SQRT((G311^2)+(G319^2)+(G327^2)+(G335^2))</f>
        <v>0</v>
      </c>
      <c r="H337" s="706">
        <f t="shared" ref="H337" si="108">H311+H319+H327+H335</f>
        <v>0</v>
      </c>
      <c r="I337" s="705">
        <f t="shared" ref="I337" si="109">(H337/H$347)*100</f>
        <v>0</v>
      </c>
      <c r="J337" s="704">
        <f t="shared" ref="J337" si="110">SQRT((J311^2)+(J319^2)+(J327^2)+(J335^2))</f>
        <v>0</v>
      </c>
      <c r="K337" s="706">
        <f t="shared" ref="K337" si="111">K311+K319+K327+K335</f>
        <v>0</v>
      </c>
      <c r="L337" s="705">
        <f t="shared" ref="L337" si="112">(K337/K$347)*100</f>
        <v>0</v>
      </c>
      <c r="M337" s="704">
        <f t="shared" ref="M337" si="113">SQRT((M311^2)+(M319^2)+(M327^2)+(M335^2))</f>
        <v>0</v>
      </c>
      <c r="N337" s="717">
        <f t="shared" ref="N337" si="114">N311+N319+N327+N335</f>
        <v>0</v>
      </c>
      <c r="O337" s="705">
        <f t="shared" ref="O337" si="115">(N337/N$347)*100</f>
        <v>0</v>
      </c>
      <c r="P337" s="725">
        <f t="shared" ref="P337" si="116">SQRT((P311^2)+(P319^2)+(P327^2)+(P335^2))</f>
        <v>0</v>
      </c>
      <c r="Q337" s="29"/>
    </row>
    <row r="338" spans="1:17" x14ac:dyDescent="0.25">
      <c r="B338" s="712"/>
      <c r="D338" s="718"/>
      <c r="E338" s="712"/>
      <c r="G338" s="718"/>
      <c r="H338" s="30"/>
      <c r="J338" s="708"/>
      <c r="K338" s="30"/>
      <c r="M338" s="708"/>
      <c r="N338" s="712"/>
      <c r="P338" s="718"/>
      <c r="Q338" s="29"/>
    </row>
    <row r="339" spans="1:17" x14ac:dyDescent="0.25">
      <c r="A339" s="384" t="s">
        <v>854</v>
      </c>
      <c r="B339" s="712"/>
      <c r="D339" s="718"/>
      <c r="E339" s="712"/>
      <c r="G339" s="718"/>
      <c r="H339" s="30"/>
      <c r="J339" s="708"/>
      <c r="K339" s="30"/>
      <c r="M339" s="708"/>
      <c r="N339" s="712"/>
      <c r="P339" s="718"/>
      <c r="Q339" s="29"/>
    </row>
    <row r="340" spans="1:17" x14ac:dyDescent="0.25">
      <c r="B340" s="712"/>
      <c r="D340" s="718"/>
      <c r="E340" s="712"/>
      <c r="G340" s="718"/>
      <c r="H340" s="30"/>
      <c r="J340" s="708"/>
      <c r="K340" s="30"/>
      <c r="M340" s="708"/>
      <c r="N340" s="712"/>
      <c r="P340" s="718"/>
      <c r="Q340" s="29"/>
    </row>
    <row r="341" spans="1:17" x14ac:dyDescent="0.25">
      <c r="A341" t="str">
        <f>Biorefinery!A16</f>
        <v xml:space="preserve"> - Plant Construction</v>
      </c>
      <c r="B341" s="715">
        <f>Unitflowchart!$S$286*(AllocationPrice!$H$48/100)/Unitflowchart!$S$357*(Biorefinery!J16)</f>
        <v>0</v>
      </c>
      <c r="C341" s="25">
        <f t="shared" ref="C341" si="117">(B341/B$347)*100</f>
        <v>0</v>
      </c>
      <c r="D341" s="355">
        <f>Unitflowchart!$S$286*(AllocationPrice!$H$48/100)/Unitflowchart!$S$357*(Biorefinery!K16)</f>
        <v>0</v>
      </c>
      <c r="E341" s="715">
        <f>Unitflowchart!$S$286*(AllocationPrice!$H$48/100)/Unitflowchart!$S$357*(Biorefinery!P16)</f>
        <v>0</v>
      </c>
      <c r="F341" s="25">
        <f t="shared" ref="F341" si="118">(E341/E$347)*100</f>
        <v>0</v>
      </c>
      <c r="G341" s="355">
        <f>Unitflowchart!$S$286*(AllocationPrice!$H$48/100)/Unitflowchart!$S$357*(Biorefinery!Q16)</f>
        <v>0</v>
      </c>
      <c r="H341" s="730">
        <f>Unitflowchart!$S$286*(AllocationPrice!$H$48/100)/Unitflowchart!$S$357*(Biorefinery!V16)</f>
        <v>0</v>
      </c>
      <c r="I341" s="25">
        <f t="shared" ref="I341" si="119">(H341/H$347)*100</f>
        <v>0</v>
      </c>
      <c r="J341" s="733">
        <f>Unitflowchart!$S$286*(AllocationPrice!$H$48/100)/Unitflowchart!$S$357*(Biorefinery!W16)</f>
        <v>0</v>
      </c>
      <c r="K341" s="730">
        <f>Unitflowchart!$S$286*(AllocationPrice!$H$48/100)/Unitflowchart!$S$357*(Biorefinery!AB16)</f>
        <v>0</v>
      </c>
      <c r="L341" s="25">
        <f t="shared" ref="L341" si="120">(K341/K$347)*100</f>
        <v>0</v>
      </c>
      <c r="M341" s="733">
        <f>Unitflowchart!$S$286*(AllocationPrice!$H$48/100)/Unitflowchart!$S$357*(Biorefinery!AC16)</f>
        <v>0</v>
      </c>
      <c r="N341" s="711">
        <f>E341+(GlobalWarmingPotentials!$B$11*H341)+(GlobalWarmingPotentials!$C$11*K341)</f>
        <v>0</v>
      </c>
      <c r="O341" s="25">
        <f t="shared" ref="O341:O343" si="121">(N341/N$347)*100</f>
        <v>0</v>
      </c>
      <c r="P341" s="740">
        <f>SQRT((G341^2)+((GlobalWarmingPotentials!$B$11*J341)^2)+((GlobalWarmingPotentials!$C$11*M341)^2))</f>
        <v>0</v>
      </c>
      <c r="Q341" s="29"/>
    </row>
    <row r="342" spans="1:17" x14ac:dyDescent="0.25">
      <c r="A342" t="str">
        <f>Biorefinery!A17</f>
        <v xml:space="preserve"> - Plant Maintenance</v>
      </c>
      <c r="B342" s="715">
        <f>Unitflowchart!$S$286*(AllocationPrice!$H$48/100)/Unitflowchart!$S$357*(Biorefinery!J17)</f>
        <v>0</v>
      </c>
      <c r="C342" s="25">
        <f t="shared" ref="C342:C343" si="122">(B342/B$347)*100</f>
        <v>0</v>
      </c>
      <c r="D342" s="355">
        <f>Unitflowchart!$S$286*(AllocationPrice!$H$48/100)/Unitflowchart!$S$357*(Biorefinery!K17)</f>
        <v>0</v>
      </c>
      <c r="E342" s="715">
        <f>Unitflowchart!$S$286*(AllocationPrice!$H$48/100)/Unitflowchart!$S$357*(Biorefinery!P17)</f>
        <v>0</v>
      </c>
      <c r="F342" s="25">
        <f t="shared" ref="F342:F343" si="123">(E342/E$347)*100</f>
        <v>0</v>
      </c>
      <c r="G342" s="355">
        <f>Unitflowchart!$S$286*(AllocationPrice!$H$48/100)/Unitflowchart!$S$357*(Biorefinery!Q17)</f>
        <v>0</v>
      </c>
      <c r="H342" s="730">
        <f>Unitflowchart!$S$286*(AllocationPrice!$H$48/100)/Unitflowchart!$S$357*(Biorefinery!V17)</f>
        <v>0</v>
      </c>
      <c r="I342" s="25">
        <f t="shared" ref="I342:I343" si="124">(H342/H$347)*100</f>
        <v>0</v>
      </c>
      <c r="J342" s="733">
        <f>Unitflowchart!$S$286*(AllocationPrice!$H$48/100)/Unitflowchart!$S$357*(Biorefinery!W17)</f>
        <v>0</v>
      </c>
      <c r="K342" s="730">
        <f>Unitflowchart!$S$286*(AllocationPrice!$H$48/100)/Unitflowchart!$S$357*(Biorefinery!AB17)</f>
        <v>0</v>
      </c>
      <c r="L342" s="25">
        <f t="shared" ref="L342:L343" si="125">(K342/K$347)*100</f>
        <v>0</v>
      </c>
      <c r="M342" s="733">
        <f>Unitflowchart!$S$286*(AllocationPrice!$H$48/100)/Unitflowchart!$S$357*(Biorefinery!AC17)</f>
        <v>0</v>
      </c>
      <c r="N342" s="711">
        <f>E342+(GlobalWarmingPotentials!$B$11*H342)+(GlobalWarmingPotentials!$C$11*K342)</f>
        <v>0</v>
      </c>
      <c r="O342" s="25">
        <f t="shared" si="121"/>
        <v>0</v>
      </c>
      <c r="P342" s="740">
        <f>SQRT((G342^2)+((GlobalWarmingPotentials!$B$11*J342)^2)+((GlobalWarmingPotentials!$C$11*M342)^2))</f>
        <v>0</v>
      </c>
      <c r="Q342" s="29"/>
    </row>
    <row r="343" spans="1:17" x14ac:dyDescent="0.25">
      <c r="A343" t="str">
        <f>Biorefinery!A18</f>
        <v xml:space="preserve"> - Plant Decommissioning</v>
      </c>
      <c r="B343" s="715">
        <f>Unitflowchart!$S$286*(AllocationPrice!$H$48/100)/Unitflowchart!$S$357*(Biorefinery!J18)</f>
        <v>0</v>
      </c>
      <c r="C343" s="25">
        <f t="shared" si="122"/>
        <v>0</v>
      </c>
      <c r="D343" s="355">
        <f>Unitflowchart!$S$286*(AllocationPrice!$H$48/100)/Unitflowchart!$S$357*(Biorefinery!K18)</f>
        <v>0</v>
      </c>
      <c r="E343" s="715">
        <f>Unitflowchart!$S$286*(AllocationPrice!$H$48/100)/Unitflowchart!$S$357*(Biorefinery!P18)</f>
        <v>0</v>
      </c>
      <c r="F343" s="25">
        <f t="shared" si="123"/>
        <v>0</v>
      </c>
      <c r="G343" s="355">
        <f>Unitflowchart!$S$286*(AllocationPrice!$H$48/100)/Unitflowchart!$S$357*(Biorefinery!Q18)</f>
        <v>0</v>
      </c>
      <c r="H343" s="730">
        <f>Unitflowchart!$S$286*(AllocationPrice!$H$48/100)/Unitflowchart!$S$357*(Biorefinery!V18)</f>
        <v>0</v>
      </c>
      <c r="I343" s="25">
        <f t="shared" si="124"/>
        <v>0</v>
      </c>
      <c r="J343" s="733">
        <f>Unitflowchart!$S$286*(AllocationPrice!$H$48/100)/Unitflowchart!$S$357*(Biorefinery!W18)</f>
        <v>0</v>
      </c>
      <c r="K343" s="730">
        <f>Unitflowchart!$S$286*(AllocationPrice!$H$48/100)/Unitflowchart!$S$357*(Biorefinery!AB18)</f>
        <v>0</v>
      </c>
      <c r="L343" s="25">
        <f t="shared" si="125"/>
        <v>0</v>
      </c>
      <c r="M343" s="733">
        <f>Unitflowchart!$S$286*(AllocationPrice!$H$48/100)/Unitflowchart!$S$357*(Biorefinery!AC18)</f>
        <v>0</v>
      </c>
      <c r="N343" s="711">
        <f>E343+(GlobalWarmingPotentials!$B$11*H343)+(GlobalWarmingPotentials!$C$11*K343)</f>
        <v>0</v>
      </c>
      <c r="O343" s="25">
        <f t="shared" si="121"/>
        <v>0</v>
      </c>
      <c r="P343" s="740">
        <f>SQRT((G343^2)+((GlobalWarmingPotentials!$B$11*J343)^2)+((GlobalWarmingPotentials!$C$11*M343)^2))</f>
        <v>0</v>
      </c>
      <c r="Q343" s="29"/>
    </row>
    <row r="344" spans="1:17" x14ac:dyDescent="0.25">
      <c r="B344" s="712"/>
      <c r="C344" s="153"/>
      <c r="D344" s="718"/>
      <c r="E344" s="712"/>
      <c r="F344" s="153"/>
      <c r="G344" s="718"/>
      <c r="H344" s="30"/>
      <c r="I344" s="153"/>
      <c r="J344" s="708"/>
      <c r="K344" s="30"/>
      <c r="L344" s="153"/>
      <c r="M344" s="708"/>
      <c r="N344" s="712"/>
      <c r="O344" s="153"/>
      <c r="P344" s="718"/>
      <c r="Q344" s="29"/>
    </row>
    <row r="345" spans="1:17" x14ac:dyDescent="0.25">
      <c r="A345" s="214" t="s">
        <v>882</v>
      </c>
      <c r="B345" s="717">
        <f>Unitflowchart!$S$286*(AllocationPrice!$H$48/100)/Unitflowchart!$S$357*(Biorefinery!J20)</f>
        <v>0</v>
      </c>
      <c r="C345" s="14">
        <f t="shared" ref="C345" si="126">(B345/B$347)*100</f>
        <v>0</v>
      </c>
      <c r="D345" s="722">
        <f>Unitflowchart!$S$286*(AllocationPrice!$H$48/100)/Unitflowchart!$S$357*(Biorefinery!K20)</f>
        <v>0</v>
      </c>
      <c r="E345" s="714">
        <f>Unitflowchart!$S$286*(AllocationPrice!$H$48/100)/Unitflowchart!$S$357*(Biorefinery!P20)</f>
        <v>0</v>
      </c>
      <c r="F345" s="14">
        <f t="shared" ref="F345" si="127">(E345/E$347)*100</f>
        <v>0</v>
      </c>
      <c r="G345" s="722">
        <f>Unitflowchart!$S$286*(AllocationPrice!$H$48/100)/Unitflowchart!$S$357*(Biorefinery!Q20)</f>
        <v>0</v>
      </c>
      <c r="H345" s="211">
        <f>Unitflowchart!$S$286*(AllocationPrice!$H$48/100)/Unitflowchart!$S$357*(Biorefinery!V20)</f>
        <v>0</v>
      </c>
      <c r="I345" s="14">
        <f t="shared" ref="I345" si="128">(H345/H$347)*100</f>
        <v>0</v>
      </c>
      <c r="J345" s="728">
        <f>Unitflowchart!$S$286*(AllocationPrice!$H$48/100)/Unitflowchart!$S$357*(Biorefinery!W20)</f>
        <v>0</v>
      </c>
      <c r="K345" s="211">
        <f>Unitflowchart!$S$286*(AllocationPrice!$H$48/100)/Unitflowchart!$S$357*(Biorefinery!AB20)</f>
        <v>0</v>
      </c>
      <c r="L345" s="14">
        <f t="shared" ref="L345" si="129">(K345/K$347)*100</f>
        <v>0</v>
      </c>
      <c r="M345" s="212">
        <f>Unitflowchart!$S$286*(AllocationPrice!$H$48/100)/Unitflowchart!$S$357*(Biorefinery!AC20)</f>
        <v>0</v>
      </c>
      <c r="N345" s="714">
        <f>E345+(GlobalWarmingPotentials!$B$11*H345)+(GlobalWarmingPotentials!$C$11*K345)</f>
        <v>0</v>
      </c>
      <c r="O345" s="14">
        <f>(N345/N$347)*100</f>
        <v>0</v>
      </c>
      <c r="P345" s="741">
        <f>SQRT((G345^2)+((GlobalWarmingPotentials!$B$11*J345)^2)+((GlobalWarmingPotentials!$C$11*M345)^2))</f>
        <v>0</v>
      </c>
      <c r="Q345" s="29"/>
    </row>
    <row r="346" spans="1:17" x14ac:dyDescent="0.25">
      <c r="B346" s="712"/>
      <c r="D346" s="718"/>
      <c r="E346" s="712"/>
      <c r="G346" s="718"/>
      <c r="H346" s="30"/>
      <c r="J346" s="708"/>
      <c r="K346" s="731"/>
      <c r="M346" s="734"/>
      <c r="N346" s="718"/>
      <c r="P346" s="718"/>
      <c r="Q346" s="29"/>
    </row>
    <row r="347" spans="1:17" x14ac:dyDescent="0.25">
      <c r="A347" s="214" t="s">
        <v>417</v>
      </c>
      <c r="B347" s="717">
        <f>B104+B138+B172+B178+B195+B202+B209+B216+B223+B229+B235+B269+B303+B337+B345</f>
        <v>19029.924609561138</v>
      </c>
      <c r="C347" s="14">
        <f>(B347/B$347)*100</f>
        <v>100</v>
      </c>
      <c r="D347" s="727">
        <f>SQRT((D104^2)+(D138^2)+(D172^2)+(D178^2)+(D195^2)+(D202^2)+(D209^2)+(D216^2)+(D223^2)+(D229^2)+(D235^2)+(D269^2)+(D303^2)+(D337^2)+(D345^2))</f>
        <v>927.66717480673935</v>
      </c>
      <c r="E347" s="717">
        <f t="shared" ref="E347" si="130">E104+E138+E172+E178+E195+E202+E209+E216+E223+E229+E235+E269+E303+E337+E345</f>
        <v>1196.1892112040041</v>
      </c>
      <c r="F347" s="14">
        <f t="shared" ref="F347" si="131">(E347/E$347)*100</f>
        <v>100</v>
      </c>
      <c r="G347" s="727">
        <f t="shared" ref="G347" si="132">SQRT((G104^2)+(G138^2)+(G172^2)+(G178^2)+(G195^2)+(G202^2)+(G209^2)+(G216^2)+(G223^2)+(G229^2)+(G235^2)+(G269^2)+(G303^2)+(G337^2)+(G345^2))</f>
        <v>56.544037044773241</v>
      </c>
      <c r="H347" s="706">
        <f t="shared" ref="H347" si="133">H104+H138+H172+H178+H195+H202+H209+H216+H223+H229+H235+H269+H303+H337+H345</f>
        <v>1.7874889054815275</v>
      </c>
      <c r="I347" s="14">
        <f t="shared" ref="I347" si="134">(H347/H$347)*100</f>
        <v>100</v>
      </c>
      <c r="J347" s="704">
        <f t="shared" ref="J347" si="135">SQRT((J104^2)+(J138^2)+(J172^2)+(J178^2)+(J195^2)+(J202^2)+(J209^2)+(J216^2)+(J223^2)+(J229^2)+(J235^2)+(J269^2)+(J303^2)+(J337^2)+(J345^2))</f>
        <v>0.11344195657432668</v>
      </c>
      <c r="K347" s="706">
        <f t="shared" ref="K347" si="136">K104+K138+K172+K178+K195+K202+K209+K216+K223+K229+K235+K269+K303+K337+K345</f>
        <v>1.816510543023748</v>
      </c>
      <c r="L347" s="14">
        <f t="shared" ref="L347" si="137">(K347/K$347)*100</f>
        <v>100</v>
      </c>
      <c r="M347" s="704">
        <f t="shared" ref="M347" si="138">SQRT((M104^2)+(M138^2)+(M172^2)+(M178^2)+(M195^2)+(M202^2)+(M209^2)+(M216^2)+(M223^2)+(M229^2)+(M235^2)+(M269^2)+(M303^2)+(M337^2)+(M345^2))</f>
        <v>0.1393550548877141</v>
      </c>
      <c r="N347" s="717">
        <f t="shared" ref="N347" si="139">N104+N138+N172+N178+N195+N202+N209+N216+N223+N229+N235+N269+N303+N337+N345</f>
        <v>1774.988576765109</v>
      </c>
      <c r="O347" s="14">
        <f t="shared" ref="O347" si="140">(N347/N$347)*100</f>
        <v>100</v>
      </c>
      <c r="P347" s="727">
        <f t="shared" ref="P347" si="141">SQRT((P104^2)+(P138^2)+(P172^2)+(P178^2)+(P195^2)+(P202^2)+(P209^2)+(P216^2)+(P223^2)+(P229^2)+(P235^2)+(P269^2)+(P303^2)+(P337^2)+(P345^2))</f>
        <v>70.03944466155464</v>
      </c>
      <c r="Q347" s="29"/>
    </row>
    <row r="348" spans="1:17" x14ac:dyDescent="0.25">
      <c r="A348" s="352"/>
      <c r="B348" s="352"/>
      <c r="D348" s="352"/>
      <c r="E348" s="352"/>
      <c r="G348" s="352"/>
      <c r="H348" s="352"/>
      <c r="J348" s="352"/>
      <c r="K348" s="352"/>
      <c r="M348" s="352"/>
      <c r="N348" s="352"/>
      <c r="P348" s="352"/>
      <c r="Q348" s="23"/>
    </row>
    <row r="349" spans="1:17" x14ac:dyDescent="0.25">
      <c r="B349" s="23"/>
      <c r="E349" s="23"/>
      <c r="G349" s="23"/>
      <c r="H349" s="23"/>
      <c r="J349" s="23"/>
      <c r="K349" s="23"/>
      <c r="M349" s="23"/>
      <c r="N349" s="23"/>
      <c r="P349" s="23"/>
    </row>
    <row r="350" spans="1:17" x14ac:dyDescent="0.25">
      <c r="B350" s="23"/>
      <c r="E350" s="23"/>
      <c r="G350" s="23"/>
      <c r="H350" s="23"/>
      <c r="J350" s="23"/>
      <c r="K350" s="23"/>
      <c r="M350" s="23"/>
      <c r="N350" s="23"/>
      <c r="P350" s="23"/>
    </row>
    <row r="351" spans="1:17" x14ac:dyDescent="0.25">
      <c r="B351" s="23"/>
      <c r="E351" s="23"/>
      <c r="G351" s="23"/>
      <c r="H351" s="23"/>
      <c r="J351" s="23"/>
      <c r="K351" s="23"/>
      <c r="M351" s="23"/>
      <c r="N351" s="23"/>
      <c r="P351" s="23"/>
    </row>
    <row r="352" spans="1:17" x14ac:dyDescent="0.25">
      <c r="B352" s="23"/>
      <c r="E352" s="23"/>
      <c r="G352" s="23"/>
      <c r="H352" s="23"/>
      <c r="J352" s="23"/>
      <c r="K352" s="23"/>
      <c r="M352" s="23"/>
      <c r="N352" s="23"/>
      <c r="P352" s="23"/>
    </row>
    <row r="353" spans="2:16" x14ac:dyDescent="0.25">
      <c r="B353" s="23"/>
      <c r="E353" s="23"/>
      <c r="G353" s="23"/>
      <c r="H353" s="23"/>
      <c r="J353" s="23"/>
      <c r="K353" s="23"/>
      <c r="M353" s="23"/>
      <c r="N353" s="23"/>
      <c r="P353" s="23"/>
    </row>
    <row r="354" spans="2:16" x14ac:dyDescent="0.25">
      <c r="B354" s="23"/>
      <c r="E354" s="23"/>
      <c r="G354" s="23"/>
      <c r="H354" s="23"/>
      <c r="J354" s="23"/>
      <c r="K354" s="23"/>
      <c r="M354" s="23"/>
      <c r="N354" s="23"/>
      <c r="P354" s="23"/>
    </row>
    <row r="355" spans="2:16" x14ac:dyDescent="0.25">
      <c r="B355" s="23"/>
      <c r="E355" s="23"/>
      <c r="G355" s="23"/>
      <c r="H355" s="23"/>
      <c r="J355" s="23"/>
      <c r="K355" s="23"/>
      <c r="M355" s="23"/>
      <c r="N355" s="23"/>
      <c r="P355" s="23"/>
    </row>
    <row r="356" spans="2:16" x14ac:dyDescent="0.25">
      <c r="B356" s="23"/>
      <c r="E356" s="23"/>
      <c r="G356" s="23"/>
      <c r="H356" s="23"/>
      <c r="J356" s="23"/>
      <c r="K356" s="23"/>
      <c r="M356" s="23"/>
      <c r="N356" s="23"/>
      <c r="P356" s="23"/>
    </row>
    <row r="357" spans="2:16" x14ac:dyDescent="0.25">
      <c r="B357" s="23"/>
      <c r="E357" s="23"/>
      <c r="G357" s="23"/>
      <c r="H357" s="23"/>
      <c r="J357" s="23"/>
      <c r="K357" s="23"/>
      <c r="M357" s="23"/>
      <c r="N357" s="23"/>
      <c r="P357" s="23"/>
    </row>
    <row r="358" spans="2:16" x14ac:dyDescent="0.25">
      <c r="B358" s="23"/>
      <c r="E358" s="23"/>
      <c r="G358" s="23"/>
      <c r="H358" s="23"/>
      <c r="J358" s="23"/>
      <c r="K358" s="23"/>
      <c r="M358" s="23"/>
      <c r="N358" s="23"/>
      <c r="P358" s="23"/>
    </row>
    <row r="359" spans="2:16" x14ac:dyDescent="0.25">
      <c r="B359" s="23"/>
      <c r="E359" s="23"/>
      <c r="G359" s="23"/>
      <c r="H359" s="23"/>
      <c r="J359" s="23"/>
      <c r="K359" s="23"/>
      <c r="M359" s="23"/>
      <c r="N359" s="23"/>
      <c r="P359" s="23"/>
    </row>
    <row r="360" spans="2:16" x14ac:dyDescent="0.25">
      <c r="B360" s="23"/>
      <c r="E360" s="23"/>
      <c r="G360" s="23"/>
      <c r="H360" s="23"/>
      <c r="J360" s="23"/>
      <c r="K360" s="23"/>
      <c r="M360" s="23"/>
      <c r="N360" s="23"/>
      <c r="P360" s="23"/>
    </row>
    <row r="361" spans="2:16" x14ac:dyDescent="0.25">
      <c r="B361" s="23"/>
      <c r="E361" s="23"/>
      <c r="G361" s="23"/>
      <c r="H361" s="23"/>
      <c r="J361" s="23"/>
      <c r="K361" s="23"/>
      <c r="M361" s="23"/>
      <c r="N361" s="23"/>
      <c r="P361" s="23"/>
    </row>
    <row r="362" spans="2:16" x14ac:dyDescent="0.25">
      <c r="B362" s="23"/>
      <c r="E362" s="23"/>
      <c r="G362" s="23"/>
      <c r="H362" s="23"/>
      <c r="J362" s="23"/>
      <c r="K362" s="23"/>
      <c r="M362" s="23"/>
      <c r="N362" s="23"/>
      <c r="P362" s="23"/>
    </row>
    <row r="363" spans="2:16" x14ac:dyDescent="0.25">
      <c r="B363" s="23"/>
      <c r="E363" s="23"/>
      <c r="G363" s="23"/>
      <c r="H363" s="23"/>
      <c r="J363" s="23"/>
      <c r="K363" s="23"/>
      <c r="M363" s="23"/>
      <c r="N363" s="23"/>
      <c r="P363" s="23"/>
    </row>
    <row r="364" spans="2:16" x14ac:dyDescent="0.25">
      <c r="B364" s="23"/>
      <c r="E364" s="23"/>
      <c r="G364" s="23"/>
      <c r="H364" s="23"/>
      <c r="J364" s="23"/>
      <c r="K364" s="23"/>
      <c r="M364" s="23"/>
      <c r="N364" s="23"/>
      <c r="P364" s="23"/>
    </row>
    <row r="365" spans="2:16" x14ac:dyDescent="0.25">
      <c r="B365" s="23"/>
      <c r="E365" s="23"/>
      <c r="G365" s="23"/>
      <c r="H365" s="23"/>
      <c r="J365" s="23"/>
      <c r="K365" s="23"/>
      <c r="M365" s="23"/>
      <c r="N365" s="23"/>
      <c r="P365" s="23"/>
    </row>
    <row r="366" spans="2:16" x14ac:dyDescent="0.25">
      <c r="B366" s="23"/>
      <c r="E366" s="23"/>
      <c r="G366" s="23"/>
      <c r="H366" s="23"/>
      <c r="J366" s="23"/>
      <c r="K366" s="23"/>
      <c r="M366" s="23"/>
      <c r="N366" s="23"/>
      <c r="P366" s="23"/>
    </row>
    <row r="367" spans="2:16" x14ac:dyDescent="0.25">
      <c r="B367" s="23"/>
      <c r="E367" s="23"/>
      <c r="G367" s="23"/>
      <c r="H367" s="23"/>
      <c r="J367" s="23"/>
      <c r="K367" s="23"/>
      <c r="M367" s="23"/>
      <c r="N367" s="23"/>
      <c r="P367" s="23"/>
    </row>
    <row r="368" spans="2:16" x14ac:dyDescent="0.25">
      <c r="B368" s="23"/>
      <c r="E368" s="23"/>
      <c r="G368" s="23"/>
      <c r="H368" s="23"/>
      <c r="J368" s="23"/>
      <c r="K368" s="23"/>
      <c r="M368" s="23"/>
      <c r="N368" s="23"/>
      <c r="P368" s="23"/>
    </row>
    <row r="369" spans="2:16" x14ac:dyDescent="0.25">
      <c r="B369" s="23"/>
      <c r="E369" s="23"/>
      <c r="G369" s="23"/>
      <c r="H369" s="23"/>
      <c r="J369" s="23"/>
      <c r="K369" s="23"/>
      <c r="M369" s="23"/>
      <c r="N369" s="23"/>
      <c r="P369" s="23"/>
    </row>
    <row r="370" spans="2:16" x14ac:dyDescent="0.25">
      <c r="B370" s="23"/>
      <c r="E370" s="23"/>
      <c r="G370" s="23"/>
      <c r="H370" s="23"/>
      <c r="J370" s="23"/>
      <c r="K370" s="23"/>
      <c r="M370" s="23"/>
      <c r="N370" s="23"/>
      <c r="P370" s="23"/>
    </row>
    <row r="371" spans="2:16" x14ac:dyDescent="0.25">
      <c r="B371" s="23"/>
      <c r="E371" s="23"/>
      <c r="G371" s="23"/>
      <c r="H371" s="23"/>
      <c r="J371" s="23"/>
      <c r="K371" s="23"/>
      <c r="M371" s="23"/>
      <c r="N371" s="23"/>
      <c r="P371" s="23"/>
    </row>
    <row r="372" spans="2:16" x14ac:dyDescent="0.25">
      <c r="B372" s="23"/>
      <c r="E372" s="23"/>
      <c r="G372" s="23"/>
      <c r="H372" s="23"/>
      <c r="J372" s="23"/>
      <c r="K372" s="23"/>
      <c r="M372" s="23"/>
      <c r="N372" s="23"/>
      <c r="P372" s="23"/>
    </row>
    <row r="373" spans="2:16" x14ac:dyDescent="0.25">
      <c r="B373" s="23"/>
      <c r="E373" s="23"/>
      <c r="G373" s="23"/>
      <c r="H373" s="23"/>
      <c r="J373" s="23"/>
      <c r="K373" s="23"/>
      <c r="M373" s="23"/>
      <c r="N373" s="23"/>
      <c r="P373" s="23"/>
    </row>
    <row r="374" spans="2:16" x14ac:dyDescent="0.25">
      <c r="B374" s="23"/>
      <c r="E374" s="23"/>
      <c r="G374" s="23"/>
      <c r="H374" s="23"/>
      <c r="J374" s="23"/>
      <c r="K374" s="23"/>
      <c r="M374" s="23"/>
      <c r="N374" s="23"/>
      <c r="P374" s="23"/>
    </row>
    <row r="375" spans="2:16" x14ac:dyDescent="0.25">
      <c r="B375" s="23"/>
      <c r="E375" s="23"/>
      <c r="G375" s="23"/>
      <c r="H375" s="23"/>
      <c r="J375" s="23"/>
      <c r="K375" s="23"/>
      <c r="M375" s="23"/>
      <c r="N375" s="23"/>
      <c r="P375" s="23"/>
    </row>
    <row r="376" spans="2:16" x14ac:dyDescent="0.25">
      <c r="B376" s="23"/>
      <c r="E376" s="23"/>
      <c r="G376" s="23"/>
      <c r="H376" s="23"/>
      <c r="J376" s="23"/>
      <c r="K376" s="23"/>
      <c r="M376" s="23"/>
      <c r="N376" s="23"/>
      <c r="P376" s="23"/>
    </row>
    <row r="377" spans="2:16" x14ac:dyDescent="0.25">
      <c r="B377" s="23"/>
      <c r="E377" s="23"/>
      <c r="G377" s="23"/>
      <c r="H377" s="23"/>
      <c r="J377" s="23"/>
      <c r="K377" s="23"/>
      <c r="M377" s="23"/>
      <c r="N377" s="23"/>
      <c r="P377" s="23"/>
    </row>
    <row r="378" spans="2:16" x14ac:dyDescent="0.25">
      <c r="B378" s="23"/>
      <c r="E378" s="23"/>
      <c r="G378" s="23"/>
      <c r="H378" s="23"/>
      <c r="J378" s="23"/>
      <c r="K378" s="23"/>
      <c r="M378" s="23"/>
      <c r="N378" s="23"/>
      <c r="P378" s="23"/>
    </row>
    <row r="379" spans="2:16" x14ac:dyDescent="0.25">
      <c r="B379" s="23"/>
      <c r="E379" s="23"/>
      <c r="G379" s="23"/>
      <c r="H379" s="23"/>
      <c r="J379" s="23"/>
      <c r="K379" s="23"/>
      <c r="M379" s="23"/>
      <c r="N379" s="23"/>
      <c r="P379" s="23"/>
    </row>
    <row r="380" spans="2:16" x14ac:dyDescent="0.25">
      <c r="B380" s="23"/>
      <c r="E380" s="23"/>
      <c r="G380" s="23"/>
      <c r="H380" s="23"/>
      <c r="J380" s="23"/>
      <c r="K380" s="23"/>
      <c r="M380" s="23"/>
      <c r="N380" s="23"/>
      <c r="P380" s="23"/>
    </row>
    <row r="381" spans="2:16" x14ac:dyDescent="0.25">
      <c r="B381" s="23"/>
      <c r="E381" s="23"/>
      <c r="G381" s="23"/>
      <c r="H381" s="23"/>
      <c r="J381" s="23"/>
      <c r="K381" s="23"/>
      <c r="M381" s="23"/>
      <c r="N381" s="23"/>
      <c r="P381" s="23"/>
    </row>
    <row r="382" spans="2:16" x14ac:dyDescent="0.25">
      <c r="B382" s="23"/>
      <c r="E382" s="23"/>
      <c r="G382" s="23"/>
      <c r="H382" s="23"/>
      <c r="J382" s="23"/>
      <c r="K382" s="23"/>
      <c r="M382" s="23"/>
      <c r="N382" s="23"/>
      <c r="P382" s="23"/>
    </row>
    <row r="383" spans="2:16" x14ac:dyDescent="0.25">
      <c r="B383" s="23"/>
      <c r="E383" s="23"/>
      <c r="G383" s="23"/>
      <c r="H383" s="23"/>
      <c r="J383" s="23"/>
      <c r="K383" s="23"/>
      <c r="M383" s="23"/>
      <c r="N383" s="23"/>
      <c r="P383" s="23"/>
    </row>
    <row r="384" spans="2:16" x14ac:dyDescent="0.25">
      <c r="B384" s="23"/>
      <c r="E384" s="23"/>
      <c r="G384" s="23"/>
      <c r="H384" s="23"/>
      <c r="J384" s="23"/>
      <c r="K384" s="23"/>
      <c r="M384" s="23"/>
      <c r="N384" s="23"/>
      <c r="P384" s="23"/>
    </row>
    <row r="385" spans="2:16" x14ac:dyDescent="0.25">
      <c r="B385" s="23"/>
      <c r="E385" s="23"/>
      <c r="G385" s="23"/>
      <c r="H385" s="23"/>
      <c r="J385" s="23"/>
      <c r="K385" s="23"/>
      <c r="M385" s="23"/>
      <c r="N385" s="23"/>
      <c r="P385" s="23"/>
    </row>
    <row r="386" spans="2:16" x14ac:dyDescent="0.25">
      <c r="B386" s="23"/>
      <c r="E386" s="23"/>
      <c r="G386" s="23"/>
      <c r="H386" s="23"/>
      <c r="J386" s="23"/>
      <c r="K386" s="23"/>
      <c r="M386" s="23"/>
      <c r="N386" s="23"/>
      <c r="P386" s="23"/>
    </row>
    <row r="387" spans="2:16" x14ac:dyDescent="0.25">
      <c r="B387" s="23"/>
      <c r="E387" s="23"/>
      <c r="G387" s="23"/>
      <c r="H387" s="23"/>
      <c r="J387" s="23"/>
      <c r="K387" s="23"/>
      <c r="M387" s="23"/>
      <c r="N387" s="23"/>
      <c r="P387" s="23"/>
    </row>
    <row r="388" spans="2:16" x14ac:dyDescent="0.25">
      <c r="B388" s="23"/>
      <c r="E388" s="23"/>
      <c r="G388" s="23"/>
      <c r="H388" s="23"/>
      <c r="J388" s="23"/>
      <c r="K388" s="23"/>
      <c r="M388" s="23"/>
      <c r="N388" s="23"/>
      <c r="P388" s="23"/>
    </row>
    <row r="389" spans="2:16" x14ac:dyDescent="0.25">
      <c r="B389" s="23"/>
      <c r="E389" s="23"/>
      <c r="G389" s="23"/>
      <c r="H389" s="23"/>
      <c r="J389" s="23"/>
      <c r="K389" s="23"/>
      <c r="M389" s="23"/>
      <c r="N389" s="23"/>
      <c r="P389" s="23"/>
    </row>
    <row r="390" spans="2:16" x14ac:dyDescent="0.25">
      <c r="B390" s="23"/>
      <c r="E390" s="23"/>
      <c r="G390" s="23"/>
      <c r="H390" s="23"/>
      <c r="J390" s="23"/>
      <c r="K390" s="23"/>
      <c r="M390" s="23"/>
      <c r="N390" s="23"/>
      <c r="P390" s="23"/>
    </row>
    <row r="391" spans="2:16" x14ac:dyDescent="0.25">
      <c r="B391" s="23"/>
      <c r="E391" s="23"/>
      <c r="G391" s="23"/>
      <c r="H391" s="23"/>
      <c r="J391" s="23"/>
      <c r="K391" s="23"/>
      <c r="M391" s="23"/>
      <c r="N391" s="23"/>
      <c r="P391" s="23"/>
    </row>
    <row r="392" spans="2:16" x14ac:dyDescent="0.25">
      <c r="B392" s="23"/>
      <c r="E392" s="23"/>
      <c r="G392" s="23"/>
      <c r="H392" s="23"/>
      <c r="J392" s="23"/>
      <c r="K392" s="23"/>
      <c r="M392" s="23"/>
      <c r="N392" s="23"/>
      <c r="P392" s="23"/>
    </row>
    <row r="393" spans="2:16" x14ac:dyDescent="0.25">
      <c r="B393" s="23"/>
      <c r="E393" s="23"/>
      <c r="G393" s="23"/>
      <c r="H393" s="23"/>
      <c r="J393" s="23"/>
      <c r="K393" s="23"/>
      <c r="M393" s="23"/>
      <c r="N393" s="23"/>
      <c r="P393" s="23"/>
    </row>
    <row r="394" spans="2:16" x14ac:dyDescent="0.25">
      <c r="B394" s="23"/>
      <c r="E394" s="23"/>
      <c r="G394" s="23"/>
      <c r="H394" s="23"/>
      <c r="J394" s="23"/>
      <c r="K394" s="23"/>
      <c r="M394" s="23"/>
      <c r="N394" s="23"/>
      <c r="P394" s="23"/>
    </row>
    <row r="395" spans="2:16" x14ac:dyDescent="0.25">
      <c r="B395" s="23"/>
      <c r="E395" s="23"/>
      <c r="G395" s="23"/>
      <c r="H395" s="23"/>
      <c r="J395" s="23"/>
      <c r="K395" s="23"/>
      <c r="M395" s="23"/>
      <c r="N395" s="23"/>
      <c r="P395" s="23"/>
    </row>
    <row r="396" spans="2:16" x14ac:dyDescent="0.25">
      <c r="B396" s="23"/>
      <c r="E396" s="23"/>
      <c r="G396" s="23"/>
      <c r="H396" s="23"/>
      <c r="J396" s="23"/>
      <c r="K396" s="23"/>
      <c r="M396" s="23"/>
      <c r="N396" s="23"/>
      <c r="P396" s="23"/>
    </row>
    <row r="397" spans="2:16" x14ac:dyDescent="0.25">
      <c r="B397" s="23"/>
      <c r="E397" s="23"/>
      <c r="G397" s="23"/>
      <c r="H397" s="23"/>
      <c r="J397" s="23"/>
      <c r="K397" s="23"/>
      <c r="M397" s="23"/>
      <c r="N397" s="23"/>
      <c r="P397" s="23"/>
    </row>
    <row r="398" spans="2:16" x14ac:dyDescent="0.25">
      <c r="B398" s="23"/>
      <c r="E398" s="23"/>
      <c r="G398" s="23"/>
      <c r="H398" s="23"/>
      <c r="J398" s="23"/>
      <c r="K398" s="23"/>
      <c r="M398" s="23"/>
      <c r="N398" s="23"/>
      <c r="P398" s="23"/>
    </row>
    <row r="399" spans="2:16" x14ac:dyDescent="0.25">
      <c r="B399" s="23"/>
      <c r="E399" s="23"/>
      <c r="G399" s="23"/>
      <c r="H399" s="23"/>
      <c r="J399" s="23"/>
      <c r="K399" s="23"/>
      <c r="M399" s="23"/>
      <c r="N399" s="23"/>
      <c r="P399" s="23"/>
    </row>
    <row r="400" spans="2:16" x14ac:dyDescent="0.25">
      <c r="B400" s="23"/>
      <c r="E400" s="23"/>
      <c r="G400" s="23"/>
      <c r="H400" s="23"/>
      <c r="J400" s="23"/>
      <c r="K400" s="23"/>
      <c r="M400" s="23"/>
      <c r="N400" s="23"/>
      <c r="P400" s="23"/>
    </row>
    <row r="401" spans="2:16" x14ac:dyDescent="0.25">
      <c r="B401" s="23"/>
      <c r="E401" s="23"/>
      <c r="G401" s="23"/>
      <c r="H401" s="23"/>
      <c r="J401" s="23"/>
      <c r="K401" s="23"/>
      <c r="M401" s="23"/>
      <c r="N401" s="23"/>
      <c r="P401" s="23"/>
    </row>
    <row r="402" spans="2:16" x14ac:dyDescent="0.25">
      <c r="B402" s="23"/>
      <c r="E402" s="23"/>
      <c r="G402" s="23"/>
      <c r="H402" s="23"/>
      <c r="J402" s="23"/>
      <c r="K402" s="23"/>
      <c r="M402" s="23"/>
      <c r="N402" s="23"/>
      <c r="P402" s="23"/>
    </row>
    <row r="403" spans="2:16" x14ac:dyDescent="0.25">
      <c r="B403" s="23"/>
      <c r="E403" s="23"/>
      <c r="G403" s="23"/>
      <c r="H403" s="23"/>
      <c r="J403" s="23"/>
      <c r="K403" s="23"/>
      <c r="M403" s="23"/>
      <c r="N403" s="23"/>
      <c r="P403" s="23"/>
    </row>
    <row r="404" spans="2:16" x14ac:dyDescent="0.25">
      <c r="B404" s="23"/>
      <c r="E404" s="23"/>
      <c r="G404" s="23"/>
      <c r="H404" s="23"/>
      <c r="J404" s="23"/>
      <c r="K404" s="23"/>
      <c r="M404" s="23"/>
      <c r="N404" s="23"/>
      <c r="P404" s="23"/>
    </row>
    <row r="405" spans="2:16" x14ac:dyDescent="0.25">
      <c r="B405" s="23"/>
      <c r="E405" s="23"/>
      <c r="G405" s="23"/>
      <c r="H405" s="23"/>
      <c r="J405" s="23"/>
      <c r="K405" s="23"/>
      <c r="M405" s="23"/>
      <c r="N405" s="23"/>
      <c r="P405" s="23"/>
    </row>
    <row r="406" spans="2:16" x14ac:dyDescent="0.25">
      <c r="B406" s="23"/>
      <c r="E406" s="23"/>
      <c r="G406" s="23"/>
      <c r="H406" s="23"/>
      <c r="J406" s="23"/>
      <c r="K406" s="23"/>
      <c r="M406" s="23"/>
      <c r="N406" s="23"/>
      <c r="P406" s="23"/>
    </row>
    <row r="407" spans="2:16" x14ac:dyDescent="0.25">
      <c r="B407" s="23"/>
      <c r="E407" s="23"/>
      <c r="G407" s="23"/>
      <c r="H407" s="23"/>
      <c r="J407" s="23"/>
      <c r="K407" s="23"/>
      <c r="M407" s="23"/>
      <c r="N407" s="23"/>
      <c r="P407" s="23"/>
    </row>
    <row r="408" spans="2:16" x14ac:dyDescent="0.25">
      <c r="B408" s="23"/>
      <c r="E408" s="23"/>
      <c r="G408" s="23"/>
      <c r="H408" s="23"/>
      <c r="J408" s="23"/>
      <c r="K408" s="23"/>
      <c r="M408" s="23"/>
      <c r="N408" s="23"/>
      <c r="P408" s="23"/>
    </row>
    <row r="409" spans="2:16" x14ac:dyDescent="0.25">
      <c r="B409" s="23"/>
      <c r="E409" s="23"/>
      <c r="G409" s="23"/>
      <c r="H409" s="23"/>
      <c r="J409" s="23"/>
      <c r="K409" s="23"/>
      <c r="M409" s="23"/>
      <c r="N409" s="23"/>
      <c r="P409" s="23"/>
    </row>
    <row r="410" spans="2:16" x14ac:dyDescent="0.25">
      <c r="B410" s="23"/>
      <c r="E410" s="23"/>
      <c r="G410" s="23"/>
      <c r="H410" s="23"/>
      <c r="J410" s="23"/>
      <c r="K410" s="23"/>
      <c r="M410" s="23"/>
      <c r="N410" s="23"/>
      <c r="P410" s="23"/>
    </row>
    <row r="411" spans="2:16" x14ac:dyDescent="0.25">
      <c r="B411" s="23"/>
      <c r="E411" s="23"/>
      <c r="G411" s="23"/>
      <c r="H411" s="23"/>
      <c r="J411" s="23"/>
      <c r="K411" s="23"/>
      <c r="M411" s="23"/>
      <c r="N411" s="23"/>
      <c r="P411" s="23"/>
    </row>
    <row r="412" spans="2:16" x14ac:dyDescent="0.25">
      <c r="B412" s="23"/>
      <c r="E412" s="23"/>
      <c r="G412" s="23"/>
      <c r="H412" s="23"/>
      <c r="J412" s="23"/>
      <c r="K412" s="23"/>
      <c r="M412" s="23"/>
      <c r="N412" s="23"/>
      <c r="P412" s="23"/>
    </row>
    <row r="413" spans="2:16" x14ac:dyDescent="0.25">
      <c r="B413" s="23"/>
      <c r="E413" s="23"/>
      <c r="G413" s="23"/>
      <c r="H413" s="23"/>
      <c r="J413" s="23"/>
      <c r="K413" s="23"/>
      <c r="M413" s="23"/>
      <c r="N413" s="23"/>
      <c r="P413" s="23"/>
    </row>
    <row r="414" spans="2:16" x14ac:dyDescent="0.25">
      <c r="B414" s="23"/>
      <c r="E414" s="23"/>
      <c r="G414" s="23"/>
      <c r="H414" s="23"/>
      <c r="J414" s="23"/>
      <c r="K414" s="23"/>
      <c r="M414" s="23"/>
      <c r="N414" s="23"/>
      <c r="P414" s="23"/>
    </row>
    <row r="415" spans="2:16" x14ac:dyDescent="0.25">
      <c r="B415" s="23"/>
      <c r="E415" s="23"/>
      <c r="G415" s="23"/>
      <c r="H415" s="23"/>
      <c r="J415" s="23"/>
      <c r="K415" s="23"/>
      <c r="M415" s="23"/>
      <c r="N415" s="23"/>
      <c r="P415" s="23"/>
    </row>
    <row r="416" spans="2:16" x14ac:dyDescent="0.25">
      <c r="B416" s="23"/>
      <c r="E416" s="23"/>
      <c r="G416" s="23"/>
      <c r="H416" s="23"/>
      <c r="J416" s="23"/>
      <c r="K416" s="23"/>
      <c r="M416" s="23"/>
      <c r="N416" s="23"/>
      <c r="P416" s="23"/>
    </row>
    <row r="417" spans="2:16" x14ac:dyDescent="0.25">
      <c r="B417" s="23"/>
      <c r="E417" s="23"/>
      <c r="G417" s="23"/>
      <c r="H417" s="23"/>
      <c r="J417" s="23"/>
      <c r="K417" s="23"/>
      <c r="M417" s="23"/>
      <c r="N417" s="23"/>
      <c r="P417" s="23"/>
    </row>
    <row r="418" spans="2:16" x14ac:dyDescent="0.25">
      <c r="B418" s="23"/>
      <c r="E418" s="23"/>
      <c r="G418" s="23"/>
      <c r="H418" s="23"/>
      <c r="J418" s="23"/>
      <c r="K418" s="23"/>
      <c r="M418" s="23"/>
      <c r="N418" s="23"/>
      <c r="P418" s="23"/>
    </row>
    <row r="419" spans="2:16" x14ac:dyDescent="0.25">
      <c r="B419" s="23"/>
      <c r="E419" s="23"/>
      <c r="G419" s="23"/>
      <c r="H419" s="23"/>
      <c r="J419" s="23"/>
      <c r="K419" s="23"/>
      <c r="M419" s="23"/>
      <c r="N419" s="23"/>
      <c r="P419" s="23"/>
    </row>
    <row r="420" spans="2:16" x14ac:dyDescent="0.25">
      <c r="B420" s="23"/>
      <c r="E420" s="23"/>
      <c r="G420" s="23"/>
      <c r="H420" s="23"/>
      <c r="J420" s="23"/>
      <c r="K420" s="23"/>
      <c r="M420" s="23"/>
      <c r="N420" s="23"/>
      <c r="P420" s="23"/>
    </row>
    <row r="421" spans="2:16" x14ac:dyDescent="0.25">
      <c r="B421" s="23"/>
      <c r="E421" s="23"/>
      <c r="G421" s="23"/>
      <c r="H421" s="23"/>
      <c r="J421" s="23"/>
      <c r="K421" s="23"/>
      <c r="M421" s="23"/>
      <c r="N421" s="23"/>
      <c r="P421" s="23"/>
    </row>
    <row r="422" spans="2:16" x14ac:dyDescent="0.25">
      <c r="B422" s="23"/>
      <c r="E422" s="23"/>
      <c r="G422" s="23"/>
      <c r="H422" s="23"/>
      <c r="J422" s="23"/>
      <c r="K422" s="23"/>
      <c r="M422" s="23"/>
      <c r="N422" s="23"/>
      <c r="P422" s="23"/>
    </row>
    <row r="423" spans="2:16" x14ac:dyDescent="0.25">
      <c r="B423" s="23"/>
      <c r="E423" s="23"/>
      <c r="G423" s="23"/>
      <c r="H423" s="23"/>
      <c r="J423" s="23"/>
      <c r="K423" s="23"/>
      <c r="M423" s="23"/>
      <c r="N423" s="23"/>
      <c r="P423" s="23"/>
    </row>
    <row r="424" spans="2:16" x14ac:dyDescent="0.25">
      <c r="B424" s="23"/>
      <c r="E424" s="23"/>
      <c r="G424" s="23"/>
      <c r="H424" s="23"/>
      <c r="J424" s="23"/>
      <c r="K424" s="23"/>
      <c r="M424" s="23"/>
      <c r="N424" s="23"/>
      <c r="P424" s="23"/>
    </row>
    <row r="425" spans="2:16" x14ac:dyDescent="0.25">
      <c r="B425" s="23"/>
      <c r="E425" s="23"/>
      <c r="G425" s="23"/>
      <c r="H425" s="23"/>
      <c r="J425" s="23"/>
      <c r="K425" s="23"/>
      <c r="M425" s="23"/>
      <c r="N425" s="23"/>
      <c r="P425" s="23"/>
    </row>
    <row r="426" spans="2:16" x14ac:dyDescent="0.25">
      <c r="B426" s="23"/>
      <c r="E426" s="23"/>
      <c r="G426" s="23"/>
      <c r="H426" s="23"/>
      <c r="J426" s="23"/>
      <c r="K426" s="23"/>
      <c r="M426" s="23"/>
      <c r="N426" s="23"/>
      <c r="P426" s="23"/>
    </row>
    <row r="427" spans="2:16" x14ac:dyDescent="0.25">
      <c r="B427" s="23"/>
      <c r="E427" s="23"/>
      <c r="G427" s="23"/>
      <c r="H427" s="23"/>
      <c r="J427" s="23"/>
      <c r="K427" s="23"/>
      <c r="M427" s="23"/>
      <c r="N427" s="23"/>
      <c r="P427" s="23"/>
    </row>
    <row r="428" spans="2:16" x14ac:dyDescent="0.25">
      <c r="B428" s="23"/>
      <c r="E428" s="23"/>
      <c r="G428" s="23"/>
      <c r="H428" s="23"/>
      <c r="J428" s="23"/>
      <c r="K428" s="23"/>
      <c r="M428" s="23"/>
      <c r="N428" s="23"/>
      <c r="P428" s="23"/>
    </row>
    <row r="429" spans="2:16" x14ac:dyDescent="0.25">
      <c r="B429" s="23"/>
      <c r="E429" s="23"/>
      <c r="G429" s="23"/>
      <c r="H429" s="23"/>
      <c r="J429" s="23"/>
      <c r="K429" s="23"/>
      <c r="M429" s="23"/>
      <c r="N429" s="23"/>
      <c r="P429" s="23"/>
    </row>
    <row r="430" spans="2:16" x14ac:dyDescent="0.25">
      <c r="B430" s="23"/>
      <c r="E430" s="23"/>
      <c r="G430" s="23"/>
      <c r="H430" s="23"/>
      <c r="J430" s="23"/>
      <c r="K430" s="23"/>
      <c r="M430" s="23"/>
      <c r="N430" s="23"/>
      <c r="P430" s="23"/>
    </row>
    <row r="431" spans="2:16" x14ac:dyDescent="0.25">
      <c r="B431" s="23"/>
      <c r="E431" s="23"/>
      <c r="G431" s="23"/>
      <c r="H431" s="23"/>
      <c r="J431" s="23"/>
      <c r="K431" s="23"/>
      <c r="M431" s="23"/>
      <c r="N431" s="23"/>
      <c r="P431" s="23"/>
    </row>
    <row r="432" spans="2:16" x14ac:dyDescent="0.25">
      <c r="B432" s="23"/>
      <c r="E432" s="23"/>
      <c r="G432" s="23"/>
      <c r="H432" s="23"/>
      <c r="J432" s="23"/>
      <c r="K432" s="23"/>
      <c r="M432" s="23"/>
      <c r="N432" s="23"/>
      <c r="P432" s="23"/>
    </row>
    <row r="433" spans="2:16" x14ac:dyDescent="0.25">
      <c r="B433" s="23"/>
      <c r="E433" s="23"/>
      <c r="G433" s="23"/>
      <c r="H433" s="23"/>
      <c r="J433" s="23"/>
      <c r="K433" s="23"/>
      <c r="M433" s="23"/>
      <c r="N433" s="23"/>
      <c r="P433" s="23"/>
    </row>
    <row r="434" spans="2:16" x14ac:dyDescent="0.25">
      <c r="B434" s="23"/>
      <c r="E434" s="23"/>
      <c r="G434" s="23"/>
      <c r="H434" s="23"/>
      <c r="J434" s="23"/>
      <c r="K434" s="23"/>
      <c r="M434" s="23"/>
      <c r="N434" s="23"/>
      <c r="P434" s="23"/>
    </row>
    <row r="435" spans="2:16" x14ac:dyDescent="0.25">
      <c r="B435" s="23"/>
      <c r="E435" s="23"/>
      <c r="G435" s="23"/>
      <c r="H435" s="23"/>
      <c r="J435" s="23"/>
      <c r="K435" s="23"/>
      <c r="M435" s="23"/>
      <c r="N435" s="23"/>
      <c r="P435" s="23"/>
    </row>
    <row r="436" spans="2:16" x14ac:dyDescent="0.25">
      <c r="B436" s="23"/>
      <c r="E436" s="23"/>
      <c r="G436" s="23"/>
      <c r="H436" s="23"/>
      <c r="J436" s="23"/>
      <c r="K436" s="23"/>
      <c r="M436" s="23"/>
      <c r="N436" s="23"/>
      <c r="P436" s="23"/>
    </row>
    <row r="437" spans="2:16" x14ac:dyDescent="0.25">
      <c r="B437" s="23"/>
      <c r="E437" s="23"/>
      <c r="G437" s="23"/>
      <c r="H437" s="23"/>
      <c r="J437" s="23"/>
      <c r="K437" s="23"/>
      <c r="M437" s="23"/>
      <c r="N437" s="23"/>
      <c r="P437" s="23"/>
    </row>
    <row r="438" spans="2:16" x14ac:dyDescent="0.25">
      <c r="B438" s="23"/>
      <c r="E438" s="23"/>
      <c r="G438" s="23"/>
      <c r="H438" s="23"/>
      <c r="J438" s="23"/>
      <c r="K438" s="23"/>
      <c r="M438" s="23"/>
      <c r="N438" s="23"/>
      <c r="P438" s="23"/>
    </row>
    <row r="439" spans="2:16" x14ac:dyDescent="0.25">
      <c r="B439" s="23"/>
      <c r="E439" s="23"/>
      <c r="G439" s="23"/>
      <c r="H439" s="23"/>
      <c r="J439" s="23"/>
      <c r="K439" s="23"/>
      <c r="M439" s="23"/>
      <c r="N439" s="23"/>
      <c r="P439" s="23"/>
    </row>
    <row r="440" spans="2:16" x14ac:dyDescent="0.25">
      <c r="B440" s="23"/>
      <c r="E440" s="23"/>
      <c r="G440" s="23"/>
      <c r="H440" s="23"/>
      <c r="J440" s="23"/>
      <c r="K440" s="23"/>
      <c r="M440" s="23"/>
      <c r="N440" s="23"/>
      <c r="P440" s="23"/>
    </row>
    <row r="441" spans="2:16" x14ac:dyDescent="0.25">
      <c r="B441" s="23"/>
      <c r="E441" s="23"/>
      <c r="G441" s="23"/>
      <c r="H441" s="23"/>
      <c r="J441" s="23"/>
      <c r="K441" s="23"/>
      <c r="M441" s="23"/>
      <c r="N441" s="23"/>
      <c r="P441" s="23"/>
    </row>
    <row r="442" spans="2:16" x14ac:dyDescent="0.25">
      <c r="B442" s="23"/>
      <c r="E442" s="23"/>
      <c r="G442" s="23"/>
      <c r="H442" s="23"/>
      <c r="J442" s="23"/>
      <c r="K442" s="23"/>
      <c r="M442" s="23"/>
      <c r="N442" s="23"/>
      <c r="P442" s="23"/>
    </row>
    <row r="443" spans="2:16" x14ac:dyDescent="0.25">
      <c r="B443" s="23"/>
      <c r="E443" s="23"/>
      <c r="G443" s="23"/>
      <c r="H443" s="23"/>
      <c r="J443" s="23"/>
      <c r="K443" s="23"/>
      <c r="M443" s="23"/>
      <c r="N443" s="23"/>
      <c r="P443" s="23"/>
    </row>
    <row r="444" spans="2:16" x14ac:dyDescent="0.25">
      <c r="B444" s="23"/>
      <c r="E444" s="23"/>
      <c r="G444" s="23"/>
      <c r="H444" s="23"/>
      <c r="J444" s="23"/>
      <c r="K444" s="23"/>
      <c r="M444" s="23"/>
      <c r="N444" s="23"/>
      <c r="P444" s="23"/>
    </row>
    <row r="445" spans="2:16" x14ac:dyDescent="0.25">
      <c r="B445" s="23"/>
      <c r="E445" s="23"/>
      <c r="G445" s="23"/>
      <c r="H445" s="23"/>
      <c r="J445" s="23"/>
      <c r="K445" s="23"/>
      <c r="M445" s="23"/>
      <c r="N445" s="23"/>
      <c r="P445" s="23"/>
    </row>
    <row r="446" spans="2:16" x14ac:dyDescent="0.25">
      <c r="B446" s="23"/>
      <c r="E446" s="23"/>
      <c r="G446" s="23"/>
      <c r="H446" s="23"/>
      <c r="J446" s="23"/>
      <c r="K446" s="23"/>
      <c r="M446" s="23"/>
      <c r="N446" s="23"/>
      <c r="P446" s="23"/>
    </row>
    <row r="447" spans="2:16" x14ac:dyDescent="0.25">
      <c r="B447" s="23"/>
      <c r="E447" s="23"/>
      <c r="G447" s="23"/>
      <c r="H447" s="23"/>
      <c r="J447" s="23"/>
      <c r="K447" s="23"/>
      <c r="M447" s="23"/>
      <c r="N447" s="23"/>
      <c r="P447" s="23"/>
    </row>
    <row r="448" spans="2:16" x14ac:dyDescent="0.25">
      <c r="B448" s="23"/>
      <c r="E448" s="23"/>
      <c r="G448" s="23"/>
      <c r="H448" s="23"/>
      <c r="J448" s="23"/>
      <c r="K448" s="23"/>
      <c r="M448" s="23"/>
      <c r="N448" s="23"/>
      <c r="P448" s="23"/>
    </row>
    <row r="449" spans="2:16" x14ac:dyDescent="0.25">
      <c r="B449" s="23"/>
      <c r="E449" s="23"/>
      <c r="G449" s="23"/>
      <c r="H449" s="23"/>
      <c r="J449" s="23"/>
      <c r="K449" s="23"/>
      <c r="M449" s="23"/>
      <c r="N449" s="23"/>
      <c r="P449" s="23"/>
    </row>
    <row r="450" spans="2:16" x14ac:dyDescent="0.25">
      <c r="B450" s="23"/>
      <c r="E450" s="23"/>
      <c r="G450" s="23"/>
      <c r="H450" s="23"/>
      <c r="J450" s="23"/>
      <c r="K450" s="23"/>
      <c r="M450" s="23"/>
      <c r="N450" s="23"/>
      <c r="P450" s="23"/>
    </row>
    <row r="451" spans="2:16" x14ac:dyDescent="0.25">
      <c r="B451" s="23"/>
      <c r="E451" s="23"/>
      <c r="G451" s="23"/>
      <c r="H451" s="23"/>
      <c r="J451" s="23"/>
      <c r="K451" s="23"/>
      <c r="M451" s="23"/>
      <c r="N451" s="23"/>
      <c r="P451" s="23"/>
    </row>
    <row r="452" spans="2:16" x14ac:dyDescent="0.25">
      <c r="B452" s="23"/>
      <c r="E452" s="23"/>
      <c r="G452" s="23"/>
      <c r="H452" s="23"/>
      <c r="J452" s="23"/>
      <c r="K452" s="23"/>
      <c r="M452" s="23"/>
      <c r="N452" s="23"/>
      <c r="P452" s="23"/>
    </row>
    <row r="453" spans="2:16" x14ac:dyDescent="0.25">
      <c r="B453" s="23"/>
      <c r="E453" s="23"/>
      <c r="G453" s="23"/>
      <c r="H453" s="23"/>
      <c r="J453" s="23"/>
      <c r="K453" s="23"/>
      <c r="M453" s="23"/>
      <c r="N453" s="23"/>
      <c r="P453" s="23"/>
    </row>
    <row r="454" spans="2:16" x14ac:dyDescent="0.25">
      <c r="B454" s="23"/>
      <c r="E454" s="23"/>
      <c r="G454" s="23"/>
      <c r="H454" s="23"/>
      <c r="J454" s="23"/>
      <c r="K454" s="23"/>
      <c r="M454" s="23"/>
      <c r="N454" s="23"/>
      <c r="P454" s="23"/>
    </row>
    <row r="455" spans="2:16" x14ac:dyDescent="0.25">
      <c r="B455" s="23"/>
      <c r="E455" s="23"/>
      <c r="G455" s="23"/>
      <c r="H455" s="23"/>
      <c r="J455" s="23"/>
      <c r="K455" s="23"/>
      <c r="M455" s="23"/>
      <c r="N455" s="23"/>
      <c r="P455" s="23"/>
    </row>
    <row r="456" spans="2:16" x14ac:dyDescent="0.25">
      <c r="B456" s="23"/>
      <c r="E456" s="23"/>
      <c r="G456" s="23"/>
      <c r="H456" s="23"/>
      <c r="J456" s="23"/>
      <c r="K456" s="23"/>
      <c r="M456" s="23"/>
      <c r="N456" s="23"/>
      <c r="P456" s="23"/>
    </row>
    <row r="457" spans="2:16" x14ac:dyDescent="0.25">
      <c r="B457" s="23"/>
      <c r="E457" s="23"/>
      <c r="G457" s="23"/>
      <c r="H457" s="23"/>
      <c r="J457" s="23"/>
      <c r="K457" s="23"/>
      <c r="M457" s="23"/>
      <c r="N457" s="23"/>
      <c r="P457" s="23"/>
    </row>
    <row r="458" spans="2:16" x14ac:dyDescent="0.25">
      <c r="B458" s="23"/>
      <c r="E458" s="23"/>
      <c r="G458" s="23"/>
      <c r="H458" s="23"/>
      <c r="J458" s="23"/>
      <c r="K458" s="23"/>
      <c r="M458" s="23"/>
      <c r="N458" s="23"/>
      <c r="P458" s="23"/>
    </row>
    <row r="459" spans="2:16" x14ac:dyDescent="0.25">
      <c r="B459" s="23"/>
      <c r="E459" s="23"/>
      <c r="G459" s="23"/>
      <c r="H459" s="23"/>
      <c r="J459" s="23"/>
      <c r="K459" s="23"/>
      <c r="M459" s="23"/>
      <c r="N459" s="23"/>
      <c r="P459" s="23"/>
    </row>
    <row r="460" spans="2:16" x14ac:dyDescent="0.25">
      <c r="B460" s="23"/>
      <c r="E460" s="23"/>
      <c r="G460" s="23"/>
      <c r="H460" s="23"/>
      <c r="J460" s="23"/>
      <c r="K460" s="23"/>
      <c r="M460" s="23"/>
      <c r="N460" s="23"/>
      <c r="P460" s="23"/>
    </row>
    <row r="461" spans="2:16" x14ac:dyDescent="0.25">
      <c r="B461" s="23"/>
      <c r="E461" s="23"/>
      <c r="G461" s="23"/>
      <c r="H461" s="23"/>
      <c r="J461" s="23"/>
      <c r="K461" s="23"/>
      <c r="M461" s="23"/>
      <c r="N461" s="23"/>
      <c r="P461" s="23"/>
    </row>
    <row r="462" spans="2:16" x14ac:dyDescent="0.25">
      <c r="B462" s="23"/>
      <c r="E462" s="23"/>
      <c r="G462" s="23"/>
      <c r="H462" s="23"/>
      <c r="J462" s="23"/>
      <c r="K462" s="23"/>
      <c r="M462" s="23"/>
      <c r="N462" s="23"/>
      <c r="P462" s="23"/>
    </row>
    <row r="463" spans="2:16" x14ac:dyDescent="0.25">
      <c r="B463" s="23"/>
      <c r="E463" s="23"/>
      <c r="G463" s="23"/>
      <c r="H463" s="23"/>
      <c r="J463" s="23"/>
      <c r="K463" s="23"/>
      <c r="M463" s="23"/>
      <c r="N463" s="23"/>
      <c r="P463" s="23"/>
    </row>
    <row r="464" spans="2:16" x14ac:dyDescent="0.25">
      <c r="B464" s="23"/>
      <c r="E464" s="23"/>
      <c r="G464" s="23"/>
      <c r="H464" s="23"/>
      <c r="J464" s="23"/>
      <c r="K464" s="23"/>
      <c r="M464" s="23"/>
      <c r="N464" s="23"/>
      <c r="P464" s="23"/>
    </row>
    <row r="465" spans="2:16" x14ac:dyDescent="0.25">
      <c r="B465" s="23"/>
      <c r="E465" s="23"/>
      <c r="G465" s="23"/>
      <c r="H465" s="23"/>
      <c r="J465" s="23"/>
      <c r="K465" s="23"/>
      <c r="M465" s="23"/>
      <c r="N465" s="23"/>
      <c r="P465" s="23"/>
    </row>
    <row r="466" spans="2:16" x14ac:dyDescent="0.25">
      <c r="B466" s="23"/>
      <c r="E466" s="23"/>
      <c r="G466" s="23"/>
      <c r="H466" s="23"/>
      <c r="J466" s="23"/>
      <c r="K466" s="23"/>
      <c r="M466" s="23"/>
      <c r="N466" s="23"/>
      <c r="P466" s="23"/>
    </row>
    <row r="467" spans="2:16" x14ac:dyDescent="0.25">
      <c r="B467" s="23"/>
      <c r="E467" s="23"/>
      <c r="G467" s="23"/>
      <c r="H467" s="23"/>
      <c r="J467" s="23"/>
      <c r="K467" s="23"/>
      <c r="M467" s="23"/>
      <c r="N467" s="23"/>
      <c r="P467" s="23"/>
    </row>
    <row r="468" spans="2:16" x14ac:dyDescent="0.25">
      <c r="B468" s="23"/>
      <c r="E468" s="23"/>
      <c r="G468" s="23"/>
      <c r="H468" s="23"/>
      <c r="J468" s="23"/>
      <c r="K468" s="23"/>
      <c r="M468" s="23"/>
      <c r="N468" s="23"/>
      <c r="P468" s="23"/>
    </row>
    <row r="469" spans="2:16" x14ac:dyDescent="0.25">
      <c r="B469" s="23"/>
      <c r="E469" s="23"/>
      <c r="G469" s="23"/>
      <c r="H469" s="23"/>
      <c r="J469" s="23"/>
      <c r="K469" s="23"/>
      <c r="M469" s="23"/>
      <c r="N469" s="23"/>
      <c r="P469" s="23"/>
    </row>
    <row r="470" spans="2:16" x14ac:dyDescent="0.25">
      <c r="B470" s="23"/>
      <c r="E470" s="23"/>
      <c r="G470" s="23"/>
      <c r="H470" s="23"/>
      <c r="J470" s="23"/>
      <c r="K470" s="23"/>
      <c r="M470" s="23"/>
      <c r="N470" s="23"/>
      <c r="P470" s="23"/>
    </row>
    <row r="471" spans="2:16" x14ac:dyDescent="0.25">
      <c r="B471" s="23"/>
      <c r="E471" s="23"/>
      <c r="G471" s="23"/>
      <c r="H471" s="23"/>
      <c r="J471" s="23"/>
      <c r="K471" s="23"/>
      <c r="M471" s="23"/>
      <c r="N471" s="23"/>
      <c r="P471" s="23"/>
    </row>
    <row r="472" spans="2:16" x14ac:dyDescent="0.25">
      <c r="B472" s="23"/>
      <c r="E472" s="23"/>
      <c r="G472" s="23"/>
      <c r="H472" s="23"/>
      <c r="J472" s="23"/>
      <c r="K472" s="23"/>
      <c r="M472" s="23"/>
      <c r="N472" s="23"/>
      <c r="P472" s="23"/>
    </row>
    <row r="473" spans="2:16" x14ac:dyDescent="0.25">
      <c r="B473" s="23"/>
      <c r="E473" s="23"/>
      <c r="G473" s="23"/>
      <c r="H473" s="23"/>
      <c r="J473" s="23"/>
      <c r="K473" s="23"/>
      <c r="M473" s="23"/>
      <c r="N473" s="23"/>
      <c r="P473" s="23"/>
    </row>
    <row r="474" spans="2:16" x14ac:dyDescent="0.25">
      <c r="B474" s="23"/>
      <c r="E474" s="23"/>
      <c r="G474" s="23"/>
      <c r="H474" s="23"/>
      <c r="J474" s="23"/>
      <c r="K474" s="23"/>
      <c r="M474" s="23"/>
      <c r="N474" s="23"/>
      <c r="P474" s="23"/>
    </row>
    <row r="475" spans="2:16" x14ac:dyDescent="0.25">
      <c r="B475" s="23"/>
      <c r="E475" s="23"/>
      <c r="G475" s="23"/>
      <c r="H475" s="23"/>
      <c r="J475" s="23"/>
      <c r="K475" s="23"/>
      <c r="M475" s="23"/>
      <c r="N475" s="23"/>
      <c r="P475" s="23"/>
    </row>
    <row r="476" spans="2:16" x14ac:dyDescent="0.25">
      <c r="B476" s="23"/>
      <c r="E476" s="23"/>
      <c r="G476" s="23"/>
      <c r="H476" s="23"/>
      <c r="J476" s="23"/>
      <c r="K476" s="23"/>
      <c r="M476" s="23"/>
      <c r="N476" s="23"/>
      <c r="P476" s="23"/>
    </row>
    <row r="477" spans="2:16" x14ac:dyDescent="0.25">
      <c r="B477" s="23"/>
      <c r="E477" s="23"/>
      <c r="G477" s="23"/>
      <c r="H477" s="23"/>
      <c r="J477" s="23"/>
      <c r="K477" s="23"/>
      <c r="M477" s="23"/>
      <c r="N477" s="23"/>
      <c r="P477" s="23"/>
    </row>
    <row r="478" spans="2:16" x14ac:dyDescent="0.25">
      <c r="B478" s="23"/>
      <c r="E478" s="23"/>
      <c r="G478" s="23"/>
      <c r="H478" s="23"/>
      <c r="J478" s="23"/>
      <c r="K478" s="23"/>
      <c r="M478" s="23"/>
      <c r="N478" s="23"/>
      <c r="P478" s="23"/>
    </row>
    <row r="479" spans="2:16" x14ac:dyDescent="0.25">
      <c r="B479" s="23"/>
      <c r="E479" s="23"/>
      <c r="G479" s="23"/>
      <c r="H479" s="23"/>
      <c r="J479" s="23"/>
      <c r="K479" s="23"/>
      <c r="M479" s="23"/>
      <c r="N479" s="23"/>
      <c r="P479" s="23"/>
    </row>
    <row r="480" spans="2:16" x14ac:dyDescent="0.25">
      <c r="B480" s="23"/>
      <c r="E480" s="23"/>
      <c r="G480" s="23"/>
      <c r="H480" s="23"/>
      <c r="J480" s="23"/>
      <c r="K480" s="23"/>
      <c r="M480" s="23"/>
      <c r="N480" s="23"/>
      <c r="P480" s="23"/>
    </row>
    <row r="481" spans="2:16" x14ac:dyDescent="0.25">
      <c r="B481" s="23"/>
      <c r="E481" s="23"/>
      <c r="G481" s="23"/>
      <c r="H481" s="23"/>
      <c r="J481" s="23"/>
      <c r="K481" s="23"/>
      <c r="M481" s="23"/>
      <c r="N481" s="23"/>
      <c r="P481" s="23"/>
    </row>
    <row r="482" spans="2:16" x14ac:dyDescent="0.25">
      <c r="B482" s="23"/>
      <c r="E482" s="23"/>
      <c r="G482" s="23"/>
      <c r="H482" s="23"/>
      <c r="J482" s="23"/>
      <c r="K482" s="23"/>
      <c r="M482" s="23"/>
      <c r="N482" s="23"/>
      <c r="P482" s="23"/>
    </row>
    <row r="483" spans="2:16" x14ac:dyDescent="0.25">
      <c r="B483" s="23"/>
      <c r="E483" s="23"/>
      <c r="G483" s="23"/>
      <c r="H483" s="23"/>
      <c r="J483" s="23"/>
      <c r="K483" s="23"/>
      <c r="M483" s="23"/>
      <c r="N483" s="23"/>
      <c r="P483" s="23"/>
    </row>
    <row r="484" spans="2:16" x14ac:dyDescent="0.25">
      <c r="B484" s="23"/>
      <c r="E484" s="23"/>
      <c r="G484" s="23"/>
      <c r="H484" s="23"/>
      <c r="J484" s="23"/>
      <c r="K484" s="23"/>
      <c r="M484" s="23"/>
      <c r="N484" s="23"/>
      <c r="P484" s="23"/>
    </row>
    <row r="485" spans="2:16" x14ac:dyDescent="0.25">
      <c r="B485" s="23"/>
      <c r="E485" s="23"/>
      <c r="G485" s="23"/>
      <c r="H485" s="23"/>
      <c r="J485" s="23"/>
      <c r="K485" s="23"/>
      <c r="M485" s="23"/>
      <c r="N485" s="23"/>
      <c r="P485" s="23"/>
    </row>
    <row r="486" spans="2:16" x14ac:dyDescent="0.25">
      <c r="B486" s="23"/>
      <c r="E486" s="23"/>
      <c r="G486" s="23"/>
      <c r="H486" s="23"/>
      <c r="J486" s="23"/>
      <c r="K486" s="23"/>
      <c r="M486" s="23"/>
      <c r="N486" s="23"/>
      <c r="P486" s="23"/>
    </row>
    <row r="487" spans="2:16" x14ac:dyDescent="0.25">
      <c r="B487" s="23"/>
      <c r="E487" s="23"/>
      <c r="G487" s="23"/>
      <c r="H487" s="23"/>
      <c r="J487" s="23"/>
      <c r="K487" s="23"/>
      <c r="M487" s="23"/>
      <c r="N487" s="23"/>
      <c r="P487" s="23"/>
    </row>
    <row r="488" spans="2:16" x14ac:dyDescent="0.25">
      <c r="B488" s="23"/>
      <c r="E488" s="23"/>
      <c r="G488" s="23"/>
      <c r="H488" s="23"/>
      <c r="J488" s="23"/>
      <c r="K488" s="23"/>
      <c r="M488" s="23"/>
      <c r="N488" s="23"/>
      <c r="P488" s="23"/>
    </row>
    <row r="489" spans="2:16" x14ac:dyDescent="0.25">
      <c r="B489" s="23"/>
      <c r="E489" s="23"/>
      <c r="G489" s="23"/>
      <c r="H489" s="23"/>
      <c r="J489" s="23"/>
      <c r="K489" s="23"/>
      <c r="M489" s="23"/>
      <c r="N489" s="23"/>
      <c r="P489" s="23"/>
    </row>
    <row r="490" spans="2:16" x14ac:dyDescent="0.25">
      <c r="B490" s="23"/>
      <c r="E490" s="23"/>
      <c r="G490" s="23"/>
      <c r="H490" s="23"/>
      <c r="J490" s="23"/>
      <c r="K490" s="23"/>
      <c r="M490" s="23"/>
      <c r="N490" s="23"/>
      <c r="P490" s="23"/>
    </row>
    <row r="491" spans="2:16" x14ac:dyDescent="0.25">
      <c r="B491" s="23"/>
      <c r="E491" s="23"/>
      <c r="G491" s="23"/>
      <c r="H491" s="23"/>
      <c r="J491" s="23"/>
      <c r="K491" s="23"/>
      <c r="M491" s="23"/>
      <c r="N491" s="23"/>
      <c r="P491" s="23"/>
    </row>
    <row r="492" spans="2:16" x14ac:dyDescent="0.25">
      <c r="B492" s="23"/>
      <c r="E492" s="23"/>
      <c r="G492" s="23"/>
      <c r="H492" s="23"/>
      <c r="J492" s="23"/>
      <c r="K492" s="23"/>
      <c r="M492" s="23"/>
      <c r="N492" s="23"/>
      <c r="P492" s="23"/>
    </row>
    <row r="493" spans="2:16" x14ac:dyDescent="0.25">
      <c r="B493" s="23"/>
      <c r="E493" s="23"/>
      <c r="G493" s="23"/>
      <c r="H493" s="23"/>
      <c r="J493" s="23"/>
      <c r="K493" s="23"/>
      <c r="M493" s="23"/>
      <c r="N493" s="23"/>
      <c r="P493" s="23"/>
    </row>
    <row r="494" spans="2:16" x14ac:dyDescent="0.25">
      <c r="B494" s="23"/>
      <c r="E494" s="23"/>
      <c r="G494" s="23"/>
      <c r="H494" s="23"/>
      <c r="J494" s="23"/>
      <c r="K494" s="23"/>
      <c r="M494" s="23"/>
      <c r="N494" s="23"/>
      <c r="P494" s="23"/>
    </row>
    <row r="495" spans="2:16" x14ac:dyDescent="0.25">
      <c r="B495" s="23"/>
      <c r="E495" s="23"/>
      <c r="G495" s="23"/>
      <c r="H495" s="23"/>
      <c r="J495" s="23"/>
      <c r="K495" s="23"/>
      <c r="M495" s="23"/>
      <c r="N495" s="23"/>
      <c r="P495" s="23"/>
    </row>
    <row r="496" spans="2:16" x14ac:dyDescent="0.25">
      <c r="B496" s="23"/>
      <c r="E496" s="23"/>
      <c r="G496" s="23"/>
      <c r="H496" s="23"/>
      <c r="J496" s="23"/>
      <c r="K496" s="23"/>
      <c r="M496" s="23"/>
      <c r="N496" s="23"/>
      <c r="P496" s="23"/>
    </row>
    <row r="497" spans="2:16" x14ac:dyDescent="0.25">
      <c r="B497" s="23"/>
      <c r="E497" s="23"/>
      <c r="G497" s="23"/>
      <c r="H497" s="23"/>
      <c r="J497" s="23"/>
      <c r="K497" s="23"/>
      <c r="M497" s="23"/>
      <c r="N497" s="23"/>
      <c r="P497" s="23"/>
    </row>
    <row r="498" spans="2:16" x14ac:dyDescent="0.25">
      <c r="B498" s="23"/>
      <c r="E498" s="23"/>
      <c r="G498" s="23"/>
      <c r="H498" s="23"/>
      <c r="J498" s="23"/>
      <c r="K498" s="23"/>
      <c r="M498" s="23"/>
      <c r="N498" s="23"/>
      <c r="P498" s="23"/>
    </row>
    <row r="499" spans="2:16" x14ac:dyDescent="0.25">
      <c r="B499" s="23"/>
      <c r="E499" s="23"/>
      <c r="G499" s="23"/>
      <c r="H499" s="23"/>
      <c r="J499" s="23"/>
      <c r="K499" s="23"/>
      <c r="M499" s="23"/>
      <c r="N499" s="23"/>
      <c r="P499" s="23"/>
    </row>
    <row r="500" spans="2:16" x14ac:dyDescent="0.25">
      <c r="B500" s="23"/>
      <c r="E500" s="23"/>
      <c r="G500" s="23"/>
      <c r="H500" s="23"/>
      <c r="J500" s="23"/>
      <c r="K500" s="23"/>
      <c r="M500" s="23"/>
      <c r="N500" s="23"/>
      <c r="P500" s="23"/>
    </row>
    <row r="501" spans="2:16" x14ac:dyDescent="0.25">
      <c r="B501" s="23"/>
      <c r="E501" s="23"/>
      <c r="G501" s="23"/>
      <c r="H501" s="23"/>
      <c r="J501" s="23"/>
      <c r="K501" s="23"/>
      <c r="M501" s="23"/>
      <c r="N501" s="23"/>
      <c r="P501" s="23"/>
    </row>
    <row r="502" spans="2:16" x14ac:dyDescent="0.25">
      <c r="B502" s="23"/>
      <c r="E502" s="23"/>
      <c r="G502" s="23"/>
      <c r="H502" s="23"/>
      <c r="J502" s="23"/>
      <c r="K502" s="23"/>
      <c r="M502" s="23"/>
      <c r="N502" s="23"/>
      <c r="P502" s="23"/>
    </row>
    <row r="503" spans="2:16" x14ac:dyDescent="0.25">
      <c r="B503" s="23"/>
      <c r="E503" s="23"/>
      <c r="G503" s="23"/>
      <c r="H503" s="23"/>
      <c r="J503" s="23"/>
      <c r="K503" s="23"/>
      <c r="M503" s="23"/>
      <c r="N503" s="23"/>
      <c r="P503" s="23"/>
    </row>
    <row r="504" spans="2:16" x14ac:dyDescent="0.25">
      <c r="B504" s="23"/>
      <c r="E504" s="23"/>
      <c r="G504" s="23"/>
      <c r="H504" s="23"/>
      <c r="J504" s="23"/>
      <c r="K504" s="23"/>
      <c r="M504" s="23"/>
      <c r="N504" s="23"/>
      <c r="P504" s="23"/>
    </row>
    <row r="505" spans="2:16" x14ac:dyDescent="0.25">
      <c r="B505" s="23"/>
      <c r="E505" s="23"/>
      <c r="G505" s="23"/>
      <c r="H505" s="23"/>
      <c r="J505" s="23"/>
      <c r="K505" s="23"/>
      <c r="M505" s="23"/>
      <c r="N505" s="23"/>
      <c r="P505" s="23"/>
    </row>
    <row r="506" spans="2:16" x14ac:dyDescent="0.25">
      <c r="B506" s="23"/>
      <c r="E506" s="23"/>
      <c r="G506" s="23"/>
      <c r="H506" s="23"/>
      <c r="J506" s="23"/>
      <c r="K506" s="23"/>
      <c r="M506" s="23"/>
      <c r="N506" s="23"/>
      <c r="P506" s="23"/>
    </row>
    <row r="507" spans="2:16" x14ac:dyDescent="0.25">
      <c r="B507" s="23"/>
      <c r="E507" s="23"/>
      <c r="G507" s="23"/>
      <c r="H507" s="23"/>
      <c r="J507" s="23"/>
      <c r="K507" s="23"/>
      <c r="M507" s="23"/>
      <c r="N507" s="23"/>
      <c r="P507" s="23"/>
    </row>
    <row r="508" spans="2:16" x14ac:dyDescent="0.25">
      <c r="B508" s="23"/>
      <c r="E508" s="23"/>
      <c r="G508" s="23"/>
      <c r="H508" s="23"/>
      <c r="J508" s="23"/>
      <c r="K508" s="23"/>
      <c r="M508" s="23"/>
      <c r="N508" s="23"/>
      <c r="P508" s="23"/>
    </row>
    <row r="509" spans="2:16" x14ac:dyDescent="0.25">
      <c r="B509" s="23"/>
      <c r="E509" s="23"/>
      <c r="G509" s="23"/>
      <c r="H509" s="23"/>
      <c r="J509" s="23"/>
      <c r="K509" s="23"/>
      <c r="M509" s="23"/>
      <c r="N509" s="23"/>
      <c r="P509" s="23"/>
    </row>
    <row r="510" spans="2:16" x14ac:dyDescent="0.25">
      <c r="B510" s="23"/>
      <c r="E510" s="23"/>
      <c r="G510" s="23"/>
      <c r="H510" s="23"/>
      <c r="J510" s="23"/>
      <c r="K510" s="23"/>
      <c r="M510" s="23"/>
      <c r="N510" s="23"/>
      <c r="P510" s="23"/>
    </row>
    <row r="511" spans="2:16" x14ac:dyDescent="0.25">
      <c r="B511" s="23"/>
      <c r="E511" s="23"/>
      <c r="G511" s="23"/>
      <c r="H511" s="23"/>
      <c r="J511" s="23"/>
      <c r="K511" s="23"/>
      <c r="M511" s="23"/>
      <c r="N511" s="23"/>
      <c r="P511" s="23"/>
    </row>
    <row r="512" spans="2:16" x14ac:dyDescent="0.25">
      <c r="B512" s="23"/>
      <c r="E512" s="23"/>
      <c r="G512" s="23"/>
      <c r="H512" s="23"/>
      <c r="J512" s="23"/>
      <c r="K512" s="23"/>
      <c r="M512" s="23"/>
      <c r="N512" s="23"/>
      <c r="P512" s="23"/>
    </row>
    <row r="513" spans="2:16" x14ac:dyDescent="0.25">
      <c r="B513" s="23"/>
      <c r="E513" s="23"/>
      <c r="G513" s="23"/>
      <c r="H513" s="23"/>
      <c r="J513" s="23"/>
      <c r="K513" s="23"/>
      <c r="M513" s="23"/>
      <c r="N513" s="23"/>
      <c r="P513" s="23"/>
    </row>
    <row r="514" spans="2:16" x14ac:dyDescent="0.25">
      <c r="B514" s="23"/>
      <c r="E514" s="23"/>
      <c r="G514" s="23"/>
      <c r="H514" s="23"/>
      <c r="J514" s="23"/>
      <c r="K514" s="23"/>
      <c r="M514" s="23"/>
      <c r="N514" s="23"/>
      <c r="P514" s="23"/>
    </row>
    <row r="515" spans="2:16" x14ac:dyDescent="0.25">
      <c r="B515" s="23"/>
      <c r="E515" s="23"/>
      <c r="G515" s="23"/>
      <c r="H515" s="23"/>
      <c r="J515" s="23"/>
      <c r="K515" s="23"/>
      <c r="M515" s="23"/>
      <c r="N515" s="23"/>
      <c r="P515" s="23"/>
    </row>
    <row r="516" spans="2:16" x14ac:dyDescent="0.25">
      <c r="B516" s="23"/>
      <c r="E516" s="23"/>
      <c r="G516" s="23"/>
      <c r="H516" s="23"/>
      <c r="J516" s="23"/>
      <c r="K516" s="23"/>
      <c r="M516" s="23"/>
      <c r="N516" s="23"/>
      <c r="P516" s="23"/>
    </row>
    <row r="517" spans="2:16" x14ac:dyDescent="0.25">
      <c r="B517" s="23"/>
      <c r="E517" s="23"/>
      <c r="G517" s="23"/>
      <c r="H517" s="23"/>
      <c r="J517" s="23"/>
      <c r="K517" s="23"/>
      <c r="M517" s="23"/>
      <c r="N517" s="23"/>
      <c r="P517" s="23"/>
    </row>
    <row r="518" spans="2:16" x14ac:dyDescent="0.25">
      <c r="B518" s="23"/>
      <c r="E518" s="23"/>
      <c r="G518" s="23"/>
      <c r="H518" s="23"/>
      <c r="J518" s="23"/>
      <c r="K518" s="23"/>
      <c r="M518" s="23"/>
      <c r="N518" s="23"/>
      <c r="P518" s="23"/>
    </row>
    <row r="519" spans="2:16" x14ac:dyDescent="0.25">
      <c r="B519" s="23"/>
      <c r="E519" s="23"/>
      <c r="G519" s="23"/>
      <c r="H519" s="23"/>
      <c r="J519" s="23"/>
      <c r="K519" s="23"/>
      <c r="M519" s="23"/>
      <c r="N519" s="23"/>
      <c r="P519" s="23"/>
    </row>
    <row r="520" spans="2:16" x14ac:dyDescent="0.25">
      <c r="B520" s="23"/>
      <c r="E520" s="23"/>
      <c r="G520" s="23"/>
      <c r="H520" s="23"/>
      <c r="J520" s="23"/>
      <c r="K520" s="23"/>
      <c r="M520" s="23"/>
      <c r="N520" s="23"/>
      <c r="P520" s="23"/>
    </row>
    <row r="521" spans="2:16" x14ac:dyDescent="0.25">
      <c r="B521" s="23"/>
      <c r="E521" s="23"/>
      <c r="G521" s="23"/>
      <c r="H521" s="23"/>
      <c r="J521" s="23"/>
      <c r="K521" s="23"/>
      <c r="M521" s="23"/>
      <c r="N521" s="23"/>
      <c r="P521" s="23"/>
    </row>
    <row r="522" spans="2:16" x14ac:dyDescent="0.25">
      <c r="B522" s="23"/>
      <c r="E522" s="23"/>
      <c r="G522" s="23"/>
      <c r="H522" s="23"/>
      <c r="J522" s="23"/>
      <c r="K522" s="23"/>
      <c r="M522" s="23"/>
      <c r="N522" s="23"/>
      <c r="P522" s="23"/>
    </row>
    <row r="523" spans="2:16" x14ac:dyDescent="0.25">
      <c r="B523" s="23"/>
      <c r="E523" s="23"/>
      <c r="G523" s="23"/>
      <c r="H523" s="23"/>
      <c r="J523" s="23"/>
      <c r="K523" s="23"/>
      <c r="M523" s="23"/>
      <c r="N523" s="23"/>
      <c r="P523" s="23"/>
    </row>
    <row r="524" spans="2:16" x14ac:dyDescent="0.25">
      <c r="B524" s="23"/>
      <c r="E524" s="23"/>
      <c r="G524" s="23"/>
      <c r="H524" s="23"/>
      <c r="J524" s="23"/>
      <c r="K524" s="23"/>
      <c r="M524" s="23"/>
      <c r="N524" s="23"/>
      <c r="P524" s="23"/>
    </row>
    <row r="525" spans="2:16" x14ac:dyDescent="0.25">
      <c r="B525" s="23"/>
      <c r="E525" s="23"/>
      <c r="G525" s="23"/>
      <c r="H525" s="23"/>
      <c r="J525" s="23"/>
      <c r="K525" s="23"/>
      <c r="M525" s="23"/>
      <c r="N525" s="23"/>
      <c r="P525" s="23"/>
    </row>
    <row r="526" spans="2:16" x14ac:dyDescent="0.25">
      <c r="B526" s="23"/>
      <c r="E526" s="23"/>
      <c r="G526" s="23"/>
      <c r="H526" s="23"/>
      <c r="J526" s="23"/>
      <c r="K526" s="23"/>
      <c r="M526" s="23"/>
      <c r="N526" s="23"/>
      <c r="P526" s="23"/>
    </row>
    <row r="527" spans="2:16" x14ac:dyDescent="0.25">
      <c r="B527" s="23"/>
      <c r="E527" s="23"/>
      <c r="G527" s="23"/>
      <c r="H527" s="23"/>
      <c r="J527" s="23"/>
      <c r="K527" s="23"/>
      <c r="M527" s="23"/>
      <c r="N527" s="23"/>
      <c r="P527" s="23"/>
    </row>
    <row r="528" spans="2:16" x14ac:dyDescent="0.25">
      <c r="B528" s="23"/>
      <c r="E528" s="23"/>
      <c r="G528" s="23"/>
      <c r="H528" s="23"/>
      <c r="J528" s="23"/>
      <c r="K528" s="23"/>
      <c r="M528" s="23"/>
      <c r="N528" s="23"/>
      <c r="P528" s="23"/>
    </row>
    <row r="529" spans="2:16" x14ac:dyDescent="0.25">
      <c r="B529" s="23"/>
      <c r="E529" s="23"/>
      <c r="G529" s="23"/>
      <c r="H529" s="23"/>
      <c r="J529" s="23"/>
      <c r="K529" s="23"/>
      <c r="M529" s="23"/>
      <c r="N529" s="23"/>
      <c r="P529" s="23"/>
    </row>
    <row r="530" spans="2:16" x14ac:dyDescent="0.25">
      <c r="B530" s="23"/>
      <c r="E530" s="23"/>
      <c r="G530" s="23"/>
      <c r="H530" s="23"/>
      <c r="J530" s="23"/>
      <c r="K530" s="23"/>
      <c r="M530" s="23"/>
      <c r="N530" s="23"/>
      <c r="P530" s="23"/>
    </row>
    <row r="531" spans="2:16" x14ac:dyDescent="0.25">
      <c r="B531" s="23"/>
      <c r="E531" s="23"/>
      <c r="G531" s="23"/>
      <c r="H531" s="23"/>
      <c r="J531" s="23"/>
      <c r="K531" s="23"/>
      <c r="M531" s="23"/>
      <c r="N531" s="23"/>
      <c r="P531" s="23"/>
    </row>
    <row r="532" spans="2:16" x14ac:dyDescent="0.25">
      <c r="B532" s="23"/>
      <c r="E532" s="23"/>
      <c r="G532" s="23"/>
      <c r="H532" s="23"/>
      <c r="J532" s="23"/>
      <c r="K532" s="23"/>
      <c r="M532" s="23"/>
      <c r="N532" s="23"/>
      <c r="P532" s="23"/>
    </row>
    <row r="533" spans="2:16" x14ac:dyDescent="0.25">
      <c r="B533" s="23"/>
      <c r="E533" s="23"/>
      <c r="G533" s="23"/>
      <c r="H533" s="23"/>
      <c r="J533" s="23"/>
      <c r="K533" s="23"/>
      <c r="M533" s="23"/>
      <c r="N533" s="23"/>
      <c r="P533" s="23"/>
    </row>
    <row r="534" spans="2:16" x14ac:dyDescent="0.25">
      <c r="B534" s="23"/>
      <c r="E534" s="23"/>
      <c r="G534" s="23"/>
      <c r="H534" s="23"/>
      <c r="J534" s="23"/>
      <c r="K534" s="23"/>
      <c r="M534" s="23"/>
      <c r="N534" s="23"/>
      <c r="P534" s="23"/>
    </row>
    <row r="535" spans="2:16" x14ac:dyDescent="0.25">
      <c r="B535" s="23"/>
      <c r="E535" s="23"/>
      <c r="G535" s="23"/>
      <c r="H535" s="23"/>
      <c r="J535" s="23"/>
      <c r="K535" s="23"/>
      <c r="M535" s="23"/>
      <c r="N535" s="23"/>
      <c r="P535" s="23"/>
    </row>
    <row r="536" spans="2:16" x14ac:dyDescent="0.25">
      <c r="B536" s="23"/>
      <c r="E536" s="23"/>
      <c r="G536" s="23"/>
      <c r="H536" s="23"/>
      <c r="J536" s="23"/>
      <c r="K536" s="23"/>
      <c r="M536" s="23"/>
      <c r="N536" s="23"/>
      <c r="P536" s="23"/>
    </row>
    <row r="537" spans="2:16" x14ac:dyDescent="0.25">
      <c r="B537" s="23"/>
      <c r="E537" s="23"/>
      <c r="G537" s="23"/>
      <c r="H537" s="23"/>
      <c r="J537" s="23"/>
      <c r="K537" s="23"/>
      <c r="M537" s="23"/>
      <c r="N537" s="23"/>
      <c r="P537" s="23"/>
    </row>
    <row r="538" spans="2:16" x14ac:dyDescent="0.25">
      <c r="B538" s="23"/>
      <c r="E538" s="23"/>
      <c r="G538" s="23"/>
      <c r="H538" s="23"/>
      <c r="J538" s="23"/>
      <c r="K538" s="23"/>
      <c r="M538" s="23"/>
      <c r="N538" s="23"/>
      <c r="P538" s="23"/>
    </row>
    <row r="539" spans="2:16" x14ac:dyDescent="0.25">
      <c r="B539" s="23"/>
      <c r="E539" s="23"/>
      <c r="G539" s="23"/>
      <c r="H539" s="23"/>
      <c r="J539" s="23"/>
      <c r="K539" s="23"/>
      <c r="M539" s="23"/>
      <c r="N539" s="23"/>
      <c r="P539" s="23"/>
    </row>
    <row r="540" spans="2:16" x14ac:dyDescent="0.25">
      <c r="B540" s="23"/>
      <c r="E540" s="23"/>
      <c r="G540" s="23"/>
      <c r="H540" s="23"/>
      <c r="J540" s="23"/>
      <c r="K540" s="23"/>
      <c r="M540" s="23"/>
      <c r="N540" s="23"/>
      <c r="P540" s="23"/>
    </row>
    <row r="541" spans="2:16" x14ac:dyDescent="0.25">
      <c r="B541" s="23"/>
      <c r="E541" s="23"/>
      <c r="G541" s="23"/>
      <c r="H541" s="23"/>
      <c r="J541" s="23"/>
      <c r="K541" s="23"/>
      <c r="M541" s="23"/>
      <c r="N541" s="23"/>
      <c r="P541" s="23"/>
    </row>
    <row r="542" spans="2:16" x14ac:dyDescent="0.25">
      <c r="B542" s="23"/>
      <c r="E542" s="23"/>
      <c r="G542" s="23"/>
      <c r="H542" s="23"/>
      <c r="J542" s="23"/>
      <c r="K542" s="23"/>
      <c r="M542" s="23"/>
      <c r="N542" s="23"/>
      <c r="P542" s="23"/>
    </row>
    <row r="543" spans="2:16" x14ac:dyDescent="0.25">
      <c r="B543" s="23"/>
      <c r="E543" s="23"/>
      <c r="G543" s="23"/>
      <c r="H543" s="23"/>
      <c r="J543" s="23"/>
      <c r="K543" s="23"/>
      <c r="M543" s="23"/>
      <c r="N543" s="23"/>
      <c r="P543" s="23"/>
    </row>
    <row r="544" spans="2:16" x14ac:dyDescent="0.25">
      <c r="B544" s="23"/>
      <c r="E544" s="23"/>
      <c r="G544" s="23"/>
      <c r="H544" s="23"/>
      <c r="J544" s="23"/>
      <c r="K544" s="23"/>
      <c r="M544" s="23"/>
      <c r="N544" s="23"/>
      <c r="P544" s="23"/>
    </row>
    <row r="545" spans="2:16" x14ac:dyDescent="0.25">
      <c r="B545" s="23"/>
      <c r="E545" s="23"/>
      <c r="G545" s="23"/>
      <c r="H545" s="23"/>
      <c r="J545" s="23"/>
      <c r="K545" s="23"/>
      <c r="M545" s="23"/>
      <c r="N545" s="23"/>
      <c r="P545" s="23"/>
    </row>
    <row r="546" spans="2:16" x14ac:dyDescent="0.25">
      <c r="B546" s="23"/>
      <c r="E546" s="23"/>
      <c r="G546" s="23"/>
      <c r="H546" s="23"/>
      <c r="J546" s="23"/>
      <c r="K546" s="23"/>
      <c r="M546" s="23"/>
      <c r="N546" s="23"/>
      <c r="P546" s="23"/>
    </row>
    <row r="547" spans="2:16" x14ac:dyDescent="0.25">
      <c r="B547" s="23"/>
      <c r="E547" s="23"/>
      <c r="G547" s="23"/>
      <c r="H547" s="23"/>
      <c r="J547" s="23"/>
      <c r="K547" s="23"/>
      <c r="M547" s="23"/>
      <c r="N547" s="23"/>
      <c r="P547" s="23"/>
    </row>
    <row r="548" spans="2:16" x14ac:dyDescent="0.25">
      <c r="B548" s="23"/>
      <c r="E548" s="23"/>
      <c r="G548" s="23"/>
      <c r="H548" s="23"/>
      <c r="J548" s="23"/>
      <c r="K548" s="23"/>
      <c r="M548" s="23"/>
      <c r="N548" s="23"/>
      <c r="P548" s="23"/>
    </row>
    <row r="549" spans="2:16" x14ac:dyDescent="0.25">
      <c r="B549" s="23"/>
      <c r="E549" s="23"/>
      <c r="G549" s="23"/>
      <c r="H549" s="23"/>
      <c r="J549" s="23"/>
      <c r="K549" s="23"/>
      <c r="M549" s="23"/>
      <c r="N549" s="23"/>
      <c r="P549" s="23"/>
    </row>
    <row r="550" spans="2:16" x14ac:dyDescent="0.25">
      <c r="B550" s="23"/>
      <c r="E550" s="23"/>
      <c r="G550" s="23"/>
      <c r="H550" s="23"/>
      <c r="J550" s="23"/>
      <c r="K550" s="23"/>
      <c r="M550" s="23"/>
      <c r="N550" s="23"/>
      <c r="P550" s="23"/>
    </row>
    <row r="551" spans="2:16" x14ac:dyDescent="0.25">
      <c r="B551" s="23"/>
      <c r="E551" s="23"/>
      <c r="G551" s="23"/>
      <c r="H551" s="23"/>
      <c r="J551" s="23"/>
      <c r="K551" s="23"/>
      <c r="M551" s="23"/>
      <c r="N551" s="23"/>
      <c r="P551" s="23"/>
    </row>
    <row r="552" spans="2:16" x14ac:dyDescent="0.25">
      <c r="B552" s="23"/>
      <c r="E552" s="23"/>
      <c r="G552" s="23"/>
      <c r="H552" s="23"/>
      <c r="J552" s="23"/>
      <c r="K552" s="23"/>
      <c r="M552" s="23"/>
      <c r="N552" s="23"/>
      <c r="P552" s="23"/>
    </row>
    <row r="553" spans="2:16" x14ac:dyDescent="0.25">
      <c r="B553" s="23"/>
      <c r="E553" s="23"/>
      <c r="G553" s="23"/>
      <c r="H553" s="23"/>
      <c r="J553" s="23"/>
      <c r="K553" s="23"/>
      <c r="M553" s="23"/>
      <c r="N553" s="23"/>
      <c r="P553" s="23"/>
    </row>
    <row r="554" spans="2:16" x14ac:dyDescent="0.25">
      <c r="B554" s="23"/>
      <c r="E554" s="23"/>
      <c r="G554" s="23"/>
      <c r="H554" s="23"/>
      <c r="J554" s="23"/>
      <c r="K554" s="23"/>
      <c r="M554" s="23"/>
      <c r="N554" s="23"/>
      <c r="P554" s="23"/>
    </row>
    <row r="555" spans="2:16" x14ac:dyDescent="0.25">
      <c r="B555" s="23"/>
      <c r="E555" s="23"/>
      <c r="G555" s="23"/>
      <c r="H555" s="23"/>
      <c r="J555" s="23"/>
      <c r="K555" s="23"/>
      <c r="M555" s="23"/>
      <c r="N555" s="23"/>
      <c r="P555" s="23"/>
    </row>
    <row r="556" spans="2:16" x14ac:dyDescent="0.25">
      <c r="B556" s="23"/>
      <c r="E556" s="23"/>
      <c r="G556" s="23"/>
      <c r="H556" s="23"/>
      <c r="J556" s="23"/>
      <c r="K556" s="23"/>
      <c r="M556" s="23"/>
      <c r="N556" s="23"/>
      <c r="P556" s="23"/>
    </row>
    <row r="557" spans="2:16" x14ac:dyDescent="0.25">
      <c r="B557" s="23"/>
      <c r="E557" s="23"/>
      <c r="G557" s="23"/>
      <c r="H557" s="23"/>
      <c r="J557" s="23"/>
      <c r="K557" s="23"/>
      <c r="M557" s="23"/>
      <c r="N557" s="23"/>
      <c r="P557" s="23"/>
    </row>
    <row r="558" spans="2:16" x14ac:dyDescent="0.25">
      <c r="B558" s="23"/>
      <c r="E558" s="23"/>
      <c r="G558" s="23"/>
      <c r="H558" s="23"/>
      <c r="J558" s="23"/>
      <c r="K558" s="23"/>
      <c r="M558" s="23"/>
      <c r="N558" s="23"/>
      <c r="P558" s="23"/>
    </row>
    <row r="559" spans="2:16" x14ac:dyDescent="0.25">
      <c r="B559" s="23"/>
      <c r="E559" s="23"/>
      <c r="G559" s="23"/>
      <c r="H559" s="23"/>
      <c r="J559" s="23"/>
      <c r="K559" s="23"/>
      <c r="M559" s="23"/>
      <c r="N559" s="23"/>
      <c r="P559" s="23"/>
    </row>
    <row r="560" spans="2:16" x14ac:dyDescent="0.25">
      <c r="B560" s="23"/>
      <c r="E560" s="23"/>
      <c r="G560" s="23"/>
      <c r="H560" s="23"/>
      <c r="J560" s="23"/>
      <c r="K560" s="23"/>
      <c r="M560" s="23"/>
      <c r="N560" s="23"/>
      <c r="P560" s="23"/>
    </row>
    <row r="561" spans="2:16" x14ac:dyDescent="0.25">
      <c r="B561" s="23"/>
      <c r="E561" s="23"/>
      <c r="G561" s="23"/>
      <c r="H561" s="23"/>
      <c r="J561" s="23"/>
      <c r="K561" s="23"/>
      <c r="M561" s="23"/>
      <c r="N561" s="23"/>
      <c r="P561" s="23"/>
    </row>
    <row r="562" spans="2:16" x14ac:dyDescent="0.25">
      <c r="B562" s="23"/>
      <c r="E562" s="23"/>
      <c r="G562" s="23"/>
      <c r="H562" s="23"/>
      <c r="J562" s="23"/>
      <c r="K562" s="23"/>
      <c r="M562" s="23"/>
      <c r="N562" s="23"/>
      <c r="P562" s="23"/>
    </row>
    <row r="563" spans="2:16" x14ac:dyDescent="0.25">
      <c r="B563" s="23"/>
      <c r="E563" s="23"/>
      <c r="G563" s="23"/>
      <c r="H563" s="23"/>
      <c r="J563" s="23"/>
      <c r="K563" s="23"/>
      <c r="M563" s="23"/>
      <c r="N563" s="23"/>
      <c r="P563" s="23"/>
    </row>
    <row r="564" spans="2:16" x14ac:dyDescent="0.25">
      <c r="B564" s="23"/>
      <c r="E564" s="23"/>
      <c r="G564" s="23"/>
      <c r="H564" s="23"/>
      <c r="J564" s="23"/>
      <c r="K564" s="23"/>
      <c r="M564" s="23"/>
      <c r="N564" s="23"/>
      <c r="P564" s="23"/>
    </row>
    <row r="565" spans="2:16" x14ac:dyDescent="0.25">
      <c r="B565" s="23"/>
      <c r="E565" s="23"/>
      <c r="G565" s="23"/>
      <c r="H565" s="23"/>
      <c r="J565" s="23"/>
      <c r="K565" s="23"/>
      <c r="M565" s="23"/>
      <c r="N565" s="23"/>
      <c r="P565" s="23"/>
    </row>
    <row r="566" spans="2:16" x14ac:dyDescent="0.25">
      <c r="B566" s="23"/>
      <c r="E566" s="23"/>
      <c r="G566" s="23"/>
      <c r="H566" s="23"/>
      <c r="J566" s="23"/>
      <c r="K566" s="23"/>
      <c r="M566" s="23"/>
      <c r="N566" s="23"/>
      <c r="P566" s="23"/>
    </row>
    <row r="567" spans="2:16" x14ac:dyDescent="0.25">
      <c r="B567" s="23"/>
      <c r="E567" s="23"/>
      <c r="G567" s="23"/>
      <c r="H567" s="23"/>
      <c r="J567" s="23"/>
      <c r="K567" s="23"/>
      <c r="M567" s="23"/>
      <c r="N567" s="23"/>
      <c r="P567" s="23"/>
    </row>
    <row r="568" spans="2:16" x14ac:dyDescent="0.25">
      <c r="B568" s="23"/>
      <c r="E568" s="23"/>
      <c r="G568" s="23"/>
      <c r="H568" s="23"/>
      <c r="J568" s="23"/>
      <c r="K568" s="23"/>
      <c r="M568" s="23"/>
      <c r="N568" s="23"/>
      <c r="P568" s="23"/>
    </row>
    <row r="569" spans="2:16" x14ac:dyDescent="0.25">
      <c r="B569" s="23"/>
      <c r="E569" s="23"/>
      <c r="G569" s="23"/>
      <c r="H569" s="23"/>
      <c r="J569" s="23"/>
      <c r="K569" s="23"/>
      <c r="M569" s="23"/>
      <c r="N569" s="23"/>
      <c r="P569" s="23"/>
    </row>
    <row r="570" spans="2:16" x14ac:dyDescent="0.25">
      <c r="B570" s="23"/>
      <c r="E570" s="23"/>
      <c r="G570" s="23"/>
      <c r="H570" s="23"/>
      <c r="J570" s="23"/>
      <c r="K570" s="23"/>
      <c r="M570" s="23"/>
      <c r="N570" s="23"/>
      <c r="P570" s="23"/>
    </row>
    <row r="571" spans="2:16" x14ac:dyDescent="0.25">
      <c r="B571" s="23"/>
      <c r="E571" s="23"/>
      <c r="G571" s="23"/>
      <c r="H571" s="23"/>
      <c r="J571" s="23"/>
      <c r="K571" s="23"/>
      <c r="M571" s="23"/>
      <c r="N571" s="23"/>
      <c r="P571" s="23"/>
    </row>
    <row r="572" spans="2:16" x14ac:dyDescent="0.25">
      <c r="B572" s="23"/>
      <c r="E572" s="23"/>
      <c r="G572" s="23"/>
      <c r="H572" s="23"/>
      <c r="J572" s="23"/>
      <c r="K572" s="23"/>
      <c r="M572" s="23"/>
      <c r="N572" s="23"/>
      <c r="P572" s="23"/>
    </row>
    <row r="573" spans="2:16" x14ac:dyDescent="0.25">
      <c r="B573" s="23"/>
      <c r="E573" s="23"/>
      <c r="G573" s="23"/>
      <c r="H573" s="23"/>
      <c r="J573" s="23"/>
      <c r="K573" s="23"/>
      <c r="M573" s="23"/>
      <c r="N573" s="23"/>
      <c r="P573" s="23"/>
    </row>
    <row r="574" spans="2:16" x14ac:dyDescent="0.25">
      <c r="B574" s="23"/>
      <c r="E574" s="23"/>
      <c r="G574" s="23"/>
      <c r="H574" s="23"/>
      <c r="J574" s="23"/>
      <c r="K574" s="23"/>
      <c r="M574" s="23"/>
      <c r="N574" s="23"/>
      <c r="P574" s="23"/>
    </row>
    <row r="575" spans="2:16" x14ac:dyDescent="0.25">
      <c r="B575" s="23"/>
      <c r="E575" s="23"/>
      <c r="G575" s="23"/>
      <c r="H575" s="23"/>
      <c r="J575" s="23"/>
      <c r="K575" s="23"/>
      <c r="M575" s="23"/>
      <c r="N575" s="23"/>
      <c r="P575" s="23"/>
    </row>
    <row r="576" spans="2:16" x14ac:dyDescent="0.25">
      <c r="B576" s="23"/>
      <c r="E576" s="23"/>
      <c r="G576" s="23"/>
      <c r="H576" s="23"/>
      <c r="J576" s="23"/>
      <c r="K576" s="23"/>
      <c r="M576" s="23"/>
      <c r="N576" s="23"/>
      <c r="P576" s="23"/>
    </row>
    <row r="577" spans="2:16" x14ac:dyDescent="0.25">
      <c r="B577" s="23"/>
      <c r="E577" s="23"/>
      <c r="G577" s="23"/>
      <c r="H577" s="23"/>
      <c r="J577" s="23"/>
      <c r="K577" s="23"/>
      <c r="M577" s="23"/>
      <c r="N577" s="23"/>
      <c r="P577" s="23"/>
    </row>
    <row r="578" spans="2:16" x14ac:dyDescent="0.25">
      <c r="B578" s="23"/>
      <c r="E578" s="23"/>
      <c r="G578" s="23"/>
      <c r="H578" s="23"/>
      <c r="J578" s="23"/>
      <c r="K578" s="23"/>
      <c r="M578" s="23"/>
      <c r="N578" s="23"/>
      <c r="P578" s="23"/>
    </row>
    <row r="579" spans="2:16" x14ac:dyDescent="0.25">
      <c r="B579" s="23"/>
      <c r="E579" s="23"/>
      <c r="G579" s="23"/>
      <c r="H579" s="23"/>
      <c r="J579" s="23"/>
      <c r="K579" s="23"/>
      <c r="M579" s="23"/>
      <c r="N579" s="23"/>
      <c r="P579" s="23"/>
    </row>
    <row r="580" spans="2:16" x14ac:dyDescent="0.25">
      <c r="B580" s="23"/>
      <c r="E580" s="23"/>
      <c r="G580" s="23"/>
      <c r="H580" s="23"/>
      <c r="J580" s="23"/>
      <c r="K580" s="23"/>
      <c r="M580" s="23"/>
      <c r="N580" s="23"/>
      <c r="P580" s="23"/>
    </row>
    <row r="581" spans="2:16" x14ac:dyDescent="0.25">
      <c r="B581" s="23"/>
      <c r="E581" s="23"/>
      <c r="G581" s="23"/>
      <c r="H581" s="23"/>
      <c r="J581" s="23"/>
      <c r="K581" s="23"/>
      <c r="M581" s="23"/>
      <c r="N581" s="23"/>
      <c r="P581" s="23"/>
    </row>
    <row r="582" spans="2:16" x14ac:dyDescent="0.25">
      <c r="B582" s="23"/>
      <c r="E582" s="23"/>
      <c r="G582" s="23"/>
      <c r="H582" s="23"/>
      <c r="J582" s="23"/>
      <c r="K582" s="23"/>
      <c r="M582" s="23"/>
      <c r="N582" s="23"/>
      <c r="P582" s="23"/>
    </row>
    <row r="583" spans="2:16" x14ac:dyDescent="0.25">
      <c r="B583" s="23"/>
      <c r="E583" s="23"/>
      <c r="G583" s="23"/>
      <c r="H583" s="23"/>
      <c r="J583" s="23"/>
      <c r="K583" s="23"/>
      <c r="M583" s="23"/>
      <c r="N583" s="23"/>
      <c r="P583" s="23"/>
    </row>
    <row r="584" spans="2:16" x14ac:dyDescent="0.25">
      <c r="B584" s="23"/>
      <c r="E584" s="23"/>
      <c r="G584" s="23"/>
      <c r="H584" s="23"/>
      <c r="J584" s="23"/>
      <c r="K584" s="23"/>
      <c r="M584" s="23"/>
      <c r="N584" s="23"/>
      <c r="P584" s="23"/>
    </row>
    <row r="585" spans="2:16" x14ac:dyDescent="0.25">
      <c r="B585" s="23"/>
      <c r="E585" s="23"/>
      <c r="G585" s="23"/>
      <c r="H585" s="23"/>
      <c r="J585" s="23"/>
      <c r="K585" s="23"/>
      <c r="M585" s="23"/>
      <c r="N585" s="23"/>
      <c r="P585" s="23"/>
    </row>
    <row r="586" spans="2:16" x14ac:dyDescent="0.25">
      <c r="B586" s="23"/>
      <c r="E586" s="23"/>
      <c r="G586" s="23"/>
      <c r="H586" s="23"/>
      <c r="J586" s="23"/>
      <c r="K586" s="23"/>
      <c r="M586" s="23"/>
      <c r="N586" s="23"/>
      <c r="P586" s="23"/>
    </row>
    <row r="587" spans="2:16" x14ac:dyDescent="0.25">
      <c r="B587" s="23"/>
      <c r="E587" s="23"/>
      <c r="G587" s="23"/>
      <c r="H587" s="23"/>
      <c r="J587" s="23"/>
      <c r="K587" s="23"/>
      <c r="M587" s="23"/>
      <c r="N587" s="23"/>
      <c r="P587" s="23"/>
    </row>
    <row r="588" spans="2:16" x14ac:dyDescent="0.25">
      <c r="B588" s="23"/>
      <c r="E588" s="23"/>
      <c r="G588" s="23"/>
      <c r="H588" s="23"/>
      <c r="J588" s="23"/>
      <c r="K588" s="23"/>
      <c r="M588" s="23"/>
      <c r="N588" s="23"/>
      <c r="P588" s="23"/>
    </row>
    <row r="589" spans="2:16" x14ac:dyDescent="0.25">
      <c r="B589" s="23"/>
      <c r="E589" s="23"/>
      <c r="G589" s="23"/>
      <c r="H589" s="23"/>
      <c r="J589" s="23"/>
      <c r="K589" s="23"/>
      <c r="M589" s="23"/>
      <c r="N589" s="23"/>
      <c r="P589" s="23"/>
    </row>
    <row r="590" spans="2:16" x14ac:dyDescent="0.25">
      <c r="B590" s="23"/>
      <c r="E590" s="23"/>
      <c r="G590" s="23"/>
      <c r="H590" s="23"/>
      <c r="J590" s="23"/>
      <c r="K590" s="23"/>
      <c r="M590" s="23"/>
      <c r="N590" s="23"/>
      <c r="P590" s="23"/>
    </row>
    <row r="591" spans="2:16" x14ac:dyDescent="0.25">
      <c r="B591" s="23"/>
      <c r="E591" s="23"/>
      <c r="G591" s="23"/>
      <c r="H591" s="23"/>
      <c r="J591" s="23"/>
      <c r="K591" s="23"/>
      <c r="M591" s="23"/>
      <c r="N591" s="23"/>
      <c r="P591" s="23"/>
    </row>
    <row r="592" spans="2:16" x14ac:dyDescent="0.25">
      <c r="B592" s="23"/>
      <c r="E592" s="23"/>
      <c r="G592" s="23"/>
      <c r="H592" s="23"/>
      <c r="J592" s="23"/>
      <c r="K592" s="23"/>
      <c r="M592" s="23"/>
      <c r="N592" s="23"/>
      <c r="P592" s="23"/>
    </row>
    <row r="593" spans="2:16" x14ac:dyDescent="0.25">
      <c r="B593" s="23"/>
      <c r="E593" s="23"/>
      <c r="G593" s="23"/>
      <c r="H593" s="23"/>
      <c r="J593" s="23"/>
      <c r="K593" s="23"/>
      <c r="M593" s="23"/>
      <c r="N593" s="23"/>
      <c r="P593" s="23"/>
    </row>
    <row r="594" spans="2:16" x14ac:dyDescent="0.25">
      <c r="B594" s="23"/>
      <c r="E594" s="23"/>
      <c r="G594" s="23"/>
      <c r="H594" s="23"/>
      <c r="J594" s="23"/>
      <c r="K594" s="23"/>
      <c r="M594" s="23"/>
      <c r="N594" s="23"/>
      <c r="P594" s="23"/>
    </row>
    <row r="595" spans="2:16" x14ac:dyDescent="0.25">
      <c r="B595" s="23"/>
      <c r="E595" s="23"/>
      <c r="G595" s="23"/>
      <c r="H595" s="23"/>
      <c r="J595" s="23"/>
      <c r="K595" s="23"/>
      <c r="M595" s="23"/>
      <c r="N595" s="23"/>
      <c r="P595" s="23"/>
    </row>
    <row r="596" spans="2:16" x14ac:dyDescent="0.25">
      <c r="B596" s="23"/>
      <c r="E596" s="23"/>
      <c r="G596" s="23"/>
      <c r="H596" s="23"/>
      <c r="J596" s="23"/>
      <c r="K596" s="23"/>
      <c r="M596" s="23"/>
      <c r="N596" s="23"/>
      <c r="P596" s="23"/>
    </row>
    <row r="597" spans="2:16" x14ac:dyDescent="0.25">
      <c r="B597" s="23"/>
      <c r="E597" s="23"/>
      <c r="G597" s="23"/>
      <c r="H597" s="23"/>
      <c r="J597" s="23"/>
      <c r="K597" s="23"/>
      <c r="M597" s="23"/>
      <c r="N597" s="23"/>
      <c r="P597" s="23"/>
    </row>
    <row r="598" spans="2:16" x14ac:dyDescent="0.25">
      <c r="B598" s="23"/>
      <c r="E598" s="23"/>
      <c r="G598" s="23"/>
      <c r="H598" s="23"/>
      <c r="J598" s="23"/>
      <c r="K598" s="23"/>
      <c r="M598" s="23"/>
      <c r="N598" s="23"/>
      <c r="P598" s="23"/>
    </row>
    <row r="599" spans="2:16" x14ac:dyDescent="0.25">
      <c r="B599" s="23"/>
      <c r="E599" s="23"/>
      <c r="G599" s="23"/>
      <c r="H599" s="23"/>
      <c r="J599" s="23"/>
      <c r="K599" s="23"/>
      <c r="M599" s="23"/>
      <c r="N599" s="23"/>
      <c r="P599" s="23"/>
    </row>
    <row r="600" spans="2:16" x14ac:dyDescent="0.25">
      <c r="B600" s="23"/>
      <c r="E600" s="23"/>
      <c r="G600" s="23"/>
      <c r="H600" s="23"/>
      <c r="J600" s="23"/>
      <c r="K600" s="23"/>
      <c r="M600" s="23"/>
      <c r="N600" s="23"/>
      <c r="P600" s="23"/>
    </row>
    <row r="601" spans="2:16" x14ac:dyDescent="0.25">
      <c r="B601" s="23"/>
      <c r="E601" s="23"/>
      <c r="G601" s="23"/>
      <c r="H601" s="23"/>
      <c r="J601" s="23"/>
      <c r="K601" s="23"/>
      <c r="M601" s="23"/>
      <c r="N601" s="23"/>
      <c r="P601" s="23"/>
    </row>
    <row r="602" spans="2:16" x14ac:dyDescent="0.25">
      <c r="B602" s="23"/>
      <c r="E602" s="23"/>
      <c r="G602" s="23"/>
      <c r="H602" s="23"/>
      <c r="J602" s="23"/>
      <c r="K602" s="23"/>
      <c r="M602" s="23"/>
      <c r="N602" s="23"/>
      <c r="P602" s="23"/>
    </row>
    <row r="603" spans="2:16" x14ac:dyDescent="0.25">
      <c r="B603" s="23"/>
      <c r="E603" s="23"/>
      <c r="G603" s="23"/>
      <c r="H603" s="23"/>
      <c r="J603" s="23"/>
      <c r="K603" s="23"/>
      <c r="M603" s="23"/>
      <c r="N603" s="23"/>
      <c r="P603" s="23"/>
    </row>
    <row r="604" spans="2:16" x14ac:dyDescent="0.25">
      <c r="B604" s="23"/>
      <c r="E604" s="23"/>
      <c r="G604" s="23"/>
      <c r="H604" s="23"/>
      <c r="J604" s="23"/>
      <c r="K604" s="23"/>
      <c r="M604" s="23"/>
      <c r="N604" s="23"/>
      <c r="P604" s="23"/>
    </row>
    <row r="605" spans="2:16" x14ac:dyDescent="0.25">
      <c r="B605" s="23"/>
      <c r="E605" s="23"/>
      <c r="G605" s="23"/>
      <c r="H605" s="23"/>
      <c r="J605" s="23"/>
      <c r="K605" s="23"/>
      <c r="M605" s="23"/>
      <c r="N605" s="23"/>
      <c r="P605" s="23"/>
    </row>
    <row r="606" spans="2:16" x14ac:dyDescent="0.25">
      <c r="B606" s="23"/>
      <c r="E606" s="23"/>
      <c r="G606" s="23"/>
      <c r="H606" s="23"/>
      <c r="J606" s="23"/>
      <c r="K606" s="23"/>
      <c r="M606" s="23"/>
      <c r="N606" s="23"/>
      <c r="P606" s="23"/>
    </row>
    <row r="607" spans="2:16" x14ac:dyDescent="0.25">
      <c r="B607" s="23"/>
      <c r="E607" s="23"/>
      <c r="G607" s="23"/>
      <c r="H607" s="23"/>
      <c r="J607" s="23"/>
      <c r="K607" s="23"/>
      <c r="M607" s="23"/>
      <c r="N607" s="23"/>
      <c r="P607" s="23"/>
    </row>
    <row r="608" spans="2:16" x14ac:dyDescent="0.25">
      <c r="B608" s="23"/>
      <c r="E608" s="23"/>
      <c r="G608" s="23"/>
      <c r="H608" s="23"/>
      <c r="J608" s="23"/>
      <c r="K608" s="23"/>
      <c r="M608" s="23"/>
      <c r="N608" s="23"/>
      <c r="P608" s="23"/>
    </row>
    <row r="609" spans="2:16" x14ac:dyDescent="0.25">
      <c r="B609" s="23"/>
      <c r="E609" s="23"/>
      <c r="G609" s="23"/>
      <c r="H609" s="23"/>
      <c r="J609" s="23"/>
      <c r="K609" s="23"/>
      <c r="M609" s="23"/>
      <c r="N609" s="23"/>
      <c r="P609" s="23"/>
    </row>
    <row r="610" spans="2:16" x14ac:dyDescent="0.25">
      <c r="B610" s="23"/>
      <c r="E610" s="23"/>
      <c r="G610" s="23"/>
      <c r="H610" s="23"/>
      <c r="J610" s="23"/>
      <c r="K610" s="23"/>
      <c r="M610" s="23"/>
      <c r="N610" s="23"/>
      <c r="P610" s="23"/>
    </row>
    <row r="611" spans="2:16" x14ac:dyDescent="0.25">
      <c r="B611" s="23"/>
      <c r="E611" s="23"/>
      <c r="G611" s="23"/>
      <c r="H611" s="23"/>
      <c r="J611" s="23"/>
      <c r="K611" s="23"/>
      <c r="M611" s="23"/>
      <c r="N611" s="23"/>
      <c r="P611" s="23"/>
    </row>
    <row r="612" spans="2:16" x14ac:dyDescent="0.25">
      <c r="B612" s="23"/>
      <c r="E612" s="23"/>
      <c r="G612" s="23"/>
      <c r="H612" s="23"/>
      <c r="J612" s="23"/>
      <c r="K612" s="23"/>
      <c r="M612" s="23"/>
      <c r="N612" s="23"/>
      <c r="P612" s="23"/>
    </row>
    <row r="613" spans="2:16" x14ac:dyDescent="0.25">
      <c r="B613" s="23"/>
      <c r="E613" s="23"/>
      <c r="G613" s="23"/>
      <c r="H613" s="23"/>
      <c r="J613" s="23"/>
      <c r="K613" s="23"/>
      <c r="M613" s="23"/>
      <c r="N613" s="23"/>
      <c r="P613" s="23"/>
    </row>
    <row r="614" spans="2:16" x14ac:dyDescent="0.25">
      <c r="B614" s="23"/>
      <c r="E614" s="23"/>
      <c r="G614" s="23"/>
      <c r="H614" s="23"/>
      <c r="J614" s="23"/>
      <c r="K614" s="23"/>
      <c r="M614" s="23"/>
      <c r="N614" s="23"/>
      <c r="P614" s="23"/>
    </row>
    <row r="615" spans="2:16" x14ac:dyDescent="0.25">
      <c r="B615" s="23"/>
      <c r="E615" s="23"/>
      <c r="G615" s="23"/>
      <c r="H615" s="23"/>
      <c r="J615" s="23"/>
      <c r="K615" s="23"/>
      <c r="M615" s="23"/>
      <c r="N615" s="23"/>
      <c r="P615" s="23"/>
    </row>
    <row r="616" spans="2:16" x14ac:dyDescent="0.25">
      <c r="B616" s="23"/>
      <c r="E616" s="23"/>
      <c r="G616" s="23"/>
      <c r="H616" s="23"/>
      <c r="J616" s="23"/>
      <c r="K616" s="23"/>
      <c r="M616" s="23"/>
      <c r="N616" s="23"/>
      <c r="P616" s="23"/>
    </row>
    <row r="617" spans="2:16" x14ac:dyDescent="0.25">
      <c r="B617" s="23"/>
      <c r="E617" s="23"/>
      <c r="G617" s="23"/>
      <c r="H617" s="23"/>
      <c r="J617" s="23"/>
      <c r="K617" s="23"/>
      <c r="M617" s="23"/>
      <c r="N617" s="23"/>
      <c r="P617" s="23"/>
    </row>
    <row r="618" spans="2:16" x14ac:dyDescent="0.25">
      <c r="B618" s="23"/>
      <c r="E618" s="23"/>
      <c r="G618" s="23"/>
      <c r="H618" s="23"/>
      <c r="J618" s="23"/>
      <c r="K618" s="23"/>
      <c r="M618" s="23"/>
      <c r="N618" s="23"/>
      <c r="P618" s="23"/>
    </row>
    <row r="619" spans="2:16" x14ac:dyDescent="0.25">
      <c r="B619" s="23"/>
      <c r="E619" s="23"/>
      <c r="G619" s="23"/>
      <c r="H619" s="23"/>
      <c r="J619" s="23"/>
      <c r="K619" s="23"/>
      <c r="M619" s="23"/>
      <c r="N619" s="23"/>
      <c r="P619" s="23"/>
    </row>
    <row r="620" spans="2:16" x14ac:dyDescent="0.25">
      <c r="B620" s="23"/>
      <c r="E620" s="23"/>
      <c r="G620" s="23"/>
      <c r="H620" s="23"/>
      <c r="J620" s="23"/>
      <c r="K620" s="23"/>
      <c r="M620" s="23"/>
      <c r="N620" s="23"/>
      <c r="P620" s="23"/>
    </row>
    <row r="621" spans="2:16" x14ac:dyDescent="0.25">
      <c r="B621" s="23"/>
      <c r="E621" s="23"/>
      <c r="G621" s="23"/>
      <c r="H621" s="23"/>
      <c r="J621" s="23"/>
      <c r="K621" s="23"/>
      <c r="M621" s="23"/>
      <c r="N621" s="23"/>
      <c r="P621" s="23"/>
    </row>
    <row r="622" spans="2:16" x14ac:dyDescent="0.25">
      <c r="B622" s="23"/>
      <c r="E622" s="23"/>
      <c r="G622" s="23"/>
      <c r="H622" s="23"/>
      <c r="J622" s="23"/>
      <c r="K622" s="23"/>
      <c r="M622" s="23"/>
      <c r="N622" s="23"/>
      <c r="P622" s="23"/>
    </row>
    <row r="623" spans="2:16" x14ac:dyDescent="0.25">
      <c r="B623" s="23"/>
      <c r="E623" s="23"/>
      <c r="G623" s="23"/>
      <c r="H623" s="23"/>
      <c r="J623" s="23"/>
      <c r="K623" s="23"/>
      <c r="M623" s="23"/>
      <c r="N623" s="23"/>
      <c r="P623" s="23"/>
    </row>
    <row r="624" spans="2:16" x14ac:dyDescent="0.25">
      <c r="B624" s="23"/>
      <c r="E624" s="23"/>
      <c r="G624" s="23"/>
      <c r="H624" s="23"/>
      <c r="J624" s="23"/>
      <c r="K624" s="23"/>
      <c r="M624" s="23"/>
      <c r="N624" s="23"/>
      <c r="P624" s="23"/>
    </row>
    <row r="625" spans="2:16" x14ac:dyDescent="0.25">
      <c r="B625" s="23"/>
      <c r="E625" s="23"/>
      <c r="G625" s="23"/>
      <c r="H625" s="23"/>
      <c r="J625" s="23"/>
      <c r="K625" s="23"/>
      <c r="M625" s="23"/>
      <c r="N625" s="23"/>
      <c r="P625" s="23"/>
    </row>
    <row r="626" spans="2:16" x14ac:dyDescent="0.25">
      <c r="B626" s="23"/>
      <c r="E626" s="23"/>
      <c r="G626" s="23"/>
      <c r="H626" s="23"/>
      <c r="J626" s="23"/>
      <c r="K626" s="23"/>
      <c r="M626" s="23"/>
      <c r="N626" s="23"/>
      <c r="P626" s="23"/>
    </row>
    <row r="627" spans="2:16" x14ac:dyDescent="0.25">
      <c r="B627" s="23"/>
      <c r="E627" s="23"/>
      <c r="G627" s="23"/>
      <c r="H627" s="23"/>
      <c r="J627" s="23"/>
      <c r="K627" s="23"/>
      <c r="M627" s="23"/>
      <c r="N627" s="23"/>
      <c r="P627" s="23"/>
    </row>
    <row r="628" spans="2:16" x14ac:dyDescent="0.25">
      <c r="B628" s="23"/>
      <c r="E628" s="23"/>
      <c r="G628" s="23"/>
      <c r="H628" s="23"/>
      <c r="J628" s="23"/>
      <c r="K628" s="23"/>
      <c r="M628" s="23"/>
      <c r="N628" s="23"/>
      <c r="P628" s="23"/>
    </row>
    <row r="629" spans="2:16" x14ac:dyDescent="0.25">
      <c r="B629" s="23"/>
      <c r="E629" s="23"/>
      <c r="G629" s="23"/>
      <c r="H629" s="23"/>
      <c r="J629" s="23"/>
      <c r="K629" s="23"/>
      <c r="M629" s="23"/>
      <c r="N629" s="23"/>
      <c r="P629" s="23"/>
    </row>
    <row r="630" spans="2:16" x14ac:dyDescent="0.25">
      <c r="B630" s="23"/>
      <c r="E630" s="23"/>
      <c r="G630" s="23"/>
      <c r="H630" s="23"/>
      <c r="J630" s="23"/>
      <c r="K630" s="23"/>
      <c r="M630" s="23"/>
      <c r="N630" s="23"/>
      <c r="P630" s="23"/>
    </row>
    <row r="631" spans="2:16" x14ac:dyDescent="0.25">
      <c r="B631" s="23"/>
      <c r="E631" s="23"/>
      <c r="G631" s="23"/>
      <c r="H631" s="23"/>
      <c r="J631" s="23"/>
      <c r="K631" s="23"/>
      <c r="M631" s="23"/>
      <c r="N631" s="23"/>
      <c r="P631" s="23"/>
    </row>
    <row r="632" spans="2:16" x14ac:dyDescent="0.25">
      <c r="B632" s="23"/>
      <c r="E632" s="23"/>
      <c r="G632" s="23"/>
      <c r="H632" s="23"/>
      <c r="J632" s="23"/>
      <c r="K632" s="23"/>
      <c r="M632" s="23"/>
      <c r="N632" s="23"/>
      <c r="P632" s="23"/>
    </row>
    <row r="633" spans="2:16" x14ac:dyDescent="0.25">
      <c r="B633" s="23"/>
      <c r="E633" s="23"/>
      <c r="G633" s="23"/>
      <c r="H633" s="23"/>
      <c r="J633" s="23"/>
      <c r="K633" s="23"/>
      <c r="M633" s="23"/>
      <c r="N633" s="23"/>
      <c r="P633" s="23"/>
    </row>
    <row r="634" spans="2:16" x14ac:dyDescent="0.25">
      <c r="B634" s="23"/>
      <c r="E634" s="23"/>
      <c r="G634" s="23"/>
      <c r="H634" s="23"/>
      <c r="J634" s="23"/>
      <c r="K634" s="23"/>
      <c r="M634" s="23"/>
      <c r="N634" s="23"/>
      <c r="P634" s="23"/>
    </row>
    <row r="635" spans="2:16" x14ac:dyDescent="0.25">
      <c r="B635" s="23"/>
      <c r="E635" s="23"/>
      <c r="G635" s="23"/>
      <c r="H635" s="23"/>
      <c r="J635" s="23"/>
      <c r="K635" s="23"/>
      <c r="M635" s="23"/>
      <c r="N635" s="23"/>
      <c r="P635" s="23"/>
    </row>
    <row r="636" spans="2:16" x14ac:dyDescent="0.25">
      <c r="B636" s="23"/>
      <c r="E636" s="23"/>
      <c r="G636" s="23"/>
      <c r="H636" s="23"/>
      <c r="J636" s="23"/>
      <c r="K636" s="23"/>
      <c r="M636" s="23"/>
      <c r="N636" s="23"/>
      <c r="P636" s="23"/>
    </row>
    <row r="637" spans="2:16" x14ac:dyDescent="0.25">
      <c r="B637" s="23"/>
      <c r="E637" s="23"/>
      <c r="G637" s="23"/>
      <c r="H637" s="23"/>
      <c r="J637" s="23"/>
      <c r="K637" s="23"/>
      <c r="M637" s="23"/>
      <c r="N637" s="23"/>
      <c r="P637" s="23"/>
    </row>
    <row r="638" spans="2:16" x14ac:dyDescent="0.25">
      <c r="B638" s="23"/>
      <c r="E638" s="23"/>
      <c r="G638" s="23"/>
      <c r="H638" s="23"/>
      <c r="J638" s="23"/>
      <c r="K638" s="23"/>
      <c r="M638" s="23"/>
      <c r="N638" s="23"/>
      <c r="P638" s="23"/>
    </row>
    <row r="639" spans="2:16" x14ac:dyDescent="0.25">
      <c r="B639" s="23"/>
      <c r="E639" s="23"/>
      <c r="G639" s="23"/>
      <c r="H639" s="23"/>
      <c r="J639" s="23"/>
      <c r="K639" s="23"/>
      <c r="M639" s="23"/>
      <c r="N639" s="23"/>
      <c r="P639" s="23"/>
    </row>
    <row r="640" spans="2:16" x14ac:dyDescent="0.25">
      <c r="B640" s="23"/>
      <c r="E640" s="23"/>
      <c r="G640" s="23"/>
      <c r="H640" s="23"/>
      <c r="J640" s="23"/>
      <c r="K640" s="23"/>
      <c r="M640" s="23"/>
      <c r="N640" s="23"/>
      <c r="P640" s="23"/>
    </row>
    <row r="641" spans="2:16" x14ac:dyDescent="0.25">
      <c r="B641" s="23"/>
      <c r="E641" s="23"/>
      <c r="G641" s="23"/>
      <c r="H641" s="23"/>
      <c r="J641" s="23"/>
      <c r="K641" s="23"/>
      <c r="M641" s="23"/>
      <c r="N641" s="23"/>
      <c r="P641" s="23"/>
    </row>
    <row r="642" spans="2:16" x14ac:dyDescent="0.25">
      <c r="B642" s="23"/>
      <c r="E642" s="23"/>
      <c r="G642" s="23"/>
      <c r="H642" s="23"/>
      <c r="J642" s="23"/>
      <c r="K642" s="23"/>
      <c r="M642" s="23"/>
      <c r="N642" s="23"/>
      <c r="P642" s="23"/>
    </row>
    <row r="643" spans="2:16" x14ac:dyDescent="0.25">
      <c r="B643" s="23"/>
      <c r="E643" s="23"/>
      <c r="G643" s="23"/>
      <c r="H643" s="23"/>
      <c r="J643" s="23"/>
      <c r="K643" s="23"/>
      <c r="M643" s="23"/>
      <c r="N643" s="23"/>
      <c r="P643" s="23"/>
    </row>
    <row r="644" spans="2:16" x14ac:dyDescent="0.25">
      <c r="B644" s="23"/>
      <c r="E644" s="23"/>
      <c r="G644" s="23"/>
      <c r="H644" s="23"/>
      <c r="J644" s="23"/>
      <c r="K644" s="23"/>
      <c r="M644" s="23"/>
      <c r="N644" s="23"/>
      <c r="P644" s="23"/>
    </row>
    <row r="645" spans="2:16" x14ac:dyDescent="0.25">
      <c r="B645" s="23"/>
      <c r="E645" s="23"/>
      <c r="G645" s="23"/>
      <c r="H645" s="23"/>
      <c r="J645" s="23"/>
      <c r="K645" s="23"/>
      <c r="M645" s="23"/>
      <c r="N645" s="23"/>
      <c r="P645" s="23"/>
    </row>
    <row r="646" spans="2:16" x14ac:dyDescent="0.25">
      <c r="B646" s="23"/>
      <c r="E646" s="23"/>
      <c r="G646" s="23"/>
      <c r="H646" s="23"/>
      <c r="J646" s="23"/>
      <c r="K646" s="23"/>
      <c r="M646" s="23"/>
      <c r="N646" s="23"/>
      <c r="P646" s="23"/>
    </row>
    <row r="647" spans="2:16" x14ac:dyDescent="0.25">
      <c r="B647" s="23"/>
      <c r="E647" s="23"/>
      <c r="G647" s="23"/>
      <c r="H647" s="23"/>
      <c r="J647" s="23"/>
      <c r="K647" s="23"/>
      <c r="M647" s="23"/>
      <c r="N647" s="23"/>
      <c r="P647" s="23"/>
    </row>
    <row r="648" spans="2:16" x14ac:dyDescent="0.25">
      <c r="B648" s="23"/>
      <c r="E648" s="23"/>
      <c r="G648" s="23"/>
      <c r="H648" s="23"/>
      <c r="J648" s="23"/>
      <c r="K648" s="23"/>
      <c r="M648" s="23"/>
      <c r="N648" s="23"/>
      <c r="P648" s="23"/>
    </row>
    <row r="649" spans="2:16" x14ac:dyDescent="0.25">
      <c r="B649" s="23"/>
      <c r="E649" s="23"/>
      <c r="G649" s="23"/>
      <c r="H649" s="23"/>
      <c r="J649" s="23"/>
      <c r="K649" s="23"/>
      <c r="M649" s="23"/>
      <c r="N649" s="23"/>
      <c r="P649" s="23"/>
    </row>
    <row r="650" spans="2:16" x14ac:dyDescent="0.25">
      <c r="B650" s="23"/>
      <c r="E650" s="23"/>
      <c r="G650" s="23"/>
      <c r="H650" s="23"/>
      <c r="J650" s="23"/>
      <c r="K650" s="23"/>
      <c r="M650" s="23"/>
      <c r="N650" s="23"/>
      <c r="P650" s="23"/>
    </row>
    <row r="651" spans="2:16" x14ac:dyDescent="0.25">
      <c r="B651" s="23"/>
      <c r="E651" s="23"/>
      <c r="G651" s="23"/>
      <c r="H651" s="23"/>
      <c r="J651" s="23"/>
      <c r="K651" s="23"/>
      <c r="M651" s="23"/>
      <c r="N651" s="23"/>
      <c r="P651" s="23"/>
    </row>
    <row r="652" spans="2:16" x14ac:dyDescent="0.25">
      <c r="B652" s="23"/>
      <c r="E652" s="23"/>
      <c r="G652" s="23"/>
      <c r="H652" s="23"/>
      <c r="J652" s="23"/>
      <c r="K652" s="23"/>
      <c r="M652" s="23"/>
      <c r="N652" s="23"/>
      <c r="P652" s="23"/>
    </row>
    <row r="653" spans="2:16" x14ac:dyDescent="0.25">
      <c r="B653" s="23"/>
      <c r="E653" s="23"/>
      <c r="G653" s="23"/>
      <c r="H653" s="23"/>
      <c r="J653" s="23"/>
      <c r="K653" s="23"/>
      <c r="M653" s="23"/>
      <c r="N653" s="23"/>
      <c r="P653" s="23"/>
    </row>
    <row r="654" spans="2:16" x14ac:dyDescent="0.25">
      <c r="B654" s="23"/>
      <c r="E654" s="23"/>
      <c r="G654" s="23"/>
      <c r="H654" s="23"/>
      <c r="J654" s="23"/>
      <c r="K654" s="23"/>
      <c r="M654" s="23"/>
      <c r="N654" s="23"/>
      <c r="P654" s="23"/>
    </row>
    <row r="655" spans="2:16" x14ac:dyDescent="0.25">
      <c r="B655" s="23"/>
      <c r="E655" s="23"/>
      <c r="G655" s="23"/>
      <c r="H655" s="23"/>
      <c r="J655" s="23"/>
      <c r="K655" s="23"/>
      <c r="M655" s="23"/>
      <c r="N655" s="23"/>
      <c r="P655" s="23"/>
    </row>
    <row r="656" spans="2:16" x14ac:dyDescent="0.25">
      <c r="B656" s="23"/>
      <c r="E656" s="23"/>
      <c r="G656" s="23"/>
      <c r="H656" s="23"/>
      <c r="J656" s="23"/>
      <c r="K656" s="23"/>
      <c r="M656" s="23"/>
      <c r="N656" s="23"/>
      <c r="P656" s="23"/>
    </row>
    <row r="657" spans="2:16" x14ac:dyDescent="0.25">
      <c r="B657" s="23"/>
      <c r="E657" s="23"/>
      <c r="G657" s="23"/>
      <c r="H657" s="23"/>
      <c r="J657" s="23"/>
      <c r="K657" s="23"/>
      <c r="M657" s="23"/>
      <c r="N657" s="23"/>
      <c r="P657" s="23"/>
    </row>
    <row r="658" spans="2:16" x14ac:dyDescent="0.25">
      <c r="B658" s="23"/>
      <c r="E658" s="23"/>
      <c r="G658" s="23"/>
      <c r="H658" s="23"/>
      <c r="J658" s="23"/>
      <c r="K658" s="23"/>
      <c r="M658" s="23"/>
      <c r="N658" s="23"/>
      <c r="P658" s="23"/>
    </row>
    <row r="659" spans="2:16" x14ac:dyDescent="0.25">
      <c r="B659" s="23"/>
      <c r="E659" s="23"/>
      <c r="G659" s="23"/>
      <c r="H659" s="23"/>
      <c r="J659" s="23"/>
      <c r="K659" s="23"/>
      <c r="M659" s="23"/>
      <c r="N659" s="23"/>
      <c r="P659" s="23"/>
    </row>
    <row r="660" spans="2:16" x14ac:dyDescent="0.25">
      <c r="B660" s="23"/>
      <c r="E660" s="23"/>
      <c r="G660" s="23"/>
      <c r="H660" s="23"/>
      <c r="J660" s="23"/>
      <c r="K660" s="23"/>
      <c r="M660" s="23"/>
      <c r="N660" s="23"/>
      <c r="P660" s="23"/>
    </row>
    <row r="661" spans="2:16" x14ac:dyDescent="0.25">
      <c r="B661" s="23"/>
      <c r="E661" s="23"/>
      <c r="G661" s="23"/>
      <c r="H661" s="23"/>
      <c r="J661" s="23"/>
      <c r="K661" s="23"/>
      <c r="M661" s="23"/>
      <c r="N661" s="23"/>
      <c r="P661" s="23"/>
    </row>
    <row r="662" spans="2:16" x14ac:dyDescent="0.25">
      <c r="B662" s="23"/>
      <c r="E662" s="23"/>
      <c r="G662" s="23"/>
      <c r="H662" s="23"/>
      <c r="J662" s="23"/>
      <c r="K662" s="23"/>
      <c r="M662" s="23"/>
      <c r="N662" s="23"/>
      <c r="P662" s="23"/>
    </row>
    <row r="663" spans="2:16" x14ac:dyDescent="0.25">
      <c r="B663" s="23"/>
      <c r="E663" s="23"/>
      <c r="G663" s="23"/>
      <c r="H663" s="23"/>
      <c r="J663" s="23"/>
      <c r="K663" s="23"/>
      <c r="M663" s="23"/>
      <c r="N663" s="23"/>
      <c r="P663" s="23"/>
    </row>
    <row r="664" spans="2:16" x14ac:dyDescent="0.25">
      <c r="B664" s="23"/>
      <c r="E664" s="23"/>
      <c r="G664" s="23"/>
      <c r="H664" s="23"/>
      <c r="J664" s="23"/>
      <c r="K664" s="23"/>
      <c r="M664" s="23"/>
      <c r="N664" s="23"/>
      <c r="P664" s="23"/>
    </row>
    <row r="665" spans="2:16" x14ac:dyDescent="0.25">
      <c r="B665" s="23"/>
      <c r="E665" s="23"/>
      <c r="G665" s="23"/>
      <c r="H665" s="23"/>
      <c r="J665" s="23"/>
      <c r="K665" s="23"/>
      <c r="M665" s="23"/>
      <c r="N665" s="23"/>
      <c r="P665" s="23"/>
    </row>
    <row r="666" spans="2:16" x14ac:dyDescent="0.25">
      <c r="B666" s="23"/>
      <c r="E666" s="23"/>
      <c r="G666" s="23"/>
      <c r="H666" s="23"/>
      <c r="J666" s="23"/>
      <c r="K666" s="23"/>
      <c r="M666" s="23"/>
      <c r="N666" s="23"/>
      <c r="P666" s="23"/>
    </row>
    <row r="667" spans="2:16" x14ac:dyDescent="0.25">
      <c r="B667" s="23"/>
      <c r="E667" s="23"/>
      <c r="G667" s="23"/>
      <c r="H667" s="23"/>
      <c r="J667" s="23"/>
      <c r="K667" s="23"/>
      <c r="M667" s="23"/>
      <c r="N667" s="23"/>
      <c r="P667" s="23"/>
    </row>
    <row r="668" spans="2:16" x14ac:dyDescent="0.25">
      <c r="B668" s="23"/>
      <c r="E668" s="23"/>
      <c r="G668" s="23"/>
      <c r="H668" s="23"/>
      <c r="J668" s="23"/>
      <c r="K668" s="23"/>
      <c r="M668" s="23"/>
      <c r="N668" s="23"/>
      <c r="P668" s="23"/>
    </row>
    <row r="669" spans="2:16" x14ac:dyDescent="0.25">
      <c r="B669" s="23"/>
      <c r="E669" s="23"/>
      <c r="G669" s="23"/>
      <c r="H669" s="23"/>
      <c r="J669" s="23"/>
      <c r="K669" s="23"/>
      <c r="M669" s="23"/>
      <c r="N669" s="23"/>
      <c r="P669" s="23"/>
    </row>
    <row r="670" spans="2:16" x14ac:dyDescent="0.25">
      <c r="B670" s="23"/>
      <c r="E670" s="23"/>
      <c r="G670" s="23"/>
      <c r="H670" s="23"/>
      <c r="J670" s="23"/>
      <c r="K670" s="23"/>
      <c r="M670" s="23"/>
      <c r="N670" s="23"/>
      <c r="P670" s="23"/>
    </row>
    <row r="671" spans="2:16" x14ac:dyDescent="0.25">
      <c r="B671" s="23"/>
      <c r="E671" s="23"/>
      <c r="G671" s="23"/>
      <c r="H671" s="23"/>
      <c r="J671" s="23"/>
      <c r="K671" s="23"/>
      <c r="M671" s="23"/>
      <c r="N671" s="23"/>
      <c r="P671" s="23"/>
    </row>
    <row r="672" spans="2:16" x14ac:dyDescent="0.25">
      <c r="B672" s="23"/>
      <c r="E672" s="23"/>
      <c r="G672" s="23"/>
      <c r="H672" s="23"/>
      <c r="J672" s="23"/>
      <c r="K672" s="23"/>
      <c r="M672" s="23"/>
      <c r="N672" s="23"/>
      <c r="P672" s="23"/>
    </row>
    <row r="673" spans="2:16" x14ac:dyDescent="0.25">
      <c r="B673" s="23"/>
      <c r="E673" s="23"/>
      <c r="G673" s="23"/>
      <c r="H673" s="23"/>
      <c r="J673" s="23"/>
      <c r="K673" s="23"/>
      <c r="M673" s="23"/>
      <c r="N673" s="23"/>
      <c r="P673" s="23"/>
    </row>
    <row r="674" spans="2:16" x14ac:dyDescent="0.25">
      <c r="B674" s="23"/>
      <c r="E674" s="23"/>
      <c r="G674" s="23"/>
      <c r="H674" s="23"/>
      <c r="J674" s="23"/>
      <c r="K674" s="23"/>
      <c r="M674" s="23"/>
      <c r="N674" s="23"/>
      <c r="P674" s="23"/>
    </row>
    <row r="675" spans="2:16" x14ac:dyDescent="0.25">
      <c r="B675" s="23"/>
      <c r="E675" s="23"/>
      <c r="G675" s="23"/>
      <c r="H675" s="23"/>
      <c r="J675" s="23"/>
      <c r="K675" s="23"/>
      <c r="M675" s="23"/>
      <c r="N675" s="23"/>
      <c r="P675" s="23"/>
    </row>
    <row r="676" spans="2:16" x14ac:dyDescent="0.25">
      <c r="B676" s="23"/>
      <c r="E676" s="23"/>
      <c r="G676" s="23"/>
      <c r="H676" s="23"/>
      <c r="J676" s="23"/>
      <c r="K676" s="23"/>
      <c r="M676" s="23"/>
      <c r="N676" s="23"/>
      <c r="P676" s="23"/>
    </row>
    <row r="677" spans="2:16" x14ac:dyDescent="0.25">
      <c r="B677" s="23"/>
      <c r="E677" s="23"/>
      <c r="G677" s="23"/>
      <c r="H677" s="23"/>
      <c r="J677" s="23"/>
      <c r="K677" s="23"/>
      <c r="M677" s="23"/>
      <c r="N677" s="23"/>
      <c r="P677" s="23"/>
    </row>
    <row r="678" spans="2:16" x14ac:dyDescent="0.25">
      <c r="B678" s="23"/>
      <c r="E678" s="23"/>
      <c r="G678" s="23"/>
      <c r="H678" s="23"/>
      <c r="J678" s="23"/>
      <c r="K678" s="23"/>
      <c r="M678" s="23"/>
      <c r="N678" s="23"/>
      <c r="P678" s="23"/>
    </row>
    <row r="679" spans="2:16" x14ac:dyDescent="0.25">
      <c r="B679" s="23"/>
      <c r="E679" s="23"/>
      <c r="G679" s="23"/>
      <c r="H679" s="23"/>
      <c r="J679" s="23"/>
      <c r="K679" s="23"/>
      <c r="M679" s="23"/>
      <c r="N679" s="23"/>
      <c r="P679" s="23"/>
    </row>
    <row r="680" spans="2:16" x14ac:dyDescent="0.25">
      <c r="B680" s="23"/>
      <c r="E680" s="23"/>
      <c r="G680" s="23"/>
      <c r="H680" s="23"/>
      <c r="J680" s="23"/>
      <c r="K680" s="23"/>
      <c r="M680" s="23"/>
      <c r="N680" s="23"/>
      <c r="P680" s="23"/>
    </row>
    <row r="681" spans="2:16" x14ac:dyDescent="0.25">
      <c r="B681" s="23"/>
      <c r="E681" s="23"/>
      <c r="G681" s="23"/>
      <c r="H681" s="23"/>
      <c r="J681" s="23"/>
      <c r="K681" s="23"/>
      <c r="M681" s="23"/>
      <c r="N681" s="23"/>
      <c r="P681" s="23"/>
    </row>
    <row r="682" spans="2:16" x14ac:dyDescent="0.25">
      <c r="B682" s="23"/>
      <c r="E682" s="23"/>
      <c r="G682" s="23"/>
      <c r="H682" s="23"/>
      <c r="J682" s="23"/>
      <c r="K682" s="23"/>
      <c r="M682" s="23"/>
      <c r="N682" s="23"/>
      <c r="P682" s="23"/>
    </row>
    <row r="683" spans="2:16" x14ac:dyDescent="0.25">
      <c r="B683" s="23"/>
      <c r="E683" s="23"/>
      <c r="G683" s="23"/>
      <c r="H683" s="23"/>
      <c r="J683" s="23"/>
      <c r="K683" s="23"/>
      <c r="M683" s="23"/>
      <c r="N683" s="23"/>
      <c r="P683" s="23"/>
    </row>
    <row r="684" spans="2:16" x14ac:dyDescent="0.25">
      <c r="B684" s="23"/>
      <c r="E684" s="23"/>
      <c r="G684" s="23"/>
      <c r="H684" s="23"/>
      <c r="J684" s="23"/>
      <c r="K684" s="23"/>
      <c r="M684" s="23"/>
      <c r="N684" s="23"/>
      <c r="P684" s="23"/>
    </row>
    <row r="685" spans="2:16" x14ac:dyDescent="0.25">
      <c r="B685" s="23"/>
      <c r="E685" s="23"/>
      <c r="G685" s="23"/>
      <c r="H685" s="23"/>
      <c r="J685" s="23"/>
      <c r="K685" s="23"/>
      <c r="M685" s="23"/>
      <c r="N685" s="23"/>
      <c r="P685" s="23"/>
    </row>
    <row r="686" spans="2:16" x14ac:dyDescent="0.25">
      <c r="B686" s="23"/>
      <c r="E686" s="23"/>
      <c r="G686" s="23"/>
      <c r="H686" s="23"/>
      <c r="J686" s="23"/>
      <c r="K686" s="23"/>
      <c r="M686" s="23"/>
      <c r="N686" s="23"/>
      <c r="P686" s="23"/>
    </row>
    <row r="687" spans="2:16" x14ac:dyDescent="0.25">
      <c r="B687" s="23"/>
      <c r="E687" s="23"/>
      <c r="G687" s="23"/>
      <c r="H687" s="23"/>
      <c r="J687" s="23"/>
      <c r="K687" s="23"/>
      <c r="M687" s="23"/>
      <c r="N687" s="23"/>
      <c r="P687" s="23"/>
    </row>
    <row r="688" spans="2:16" x14ac:dyDescent="0.25">
      <c r="B688" s="23"/>
      <c r="E688" s="23"/>
      <c r="G688" s="23"/>
      <c r="H688" s="23"/>
      <c r="J688" s="23"/>
      <c r="K688" s="23"/>
      <c r="M688" s="23"/>
      <c r="N688" s="23"/>
      <c r="P688" s="23"/>
    </row>
    <row r="689" spans="2:16" x14ac:dyDescent="0.25">
      <c r="B689" s="23"/>
      <c r="E689" s="23"/>
      <c r="G689" s="23"/>
      <c r="H689" s="23"/>
      <c r="J689" s="23"/>
      <c r="K689" s="23"/>
      <c r="M689" s="23"/>
      <c r="N689" s="23"/>
      <c r="P689" s="23"/>
    </row>
    <row r="690" spans="2:16" x14ac:dyDescent="0.25">
      <c r="B690" s="23"/>
      <c r="E690" s="23"/>
      <c r="G690" s="23"/>
      <c r="H690" s="23"/>
      <c r="J690" s="23"/>
      <c r="K690" s="23"/>
      <c r="M690" s="23"/>
      <c r="N690" s="23"/>
      <c r="P690" s="23"/>
    </row>
    <row r="691" spans="2:16" x14ac:dyDescent="0.25">
      <c r="B691" s="23"/>
      <c r="E691" s="23"/>
      <c r="G691" s="23"/>
      <c r="H691" s="23"/>
      <c r="J691" s="23"/>
      <c r="K691" s="23"/>
      <c r="M691" s="23"/>
      <c r="N691" s="23"/>
      <c r="P691" s="23"/>
    </row>
    <row r="692" spans="2:16" x14ac:dyDescent="0.25">
      <c r="B692" s="23"/>
      <c r="E692" s="23"/>
      <c r="G692" s="23"/>
      <c r="H692" s="23"/>
      <c r="J692" s="23"/>
      <c r="K692" s="23"/>
      <c r="M692" s="23"/>
      <c r="N692" s="23"/>
      <c r="P692" s="23"/>
    </row>
    <row r="693" spans="2:16" x14ac:dyDescent="0.25">
      <c r="B693" s="23"/>
      <c r="E693" s="23"/>
      <c r="G693" s="23"/>
      <c r="H693" s="23"/>
      <c r="J693" s="23"/>
      <c r="K693" s="23"/>
      <c r="M693" s="23"/>
      <c r="N693" s="23"/>
      <c r="P693" s="23"/>
    </row>
    <row r="694" spans="2:16" x14ac:dyDescent="0.25">
      <c r="B694" s="23"/>
      <c r="E694" s="23"/>
      <c r="G694" s="23"/>
      <c r="H694" s="23"/>
      <c r="J694" s="23"/>
      <c r="K694" s="23"/>
      <c r="M694" s="23"/>
      <c r="N694" s="23"/>
      <c r="P694" s="23"/>
    </row>
    <row r="695" spans="2:16" x14ac:dyDescent="0.25">
      <c r="B695" s="23"/>
      <c r="E695" s="23"/>
      <c r="G695" s="23"/>
      <c r="H695" s="23"/>
      <c r="J695" s="23"/>
      <c r="K695" s="23"/>
      <c r="M695" s="23"/>
      <c r="N695" s="23"/>
      <c r="P695" s="23"/>
    </row>
    <row r="696" spans="2:16" x14ac:dyDescent="0.25">
      <c r="B696" s="23"/>
      <c r="E696" s="23"/>
      <c r="G696" s="23"/>
      <c r="H696" s="23"/>
      <c r="J696" s="23"/>
      <c r="K696" s="23"/>
      <c r="M696" s="23"/>
      <c r="N696" s="23"/>
      <c r="P696" s="23"/>
    </row>
    <row r="697" spans="2:16" x14ac:dyDescent="0.25">
      <c r="B697" s="23"/>
      <c r="E697" s="23"/>
      <c r="G697" s="23"/>
      <c r="H697" s="23"/>
      <c r="J697" s="23"/>
      <c r="K697" s="23"/>
      <c r="M697" s="23"/>
      <c r="N697" s="23"/>
      <c r="P697" s="23"/>
    </row>
    <row r="698" spans="2:16" x14ac:dyDescent="0.25">
      <c r="B698" s="23"/>
      <c r="E698" s="23"/>
      <c r="G698" s="23"/>
      <c r="H698" s="23"/>
      <c r="J698" s="23"/>
      <c r="K698" s="23"/>
      <c r="M698" s="23"/>
      <c r="N698" s="23"/>
      <c r="P698" s="23"/>
    </row>
    <row r="699" spans="2:16" x14ac:dyDescent="0.25">
      <c r="B699" s="23"/>
      <c r="E699" s="23"/>
      <c r="G699" s="23"/>
      <c r="H699" s="23"/>
      <c r="J699" s="23"/>
      <c r="K699" s="23"/>
      <c r="M699" s="23"/>
      <c r="N699" s="23"/>
      <c r="P699" s="23"/>
    </row>
    <row r="700" spans="2:16" x14ac:dyDescent="0.25">
      <c r="B700" s="23"/>
      <c r="E700" s="23"/>
      <c r="G700" s="23"/>
      <c r="H700" s="23"/>
      <c r="J700" s="23"/>
      <c r="K700" s="23"/>
      <c r="M700" s="23"/>
      <c r="N700" s="23"/>
      <c r="P700" s="23"/>
    </row>
    <row r="701" spans="2:16" x14ac:dyDescent="0.25">
      <c r="B701" s="23"/>
      <c r="E701" s="23"/>
      <c r="G701" s="23"/>
      <c r="H701" s="23"/>
      <c r="J701" s="23"/>
      <c r="K701" s="23"/>
      <c r="M701" s="23"/>
      <c r="N701" s="23"/>
      <c r="P701" s="23"/>
    </row>
    <row r="702" spans="2:16" x14ac:dyDescent="0.25">
      <c r="B702" s="23"/>
      <c r="E702" s="23"/>
      <c r="G702" s="23"/>
      <c r="H702" s="23"/>
      <c r="J702" s="23"/>
      <c r="K702" s="23"/>
      <c r="M702" s="23"/>
      <c r="N702" s="23"/>
      <c r="P702" s="23"/>
    </row>
    <row r="703" spans="2:16" x14ac:dyDescent="0.25">
      <c r="B703" s="23"/>
      <c r="E703" s="23"/>
      <c r="G703" s="23"/>
      <c r="H703" s="23"/>
      <c r="J703" s="23"/>
      <c r="K703" s="23"/>
      <c r="M703" s="23"/>
      <c r="N703" s="23"/>
      <c r="P703" s="23"/>
    </row>
    <row r="704" spans="2:16" x14ac:dyDescent="0.25">
      <c r="B704" s="23"/>
      <c r="E704" s="23"/>
      <c r="G704" s="23"/>
      <c r="H704" s="23"/>
      <c r="J704" s="23"/>
      <c r="K704" s="23"/>
      <c r="M704" s="23"/>
      <c r="N704" s="23"/>
      <c r="P704" s="23"/>
    </row>
    <row r="705" spans="2:16" x14ac:dyDescent="0.25">
      <c r="B705" s="23"/>
      <c r="E705" s="23"/>
      <c r="G705" s="23"/>
      <c r="H705" s="23"/>
      <c r="J705" s="23"/>
      <c r="K705" s="23"/>
      <c r="M705" s="23"/>
      <c r="N705" s="23"/>
      <c r="P705" s="23"/>
    </row>
    <row r="706" spans="2:16" x14ac:dyDescent="0.25">
      <c r="B706" s="23"/>
      <c r="E706" s="23"/>
      <c r="G706" s="23"/>
      <c r="H706" s="23"/>
      <c r="J706" s="23"/>
      <c r="K706" s="23"/>
      <c r="M706" s="23"/>
      <c r="N706" s="23"/>
      <c r="P706" s="23"/>
    </row>
    <row r="707" spans="2:16" x14ac:dyDescent="0.25">
      <c r="B707" s="23"/>
      <c r="E707" s="23"/>
      <c r="G707" s="23"/>
      <c r="H707" s="23"/>
      <c r="J707" s="23"/>
      <c r="K707" s="23"/>
      <c r="M707" s="23"/>
      <c r="N707" s="23"/>
      <c r="P707" s="23"/>
    </row>
    <row r="708" spans="2:16" x14ac:dyDescent="0.25">
      <c r="B708" s="23"/>
      <c r="E708" s="23"/>
      <c r="G708" s="23"/>
      <c r="H708" s="23"/>
      <c r="J708" s="23"/>
      <c r="K708" s="23"/>
      <c r="M708" s="23"/>
      <c r="N708" s="23"/>
      <c r="P708" s="23"/>
    </row>
    <row r="709" spans="2:16" x14ac:dyDescent="0.25">
      <c r="B709" s="23"/>
      <c r="E709" s="23"/>
      <c r="G709" s="23"/>
      <c r="H709" s="23"/>
      <c r="J709" s="23"/>
      <c r="K709" s="23"/>
      <c r="M709" s="23"/>
      <c r="N709" s="23"/>
      <c r="P709" s="23"/>
    </row>
    <row r="710" spans="2:16" x14ac:dyDescent="0.25">
      <c r="B710" s="23"/>
      <c r="E710" s="23"/>
      <c r="G710" s="23"/>
      <c r="H710" s="23"/>
      <c r="J710" s="23"/>
      <c r="K710" s="23"/>
      <c r="M710" s="23"/>
      <c r="N710" s="23"/>
      <c r="P710" s="23"/>
    </row>
    <row r="711" spans="2:16" x14ac:dyDescent="0.25">
      <c r="B711" s="23"/>
      <c r="E711" s="23"/>
      <c r="G711" s="23"/>
      <c r="H711" s="23"/>
      <c r="J711" s="23"/>
      <c r="K711" s="23"/>
      <c r="M711" s="23"/>
      <c r="N711" s="23"/>
      <c r="P711" s="23"/>
    </row>
    <row r="712" spans="2:16" x14ac:dyDescent="0.25">
      <c r="B712" s="23"/>
      <c r="E712" s="23"/>
      <c r="G712" s="23"/>
      <c r="H712" s="23"/>
      <c r="J712" s="23"/>
      <c r="K712" s="23"/>
      <c r="M712" s="23"/>
      <c r="N712" s="23"/>
      <c r="P712" s="23"/>
    </row>
    <row r="713" spans="2:16" x14ac:dyDescent="0.25">
      <c r="B713" s="23"/>
      <c r="E713" s="23"/>
      <c r="G713" s="23"/>
      <c r="H713" s="23"/>
      <c r="J713" s="23"/>
      <c r="K713" s="23"/>
      <c r="M713" s="23"/>
      <c r="N713" s="23"/>
      <c r="P713" s="23"/>
    </row>
    <row r="714" spans="2:16" x14ac:dyDescent="0.25">
      <c r="B714" s="23"/>
      <c r="E714" s="23"/>
      <c r="G714" s="23"/>
      <c r="H714" s="23"/>
      <c r="J714" s="23"/>
      <c r="K714" s="23"/>
      <c r="M714" s="23"/>
      <c r="N714" s="23"/>
      <c r="P714" s="23"/>
    </row>
    <row r="715" spans="2:16" x14ac:dyDescent="0.25">
      <c r="B715" s="23"/>
      <c r="E715" s="23"/>
      <c r="G715" s="23"/>
      <c r="H715" s="23"/>
      <c r="J715" s="23"/>
      <c r="K715" s="23"/>
      <c r="M715" s="23"/>
      <c r="N715" s="23"/>
      <c r="P715" s="23"/>
    </row>
    <row r="716" spans="2:16" x14ac:dyDescent="0.25">
      <c r="B716" s="23"/>
      <c r="E716" s="23"/>
      <c r="G716" s="23"/>
      <c r="H716" s="23"/>
      <c r="J716" s="23"/>
      <c r="K716" s="23"/>
      <c r="M716" s="23"/>
      <c r="N716" s="23"/>
      <c r="P716" s="23"/>
    </row>
    <row r="717" spans="2:16" x14ac:dyDescent="0.25">
      <c r="B717" s="23"/>
      <c r="E717" s="23"/>
      <c r="G717" s="23"/>
      <c r="H717" s="23"/>
      <c r="J717" s="23"/>
      <c r="K717" s="23"/>
      <c r="M717" s="23"/>
      <c r="N717" s="23"/>
      <c r="P717" s="23"/>
    </row>
    <row r="718" spans="2:16" x14ac:dyDescent="0.25">
      <c r="B718" s="23"/>
      <c r="E718" s="23"/>
      <c r="G718" s="23"/>
      <c r="H718" s="23"/>
      <c r="J718" s="23"/>
      <c r="K718" s="23"/>
      <c r="M718" s="23"/>
      <c r="N718" s="23"/>
      <c r="P718" s="23"/>
    </row>
    <row r="719" spans="2:16" x14ac:dyDescent="0.25">
      <c r="B719" s="23"/>
      <c r="E719" s="23"/>
      <c r="G719" s="23"/>
      <c r="H719" s="23"/>
      <c r="J719" s="23"/>
      <c r="K719" s="23"/>
      <c r="M719" s="23"/>
      <c r="N719" s="23"/>
      <c r="P719" s="23"/>
    </row>
    <row r="720" spans="2:16" x14ac:dyDescent="0.25">
      <c r="B720" s="23"/>
      <c r="E720" s="23"/>
      <c r="G720" s="23"/>
      <c r="H720" s="23"/>
      <c r="J720" s="23"/>
      <c r="K720" s="23"/>
      <c r="M720" s="23"/>
      <c r="N720" s="23"/>
      <c r="P720" s="23"/>
    </row>
    <row r="721" spans="2:16" x14ac:dyDescent="0.25">
      <c r="B721" s="23"/>
      <c r="E721" s="23"/>
      <c r="G721" s="23"/>
      <c r="H721" s="23"/>
      <c r="J721" s="23"/>
      <c r="K721" s="23"/>
      <c r="M721" s="23"/>
      <c r="N721" s="23"/>
      <c r="P721" s="23"/>
    </row>
    <row r="722" spans="2:16" x14ac:dyDescent="0.25">
      <c r="B722" s="23"/>
      <c r="E722" s="23"/>
      <c r="G722" s="23"/>
      <c r="H722" s="23"/>
      <c r="J722" s="23"/>
      <c r="K722" s="23"/>
      <c r="M722" s="23"/>
      <c r="N722" s="23"/>
      <c r="P722" s="23"/>
    </row>
    <row r="723" spans="2:16" x14ac:dyDescent="0.25">
      <c r="B723" s="23"/>
      <c r="E723" s="23"/>
      <c r="G723" s="23"/>
      <c r="H723" s="23"/>
      <c r="J723" s="23"/>
      <c r="K723" s="23"/>
      <c r="M723" s="23"/>
      <c r="N723" s="23"/>
      <c r="P723" s="23"/>
    </row>
    <row r="724" spans="2:16" x14ac:dyDescent="0.25">
      <c r="B724" s="23"/>
      <c r="E724" s="23"/>
      <c r="G724" s="23"/>
      <c r="H724" s="23"/>
      <c r="J724" s="23"/>
      <c r="K724" s="23"/>
      <c r="M724" s="23"/>
      <c r="N724" s="23"/>
      <c r="P724" s="23"/>
    </row>
    <row r="725" spans="2:16" x14ac:dyDescent="0.25">
      <c r="B725" s="23"/>
      <c r="E725" s="23"/>
      <c r="G725" s="23"/>
      <c r="H725" s="23"/>
      <c r="J725" s="23"/>
      <c r="K725" s="23"/>
      <c r="M725" s="23"/>
      <c r="N725" s="23"/>
      <c r="P725" s="23"/>
    </row>
    <row r="726" spans="2:16" x14ac:dyDescent="0.25">
      <c r="B726" s="23"/>
      <c r="E726" s="23"/>
      <c r="G726" s="23"/>
      <c r="H726" s="23"/>
      <c r="J726" s="23"/>
      <c r="K726" s="23"/>
      <c r="M726" s="23"/>
      <c r="N726" s="23"/>
      <c r="P726" s="23"/>
    </row>
    <row r="727" spans="2:16" x14ac:dyDescent="0.25">
      <c r="B727" s="23"/>
      <c r="E727" s="23"/>
      <c r="G727" s="23"/>
      <c r="H727" s="23"/>
      <c r="J727" s="23"/>
      <c r="K727" s="23"/>
      <c r="M727" s="23"/>
      <c r="N727" s="23"/>
      <c r="P727" s="23"/>
    </row>
    <row r="728" spans="2:16" x14ac:dyDescent="0.25">
      <c r="B728" s="23"/>
      <c r="E728" s="23"/>
      <c r="G728" s="23"/>
      <c r="H728" s="23"/>
      <c r="J728" s="23"/>
      <c r="K728" s="23"/>
      <c r="M728" s="23"/>
      <c r="N728" s="23"/>
      <c r="P728" s="23"/>
    </row>
    <row r="729" spans="2:16" x14ac:dyDescent="0.25">
      <c r="B729" s="23"/>
      <c r="E729" s="23"/>
      <c r="G729" s="23"/>
      <c r="H729" s="23"/>
      <c r="J729" s="23"/>
      <c r="K729" s="23"/>
      <c r="M729" s="23"/>
      <c r="N729" s="23"/>
      <c r="P729" s="23"/>
    </row>
    <row r="730" spans="2:16" x14ac:dyDescent="0.25">
      <c r="B730" s="23"/>
      <c r="E730" s="23"/>
      <c r="G730" s="23"/>
      <c r="H730" s="23"/>
      <c r="J730" s="23"/>
      <c r="K730" s="23"/>
      <c r="M730" s="23"/>
      <c r="N730" s="23"/>
      <c r="P730" s="23"/>
    </row>
    <row r="731" spans="2:16" x14ac:dyDescent="0.25">
      <c r="B731" s="23"/>
      <c r="E731" s="23"/>
      <c r="G731" s="23"/>
      <c r="H731" s="23"/>
      <c r="J731" s="23"/>
      <c r="K731" s="23"/>
      <c r="M731" s="23"/>
      <c r="N731" s="23"/>
      <c r="P731" s="23"/>
    </row>
    <row r="732" spans="2:16" x14ac:dyDescent="0.25">
      <c r="B732" s="23"/>
      <c r="E732" s="23"/>
      <c r="G732" s="23"/>
      <c r="H732" s="23"/>
      <c r="J732" s="23"/>
      <c r="K732" s="23"/>
      <c r="M732" s="23"/>
      <c r="N732" s="23"/>
      <c r="P732" s="23"/>
    </row>
    <row r="733" spans="2:16" x14ac:dyDescent="0.25">
      <c r="B733" s="23"/>
      <c r="E733" s="23"/>
      <c r="G733" s="23"/>
      <c r="H733" s="23"/>
      <c r="J733" s="23"/>
      <c r="K733" s="23"/>
      <c r="M733" s="23"/>
      <c r="N733" s="23"/>
      <c r="P733" s="23"/>
    </row>
    <row r="734" spans="2:16" x14ac:dyDescent="0.25">
      <c r="B734" s="23"/>
      <c r="E734" s="23"/>
      <c r="G734" s="23"/>
      <c r="H734" s="23"/>
      <c r="J734" s="23"/>
      <c r="K734" s="23"/>
      <c r="M734" s="23"/>
      <c r="N734" s="23"/>
      <c r="P734" s="23"/>
    </row>
    <row r="735" spans="2:16" x14ac:dyDescent="0.25">
      <c r="B735" s="23"/>
      <c r="E735" s="23"/>
      <c r="G735" s="23"/>
      <c r="H735" s="23"/>
      <c r="J735" s="23"/>
      <c r="K735" s="23"/>
      <c r="M735" s="23"/>
      <c r="N735" s="23"/>
      <c r="P735" s="23"/>
    </row>
    <row r="736" spans="2:16" x14ac:dyDescent="0.25">
      <c r="B736" s="23"/>
      <c r="E736" s="23"/>
      <c r="G736" s="23"/>
      <c r="H736" s="23"/>
      <c r="J736" s="23"/>
      <c r="K736" s="23"/>
      <c r="M736" s="23"/>
      <c r="N736" s="23"/>
      <c r="P736" s="23"/>
    </row>
    <row r="737" spans="2:16" x14ac:dyDescent="0.25">
      <c r="B737" s="23"/>
      <c r="E737" s="23"/>
      <c r="G737" s="23"/>
      <c r="H737" s="23"/>
      <c r="J737" s="23"/>
      <c r="K737" s="23"/>
      <c r="M737" s="23"/>
      <c r="N737" s="23"/>
      <c r="P737" s="23"/>
    </row>
    <row r="738" spans="2:16" x14ac:dyDescent="0.25">
      <c r="B738" s="23"/>
      <c r="E738" s="23"/>
      <c r="G738" s="23"/>
      <c r="H738" s="23"/>
      <c r="J738" s="23"/>
      <c r="K738" s="23"/>
      <c r="M738" s="23"/>
      <c r="N738" s="23"/>
      <c r="P738" s="23"/>
    </row>
    <row r="739" spans="2:16" x14ac:dyDescent="0.25">
      <c r="B739" s="23"/>
      <c r="E739" s="23"/>
      <c r="G739" s="23"/>
      <c r="H739" s="23"/>
      <c r="J739" s="23"/>
      <c r="K739" s="23"/>
      <c r="M739" s="23"/>
      <c r="N739" s="23"/>
      <c r="P739" s="23"/>
    </row>
    <row r="740" spans="2:16" x14ac:dyDescent="0.25">
      <c r="B740" s="23"/>
      <c r="E740" s="23"/>
      <c r="G740" s="23"/>
      <c r="H740" s="23"/>
      <c r="J740" s="23"/>
      <c r="K740" s="23"/>
      <c r="M740" s="23"/>
      <c r="N740" s="23"/>
      <c r="P740" s="23"/>
    </row>
    <row r="741" spans="2:16" x14ac:dyDescent="0.25">
      <c r="B741" s="23"/>
      <c r="E741" s="23"/>
      <c r="G741" s="23"/>
      <c r="H741" s="23"/>
      <c r="J741" s="23"/>
      <c r="K741" s="23"/>
      <c r="M741" s="23"/>
      <c r="N741" s="23"/>
      <c r="P741" s="23"/>
    </row>
    <row r="742" spans="2:16" x14ac:dyDescent="0.25">
      <c r="B742" s="23"/>
      <c r="E742" s="23"/>
      <c r="G742" s="23"/>
      <c r="H742" s="23"/>
      <c r="J742" s="23"/>
      <c r="K742" s="23"/>
      <c r="M742" s="23"/>
      <c r="N742" s="23"/>
      <c r="P742" s="23"/>
    </row>
    <row r="743" spans="2:16" x14ac:dyDescent="0.25">
      <c r="B743" s="23"/>
      <c r="E743" s="23"/>
      <c r="G743" s="23"/>
      <c r="H743" s="23"/>
      <c r="J743" s="23"/>
      <c r="K743" s="23"/>
      <c r="M743" s="23"/>
      <c r="N743" s="23"/>
      <c r="P743" s="23"/>
    </row>
    <row r="744" spans="2:16" x14ac:dyDescent="0.25">
      <c r="B744" s="23"/>
      <c r="E744" s="23"/>
      <c r="G744" s="23"/>
      <c r="H744" s="23"/>
      <c r="J744" s="23"/>
      <c r="K744" s="23"/>
      <c r="M744" s="23"/>
      <c r="N744" s="23"/>
      <c r="P744" s="23"/>
    </row>
    <row r="745" spans="2:16" x14ac:dyDescent="0.25">
      <c r="B745" s="23"/>
      <c r="E745" s="23"/>
      <c r="G745" s="23"/>
      <c r="H745" s="23"/>
      <c r="J745" s="23"/>
      <c r="K745" s="23"/>
      <c r="M745" s="23"/>
      <c r="N745" s="23"/>
      <c r="P745" s="23"/>
    </row>
    <row r="746" spans="2:16" x14ac:dyDescent="0.25">
      <c r="B746" s="23"/>
      <c r="E746" s="23"/>
      <c r="G746" s="23"/>
      <c r="H746" s="23"/>
      <c r="J746" s="23"/>
      <c r="K746" s="23"/>
      <c r="M746" s="23"/>
      <c r="N746" s="23"/>
      <c r="P746" s="23"/>
    </row>
    <row r="747" spans="2:16" x14ac:dyDescent="0.25">
      <c r="B747" s="23"/>
      <c r="E747" s="23"/>
      <c r="G747" s="23"/>
      <c r="H747" s="23"/>
      <c r="J747" s="23"/>
      <c r="K747" s="23"/>
      <c r="M747" s="23"/>
      <c r="N747" s="23"/>
      <c r="P747" s="23"/>
    </row>
    <row r="748" spans="2:16" x14ac:dyDescent="0.25">
      <c r="B748" s="23"/>
      <c r="E748" s="23"/>
      <c r="G748" s="23"/>
      <c r="H748" s="23"/>
      <c r="J748" s="23"/>
      <c r="K748" s="23"/>
      <c r="M748" s="23"/>
      <c r="N748" s="23"/>
      <c r="P748" s="23"/>
    </row>
    <row r="749" spans="2:16" x14ac:dyDescent="0.25">
      <c r="B749" s="23"/>
      <c r="E749" s="23"/>
      <c r="G749" s="23"/>
      <c r="H749" s="23"/>
      <c r="J749" s="23"/>
      <c r="K749" s="23"/>
      <c r="M749" s="23"/>
      <c r="N749" s="23"/>
      <c r="P749" s="23"/>
    </row>
    <row r="750" spans="2:16" x14ac:dyDescent="0.25">
      <c r="B750" s="23"/>
      <c r="E750" s="23"/>
      <c r="G750" s="23"/>
      <c r="H750" s="23"/>
      <c r="J750" s="23"/>
      <c r="K750" s="23"/>
      <c r="M750" s="23"/>
      <c r="N750" s="23"/>
      <c r="P750" s="23"/>
    </row>
    <row r="751" spans="2:16" x14ac:dyDescent="0.25">
      <c r="B751" s="23"/>
      <c r="E751" s="23"/>
      <c r="G751" s="23"/>
      <c r="H751" s="23"/>
      <c r="J751" s="23"/>
      <c r="K751" s="23"/>
      <c r="M751" s="23"/>
      <c r="N751" s="23"/>
      <c r="P751" s="23"/>
    </row>
    <row r="752" spans="2:16" x14ac:dyDescent="0.25">
      <c r="B752" s="23"/>
      <c r="E752" s="23"/>
      <c r="G752" s="23"/>
      <c r="H752" s="23"/>
      <c r="J752" s="23"/>
      <c r="K752" s="23"/>
      <c r="M752" s="23"/>
      <c r="N752" s="23"/>
      <c r="P752" s="23"/>
    </row>
    <row r="753" spans="2:16" x14ac:dyDescent="0.25">
      <c r="B753" s="23"/>
      <c r="E753" s="23"/>
      <c r="G753" s="23"/>
      <c r="H753" s="23"/>
      <c r="J753" s="23"/>
      <c r="K753" s="23"/>
      <c r="M753" s="23"/>
      <c r="N753" s="23"/>
      <c r="P753" s="23"/>
    </row>
    <row r="754" spans="2:16" x14ac:dyDescent="0.25">
      <c r="B754" s="23"/>
      <c r="E754" s="23"/>
      <c r="G754" s="23"/>
      <c r="H754" s="23"/>
      <c r="J754" s="23"/>
      <c r="K754" s="23"/>
      <c r="M754" s="23"/>
      <c r="N754" s="23"/>
      <c r="P754" s="23"/>
    </row>
    <row r="755" spans="2:16" x14ac:dyDescent="0.25">
      <c r="B755" s="23"/>
      <c r="E755" s="23"/>
      <c r="G755" s="23"/>
      <c r="H755" s="23"/>
      <c r="J755" s="23"/>
      <c r="K755" s="23"/>
      <c r="M755" s="23"/>
      <c r="N755" s="23"/>
      <c r="P755" s="23"/>
    </row>
    <row r="756" spans="2:16" x14ac:dyDescent="0.25">
      <c r="B756" s="23"/>
      <c r="E756" s="23"/>
      <c r="G756" s="23"/>
      <c r="H756" s="23"/>
      <c r="J756" s="23"/>
      <c r="K756" s="23"/>
      <c r="M756" s="23"/>
      <c r="N756" s="23"/>
      <c r="P756" s="23"/>
    </row>
    <row r="757" spans="2:16" x14ac:dyDescent="0.25">
      <c r="B757" s="23"/>
      <c r="E757" s="23"/>
      <c r="G757" s="23"/>
      <c r="H757" s="23"/>
      <c r="J757" s="23"/>
      <c r="K757" s="23"/>
      <c r="M757" s="23"/>
      <c r="N757" s="23"/>
      <c r="P757" s="23"/>
    </row>
    <row r="758" spans="2:16" x14ac:dyDescent="0.25">
      <c r="B758" s="23"/>
      <c r="E758" s="23"/>
      <c r="G758" s="23"/>
      <c r="H758" s="23"/>
      <c r="J758" s="23"/>
      <c r="K758" s="23"/>
      <c r="M758" s="23"/>
      <c r="N758" s="23"/>
      <c r="P758" s="23"/>
    </row>
    <row r="759" spans="2:16" x14ac:dyDescent="0.25">
      <c r="B759" s="23"/>
      <c r="E759" s="23"/>
      <c r="G759" s="23"/>
      <c r="H759" s="23"/>
      <c r="J759" s="23"/>
      <c r="K759" s="23"/>
      <c r="M759" s="23"/>
      <c r="N759" s="23"/>
      <c r="P759" s="23"/>
    </row>
    <row r="760" spans="2:16" x14ac:dyDescent="0.25">
      <c r="B760" s="23"/>
      <c r="E760" s="23"/>
      <c r="G760" s="23"/>
      <c r="H760" s="23"/>
      <c r="J760" s="23"/>
      <c r="K760" s="23"/>
      <c r="M760" s="23"/>
      <c r="N760" s="23"/>
      <c r="P760" s="23"/>
    </row>
    <row r="761" spans="2:16" x14ac:dyDescent="0.25">
      <c r="B761" s="23"/>
      <c r="E761" s="23"/>
      <c r="G761" s="23"/>
      <c r="H761" s="23"/>
      <c r="J761" s="23"/>
      <c r="K761" s="23"/>
      <c r="M761" s="23"/>
      <c r="N761" s="23"/>
      <c r="P761" s="23"/>
    </row>
    <row r="762" spans="2:16" x14ac:dyDescent="0.25">
      <c r="B762" s="23"/>
      <c r="E762" s="23"/>
      <c r="G762" s="23"/>
      <c r="H762" s="23"/>
      <c r="J762" s="23"/>
      <c r="K762" s="23"/>
      <c r="M762" s="23"/>
      <c r="N762" s="23"/>
      <c r="P762" s="23"/>
    </row>
    <row r="763" spans="2:16" x14ac:dyDescent="0.25">
      <c r="B763" s="23"/>
      <c r="E763" s="23"/>
      <c r="G763" s="23"/>
      <c r="H763" s="23"/>
      <c r="J763" s="23"/>
      <c r="K763" s="23"/>
      <c r="M763" s="23"/>
      <c r="N763" s="23"/>
      <c r="P763" s="23"/>
    </row>
    <row r="764" spans="2:16" x14ac:dyDescent="0.25">
      <c r="B764" s="23"/>
      <c r="E764" s="23"/>
      <c r="G764" s="23"/>
      <c r="H764" s="23"/>
      <c r="J764" s="23"/>
      <c r="K764" s="23"/>
      <c r="M764" s="23"/>
      <c r="N764" s="23"/>
      <c r="P764" s="23"/>
    </row>
    <row r="765" spans="2:16" x14ac:dyDescent="0.25">
      <c r="B765" s="23"/>
      <c r="E765" s="23"/>
      <c r="G765" s="23"/>
      <c r="H765" s="23"/>
      <c r="J765" s="23"/>
      <c r="K765" s="23"/>
      <c r="M765" s="23"/>
      <c r="N765" s="23"/>
      <c r="P765" s="23"/>
    </row>
    <row r="766" spans="2:16" x14ac:dyDescent="0.25">
      <c r="B766" s="23"/>
      <c r="E766" s="23"/>
      <c r="G766" s="23"/>
      <c r="H766" s="23"/>
      <c r="J766" s="23"/>
      <c r="K766" s="23"/>
      <c r="M766" s="23"/>
      <c r="N766" s="23"/>
      <c r="P766" s="23"/>
    </row>
    <row r="767" spans="2:16" x14ac:dyDescent="0.25">
      <c r="B767" s="23"/>
      <c r="E767" s="23"/>
      <c r="G767" s="23"/>
      <c r="H767" s="23"/>
      <c r="J767" s="23"/>
      <c r="K767" s="23"/>
      <c r="M767" s="23"/>
      <c r="N767" s="23"/>
      <c r="P767" s="23"/>
    </row>
    <row r="768" spans="2:16" x14ac:dyDescent="0.25">
      <c r="B768" s="23"/>
      <c r="E768" s="23"/>
      <c r="G768" s="23"/>
      <c r="H768" s="23"/>
      <c r="J768" s="23"/>
      <c r="K768" s="23"/>
      <c r="M768" s="23"/>
      <c r="N768" s="23"/>
      <c r="P768" s="23"/>
    </row>
    <row r="769" spans="2:16" x14ac:dyDescent="0.25">
      <c r="B769" s="23"/>
      <c r="E769" s="23"/>
      <c r="G769" s="23"/>
      <c r="H769" s="23"/>
      <c r="J769" s="23"/>
      <c r="K769" s="23"/>
      <c r="M769" s="23"/>
      <c r="N769" s="23"/>
      <c r="P769" s="23"/>
    </row>
    <row r="770" spans="2:16" x14ac:dyDescent="0.25">
      <c r="B770" s="23"/>
      <c r="E770" s="23"/>
      <c r="G770" s="23"/>
      <c r="H770" s="23"/>
      <c r="J770" s="23"/>
      <c r="K770" s="23"/>
      <c r="M770" s="23"/>
      <c r="N770" s="23"/>
      <c r="P770" s="23"/>
    </row>
    <row r="771" spans="2:16" x14ac:dyDescent="0.25">
      <c r="B771" s="23"/>
      <c r="E771" s="23"/>
      <c r="G771" s="23"/>
      <c r="H771" s="23"/>
      <c r="J771" s="23"/>
      <c r="K771" s="23"/>
      <c r="M771" s="23"/>
      <c r="N771" s="23"/>
      <c r="P771" s="23"/>
    </row>
    <row r="772" spans="2:16" x14ac:dyDescent="0.25">
      <c r="B772" s="23"/>
      <c r="E772" s="23"/>
      <c r="G772" s="23"/>
      <c r="H772" s="23"/>
      <c r="J772" s="23"/>
      <c r="K772" s="23"/>
      <c r="M772" s="23"/>
      <c r="N772" s="23"/>
      <c r="P772" s="23"/>
    </row>
    <row r="773" spans="2:16" x14ac:dyDescent="0.25">
      <c r="B773" s="23"/>
      <c r="E773" s="23"/>
      <c r="G773" s="23"/>
      <c r="H773" s="23"/>
      <c r="J773" s="23"/>
      <c r="K773" s="23"/>
      <c r="M773" s="23"/>
      <c r="N773" s="23"/>
      <c r="P773" s="23"/>
    </row>
    <row r="774" spans="2:16" x14ac:dyDescent="0.25">
      <c r="B774" s="23"/>
      <c r="E774" s="23"/>
      <c r="G774" s="23"/>
      <c r="H774" s="23"/>
      <c r="J774" s="23"/>
      <c r="K774" s="23"/>
      <c r="M774" s="23"/>
      <c r="N774" s="23"/>
      <c r="P774" s="23"/>
    </row>
    <row r="775" spans="2:16" x14ac:dyDescent="0.25">
      <c r="B775" s="23"/>
      <c r="E775" s="23"/>
      <c r="G775" s="23"/>
      <c r="H775" s="23"/>
      <c r="J775" s="23"/>
      <c r="K775" s="23"/>
      <c r="M775" s="23"/>
      <c r="N775" s="23"/>
      <c r="P775" s="23"/>
    </row>
    <row r="776" spans="2:16" x14ac:dyDescent="0.25">
      <c r="B776" s="23"/>
      <c r="E776" s="23"/>
      <c r="G776" s="23"/>
      <c r="H776" s="23"/>
      <c r="J776" s="23"/>
      <c r="K776" s="23"/>
      <c r="M776" s="23"/>
      <c r="N776" s="23"/>
      <c r="P776" s="23"/>
    </row>
    <row r="777" spans="2:16" x14ac:dyDescent="0.25">
      <c r="B777" s="23"/>
      <c r="E777" s="23"/>
      <c r="G777" s="23"/>
      <c r="H777" s="23"/>
      <c r="J777" s="23"/>
      <c r="K777" s="23"/>
      <c r="M777" s="23"/>
      <c r="N777" s="23"/>
      <c r="P777" s="23"/>
    </row>
    <row r="778" spans="2:16" x14ac:dyDescent="0.25">
      <c r="B778" s="23"/>
      <c r="E778" s="23"/>
      <c r="G778" s="23"/>
      <c r="H778" s="23"/>
      <c r="J778" s="23"/>
      <c r="K778" s="23"/>
      <c r="M778" s="23"/>
      <c r="N778" s="23"/>
      <c r="P778" s="23"/>
    </row>
    <row r="779" spans="2:16" x14ac:dyDescent="0.25">
      <c r="B779" s="23"/>
      <c r="E779" s="23"/>
      <c r="G779" s="23"/>
      <c r="H779" s="23"/>
      <c r="J779" s="23"/>
      <c r="K779" s="23"/>
      <c r="M779" s="23"/>
      <c r="N779" s="23"/>
      <c r="P779" s="23"/>
    </row>
    <row r="780" spans="2:16" x14ac:dyDescent="0.25">
      <c r="B780" s="23"/>
      <c r="E780" s="23"/>
      <c r="G780" s="23"/>
      <c r="H780" s="23"/>
      <c r="J780" s="23"/>
      <c r="K780" s="23"/>
      <c r="M780" s="23"/>
      <c r="N780" s="23"/>
      <c r="P780" s="23"/>
    </row>
    <row r="781" spans="2:16" x14ac:dyDescent="0.25">
      <c r="B781" s="23"/>
      <c r="E781" s="23"/>
      <c r="G781" s="23"/>
      <c r="H781" s="23"/>
      <c r="J781" s="23"/>
      <c r="K781" s="23"/>
      <c r="M781" s="23"/>
      <c r="N781" s="23"/>
      <c r="P781" s="23"/>
    </row>
    <row r="782" spans="2:16" x14ac:dyDescent="0.25">
      <c r="B782" s="23"/>
      <c r="E782" s="23"/>
      <c r="G782" s="23"/>
      <c r="H782" s="23"/>
      <c r="J782" s="23"/>
      <c r="K782" s="23"/>
      <c r="M782" s="23"/>
      <c r="N782" s="23"/>
      <c r="P782" s="23"/>
    </row>
    <row r="783" spans="2:16" x14ac:dyDescent="0.25">
      <c r="B783" s="23"/>
      <c r="E783" s="23"/>
      <c r="G783" s="23"/>
      <c r="H783" s="23"/>
      <c r="J783" s="23"/>
      <c r="K783" s="23"/>
      <c r="M783" s="23"/>
      <c r="N783" s="23"/>
      <c r="P783" s="23"/>
    </row>
    <row r="784" spans="2:16" x14ac:dyDescent="0.25">
      <c r="B784" s="23"/>
      <c r="E784" s="23"/>
      <c r="G784" s="23"/>
      <c r="H784" s="23"/>
      <c r="J784" s="23"/>
      <c r="K784" s="23"/>
      <c r="M784" s="23"/>
      <c r="N784" s="23"/>
      <c r="P784" s="23"/>
    </row>
    <row r="785" spans="2:16" x14ac:dyDescent="0.25">
      <c r="B785" s="23"/>
      <c r="E785" s="23"/>
      <c r="G785" s="23"/>
      <c r="H785" s="23"/>
      <c r="J785" s="23"/>
      <c r="K785" s="23"/>
      <c r="M785" s="23"/>
      <c r="N785" s="23"/>
      <c r="P785" s="23"/>
    </row>
    <row r="786" spans="2:16" x14ac:dyDescent="0.25">
      <c r="B786" s="23"/>
      <c r="E786" s="23"/>
      <c r="G786" s="23"/>
      <c r="H786" s="23"/>
      <c r="J786" s="23"/>
      <c r="K786" s="23"/>
      <c r="M786" s="23"/>
      <c r="N786" s="23"/>
      <c r="P786" s="23"/>
    </row>
    <row r="787" spans="2:16" x14ac:dyDescent="0.25">
      <c r="B787" s="23"/>
      <c r="E787" s="23"/>
      <c r="G787" s="23"/>
      <c r="H787" s="23"/>
      <c r="J787" s="23"/>
      <c r="K787" s="23"/>
      <c r="M787" s="23"/>
      <c r="N787" s="23"/>
      <c r="P787" s="23"/>
    </row>
    <row r="788" spans="2:16" x14ac:dyDescent="0.25">
      <c r="B788" s="23"/>
      <c r="E788" s="23"/>
      <c r="G788" s="23"/>
      <c r="H788" s="23"/>
      <c r="J788" s="23"/>
      <c r="K788" s="23"/>
      <c r="M788" s="23"/>
      <c r="N788" s="23"/>
      <c r="P788" s="23"/>
    </row>
    <row r="789" spans="2:16" x14ac:dyDescent="0.25">
      <c r="B789" s="23"/>
      <c r="E789" s="23"/>
      <c r="G789" s="23"/>
      <c r="H789" s="23"/>
      <c r="J789" s="23"/>
      <c r="K789" s="23"/>
      <c r="M789" s="23"/>
      <c r="N789" s="23"/>
      <c r="P789" s="23"/>
    </row>
    <row r="790" spans="2:16" x14ac:dyDescent="0.25">
      <c r="B790" s="23"/>
      <c r="E790" s="23"/>
      <c r="G790" s="23"/>
      <c r="H790" s="23"/>
      <c r="J790" s="23"/>
      <c r="K790" s="23"/>
      <c r="M790" s="23"/>
      <c r="N790" s="23"/>
      <c r="P790" s="23"/>
    </row>
    <row r="791" spans="2:16" x14ac:dyDescent="0.25">
      <c r="B791" s="23"/>
      <c r="E791" s="23"/>
      <c r="G791" s="23"/>
      <c r="H791" s="23"/>
      <c r="J791" s="23"/>
      <c r="K791" s="23"/>
      <c r="M791" s="23"/>
      <c r="N791" s="23"/>
      <c r="P791" s="23"/>
    </row>
    <row r="792" spans="2:16" x14ac:dyDescent="0.25">
      <c r="B792" s="23"/>
      <c r="E792" s="23"/>
      <c r="G792" s="23"/>
      <c r="H792" s="23"/>
      <c r="J792" s="23"/>
      <c r="K792" s="23"/>
      <c r="M792" s="23"/>
      <c r="N792" s="23"/>
      <c r="P792" s="23"/>
    </row>
    <row r="793" spans="2:16" x14ac:dyDescent="0.25">
      <c r="B793" s="23"/>
      <c r="E793" s="23"/>
      <c r="G793" s="23"/>
      <c r="H793" s="23"/>
      <c r="J793" s="23"/>
      <c r="K793" s="23"/>
      <c r="M793" s="23"/>
      <c r="N793" s="23"/>
      <c r="P793" s="23"/>
    </row>
    <row r="794" spans="2:16" x14ac:dyDescent="0.25">
      <c r="B794" s="23"/>
      <c r="E794" s="23"/>
      <c r="G794" s="23"/>
      <c r="H794" s="23"/>
      <c r="J794" s="23"/>
      <c r="K794" s="23"/>
      <c r="M794" s="23"/>
      <c r="N794" s="23"/>
      <c r="P794" s="23"/>
    </row>
    <row r="795" spans="2:16" x14ac:dyDescent="0.25">
      <c r="B795" s="23"/>
      <c r="E795" s="23"/>
      <c r="G795" s="23"/>
      <c r="H795" s="23"/>
      <c r="J795" s="23"/>
      <c r="K795" s="23"/>
      <c r="M795" s="23"/>
      <c r="N795" s="23"/>
      <c r="P795" s="23"/>
    </row>
    <row r="796" spans="2:16" x14ac:dyDescent="0.25">
      <c r="B796" s="23"/>
      <c r="E796" s="23"/>
      <c r="G796" s="23"/>
      <c r="H796" s="23"/>
      <c r="J796" s="23"/>
      <c r="K796" s="23"/>
      <c r="M796" s="23"/>
      <c r="N796" s="23"/>
      <c r="P796" s="23"/>
    </row>
    <row r="797" spans="2:16" x14ac:dyDescent="0.25">
      <c r="B797" s="23"/>
      <c r="E797" s="23"/>
      <c r="G797" s="23"/>
      <c r="H797" s="23"/>
      <c r="J797" s="23"/>
      <c r="K797" s="23"/>
      <c r="M797" s="23"/>
      <c r="N797" s="23"/>
      <c r="P797" s="23"/>
    </row>
    <row r="798" spans="2:16" x14ac:dyDescent="0.25">
      <c r="B798" s="23"/>
      <c r="E798" s="23"/>
      <c r="G798" s="23"/>
      <c r="H798" s="23"/>
      <c r="J798" s="23"/>
      <c r="K798" s="23"/>
      <c r="M798" s="23"/>
      <c r="N798" s="23"/>
      <c r="P798" s="23"/>
    </row>
    <row r="799" spans="2:16" x14ac:dyDescent="0.25">
      <c r="B799" s="23"/>
      <c r="E799" s="23"/>
      <c r="G799" s="23"/>
      <c r="H799" s="23"/>
      <c r="J799" s="23"/>
      <c r="K799" s="23"/>
      <c r="M799" s="23"/>
      <c r="N799" s="23"/>
      <c r="P799" s="23"/>
    </row>
    <row r="800" spans="2:16" x14ac:dyDescent="0.25">
      <c r="B800" s="23"/>
      <c r="E800" s="23"/>
      <c r="G800" s="23"/>
      <c r="H800" s="23"/>
      <c r="J800" s="23"/>
      <c r="K800" s="23"/>
      <c r="M800" s="23"/>
      <c r="N800" s="23"/>
      <c r="P800" s="23"/>
    </row>
    <row r="801" spans="2:16" x14ac:dyDescent="0.25">
      <c r="B801" s="23"/>
      <c r="E801" s="23"/>
      <c r="G801" s="23"/>
      <c r="H801" s="23"/>
      <c r="J801" s="23"/>
      <c r="K801" s="23"/>
      <c r="M801" s="23"/>
      <c r="N801" s="23"/>
      <c r="P801" s="23"/>
    </row>
    <row r="802" spans="2:16" x14ac:dyDescent="0.25">
      <c r="B802" s="23"/>
      <c r="E802" s="23"/>
      <c r="G802" s="23"/>
      <c r="H802" s="23"/>
      <c r="J802" s="23"/>
      <c r="K802" s="23"/>
      <c r="M802" s="23"/>
      <c r="N802" s="23"/>
      <c r="P802" s="23"/>
    </row>
    <row r="803" spans="2:16" x14ac:dyDescent="0.25">
      <c r="B803" s="23"/>
      <c r="E803" s="23"/>
      <c r="G803" s="23"/>
      <c r="H803" s="23"/>
      <c r="J803" s="23"/>
      <c r="K803" s="23"/>
      <c r="M803" s="23"/>
      <c r="N803" s="23"/>
      <c r="P803" s="23"/>
    </row>
    <row r="804" spans="2:16" x14ac:dyDescent="0.25">
      <c r="B804" s="23"/>
      <c r="E804" s="23"/>
      <c r="G804" s="23"/>
      <c r="H804" s="23"/>
      <c r="J804" s="23"/>
      <c r="K804" s="23"/>
      <c r="M804" s="23"/>
      <c r="N804" s="23"/>
      <c r="P804" s="23"/>
    </row>
    <row r="805" spans="2:16" x14ac:dyDescent="0.25">
      <c r="B805" s="23"/>
      <c r="E805" s="23"/>
      <c r="G805" s="23"/>
      <c r="H805" s="23"/>
      <c r="J805" s="23"/>
      <c r="K805" s="23"/>
      <c r="M805" s="23"/>
      <c r="N805" s="23"/>
      <c r="P805" s="23"/>
    </row>
    <row r="806" spans="2:16" x14ac:dyDescent="0.25">
      <c r="B806" s="23"/>
      <c r="E806" s="23"/>
      <c r="G806" s="23"/>
      <c r="H806" s="23"/>
      <c r="J806" s="23"/>
      <c r="K806" s="23"/>
      <c r="M806" s="23"/>
      <c r="N806" s="23"/>
      <c r="P806" s="23"/>
    </row>
    <row r="807" spans="2:16" x14ac:dyDescent="0.25">
      <c r="B807" s="23"/>
      <c r="E807" s="23"/>
      <c r="G807" s="23"/>
      <c r="H807" s="23"/>
      <c r="J807" s="23"/>
      <c r="K807" s="23"/>
      <c r="M807" s="23"/>
      <c r="N807" s="23"/>
      <c r="P807" s="23"/>
    </row>
    <row r="808" spans="2:16" x14ac:dyDescent="0.25">
      <c r="B808" s="23"/>
      <c r="E808" s="23"/>
      <c r="G808" s="23"/>
      <c r="H808" s="23"/>
      <c r="J808" s="23"/>
      <c r="K808" s="23"/>
      <c r="M808" s="23"/>
      <c r="N808" s="23"/>
      <c r="P808" s="23"/>
    </row>
    <row r="809" spans="2:16" x14ac:dyDescent="0.25">
      <c r="B809" s="23"/>
      <c r="E809" s="23"/>
      <c r="G809" s="23"/>
      <c r="H809" s="23"/>
      <c r="J809" s="23"/>
      <c r="K809" s="23"/>
      <c r="M809" s="23"/>
      <c r="N809" s="23"/>
      <c r="P809" s="23"/>
    </row>
    <row r="810" spans="2:16" x14ac:dyDescent="0.25">
      <c r="B810" s="23"/>
      <c r="E810" s="23"/>
      <c r="G810" s="23"/>
      <c r="H810" s="23"/>
      <c r="J810" s="23"/>
      <c r="K810" s="23"/>
      <c r="M810" s="23"/>
      <c r="N810" s="23"/>
      <c r="P810" s="23"/>
    </row>
    <row r="811" spans="2:16" x14ac:dyDescent="0.25">
      <c r="B811" s="23"/>
      <c r="E811" s="23"/>
      <c r="G811" s="23"/>
      <c r="H811" s="23"/>
      <c r="J811" s="23"/>
      <c r="K811" s="23"/>
      <c r="M811" s="23"/>
      <c r="N811" s="23"/>
      <c r="P811" s="23"/>
    </row>
    <row r="812" spans="2:16" x14ac:dyDescent="0.25">
      <c r="B812" s="23"/>
      <c r="E812" s="23"/>
      <c r="G812" s="23"/>
      <c r="H812" s="23"/>
      <c r="J812" s="23"/>
      <c r="K812" s="23"/>
      <c r="M812" s="23"/>
      <c r="N812" s="23"/>
      <c r="P812" s="23"/>
    </row>
    <row r="813" spans="2:16" x14ac:dyDescent="0.25">
      <c r="B813" s="23"/>
      <c r="E813" s="23"/>
      <c r="G813" s="23"/>
      <c r="H813" s="23"/>
      <c r="J813" s="23"/>
      <c r="K813" s="23"/>
      <c r="M813" s="23"/>
      <c r="N813" s="23"/>
      <c r="P813" s="23"/>
    </row>
    <row r="814" spans="2:16" x14ac:dyDescent="0.25">
      <c r="B814" s="23"/>
      <c r="E814" s="23"/>
      <c r="G814" s="23"/>
      <c r="H814" s="23"/>
      <c r="J814" s="23"/>
      <c r="K814" s="23"/>
      <c r="M814" s="23"/>
      <c r="N814" s="23"/>
      <c r="P814" s="23"/>
    </row>
    <row r="815" spans="2:16" x14ac:dyDescent="0.25">
      <c r="B815" s="23"/>
      <c r="E815" s="23"/>
      <c r="G815" s="23"/>
      <c r="H815" s="23"/>
      <c r="J815" s="23"/>
      <c r="K815" s="23"/>
      <c r="M815" s="23"/>
      <c r="N815" s="23"/>
      <c r="P815" s="23"/>
    </row>
    <row r="816" spans="2:16" x14ac:dyDescent="0.25">
      <c r="B816" s="23"/>
      <c r="E816" s="23"/>
      <c r="G816" s="23"/>
      <c r="H816" s="23"/>
      <c r="J816" s="23"/>
      <c r="K816" s="23"/>
      <c r="M816" s="23"/>
      <c r="N816" s="23"/>
      <c r="P816" s="23"/>
    </row>
    <row r="817" spans="2:16" x14ac:dyDescent="0.25">
      <c r="B817" s="23"/>
      <c r="E817" s="23"/>
      <c r="G817" s="23"/>
      <c r="H817" s="23"/>
      <c r="J817" s="23"/>
      <c r="K817" s="23"/>
      <c r="M817" s="23"/>
      <c r="N817" s="23"/>
      <c r="P817" s="23"/>
    </row>
    <row r="818" spans="2:16" x14ac:dyDescent="0.25">
      <c r="B818" s="23"/>
      <c r="E818" s="23"/>
      <c r="G818" s="23"/>
      <c r="H818" s="23"/>
      <c r="J818" s="23"/>
      <c r="K818" s="23"/>
      <c r="M818" s="23"/>
      <c r="N818" s="23"/>
      <c r="P818" s="23"/>
    </row>
    <row r="819" spans="2:16" x14ac:dyDescent="0.25">
      <c r="B819" s="23"/>
      <c r="E819" s="23"/>
      <c r="G819" s="23"/>
      <c r="H819" s="23"/>
      <c r="J819" s="23"/>
      <c r="K819" s="23"/>
      <c r="M819" s="23"/>
      <c r="N819" s="23"/>
      <c r="P819" s="23"/>
    </row>
    <row r="820" spans="2:16" x14ac:dyDescent="0.25">
      <c r="B820" s="23"/>
      <c r="E820" s="23"/>
      <c r="G820" s="23"/>
      <c r="H820" s="23"/>
      <c r="J820" s="23"/>
      <c r="K820" s="23"/>
      <c r="M820" s="23"/>
      <c r="N820" s="23"/>
      <c r="P820" s="23"/>
    </row>
    <row r="821" spans="2:16" x14ac:dyDescent="0.25">
      <c r="B821" s="23"/>
      <c r="E821" s="23"/>
      <c r="G821" s="23"/>
      <c r="H821" s="23"/>
      <c r="J821" s="23"/>
      <c r="K821" s="23"/>
      <c r="M821" s="23"/>
      <c r="N821" s="23"/>
      <c r="P821" s="23"/>
    </row>
    <row r="822" spans="2:16" x14ac:dyDescent="0.25">
      <c r="B822" s="23"/>
      <c r="E822" s="23"/>
      <c r="G822" s="23"/>
      <c r="H822" s="23"/>
      <c r="J822" s="23"/>
      <c r="K822" s="23"/>
      <c r="M822" s="23"/>
      <c r="N822" s="23"/>
      <c r="P822" s="23"/>
    </row>
    <row r="823" spans="2:16" x14ac:dyDescent="0.25">
      <c r="B823" s="23"/>
      <c r="E823" s="23"/>
      <c r="G823" s="23"/>
      <c r="H823" s="23"/>
      <c r="J823" s="23"/>
      <c r="K823" s="23"/>
      <c r="M823" s="23"/>
      <c r="N823" s="23"/>
      <c r="P823" s="23"/>
    </row>
    <row r="824" spans="2:16" x14ac:dyDescent="0.25">
      <c r="B824" s="23"/>
      <c r="E824" s="23"/>
      <c r="G824" s="23"/>
      <c r="H824" s="23"/>
      <c r="J824" s="23"/>
      <c r="K824" s="23"/>
      <c r="M824" s="23"/>
      <c r="N824" s="23"/>
      <c r="P824" s="23"/>
    </row>
    <row r="825" spans="2:16" x14ac:dyDescent="0.25">
      <c r="B825" s="23"/>
      <c r="E825" s="23"/>
      <c r="G825" s="23"/>
      <c r="H825" s="23"/>
      <c r="J825" s="23"/>
      <c r="K825" s="23"/>
      <c r="M825" s="23"/>
      <c r="N825" s="23"/>
      <c r="P825" s="23"/>
    </row>
    <row r="826" spans="2:16" x14ac:dyDescent="0.25">
      <c r="B826" s="23"/>
      <c r="E826" s="23"/>
      <c r="G826" s="23"/>
      <c r="H826" s="23"/>
      <c r="J826" s="23"/>
      <c r="K826" s="23"/>
      <c r="M826" s="23"/>
      <c r="N826" s="23"/>
      <c r="P826" s="23"/>
    </row>
    <row r="827" spans="2:16" x14ac:dyDescent="0.25">
      <c r="B827" s="23"/>
      <c r="E827" s="23"/>
      <c r="G827" s="23"/>
      <c r="H827" s="23"/>
      <c r="J827" s="23"/>
      <c r="K827" s="23"/>
      <c r="M827" s="23"/>
      <c r="N827" s="23"/>
      <c r="P827" s="23"/>
    </row>
    <row r="828" spans="2:16" x14ac:dyDescent="0.25">
      <c r="B828" s="23"/>
      <c r="E828" s="23"/>
      <c r="G828" s="23"/>
      <c r="H828" s="23"/>
      <c r="J828" s="23"/>
      <c r="K828" s="23"/>
      <c r="M828" s="23"/>
      <c r="N828" s="23"/>
      <c r="P828" s="23"/>
    </row>
    <row r="829" spans="2:16" x14ac:dyDescent="0.25">
      <c r="B829" s="23"/>
      <c r="E829" s="23"/>
      <c r="G829" s="23"/>
      <c r="H829" s="23"/>
      <c r="J829" s="23"/>
      <c r="K829" s="23"/>
      <c r="M829" s="23"/>
      <c r="N829" s="23"/>
      <c r="P829" s="23"/>
    </row>
    <row r="830" spans="2:16" x14ac:dyDescent="0.25">
      <c r="B830" s="23"/>
      <c r="E830" s="23"/>
      <c r="G830" s="23"/>
      <c r="H830" s="23"/>
      <c r="J830" s="23"/>
      <c r="K830" s="23"/>
      <c r="M830" s="23"/>
      <c r="N830" s="23"/>
      <c r="P830" s="23"/>
    </row>
    <row r="831" spans="2:16" x14ac:dyDescent="0.25">
      <c r="B831" s="23"/>
      <c r="E831" s="23"/>
      <c r="G831" s="23"/>
      <c r="H831" s="23"/>
      <c r="J831" s="23"/>
      <c r="K831" s="23"/>
      <c r="M831" s="23"/>
      <c r="N831" s="23"/>
      <c r="P831" s="23"/>
    </row>
    <row r="832" spans="2:16" x14ac:dyDescent="0.25">
      <c r="B832" s="23"/>
      <c r="E832" s="23"/>
      <c r="G832" s="23"/>
      <c r="H832" s="23"/>
      <c r="J832" s="23"/>
      <c r="K832" s="23"/>
      <c r="M832" s="23"/>
      <c r="N832" s="23"/>
      <c r="P832" s="23"/>
    </row>
    <row r="833" spans="2:16" x14ac:dyDescent="0.25">
      <c r="B833" s="23"/>
      <c r="E833" s="23"/>
      <c r="G833" s="23"/>
      <c r="H833" s="23"/>
      <c r="J833" s="23"/>
      <c r="K833" s="23"/>
      <c r="M833" s="23"/>
      <c r="N833" s="23"/>
      <c r="P833" s="23"/>
    </row>
    <row r="834" spans="2:16" x14ac:dyDescent="0.25">
      <c r="B834" s="23"/>
      <c r="E834" s="23"/>
      <c r="G834" s="23"/>
      <c r="H834" s="23"/>
      <c r="J834" s="23"/>
      <c r="K834" s="23"/>
      <c r="M834" s="23"/>
      <c r="N834" s="23"/>
      <c r="P834" s="23"/>
    </row>
    <row r="835" spans="2:16" x14ac:dyDescent="0.25">
      <c r="B835" s="23"/>
      <c r="E835" s="23"/>
      <c r="G835" s="23"/>
      <c r="H835" s="23"/>
      <c r="J835" s="23"/>
      <c r="K835" s="23"/>
      <c r="M835" s="23"/>
      <c r="N835" s="23"/>
      <c r="P835" s="23"/>
    </row>
    <row r="836" spans="2:16" x14ac:dyDescent="0.25">
      <c r="B836" s="23"/>
      <c r="E836" s="23"/>
      <c r="G836" s="23"/>
      <c r="H836" s="23"/>
      <c r="J836" s="23"/>
      <c r="K836" s="23"/>
      <c r="M836" s="23"/>
      <c r="N836" s="23"/>
      <c r="P836" s="23"/>
    </row>
    <row r="837" spans="2:16" x14ac:dyDescent="0.25">
      <c r="B837" s="23"/>
      <c r="E837" s="23"/>
      <c r="G837" s="23"/>
      <c r="H837" s="23"/>
      <c r="J837" s="23"/>
      <c r="K837" s="23"/>
      <c r="M837" s="23"/>
      <c r="N837" s="23"/>
      <c r="P837" s="23"/>
    </row>
    <row r="838" spans="2:16" x14ac:dyDescent="0.25">
      <c r="B838" s="23"/>
      <c r="E838" s="23"/>
      <c r="G838" s="23"/>
      <c r="H838" s="23"/>
      <c r="J838" s="23"/>
      <c r="K838" s="23"/>
      <c r="M838" s="23"/>
      <c r="N838" s="23"/>
      <c r="P838" s="23"/>
    </row>
    <row r="839" spans="2:16" x14ac:dyDescent="0.25">
      <c r="B839" s="23"/>
      <c r="E839" s="23"/>
      <c r="G839" s="23"/>
      <c r="H839" s="23"/>
      <c r="J839" s="23"/>
      <c r="K839" s="23"/>
      <c r="M839" s="23"/>
      <c r="N839" s="23"/>
      <c r="P839" s="23"/>
    </row>
    <row r="840" spans="2:16" x14ac:dyDescent="0.25">
      <c r="B840" s="23"/>
      <c r="E840" s="23"/>
      <c r="G840" s="23"/>
      <c r="H840" s="23"/>
      <c r="J840" s="23"/>
      <c r="K840" s="23"/>
      <c r="M840" s="23"/>
      <c r="N840" s="23"/>
      <c r="P840" s="23"/>
    </row>
    <row r="841" spans="2:16" x14ac:dyDescent="0.25">
      <c r="B841" s="23"/>
      <c r="E841" s="23"/>
      <c r="G841" s="23"/>
      <c r="H841" s="23"/>
      <c r="J841" s="23"/>
      <c r="K841" s="23"/>
      <c r="M841" s="23"/>
      <c r="N841" s="23"/>
      <c r="P841" s="23"/>
    </row>
    <row r="842" spans="2:16" x14ac:dyDescent="0.25">
      <c r="B842" s="23"/>
      <c r="E842" s="23"/>
      <c r="G842" s="23"/>
      <c r="H842" s="23"/>
      <c r="J842" s="23"/>
      <c r="K842" s="23"/>
      <c r="M842" s="23"/>
      <c r="N842" s="23"/>
      <c r="P842" s="23"/>
    </row>
    <row r="843" spans="2:16" x14ac:dyDescent="0.25">
      <c r="B843" s="23"/>
      <c r="E843" s="23"/>
      <c r="G843" s="23"/>
      <c r="H843" s="23"/>
      <c r="J843" s="23"/>
      <c r="K843" s="23"/>
      <c r="M843" s="23"/>
      <c r="N843" s="23"/>
      <c r="P843" s="23"/>
    </row>
    <row r="844" spans="2:16" x14ac:dyDescent="0.25">
      <c r="B844" s="23"/>
      <c r="E844" s="23"/>
      <c r="G844" s="23"/>
      <c r="H844" s="23"/>
      <c r="J844" s="23"/>
      <c r="K844" s="23"/>
      <c r="M844" s="23"/>
      <c r="N844" s="23"/>
      <c r="P844" s="23"/>
    </row>
    <row r="845" spans="2:16" x14ac:dyDescent="0.25">
      <c r="B845" s="23"/>
      <c r="E845" s="23"/>
      <c r="G845" s="23"/>
      <c r="H845" s="23"/>
      <c r="J845" s="23"/>
      <c r="K845" s="23"/>
      <c r="M845" s="23"/>
      <c r="N845" s="23"/>
      <c r="P845" s="23"/>
    </row>
    <row r="846" spans="2:16" x14ac:dyDescent="0.25">
      <c r="B846" s="23"/>
      <c r="E846" s="23"/>
      <c r="G846" s="23"/>
      <c r="H846" s="23"/>
      <c r="J846" s="23"/>
      <c r="K846" s="23"/>
      <c r="M846" s="23"/>
      <c r="N846" s="23"/>
      <c r="P846" s="23"/>
    </row>
    <row r="847" spans="2:16" x14ac:dyDescent="0.25">
      <c r="B847" s="23"/>
      <c r="E847" s="23"/>
      <c r="G847" s="23"/>
      <c r="H847" s="23"/>
      <c r="J847" s="23"/>
      <c r="K847" s="23"/>
      <c r="M847" s="23"/>
      <c r="N847" s="23"/>
      <c r="P847" s="23"/>
    </row>
    <row r="848" spans="2:16" x14ac:dyDescent="0.25">
      <c r="B848" s="23"/>
      <c r="E848" s="23"/>
      <c r="G848" s="23"/>
      <c r="H848" s="23"/>
      <c r="J848" s="23"/>
      <c r="K848" s="23"/>
      <c r="M848" s="23"/>
      <c r="N848" s="23"/>
      <c r="P848" s="23"/>
    </row>
    <row r="849" spans="2:16" x14ac:dyDescent="0.25">
      <c r="B849" s="23"/>
      <c r="E849" s="23"/>
      <c r="G849" s="23"/>
      <c r="H849" s="23"/>
      <c r="J849" s="23"/>
      <c r="K849" s="23"/>
      <c r="M849" s="23"/>
      <c r="N849" s="23"/>
      <c r="P849" s="23"/>
    </row>
    <row r="850" spans="2:16" x14ac:dyDescent="0.25">
      <c r="B850" s="23"/>
      <c r="E850" s="23"/>
      <c r="G850" s="23"/>
      <c r="H850" s="23"/>
      <c r="J850" s="23"/>
      <c r="K850" s="23"/>
      <c r="M850" s="23"/>
      <c r="N850" s="23"/>
      <c r="P850" s="23"/>
    </row>
    <row r="851" spans="2:16" x14ac:dyDescent="0.25">
      <c r="B851" s="23"/>
      <c r="E851" s="23"/>
      <c r="G851" s="23"/>
      <c r="H851" s="23"/>
      <c r="J851" s="23"/>
      <c r="K851" s="23"/>
      <c r="M851" s="23"/>
      <c r="N851" s="23"/>
      <c r="P851" s="23"/>
    </row>
    <row r="852" spans="2:16" x14ac:dyDescent="0.25">
      <c r="B852" s="23"/>
      <c r="E852" s="23"/>
      <c r="G852" s="23"/>
      <c r="H852" s="23"/>
      <c r="J852" s="23"/>
      <c r="K852" s="23"/>
      <c r="M852" s="23"/>
      <c r="N852" s="23"/>
      <c r="P852" s="23"/>
    </row>
    <row r="853" spans="2:16" x14ac:dyDescent="0.25">
      <c r="B853" s="23"/>
      <c r="E853" s="23"/>
      <c r="G853" s="23"/>
      <c r="H853" s="23"/>
      <c r="J853" s="23"/>
      <c r="K853" s="23"/>
      <c r="M853" s="23"/>
      <c r="N853" s="23"/>
      <c r="P853" s="23"/>
    </row>
    <row r="854" spans="2:16" x14ac:dyDescent="0.25">
      <c r="B854" s="23"/>
      <c r="E854" s="23"/>
      <c r="G854" s="23"/>
      <c r="H854" s="23"/>
      <c r="J854" s="23"/>
      <c r="K854" s="23"/>
      <c r="M854" s="23"/>
      <c r="N854" s="23"/>
      <c r="P854" s="23"/>
    </row>
    <row r="855" spans="2:16" x14ac:dyDescent="0.25">
      <c r="B855" s="23"/>
      <c r="E855" s="23"/>
      <c r="G855" s="23"/>
      <c r="H855" s="23"/>
      <c r="J855" s="23"/>
      <c r="K855" s="23"/>
      <c r="M855" s="23"/>
      <c r="N855" s="23"/>
      <c r="P855" s="23"/>
    </row>
    <row r="856" spans="2:16" x14ac:dyDescent="0.25">
      <c r="B856" s="23"/>
      <c r="E856" s="23"/>
      <c r="G856" s="23"/>
      <c r="H856" s="23"/>
      <c r="J856" s="23"/>
      <c r="K856" s="23"/>
      <c r="M856" s="23"/>
      <c r="N856" s="23"/>
      <c r="P856" s="23"/>
    </row>
    <row r="857" spans="2:16" x14ac:dyDescent="0.25">
      <c r="B857" s="23"/>
      <c r="E857" s="23"/>
      <c r="G857" s="23"/>
      <c r="H857" s="23"/>
      <c r="J857" s="23"/>
      <c r="K857" s="23"/>
      <c r="M857" s="23"/>
      <c r="N857" s="23"/>
      <c r="P857" s="23"/>
    </row>
    <row r="858" spans="2:16" x14ac:dyDescent="0.25">
      <c r="B858" s="23"/>
      <c r="E858" s="23"/>
      <c r="G858" s="23"/>
      <c r="H858" s="23"/>
      <c r="J858" s="23"/>
      <c r="K858" s="23"/>
      <c r="M858" s="23"/>
      <c r="N858" s="23"/>
      <c r="P858" s="23"/>
    </row>
    <row r="859" spans="2:16" x14ac:dyDescent="0.25">
      <c r="B859" s="23"/>
      <c r="E859" s="23"/>
      <c r="G859" s="23"/>
      <c r="H859" s="23"/>
      <c r="J859" s="23"/>
      <c r="K859" s="23"/>
      <c r="M859" s="23"/>
      <c r="N859" s="23"/>
      <c r="P859" s="23"/>
    </row>
    <row r="860" spans="2:16" x14ac:dyDescent="0.25">
      <c r="B860" s="23"/>
      <c r="E860" s="23"/>
      <c r="G860" s="23"/>
      <c r="H860" s="23"/>
      <c r="J860" s="23"/>
      <c r="K860" s="23"/>
      <c r="M860" s="23"/>
      <c r="N860" s="23"/>
      <c r="P860" s="23"/>
    </row>
    <row r="861" spans="2:16" x14ac:dyDescent="0.25">
      <c r="B861" s="23"/>
      <c r="E861" s="23"/>
      <c r="G861" s="23"/>
      <c r="H861" s="23"/>
      <c r="J861" s="23"/>
      <c r="K861" s="23"/>
      <c r="M861" s="23"/>
      <c r="N861" s="23"/>
      <c r="P861" s="23"/>
    </row>
    <row r="862" spans="2:16" x14ac:dyDescent="0.25">
      <c r="B862" s="23"/>
      <c r="E862" s="23"/>
      <c r="G862" s="23"/>
      <c r="H862" s="23"/>
      <c r="J862" s="23"/>
      <c r="K862" s="23"/>
      <c r="M862" s="23"/>
      <c r="N862" s="23"/>
      <c r="P862" s="23"/>
    </row>
    <row r="863" spans="2:16" x14ac:dyDescent="0.25">
      <c r="B863" s="23"/>
      <c r="E863" s="23"/>
      <c r="G863" s="23"/>
      <c r="H863" s="23"/>
      <c r="J863" s="23"/>
      <c r="K863" s="23"/>
      <c r="M863" s="23"/>
      <c r="N863" s="23"/>
      <c r="P863" s="23"/>
    </row>
    <row r="864" spans="2:16" x14ac:dyDescent="0.25">
      <c r="B864" s="23"/>
      <c r="E864" s="23"/>
      <c r="G864" s="23"/>
      <c r="H864" s="23"/>
      <c r="J864" s="23"/>
      <c r="K864" s="23"/>
      <c r="M864" s="23"/>
      <c r="N864" s="23"/>
      <c r="P864" s="23"/>
    </row>
    <row r="865" spans="2:16" x14ac:dyDescent="0.25">
      <c r="B865" s="23"/>
      <c r="E865" s="23"/>
      <c r="G865" s="23"/>
      <c r="H865" s="23"/>
      <c r="J865" s="23"/>
      <c r="K865" s="23"/>
      <c r="M865" s="23"/>
      <c r="N865" s="23"/>
      <c r="P865" s="23"/>
    </row>
    <row r="866" spans="2:16" x14ac:dyDescent="0.25">
      <c r="B866" s="23"/>
      <c r="E866" s="23"/>
      <c r="G866" s="23"/>
      <c r="H866" s="23"/>
      <c r="J866" s="23"/>
      <c r="K866" s="23"/>
      <c r="M866" s="23"/>
      <c r="N866" s="23"/>
      <c r="P866" s="23"/>
    </row>
    <row r="867" spans="2:16" x14ac:dyDescent="0.25">
      <c r="B867" s="23"/>
      <c r="E867" s="23"/>
      <c r="G867" s="23"/>
      <c r="H867" s="23"/>
      <c r="J867" s="23"/>
      <c r="K867" s="23"/>
      <c r="M867" s="23"/>
      <c r="N867" s="23"/>
      <c r="P867" s="23"/>
    </row>
    <row r="868" spans="2:16" x14ac:dyDescent="0.25">
      <c r="B868" s="23"/>
      <c r="E868" s="23"/>
      <c r="G868" s="23"/>
      <c r="H868" s="23"/>
      <c r="J868" s="23"/>
      <c r="K868" s="23"/>
      <c r="M868" s="23"/>
      <c r="N868" s="23"/>
      <c r="P868" s="23"/>
    </row>
    <row r="869" spans="2:16" x14ac:dyDescent="0.25">
      <c r="B869" s="23"/>
      <c r="E869" s="23"/>
      <c r="G869" s="23"/>
      <c r="H869" s="23"/>
      <c r="J869" s="23"/>
      <c r="K869" s="23"/>
      <c r="M869" s="23"/>
      <c r="N869" s="23"/>
      <c r="P869" s="23"/>
    </row>
    <row r="870" spans="2:16" x14ac:dyDescent="0.25">
      <c r="B870" s="23"/>
      <c r="E870" s="23"/>
      <c r="G870" s="23"/>
      <c r="H870" s="23"/>
      <c r="J870" s="23"/>
      <c r="K870" s="23"/>
      <c r="M870" s="23"/>
      <c r="N870" s="23"/>
      <c r="P870" s="23"/>
    </row>
    <row r="871" spans="2:16" x14ac:dyDescent="0.25">
      <c r="B871" s="23"/>
      <c r="E871" s="23"/>
      <c r="G871" s="23"/>
      <c r="H871" s="23"/>
      <c r="J871" s="23"/>
      <c r="K871" s="23"/>
      <c r="M871" s="23"/>
      <c r="N871" s="23"/>
      <c r="P871" s="23"/>
    </row>
    <row r="872" spans="2:16" x14ac:dyDescent="0.25">
      <c r="B872" s="23"/>
      <c r="E872" s="23"/>
      <c r="G872" s="23"/>
      <c r="H872" s="23"/>
      <c r="J872" s="23"/>
      <c r="K872" s="23"/>
      <c r="M872" s="23"/>
      <c r="N872" s="23"/>
      <c r="P872" s="23"/>
    </row>
    <row r="873" spans="2:16" x14ac:dyDescent="0.25">
      <c r="B873" s="23"/>
      <c r="E873" s="23"/>
      <c r="G873" s="23"/>
      <c r="H873" s="23"/>
      <c r="J873" s="23"/>
      <c r="K873" s="23"/>
      <c r="M873" s="23"/>
      <c r="N873" s="23"/>
      <c r="P873" s="23"/>
    </row>
    <row r="874" spans="2:16" x14ac:dyDescent="0.25">
      <c r="B874" s="23"/>
      <c r="E874" s="23"/>
      <c r="G874" s="23"/>
      <c r="H874" s="23"/>
      <c r="J874" s="23"/>
      <c r="K874" s="23"/>
      <c r="M874" s="23"/>
      <c r="N874" s="23"/>
      <c r="P874" s="23"/>
    </row>
    <row r="875" spans="2:16" x14ac:dyDescent="0.25">
      <c r="B875" s="23"/>
      <c r="E875" s="23"/>
      <c r="G875" s="23"/>
      <c r="H875" s="23"/>
      <c r="J875" s="23"/>
      <c r="K875" s="23"/>
      <c r="M875" s="23"/>
      <c r="N875" s="23"/>
      <c r="P875" s="23"/>
    </row>
    <row r="876" spans="2:16" x14ac:dyDescent="0.25">
      <c r="B876" s="23"/>
      <c r="E876" s="23"/>
      <c r="G876" s="23"/>
      <c r="H876" s="23"/>
      <c r="J876" s="23"/>
      <c r="K876" s="23"/>
      <c r="M876" s="23"/>
      <c r="N876" s="23"/>
      <c r="P876" s="23"/>
    </row>
    <row r="877" spans="2:16" x14ac:dyDescent="0.25">
      <c r="B877" s="23"/>
      <c r="E877" s="23"/>
      <c r="G877" s="23"/>
      <c r="H877" s="23"/>
      <c r="J877" s="23"/>
      <c r="K877" s="23"/>
      <c r="M877" s="23"/>
      <c r="N877" s="23"/>
      <c r="P877" s="23"/>
    </row>
    <row r="878" spans="2:16" x14ac:dyDescent="0.25">
      <c r="B878" s="23"/>
      <c r="E878" s="23"/>
      <c r="G878" s="23"/>
      <c r="H878" s="23"/>
      <c r="J878" s="23"/>
      <c r="K878" s="23"/>
      <c r="M878" s="23"/>
      <c r="N878" s="23"/>
      <c r="P878" s="23"/>
    </row>
    <row r="879" spans="2:16" x14ac:dyDescent="0.25">
      <c r="B879" s="23"/>
      <c r="E879" s="23"/>
      <c r="G879" s="23"/>
      <c r="H879" s="23"/>
      <c r="J879" s="23"/>
      <c r="K879" s="23"/>
      <c r="M879" s="23"/>
      <c r="N879" s="23"/>
      <c r="P879" s="23"/>
    </row>
    <row r="880" spans="2:16" x14ac:dyDescent="0.25">
      <c r="B880" s="23"/>
      <c r="E880" s="23"/>
      <c r="G880" s="23"/>
      <c r="H880" s="23"/>
      <c r="J880" s="23"/>
      <c r="K880" s="23"/>
      <c r="M880" s="23"/>
      <c r="N880" s="23"/>
      <c r="P880" s="23"/>
    </row>
    <row r="881" spans="2:16" x14ac:dyDescent="0.25">
      <c r="B881" s="23"/>
      <c r="E881" s="23"/>
      <c r="G881" s="23"/>
      <c r="H881" s="23"/>
      <c r="J881" s="23"/>
      <c r="K881" s="23"/>
      <c r="M881" s="23"/>
      <c r="N881" s="23"/>
      <c r="P881" s="23"/>
    </row>
    <row r="882" spans="2:16" x14ac:dyDescent="0.25">
      <c r="B882" s="23"/>
      <c r="E882" s="23"/>
      <c r="G882" s="23"/>
      <c r="H882" s="23"/>
      <c r="J882" s="23"/>
      <c r="K882" s="23"/>
      <c r="M882" s="23"/>
      <c r="N882" s="23"/>
      <c r="P882" s="23"/>
    </row>
    <row r="883" spans="2:16" x14ac:dyDescent="0.25">
      <c r="B883" s="23"/>
      <c r="E883" s="23"/>
      <c r="G883" s="23"/>
      <c r="H883" s="23"/>
      <c r="J883" s="23"/>
      <c r="K883" s="23"/>
      <c r="M883" s="23"/>
      <c r="N883" s="23"/>
      <c r="P883" s="23"/>
    </row>
    <row r="884" spans="2:16" x14ac:dyDescent="0.25">
      <c r="B884" s="23"/>
      <c r="E884" s="23"/>
      <c r="G884" s="23"/>
      <c r="H884" s="23"/>
      <c r="J884" s="23"/>
      <c r="K884" s="23"/>
      <c r="M884" s="23"/>
      <c r="N884" s="23"/>
      <c r="P884" s="23"/>
    </row>
    <row r="885" spans="2:16" x14ac:dyDescent="0.25">
      <c r="B885" s="23"/>
      <c r="E885" s="23"/>
      <c r="G885" s="23"/>
      <c r="H885" s="23"/>
      <c r="J885" s="23"/>
      <c r="K885" s="23"/>
      <c r="M885" s="23"/>
      <c r="N885" s="23"/>
      <c r="P885" s="23"/>
    </row>
    <row r="886" spans="2:16" x14ac:dyDescent="0.25">
      <c r="B886" s="23"/>
      <c r="E886" s="23"/>
      <c r="G886" s="23"/>
      <c r="H886" s="23"/>
      <c r="J886" s="23"/>
      <c r="K886" s="23"/>
      <c r="M886" s="23"/>
      <c r="N886" s="23"/>
      <c r="P886" s="23"/>
    </row>
    <row r="887" spans="2:16" x14ac:dyDescent="0.25">
      <c r="B887" s="23"/>
      <c r="E887" s="23"/>
      <c r="G887" s="23"/>
      <c r="H887" s="23"/>
      <c r="J887" s="23"/>
      <c r="K887" s="23"/>
      <c r="M887" s="23"/>
      <c r="N887" s="23"/>
      <c r="P887" s="23"/>
    </row>
    <row r="888" spans="2:16" x14ac:dyDescent="0.25">
      <c r="B888" s="23"/>
      <c r="E888" s="23"/>
      <c r="G888" s="23"/>
      <c r="H888" s="23"/>
      <c r="J888" s="23"/>
      <c r="K888" s="23"/>
      <c r="M888" s="23"/>
      <c r="N888" s="23"/>
      <c r="P888" s="23"/>
    </row>
    <row r="889" spans="2:16" x14ac:dyDescent="0.25">
      <c r="B889" s="23"/>
      <c r="E889" s="23"/>
      <c r="G889" s="23"/>
      <c r="H889" s="23"/>
      <c r="J889" s="23"/>
      <c r="K889" s="23"/>
      <c r="M889" s="23"/>
      <c r="N889" s="23"/>
      <c r="P889" s="23"/>
    </row>
    <row r="890" spans="2:16" x14ac:dyDescent="0.25">
      <c r="B890" s="23"/>
      <c r="E890" s="23"/>
      <c r="G890" s="23"/>
      <c r="H890" s="23"/>
      <c r="J890" s="23"/>
      <c r="K890" s="23"/>
      <c r="M890" s="23"/>
      <c r="N890" s="23"/>
      <c r="P890" s="23"/>
    </row>
    <row r="891" spans="2:16" x14ac:dyDescent="0.25">
      <c r="B891" s="23"/>
      <c r="E891" s="23"/>
      <c r="G891" s="23"/>
      <c r="H891" s="23"/>
      <c r="J891" s="23"/>
      <c r="K891" s="23"/>
      <c r="M891" s="23"/>
      <c r="N891" s="23"/>
      <c r="P891" s="23"/>
    </row>
    <row r="892" spans="2:16" x14ac:dyDescent="0.25">
      <c r="B892" s="23"/>
      <c r="E892" s="23"/>
      <c r="G892" s="23"/>
      <c r="H892" s="23"/>
      <c r="J892" s="23"/>
      <c r="K892" s="23"/>
      <c r="M892" s="23"/>
      <c r="N892" s="23"/>
      <c r="P892" s="23"/>
    </row>
    <row r="893" spans="2:16" x14ac:dyDescent="0.25">
      <c r="B893" s="23"/>
      <c r="E893" s="23"/>
      <c r="G893" s="23"/>
      <c r="H893" s="23"/>
      <c r="J893" s="23"/>
      <c r="K893" s="23"/>
      <c r="M893" s="23"/>
      <c r="N893" s="23"/>
      <c r="P893" s="23"/>
    </row>
    <row r="894" spans="2:16" x14ac:dyDescent="0.25">
      <c r="B894" s="23"/>
      <c r="E894" s="23"/>
      <c r="G894" s="23"/>
      <c r="H894" s="23"/>
      <c r="J894" s="23"/>
      <c r="K894" s="23"/>
      <c r="M894" s="23"/>
      <c r="N894" s="23"/>
      <c r="P894" s="23"/>
    </row>
    <row r="895" spans="2:16" x14ac:dyDescent="0.25">
      <c r="B895" s="23"/>
      <c r="E895" s="23"/>
      <c r="G895" s="23"/>
      <c r="H895" s="23"/>
      <c r="J895" s="23"/>
      <c r="K895" s="23"/>
      <c r="M895" s="23"/>
      <c r="N895" s="23"/>
      <c r="P895" s="23"/>
    </row>
    <row r="896" spans="2:16" x14ac:dyDescent="0.25">
      <c r="B896" s="23"/>
      <c r="E896" s="23"/>
      <c r="G896" s="23"/>
      <c r="H896" s="23"/>
      <c r="J896" s="23"/>
      <c r="K896" s="23"/>
      <c r="M896" s="23"/>
      <c r="N896" s="23"/>
      <c r="P896" s="23"/>
    </row>
    <row r="897" spans="2:16" x14ac:dyDescent="0.25">
      <c r="B897" s="23"/>
      <c r="E897" s="23"/>
      <c r="G897" s="23"/>
      <c r="H897" s="23"/>
      <c r="J897" s="23"/>
      <c r="K897" s="23"/>
      <c r="M897" s="23"/>
      <c r="N897" s="23"/>
      <c r="P897" s="23"/>
    </row>
    <row r="898" spans="2:16" x14ac:dyDescent="0.25">
      <c r="B898" s="23"/>
      <c r="E898" s="23"/>
      <c r="G898" s="23"/>
      <c r="H898" s="23"/>
      <c r="J898" s="23"/>
      <c r="K898" s="23"/>
      <c r="M898" s="23"/>
      <c r="N898" s="23"/>
      <c r="P898" s="23"/>
    </row>
    <row r="899" spans="2:16" x14ac:dyDescent="0.25">
      <c r="B899" s="23"/>
      <c r="E899" s="23"/>
      <c r="G899" s="23"/>
      <c r="H899" s="23"/>
      <c r="J899" s="23"/>
      <c r="K899" s="23"/>
      <c r="M899" s="23"/>
      <c r="N899" s="23"/>
      <c r="P899" s="23"/>
    </row>
    <row r="900" spans="2:16" x14ac:dyDescent="0.25">
      <c r="B900" s="23"/>
      <c r="E900" s="23"/>
      <c r="G900" s="23"/>
      <c r="H900" s="23"/>
      <c r="J900" s="23"/>
      <c r="K900" s="23"/>
      <c r="M900" s="23"/>
      <c r="N900" s="23"/>
      <c r="P900" s="23"/>
    </row>
    <row r="901" spans="2:16" x14ac:dyDescent="0.25">
      <c r="B901" s="23"/>
      <c r="E901" s="23"/>
      <c r="G901" s="23"/>
      <c r="H901" s="23"/>
      <c r="J901" s="23"/>
      <c r="K901" s="23"/>
      <c r="M901" s="23"/>
      <c r="N901" s="23"/>
      <c r="P901" s="23"/>
    </row>
    <row r="902" spans="2:16" x14ac:dyDescent="0.25">
      <c r="B902" s="23"/>
      <c r="E902" s="23"/>
      <c r="G902" s="23"/>
      <c r="H902" s="23"/>
      <c r="J902" s="23"/>
      <c r="K902" s="23"/>
      <c r="M902" s="23"/>
      <c r="N902" s="23"/>
      <c r="P902" s="23"/>
    </row>
    <row r="903" spans="2:16" x14ac:dyDescent="0.25">
      <c r="B903" s="23"/>
      <c r="E903" s="23"/>
      <c r="G903" s="23"/>
      <c r="H903" s="23"/>
      <c r="J903" s="23"/>
      <c r="K903" s="23"/>
      <c r="M903" s="23"/>
      <c r="N903" s="23"/>
      <c r="P903" s="23"/>
    </row>
    <row r="904" spans="2:16" x14ac:dyDescent="0.25">
      <c r="B904" s="23"/>
      <c r="E904" s="23"/>
      <c r="G904" s="23"/>
      <c r="H904" s="23"/>
      <c r="J904" s="23"/>
      <c r="K904" s="23"/>
      <c r="M904" s="23"/>
      <c r="N904" s="23"/>
      <c r="P904" s="23"/>
    </row>
    <row r="905" spans="2:16" x14ac:dyDescent="0.25">
      <c r="B905" s="23"/>
      <c r="E905" s="23"/>
      <c r="G905" s="23"/>
      <c r="H905" s="23"/>
      <c r="J905" s="23"/>
      <c r="K905" s="23"/>
      <c r="M905" s="23"/>
      <c r="N905" s="23"/>
      <c r="P905" s="23"/>
    </row>
    <row r="906" spans="2:16" x14ac:dyDescent="0.25">
      <c r="B906" s="23"/>
      <c r="E906" s="23"/>
      <c r="G906" s="23"/>
      <c r="H906" s="23"/>
      <c r="J906" s="23"/>
      <c r="K906" s="23"/>
      <c r="M906" s="23"/>
      <c r="N906" s="23"/>
      <c r="P906" s="23"/>
    </row>
    <row r="907" spans="2:16" x14ac:dyDescent="0.25">
      <c r="B907" s="23"/>
      <c r="E907" s="23"/>
      <c r="G907" s="23"/>
      <c r="H907" s="23"/>
      <c r="J907" s="23"/>
      <c r="K907" s="23"/>
      <c r="M907" s="23"/>
      <c r="N907" s="23"/>
      <c r="P907" s="23"/>
    </row>
    <row r="908" spans="2:16" x14ac:dyDescent="0.25">
      <c r="B908" s="23"/>
      <c r="E908" s="23"/>
      <c r="G908" s="23"/>
      <c r="H908" s="23"/>
      <c r="J908" s="23"/>
      <c r="K908" s="23"/>
      <c r="M908" s="23"/>
      <c r="N908" s="23"/>
      <c r="P908" s="23"/>
    </row>
    <row r="909" spans="2:16" x14ac:dyDescent="0.25">
      <c r="B909" s="23"/>
      <c r="E909" s="23"/>
      <c r="G909" s="23"/>
      <c r="H909" s="23"/>
      <c r="J909" s="23"/>
      <c r="K909" s="23"/>
      <c r="M909" s="23"/>
      <c r="N909" s="23"/>
      <c r="P909" s="23"/>
    </row>
    <row r="910" spans="2:16" x14ac:dyDescent="0.25">
      <c r="B910" s="23"/>
      <c r="E910" s="23"/>
      <c r="G910" s="23"/>
      <c r="H910" s="23"/>
      <c r="J910" s="23"/>
      <c r="K910" s="23"/>
      <c r="M910" s="23"/>
      <c r="N910" s="23"/>
      <c r="P910" s="23"/>
    </row>
    <row r="911" spans="2:16" x14ac:dyDescent="0.25">
      <c r="B911" s="23"/>
      <c r="E911" s="23"/>
      <c r="G911" s="23"/>
      <c r="H911" s="23"/>
      <c r="J911" s="23"/>
      <c r="K911" s="23"/>
      <c r="M911" s="23"/>
      <c r="N911" s="23"/>
      <c r="P911" s="23"/>
    </row>
    <row r="912" spans="2:16" x14ac:dyDescent="0.25">
      <c r="B912" s="23"/>
      <c r="E912" s="23"/>
      <c r="G912" s="23"/>
      <c r="H912" s="23"/>
      <c r="J912" s="23"/>
      <c r="K912" s="23"/>
      <c r="M912" s="23"/>
      <c r="N912" s="23"/>
      <c r="P912" s="23"/>
    </row>
    <row r="913" spans="2:16" x14ac:dyDescent="0.25">
      <c r="B913" s="23"/>
      <c r="E913" s="23"/>
      <c r="G913" s="23"/>
      <c r="H913" s="23"/>
      <c r="J913" s="23"/>
      <c r="K913" s="23"/>
      <c r="M913" s="23"/>
      <c r="N913" s="23"/>
      <c r="P913" s="23"/>
    </row>
    <row r="914" spans="2:16" x14ac:dyDescent="0.25">
      <c r="B914" s="23"/>
      <c r="E914" s="23"/>
      <c r="G914" s="23"/>
      <c r="H914" s="23"/>
      <c r="J914" s="23"/>
      <c r="K914" s="23"/>
      <c r="M914" s="23"/>
      <c r="N914" s="23"/>
      <c r="P914" s="23"/>
    </row>
    <row r="915" spans="2:16" x14ac:dyDescent="0.25">
      <c r="B915" s="23"/>
      <c r="E915" s="23"/>
      <c r="G915" s="23"/>
      <c r="H915" s="23"/>
      <c r="J915" s="23"/>
      <c r="K915" s="23"/>
      <c r="M915" s="23"/>
      <c r="N915" s="23"/>
      <c r="P915" s="23"/>
    </row>
    <row r="916" spans="2:16" x14ac:dyDescent="0.25">
      <c r="B916" s="23"/>
      <c r="E916" s="23"/>
      <c r="G916" s="23"/>
      <c r="H916" s="23"/>
      <c r="J916" s="23"/>
      <c r="K916" s="23"/>
      <c r="M916" s="23"/>
      <c r="N916" s="23"/>
      <c r="P916" s="23"/>
    </row>
    <row r="917" spans="2:16" x14ac:dyDescent="0.25">
      <c r="B917" s="23"/>
      <c r="E917" s="23"/>
      <c r="G917" s="23"/>
      <c r="H917" s="23"/>
      <c r="J917" s="23"/>
      <c r="K917" s="23"/>
      <c r="M917" s="23"/>
      <c r="N917" s="23"/>
      <c r="P917" s="23"/>
    </row>
    <row r="918" spans="2:16" x14ac:dyDescent="0.25">
      <c r="B918" s="23"/>
      <c r="E918" s="23"/>
      <c r="G918" s="23"/>
      <c r="H918" s="23"/>
      <c r="J918" s="23"/>
      <c r="K918" s="23"/>
      <c r="M918" s="23"/>
      <c r="N918" s="23"/>
      <c r="P918" s="23"/>
    </row>
    <row r="919" spans="2:16" x14ac:dyDescent="0.25">
      <c r="B919" s="23"/>
      <c r="E919" s="23"/>
      <c r="G919" s="23"/>
      <c r="H919" s="23"/>
      <c r="J919" s="23"/>
      <c r="K919" s="23"/>
      <c r="M919" s="23"/>
      <c r="N919" s="23"/>
      <c r="P919" s="23"/>
    </row>
    <row r="920" spans="2:16" x14ac:dyDescent="0.25">
      <c r="B920" s="23"/>
      <c r="E920" s="23"/>
      <c r="G920" s="23"/>
      <c r="H920" s="23"/>
      <c r="J920" s="23"/>
      <c r="K920" s="23"/>
      <c r="M920" s="23"/>
      <c r="N920" s="23"/>
      <c r="P920" s="23"/>
    </row>
    <row r="921" spans="2:16" x14ac:dyDescent="0.25">
      <c r="B921" s="23"/>
      <c r="E921" s="23"/>
      <c r="G921" s="23"/>
      <c r="H921" s="23"/>
      <c r="J921" s="23"/>
      <c r="K921" s="23"/>
      <c r="M921" s="23"/>
      <c r="N921" s="23"/>
      <c r="P921" s="23"/>
    </row>
    <row r="922" spans="2:16" x14ac:dyDescent="0.25">
      <c r="B922" s="23"/>
      <c r="E922" s="23"/>
      <c r="G922" s="23"/>
      <c r="H922" s="23"/>
      <c r="J922" s="23"/>
      <c r="K922" s="23"/>
      <c r="M922" s="23"/>
      <c r="N922" s="23"/>
      <c r="P922" s="23"/>
    </row>
    <row r="923" spans="2:16" x14ac:dyDescent="0.25">
      <c r="B923" s="23"/>
      <c r="E923" s="23"/>
      <c r="G923" s="23"/>
      <c r="H923" s="23"/>
      <c r="J923" s="23"/>
      <c r="K923" s="23"/>
      <c r="M923" s="23"/>
      <c r="N923" s="23"/>
      <c r="P923" s="23"/>
    </row>
    <row r="924" spans="2:16" x14ac:dyDescent="0.25">
      <c r="B924" s="23"/>
      <c r="E924" s="23"/>
      <c r="G924" s="23"/>
      <c r="H924" s="23"/>
      <c r="J924" s="23"/>
      <c r="K924" s="23"/>
      <c r="M924" s="23"/>
      <c r="N924" s="23"/>
      <c r="P924" s="23"/>
    </row>
    <row r="925" spans="2:16" x14ac:dyDescent="0.25">
      <c r="B925" s="23"/>
      <c r="E925" s="23"/>
      <c r="G925" s="23"/>
      <c r="H925" s="23"/>
      <c r="J925" s="23"/>
      <c r="K925" s="23"/>
      <c r="M925" s="23"/>
      <c r="N925" s="23"/>
      <c r="P925" s="23"/>
    </row>
    <row r="926" spans="2:16" x14ac:dyDescent="0.25">
      <c r="B926" s="23"/>
      <c r="E926" s="23"/>
      <c r="G926" s="23"/>
      <c r="H926" s="23"/>
      <c r="J926" s="23"/>
      <c r="K926" s="23"/>
      <c r="M926" s="23"/>
      <c r="N926" s="23"/>
      <c r="P926" s="23"/>
    </row>
    <row r="927" spans="2:16" x14ac:dyDescent="0.25">
      <c r="B927" s="23"/>
      <c r="E927" s="23"/>
      <c r="G927" s="23"/>
      <c r="H927" s="23"/>
      <c r="J927" s="23"/>
      <c r="K927" s="23"/>
      <c r="M927" s="23"/>
      <c r="N927" s="23"/>
      <c r="P927" s="23"/>
    </row>
    <row r="928" spans="2:16" x14ac:dyDescent="0.25">
      <c r="B928" s="23"/>
      <c r="E928" s="23"/>
      <c r="G928" s="23"/>
      <c r="H928" s="23"/>
      <c r="J928" s="23"/>
      <c r="K928" s="23"/>
      <c r="M928" s="23"/>
      <c r="N928" s="23"/>
      <c r="P928" s="23"/>
    </row>
    <row r="929" spans="2:16" x14ac:dyDescent="0.25">
      <c r="B929" s="23"/>
      <c r="E929" s="23"/>
      <c r="G929" s="23"/>
      <c r="H929" s="23"/>
      <c r="J929" s="23"/>
      <c r="K929" s="23"/>
      <c r="M929" s="23"/>
      <c r="N929" s="23"/>
      <c r="P929" s="23"/>
    </row>
    <row r="930" spans="2:16" x14ac:dyDescent="0.25">
      <c r="B930" s="23"/>
      <c r="E930" s="23"/>
      <c r="G930" s="23"/>
      <c r="H930" s="23"/>
      <c r="J930" s="23"/>
      <c r="K930" s="23"/>
      <c r="M930" s="23"/>
      <c r="N930" s="23"/>
      <c r="P930" s="23"/>
    </row>
    <row r="931" spans="2:16" x14ac:dyDescent="0.25">
      <c r="B931" s="23"/>
      <c r="E931" s="23"/>
      <c r="G931" s="23"/>
      <c r="H931" s="23"/>
      <c r="J931" s="23"/>
      <c r="K931" s="23"/>
      <c r="M931" s="23"/>
      <c r="N931" s="23"/>
      <c r="P931" s="23"/>
    </row>
    <row r="932" spans="2:16" x14ac:dyDescent="0.25">
      <c r="B932" s="23"/>
      <c r="E932" s="23"/>
      <c r="G932" s="23"/>
      <c r="H932" s="23"/>
      <c r="J932" s="23"/>
      <c r="K932" s="23"/>
      <c r="M932" s="23"/>
      <c r="N932" s="23"/>
      <c r="P932" s="23"/>
    </row>
    <row r="933" spans="2:16" x14ac:dyDescent="0.25">
      <c r="B933" s="23"/>
      <c r="E933" s="23"/>
      <c r="G933" s="23"/>
      <c r="H933" s="23"/>
      <c r="J933" s="23"/>
      <c r="K933" s="23"/>
      <c r="M933" s="23"/>
      <c r="N933" s="23"/>
      <c r="P933" s="23"/>
    </row>
    <row r="934" spans="2:16" x14ac:dyDescent="0.25">
      <c r="B934" s="23"/>
      <c r="E934" s="23"/>
      <c r="G934" s="23"/>
      <c r="H934" s="23"/>
      <c r="J934" s="23"/>
      <c r="K934" s="23"/>
      <c r="M934" s="23"/>
      <c r="N934" s="23"/>
      <c r="P934" s="23"/>
    </row>
    <row r="935" spans="2:16" x14ac:dyDescent="0.25">
      <c r="B935" s="23"/>
      <c r="E935" s="23"/>
      <c r="G935" s="23"/>
      <c r="H935" s="23"/>
      <c r="J935" s="23"/>
      <c r="K935" s="23"/>
      <c r="M935" s="23"/>
      <c r="N935" s="23"/>
      <c r="P935" s="23"/>
    </row>
    <row r="936" spans="2:16" x14ac:dyDescent="0.25">
      <c r="B936" s="23"/>
      <c r="E936" s="23"/>
      <c r="G936" s="23"/>
      <c r="H936" s="23"/>
      <c r="J936" s="23"/>
      <c r="K936" s="23"/>
      <c r="M936" s="23"/>
      <c r="N936" s="23"/>
      <c r="P936" s="23"/>
    </row>
    <row r="937" spans="2:16" x14ac:dyDescent="0.25">
      <c r="B937" s="23"/>
      <c r="E937" s="23"/>
      <c r="G937" s="23"/>
      <c r="H937" s="23"/>
      <c r="J937" s="23"/>
      <c r="K937" s="23"/>
      <c r="M937" s="23"/>
      <c r="N937" s="23"/>
      <c r="P937" s="23"/>
    </row>
    <row r="938" spans="2:16" x14ac:dyDescent="0.25">
      <c r="B938" s="23"/>
      <c r="E938" s="23"/>
      <c r="G938" s="23"/>
      <c r="H938" s="23"/>
      <c r="J938" s="23"/>
      <c r="K938" s="23"/>
      <c r="M938" s="23"/>
      <c r="N938" s="23"/>
      <c r="P938" s="23"/>
    </row>
    <row r="939" spans="2:16" x14ac:dyDescent="0.25">
      <c r="B939" s="23"/>
      <c r="E939" s="23"/>
      <c r="G939" s="23"/>
      <c r="H939" s="23"/>
      <c r="J939" s="23"/>
      <c r="K939" s="23"/>
      <c r="M939" s="23"/>
      <c r="N939" s="23"/>
      <c r="P939" s="23"/>
    </row>
    <row r="940" spans="2:16" x14ac:dyDescent="0.25">
      <c r="B940" s="23"/>
      <c r="E940" s="23"/>
      <c r="G940" s="23"/>
      <c r="H940" s="23"/>
      <c r="J940" s="23"/>
      <c r="K940" s="23"/>
      <c r="M940" s="23"/>
      <c r="N940" s="23"/>
      <c r="P940" s="23"/>
    </row>
    <row r="941" spans="2:16" x14ac:dyDescent="0.25">
      <c r="B941" s="23"/>
      <c r="E941" s="23"/>
      <c r="G941" s="23"/>
      <c r="H941" s="23"/>
      <c r="J941" s="23"/>
      <c r="K941" s="23"/>
      <c r="M941" s="23"/>
      <c r="N941" s="23"/>
      <c r="P941" s="23"/>
    </row>
    <row r="942" spans="2:16" x14ac:dyDescent="0.25">
      <c r="B942" s="23"/>
      <c r="E942" s="23"/>
      <c r="G942" s="23"/>
      <c r="H942" s="23"/>
      <c r="J942" s="23"/>
      <c r="K942" s="23"/>
      <c r="M942" s="23"/>
      <c r="N942" s="23"/>
      <c r="P942" s="23"/>
    </row>
    <row r="943" spans="2:16" x14ac:dyDescent="0.25">
      <c r="B943" s="23"/>
      <c r="E943" s="23"/>
      <c r="G943" s="23"/>
      <c r="H943" s="23"/>
      <c r="J943" s="23"/>
      <c r="K943" s="23"/>
      <c r="M943" s="23"/>
      <c r="N943" s="23"/>
      <c r="P943" s="23"/>
    </row>
    <row r="944" spans="2:16" x14ac:dyDescent="0.25">
      <c r="B944" s="23"/>
      <c r="E944" s="23"/>
      <c r="G944" s="23"/>
      <c r="H944" s="23"/>
      <c r="J944" s="23"/>
      <c r="K944" s="23"/>
      <c r="M944" s="23"/>
      <c r="N944" s="23"/>
      <c r="P944" s="23"/>
    </row>
    <row r="945" spans="2:16" x14ac:dyDescent="0.25">
      <c r="B945" s="23"/>
      <c r="E945" s="23"/>
      <c r="G945" s="23"/>
      <c r="H945" s="23"/>
      <c r="J945" s="23"/>
      <c r="K945" s="23"/>
      <c r="M945" s="23"/>
      <c r="N945" s="23"/>
      <c r="P945" s="23"/>
    </row>
    <row r="946" spans="2:16" x14ac:dyDescent="0.25">
      <c r="B946" s="23"/>
      <c r="E946" s="23"/>
      <c r="G946" s="23"/>
      <c r="H946" s="23"/>
      <c r="J946" s="23"/>
      <c r="K946" s="23"/>
      <c r="M946" s="23"/>
      <c r="N946" s="23"/>
      <c r="P946" s="23"/>
    </row>
    <row r="947" spans="2:16" x14ac:dyDescent="0.25">
      <c r="B947" s="23"/>
      <c r="E947" s="23"/>
      <c r="G947" s="23"/>
      <c r="H947" s="23"/>
      <c r="J947" s="23"/>
      <c r="K947" s="23"/>
      <c r="M947" s="23"/>
      <c r="N947" s="23"/>
      <c r="P947" s="23"/>
    </row>
    <row r="948" spans="2:16" x14ac:dyDescent="0.25">
      <c r="B948" s="23"/>
      <c r="E948" s="23"/>
      <c r="G948" s="23"/>
      <c r="H948" s="23"/>
      <c r="J948" s="23"/>
      <c r="K948" s="23"/>
      <c r="M948" s="23"/>
      <c r="N948" s="23"/>
      <c r="P948" s="23"/>
    </row>
    <row r="949" spans="2:16" x14ac:dyDescent="0.25">
      <c r="B949" s="23"/>
      <c r="E949" s="23"/>
      <c r="G949" s="23"/>
      <c r="H949" s="23"/>
      <c r="J949" s="23"/>
      <c r="K949" s="23"/>
      <c r="M949" s="23"/>
      <c r="N949" s="23"/>
      <c r="P949" s="23"/>
    </row>
    <row r="950" spans="2:16" x14ac:dyDescent="0.25">
      <c r="B950" s="23"/>
      <c r="E950" s="23"/>
      <c r="G950" s="23"/>
      <c r="H950" s="23"/>
      <c r="J950" s="23"/>
      <c r="K950" s="23"/>
      <c r="M950" s="23"/>
      <c r="N950" s="23"/>
      <c r="P950" s="23"/>
    </row>
    <row r="951" spans="2:16" x14ac:dyDescent="0.25">
      <c r="B951" s="23"/>
      <c r="E951" s="23"/>
      <c r="G951" s="23"/>
      <c r="H951" s="23"/>
      <c r="J951" s="23"/>
      <c r="K951" s="23"/>
      <c r="M951" s="23"/>
      <c r="N951" s="23"/>
      <c r="P951" s="23"/>
    </row>
    <row r="952" spans="2:16" x14ac:dyDescent="0.25">
      <c r="B952" s="23"/>
      <c r="E952" s="23"/>
      <c r="G952" s="23"/>
      <c r="H952" s="23"/>
      <c r="J952" s="23"/>
      <c r="K952" s="23"/>
      <c r="M952" s="23"/>
      <c r="N952" s="23"/>
      <c r="P952" s="23"/>
    </row>
    <row r="953" spans="2:16" x14ac:dyDescent="0.25">
      <c r="B953" s="23"/>
      <c r="E953" s="23"/>
      <c r="G953" s="23"/>
      <c r="H953" s="23"/>
      <c r="J953" s="23"/>
      <c r="K953" s="23"/>
      <c r="M953" s="23"/>
      <c r="N953" s="23"/>
      <c r="P953" s="23"/>
    </row>
    <row r="954" spans="2:16" x14ac:dyDescent="0.25">
      <c r="B954" s="23"/>
      <c r="E954" s="23"/>
      <c r="G954" s="23"/>
      <c r="H954" s="23"/>
      <c r="J954" s="23"/>
      <c r="K954" s="23"/>
      <c r="M954" s="23"/>
      <c r="N954" s="23"/>
      <c r="P954" s="23"/>
    </row>
    <row r="955" spans="2:16" x14ac:dyDescent="0.25">
      <c r="B955" s="23"/>
      <c r="E955" s="23"/>
      <c r="G955" s="23"/>
      <c r="H955" s="23"/>
      <c r="J955" s="23"/>
      <c r="K955" s="23"/>
      <c r="M955" s="23"/>
      <c r="N955" s="23"/>
      <c r="P955" s="23"/>
    </row>
    <row r="956" spans="2:16" x14ac:dyDescent="0.25">
      <c r="B956" s="23"/>
      <c r="E956" s="23"/>
      <c r="G956" s="23"/>
      <c r="H956" s="23"/>
      <c r="J956" s="23"/>
      <c r="K956" s="23"/>
      <c r="M956" s="23"/>
      <c r="N956" s="23"/>
      <c r="P956" s="23"/>
    </row>
    <row r="957" spans="2:16" x14ac:dyDescent="0.25">
      <c r="B957" s="23"/>
      <c r="E957" s="23"/>
      <c r="G957" s="23"/>
      <c r="H957" s="23"/>
      <c r="J957" s="23"/>
      <c r="K957" s="23"/>
      <c r="M957" s="23"/>
      <c r="N957" s="23"/>
      <c r="P957" s="23"/>
    </row>
    <row r="958" spans="2:16" x14ac:dyDescent="0.25">
      <c r="B958" s="23"/>
      <c r="E958" s="23"/>
      <c r="G958" s="23"/>
      <c r="H958" s="23"/>
      <c r="J958" s="23"/>
      <c r="K958" s="23"/>
      <c r="M958" s="23"/>
      <c r="N958" s="23"/>
      <c r="P958" s="23"/>
    </row>
    <row r="959" spans="2:16" x14ac:dyDescent="0.25">
      <c r="B959" s="23"/>
      <c r="E959" s="23"/>
      <c r="G959" s="23"/>
      <c r="H959" s="23"/>
      <c r="J959" s="23"/>
      <c r="K959" s="23"/>
      <c r="M959" s="23"/>
      <c r="N959" s="23"/>
      <c r="P959" s="23"/>
    </row>
    <row r="960" spans="2:16" x14ac:dyDescent="0.25">
      <c r="B960" s="23"/>
      <c r="E960" s="23"/>
      <c r="G960" s="23"/>
      <c r="H960" s="23"/>
      <c r="J960" s="23"/>
      <c r="K960" s="23"/>
      <c r="M960" s="23"/>
      <c r="N960" s="23"/>
      <c r="P960" s="23"/>
    </row>
    <row r="961" spans="2:16" x14ac:dyDescent="0.25">
      <c r="B961" s="23"/>
      <c r="E961" s="23"/>
      <c r="G961" s="23"/>
      <c r="H961" s="23"/>
      <c r="J961" s="23"/>
      <c r="K961" s="23"/>
      <c r="M961" s="23"/>
      <c r="N961" s="23"/>
      <c r="P961" s="23"/>
    </row>
    <row r="962" spans="2:16" x14ac:dyDescent="0.25">
      <c r="B962" s="23"/>
      <c r="E962" s="23"/>
      <c r="G962" s="23"/>
      <c r="H962" s="23"/>
      <c r="J962" s="23"/>
      <c r="K962" s="23"/>
      <c r="M962" s="23"/>
      <c r="N962" s="23"/>
      <c r="P962" s="23"/>
    </row>
    <row r="963" spans="2:16" x14ac:dyDescent="0.25">
      <c r="B963" s="23"/>
      <c r="E963" s="23"/>
      <c r="G963" s="23"/>
      <c r="H963" s="23"/>
      <c r="J963" s="23"/>
      <c r="K963" s="23"/>
      <c r="M963" s="23"/>
      <c r="N963" s="23"/>
      <c r="P963" s="23"/>
    </row>
    <row r="964" spans="2:16" x14ac:dyDescent="0.25">
      <c r="B964" s="23"/>
      <c r="E964" s="23"/>
      <c r="G964" s="23"/>
      <c r="H964" s="23"/>
      <c r="J964" s="23"/>
      <c r="K964" s="23"/>
      <c r="M964" s="23"/>
      <c r="N964" s="23"/>
      <c r="P964" s="23"/>
    </row>
    <row r="965" spans="2:16" x14ac:dyDescent="0.25">
      <c r="B965" s="23"/>
      <c r="E965" s="23"/>
      <c r="G965" s="23"/>
      <c r="H965" s="23"/>
      <c r="J965" s="23"/>
      <c r="K965" s="23"/>
      <c r="M965" s="23"/>
      <c r="N965" s="23"/>
      <c r="P965" s="23"/>
    </row>
    <row r="966" spans="2:16" x14ac:dyDescent="0.25">
      <c r="B966" s="23"/>
      <c r="E966" s="23"/>
      <c r="G966" s="23"/>
      <c r="H966" s="23"/>
      <c r="J966" s="23"/>
      <c r="K966" s="23"/>
      <c r="M966" s="23"/>
      <c r="N966" s="23"/>
      <c r="P966" s="23"/>
    </row>
    <row r="967" spans="2:16" x14ac:dyDescent="0.25">
      <c r="B967" s="23"/>
      <c r="E967" s="23"/>
      <c r="G967" s="23"/>
      <c r="H967" s="23"/>
      <c r="J967" s="23"/>
      <c r="K967" s="23"/>
      <c r="M967" s="23"/>
      <c r="N967" s="23"/>
      <c r="P967" s="23"/>
    </row>
    <row r="968" spans="2:16" x14ac:dyDescent="0.25">
      <c r="B968" s="23"/>
      <c r="E968" s="23"/>
      <c r="G968" s="23"/>
      <c r="H968" s="23"/>
      <c r="J968" s="23"/>
      <c r="K968" s="23"/>
      <c r="M968" s="23"/>
      <c r="N968" s="23"/>
      <c r="P968" s="23"/>
    </row>
    <row r="969" spans="2:16" x14ac:dyDescent="0.25">
      <c r="B969" s="23"/>
      <c r="E969" s="23"/>
      <c r="G969" s="23"/>
      <c r="H969" s="23"/>
      <c r="J969" s="23"/>
      <c r="K969" s="23"/>
      <c r="M969" s="23"/>
      <c r="N969" s="23"/>
      <c r="P969" s="23"/>
    </row>
    <row r="970" spans="2:16" x14ac:dyDescent="0.25">
      <c r="B970" s="23"/>
      <c r="E970" s="23"/>
      <c r="G970" s="23"/>
      <c r="H970" s="23"/>
      <c r="J970" s="23"/>
      <c r="K970" s="23"/>
      <c r="M970" s="23"/>
      <c r="N970" s="23"/>
      <c r="P970" s="23"/>
    </row>
    <row r="971" spans="2:16" x14ac:dyDescent="0.25">
      <c r="B971" s="23"/>
      <c r="E971" s="23"/>
      <c r="G971" s="23"/>
      <c r="H971" s="23"/>
      <c r="J971" s="23"/>
      <c r="K971" s="23"/>
      <c r="M971" s="23"/>
      <c r="N971" s="23"/>
      <c r="P971" s="23"/>
    </row>
    <row r="972" spans="2:16" x14ac:dyDescent="0.25">
      <c r="B972" s="23"/>
      <c r="E972" s="23"/>
      <c r="G972" s="23"/>
      <c r="H972" s="23"/>
      <c r="J972" s="23"/>
      <c r="K972" s="23"/>
      <c r="M972" s="23"/>
      <c r="N972" s="23"/>
      <c r="P972" s="23"/>
    </row>
    <row r="973" spans="2:16" x14ac:dyDescent="0.25">
      <c r="B973" s="23"/>
      <c r="E973" s="23"/>
      <c r="G973" s="23"/>
      <c r="H973" s="23"/>
      <c r="J973" s="23"/>
      <c r="K973" s="23"/>
      <c r="M973" s="23"/>
      <c r="N973" s="23"/>
      <c r="P973" s="23"/>
    </row>
    <row r="974" spans="2:16" x14ac:dyDescent="0.25">
      <c r="B974" s="23"/>
      <c r="E974" s="23"/>
      <c r="G974" s="23"/>
      <c r="H974" s="23"/>
      <c r="J974" s="23"/>
      <c r="K974" s="23"/>
      <c r="M974" s="23"/>
      <c r="N974" s="23"/>
      <c r="P974" s="23"/>
    </row>
    <row r="975" spans="2:16" x14ac:dyDescent="0.25">
      <c r="B975" s="23"/>
      <c r="E975" s="23"/>
      <c r="G975" s="23"/>
      <c r="H975" s="23"/>
      <c r="J975" s="23"/>
      <c r="K975" s="23"/>
      <c r="M975" s="23"/>
      <c r="N975" s="23"/>
      <c r="P975" s="23"/>
    </row>
    <row r="976" spans="2:16" x14ac:dyDescent="0.25">
      <c r="B976" s="23"/>
      <c r="E976" s="23"/>
      <c r="G976" s="23"/>
      <c r="H976" s="23"/>
      <c r="J976" s="23"/>
      <c r="K976" s="23"/>
      <c r="M976" s="23"/>
      <c r="N976" s="23"/>
      <c r="P976" s="23"/>
    </row>
    <row r="977" spans="2:16" x14ac:dyDescent="0.25">
      <c r="B977" s="23"/>
      <c r="E977" s="23"/>
      <c r="G977" s="23"/>
      <c r="H977" s="23"/>
      <c r="J977" s="23"/>
      <c r="K977" s="23"/>
      <c r="M977" s="23"/>
      <c r="N977" s="23"/>
      <c r="P977" s="23"/>
    </row>
    <row r="978" spans="2:16" x14ac:dyDescent="0.25">
      <c r="B978" s="23"/>
      <c r="E978" s="23"/>
      <c r="G978" s="23"/>
      <c r="H978" s="23"/>
      <c r="J978" s="23"/>
      <c r="K978" s="23"/>
      <c r="M978" s="23"/>
      <c r="N978" s="23"/>
      <c r="P978" s="23"/>
    </row>
    <row r="979" spans="2:16" x14ac:dyDescent="0.25">
      <c r="B979" s="23"/>
      <c r="E979" s="23"/>
      <c r="G979" s="23"/>
      <c r="H979" s="23"/>
      <c r="J979" s="23"/>
      <c r="K979" s="23"/>
      <c r="M979" s="23"/>
      <c r="N979" s="23"/>
      <c r="P979" s="23"/>
    </row>
    <row r="980" spans="2:16" x14ac:dyDescent="0.25">
      <c r="B980" s="23"/>
      <c r="E980" s="23"/>
      <c r="G980" s="23"/>
      <c r="H980" s="23"/>
      <c r="J980" s="23"/>
      <c r="K980" s="23"/>
      <c r="M980" s="23"/>
      <c r="N980" s="23"/>
      <c r="P980" s="23"/>
    </row>
    <row r="981" spans="2:16" x14ac:dyDescent="0.25">
      <c r="B981" s="23"/>
      <c r="E981" s="23"/>
      <c r="G981" s="23"/>
      <c r="H981" s="23"/>
      <c r="J981" s="23"/>
      <c r="K981" s="23"/>
      <c r="M981" s="23"/>
      <c r="N981" s="23"/>
      <c r="P981" s="23"/>
    </row>
    <row r="982" spans="2:16" x14ac:dyDescent="0.25">
      <c r="B982" s="23"/>
      <c r="E982" s="23"/>
      <c r="G982" s="23"/>
      <c r="H982" s="23"/>
      <c r="J982" s="23"/>
      <c r="K982" s="23"/>
      <c r="M982" s="23"/>
      <c r="N982" s="23"/>
      <c r="P982" s="23"/>
    </row>
    <row r="983" spans="2:16" x14ac:dyDescent="0.25">
      <c r="B983" s="23"/>
      <c r="E983" s="23"/>
      <c r="G983" s="23"/>
      <c r="H983" s="23"/>
      <c r="J983" s="23"/>
      <c r="K983" s="23"/>
      <c r="M983" s="23"/>
      <c r="N983" s="23"/>
      <c r="P983" s="23"/>
    </row>
    <row r="984" spans="2:16" x14ac:dyDescent="0.25">
      <c r="B984" s="23"/>
      <c r="E984" s="23"/>
      <c r="G984" s="23"/>
      <c r="H984" s="23"/>
      <c r="J984" s="23"/>
      <c r="K984" s="23"/>
      <c r="M984" s="23"/>
      <c r="N984" s="23"/>
      <c r="P984" s="23"/>
    </row>
    <row r="985" spans="2:16" x14ac:dyDescent="0.25">
      <c r="B985" s="23"/>
      <c r="E985" s="23"/>
      <c r="G985" s="23"/>
      <c r="H985" s="23"/>
      <c r="J985" s="23"/>
      <c r="K985" s="23"/>
      <c r="M985" s="23"/>
      <c r="N985" s="23"/>
      <c r="P985" s="23"/>
    </row>
    <row r="986" spans="2:16" x14ac:dyDescent="0.25">
      <c r="B986" s="23"/>
      <c r="E986" s="23"/>
      <c r="G986" s="23"/>
      <c r="H986" s="23"/>
      <c r="J986" s="23"/>
      <c r="K986" s="23"/>
      <c r="M986" s="23"/>
      <c r="N986" s="23"/>
      <c r="P986" s="23"/>
    </row>
    <row r="987" spans="2:16" x14ac:dyDescent="0.25">
      <c r="B987" s="23"/>
      <c r="E987" s="23"/>
      <c r="G987" s="23"/>
      <c r="H987" s="23"/>
      <c r="J987" s="23"/>
      <c r="K987" s="23"/>
      <c r="M987" s="23"/>
      <c r="N987" s="23"/>
      <c r="P987" s="23"/>
    </row>
    <row r="988" spans="2:16" x14ac:dyDescent="0.25">
      <c r="B988" s="23"/>
      <c r="E988" s="23"/>
      <c r="G988" s="23"/>
      <c r="H988" s="23"/>
      <c r="J988" s="23"/>
      <c r="K988" s="23"/>
      <c r="M988" s="23"/>
      <c r="N988" s="23"/>
      <c r="P988" s="23"/>
    </row>
    <row r="989" spans="2:16" x14ac:dyDescent="0.25">
      <c r="B989" s="23"/>
      <c r="E989" s="23"/>
      <c r="G989" s="23"/>
      <c r="H989" s="23"/>
      <c r="J989" s="23"/>
      <c r="K989" s="23"/>
      <c r="M989" s="23"/>
      <c r="N989" s="23"/>
      <c r="P989" s="23"/>
    </row>
    <row r="990" spans="2:16" x14ac:dyDescent="0.25">
      <c r="B990" s="23"/>
      <c r="E990" s="23"/>
      <c r="G990" s="23"/>
      <c r="H990" s="23"/>
      <c r="J990" s="23"/>
      <c r="K990" s="23"/>
      <c r="M990" s="23"/>
      <c r="N990" s="23"/>
      <c r="P990" s="23"/>
    </row>
    <row r="991" spans="2:16" x14ac:dyDescent="0.25">
      <c r="B991" s="23"/>
      <c r="E991" s="23"/>
      <c r="G991" s="23"/>
      <c r="H991" s="23"/>
      <c r="J991" s="23"/>
      <c r="K991" s="23"/>
      <c r="M991" s="23"/>
      <c r="N991" s="23"/>
      <c r="P991" s="23"/>
    </row>
    <row r="992" spans="2:16" x14ac:dyDescent="0.25">
      <c r="B992" s="23"/>
      <c r="E992" s="23"/>
      <c r="G992" s="23"/>
      <c r="H992" s="23"/>
      <c r="J992" s="23"/>
      <c r="K992" s="23"/>
      <c r="M992" s="23"/>
      <c r="N992" s="23"/>
      <c r="P992" s="23"/>
    </row>
    <row r="993" spans="2:16" x14ac:dyDescent="0.25">
      <c r="B993" s="23"/>
      <c r="E993" s="23"/>
      <c r="G993" s="23"/>
      <c r="H993" s="23"/>
      <c r="J993" s="23"/>
      <c r="K993" s="23"/>
      <c r="M993" s="23"/>
      <c r="N993" s="23"/>
      <c r="P993" s="23"/>
    </row>
    <row r="994" spans="2:16" x14ac:dyDescent="0.25">
      <c r="B994" s="23"/>
      <c r="E994" s="23"/>
      <c r="G994" s="23"/>
      <c r="H994" s="23"/>
      <c r="J994" s="23"/>
      <c r="K994" s="23"/>
      <c r="M994" s="23"/>
      <c r="N994" s="23"/>
      <c r="P994" s="23"/>
    </row>
    <row r="995" spans="2:16" x14ac:dyDescent="0.25">
      <c r="B995" s="23"/>
      <c r="E995" s="23"/>
      <c r="G995" s="23"/>
      <c r="H995" s="23"/>
      <c r="J995" s="23"/>
      <c r="K995" s="23"/>
      <c r="M995" s="23"/>
      <c r="N995" s="23"/>
      <c r="P995" s="23"/>
    </row>
    <row r="996" spans="2:16" x14ac:dyDescent="0.25">
      <c r="B996" s="23"/>
      <c r="E996" s="23"/>
      <c r="G996" s="23"/>
      <c r="H996" s="23"/>
      <c r="J996" s="23"/>
      <c r="K996" s="23"/>
      <c r="M996" s="23"/>
      <c r="N996" s="23"/>
      <c r="P996" s="23"/>
    </row>
    <row r="997" spans="2:16" x14ac:dyDescent="0.25">
      <c r="B997" s="23"/>
      <c r="E997" s="23"/>
      <c r="G997" s="23"/>
      <c r="H997" s="23"/>
      <c r="J997" s="23"/>
      <c r="K997" s="23"/>
      <c r="M997" s="23"/>
      <c r="N997" s="23"/>
      <c r="P997" s="23"/>
    </row>
    <row r="998" spans="2:16" x14ac:dyDescent="0.25">
      <c r="B998" s="23"/>
      <c r="E998" s="23"/>
      <c r="G998" s="23"/>
      <c r="H998" s="23"/>
      <c r="J998" s="23"/>
      <c r="K998" s="23"/>
      <c r="M998" s="23"/>
      <c r="N998" s="23"/>
      <c r="P998" s="23"/>
    </row>
    <row r="999" spans="2:16" x14ac:dyDescent="0.25">
      <c r="B999" s="23"/>
      <c r="E999" s="23"/>
      <c r="G999" s="23"/>
      <c r="H999" s="23"/>
      <c r="J999" s="23"/>
      <c r="K999" s="23"/>
      <c r="M999" s="23"/>
      <c r="N999" s="23"/>
      <c r="P999" s="23"/>
    </row>
    <row r="1000" spans="2:16" x14ac:dyDescent="0.25">
      <c r="B1000" s="23"/>
      <c r="E1000" s="23"/>
      <c r="G1000" s="23"/>
      <c r="H1000" s="23"/>
      <c r="J1000" s="23"/>
      <c r="K1000" s="23"/>
      <c r="M1000" s="23"/>
      <c r="N1000" s="23"/>
      <c r="P1000" s="23"/>
    </row>
    <row r="1001" spans="2:16" x14ac:dyDescent="0.25">
      <c r="B1001" s="23"/>
      <c r="E1001" s="23"/>
      <c r="G1001" s="23"/>
      <c r="H1001" s="23"/>
      <c r="J1001" s="23"/>
      <c r="K1001" s="23"/>
      <c r="M1001" s="23"/>
      <c r="N1001" s="23"/>
      <c r="P1001" s="23"/>
    </row>
    <row r="1002" spans="2:16" x14ac:dyDescent="0.25">
      <c r="B1002" s="23"/>
      <c r="E1002" s="23"/>
      <c r="G1002" s="23"/>
      <c r="H1002" s="23"/>
      <c r="J1002" s="23"/>
      <c r="K1002" s="23"/>
      <c r="M1002" s="23"/>
      <c r="N1002" s="23"/>
      <c r="P1002" s="23"/>
    </row>
    <row r="1003" spans="2:16" x14ac:dyDescent="0.25">
      <c r="B1003" s="23"/>
      <c r="E1003" s="23"/>
      <c r="G1003" s="23"/>
      <c r="H1003" s="23"/>
      <c r="J1003" s="23"/>
      <c r="K1003" s="23"/>
      <c r="M1003" s="23"/>
      <c r="N1003" s="23"/>
      <c r="P1003" s="23"/>
    </row>
    <row r="1004" spans="2:16" x14ac:dyDescent="0.25">
      <c r="B1004" s="23"/>
      <c r="E1004" s="23"/>
      <c r="G1004" s="23"/>
      <c r="H1004" s="23"/>
      <c r="J1004" s="23"/>
      <c r="K1004" s="23"/>
      <c r="M1004" s="23"/>
      <c r="N1004" s="23"/>
      <c r="P1004" s="23"/>
    </row>
    <row r="1005" spans="2:16" x14ac:dyDescent="0.25">
      <c r="B1005" s="23"/>
      <c r="E1005" s="23"/>
      <c r="G1005" s="23"/>
      <c r="H1005" s="23"/>
      <c r="J1005" s="23"/>
      <c r="K1005" s="23"/>
      <c r="M1005" s="23"/>
      <c r="N1005" s="23"/>
      <c r="P1005" s="23"/>
    </row>
    <row r="1006" spans="2:16" x14ac:dyDescent="0.25">
      <c r="B1006" s="23"/>
      <c r="E1006" s="23"/>
      <c r="G1006" s="23"/>
      <c r="H1006" s="23"/>
      <c r="J1006" s="23"/>
      <c r="K1006" s="23"/>
      <c r="M1006" s="23"/>
      <c r="N1006" s="23"/>
      <c r="P1006" s="23"/>
    </row>
    <row r="1007" spans="2:16" x14ac:dyDescent="0.25">
      <c r="B1007" s="23"/>
      <c r="E1007" s="23"/>
      <c r="G1007" s="23"/>
      <c r="H1007" s="23"/>
      <c r="J1007" s="23"/>
      <c r="K1007" s="23"/>
      <c r="M1007" s="23"/>
      <c r="N1007" s="23"/>
      <c r="P1007" s="23"/>
    </row>
    <row r="1008" spans="2:16" x14ac:dyDescent="0.25">
      <c r="B1008" s="23"/>
      <c r="E1008" s="23"/>
      <c r="G1008" s="23"/>
      <c r="H1008" s="23"/>
      <c r="J1008" s="23"/>
      <c r="K1008" s="23"/>
      <c r="M1008" s="23"/>
      <c r="N1008" s="23"/>
      <c r="P1008" s="23"/>
    </row>
    <row r="1009" spans="2:16" x14ac:dyDescent="0.25">
      <c r="B1009" s="23"/>
      <c r="E1009" s="23"/>
      <c r="G1009" s="23"/>
      <c r="H1009" s="23"/>
      <c r="J1009" s="23"/>
      <c r="K1009" s="23"/>
      <c r="M1009" s="23"/>
      <c r="N1009" s="23"/>
      <c r="P1009" s="23"/>
    </row>
    <row r="1010" spans="2:16" x14ac:dyDescent="0.25">
      <c r="B1010" s="23"/>
      <c r="E1010" s="23"/>
      <c r="G1010" s="23"/>
      <c r="H1010" s="23"/>
      <c r="J1010" s="23"/>
      <c r="K1010" s="23"/>
      <c r="M1010" s="23"/>
      <c r="N1010" s="23"/>
      <c r="P1010" s="23"/>
    </row>
    <row r="1011" spans="2:16" x14ac:dyDescent="0.25">
      <c r="B1011" s="23"/>
      <c r="E1011" s="23"/>
      <c r="G1011" s="23"/>
      <c r="H1011" s="23"/>
      <c r="J1011" s="23"/>
      <c r="K1011" s="23"/>
      <c r="M1011" s="23"/>
      <c r="N1011" s="23"/>
      <c r="P1011" s="23"/>
    </row>
    <row r="1012" spans="2:16" x14ac:dyDescent="0.25">
      <c r="B1012" s="23"/>
      <c r="E1012" s="23"/>
      <c r="G1012" s="23"/>
      <c r="H1012" s="23"/>
      <c r="J1012" s="23"/>
      <c r="K1012" s="23"/>
      <c r="M1012" s="23"/>
      <c r="N1012" s="23"/>
      <c r="P1012" s="23"/>
    </row>
    <row r="1013" spans="2:16" x14ac:dyDescent="0.25">
      <c r="B1013" s="23"/>
      <c r="E1013" s="23"/>
      <c r="G1013" s="23"/>
      <c r="H1013" s="23"/>
      <c r="J1013" s="23"/>
      <c r="K1013" s="23"/>
      <c r="M1013" s="23"/>
      <c r="N1013" s="23"/>
      <c r="P1013" s="23"/>
    </row>
    <row r="1014" spans="2:16" x14ac:dyDescent="0.25">
      <c r="B1014" s="23"/>
      <c r="E1014" s="23"/>
      <c r="G1014" s="23"/>
      <c r="H1014" s="23"/>
      <c r="J1014" s="23"/>
      <c r="K1014" s="23"/>
      <c r="M1014" s="23"/>
      <c r="N1014" s="23"/>
      <c r="P1014" s="23"/>
    </row>
    <row r="1015" spans="2:16" x14ac:dyDescent="0.25">
      <c r="B1015" s="23"/>
      <c r="E1015" s="23"/>
      <c r="G1015" s="23"/>
      <c r="H1015" s="23"/>
      <c r="J1015" s="23"/>
      <c r="K1015" s="23"/>
      <c r="M1015" s="23"/>
      <c r="N1015" s="23"/>
      <c r="P1015" s="23"/>
    </row>
    <row r="1016" spans="2:16" x14ac:dyDescent="0.25">
      <c r="B1016" s="23"/>
      <c r="E1016" s="23"/>
      <c r="G1016" s="23"/>
      <c r="H1016" s="23"/>
      <c r="J1016" s="23"/>
      <c r="K1016" s="23"/>
      <c r="M1016" s="23"/>
      <c r="N1016" s="23"/>
      <c r="P1016" s="23"/>
    </row>
    <row r="1017" spans="2:16" x14ac:dyDescent="0.25">
      <c r="B1017" s="23"/>
      <c r="E1017" s="23"/>
      <c r="G1017" s="23"/>
      <c r="H1017" s="23"/>
      <c r="J1017" s="23"/>
      <c r="K1017" s="23"/>
      <c r="M1017" s="23"/>
      <c r="N1017" s="23"/>
      <c r="P1017" s="23"/>
    </row>
    <row r="1018" spans="2:16" x14ac:dyDescent="0.25">
      <c r="B1018" s="23"/>
      <c r="E1018" s="23"/>
      <c r="G1018" s="23"/>
      <c r="H1018" s="23"/>
      <c r="J1018" s="23"/>
      <c r="K1018" s="23"/>
      <c r="M1018" s="23"/>
      <c r="N1018" s="23"/>
      <c r="P1018" s="23"/>
    </row>
    <row r="1019" spans="2:16" x14ac:dyDescent="0.25">
      <c r="B1019" s="23"/>
      <c r="E1019" s="23"/>
      <c r="G1019" s="23"/>
      <c r="H1019" s="23"/>
      <c r="J1019" s="23"/>
      <c r="K1019" s="23"/>
      <c r="M1019" s="23"/>
      <c r="N1019" s="23"/>
      <c r="P1019" s="23"/>
    </row>
    <row r="1020" spans="2:16" x14ac:dyDescent="0.25">
      <c r="B1020" s="23"/>
      <c r="E1020" s="23"/>
      <c r="G1020" s="23"/>
      <c r="H1020" s="23"/>
      <c r="J1020" s="23"/>
      <c r="K1020" s="23"/>
      <c r="M1020" s="23"/>
      <c r="N1020" s="23"/>
      <c r="P1020" s="23"/>
    </row>
    <row r="1021" spans="2:16" x14ac:dyDescent="0.25">
      <c r="B1021" s="23"/>
      <c r="E1021" s="23"/>
      <c r="G1021" s="23"/>
      <c r="H1021" s="23"/>
      <c r="J1021" s="23"/>
      <c r="K1021" s="23"/>
      <c r="M1021" s="23"/>
      <c r="N1021" s="23"/>
      <c r="P1021" s="23"/>
    </row>
    <row r="1022" spans="2:16" x14ac:dyDescent="0.25">
      <c r="B1022" s="23"/>
      <c r="E1022" s="23"/>
      <c r="G1022" s="23"/>
      <c r="H1022" s="23"/>
      <c r="J1022" s="23"/>
      <c r="K1022" s="23"/>
      <c r="M1022" s="23"/>
      <c r="N1022" s="23"/>
      <c r="P1022" s="23"/>
    </row>
    <row r="1023" spans="2:16" x14ac:dyDescent="0.25">
      <c r="B1023" s="23"/>
      <c r="E1023" s="23"/>
      <c r="G1023" s="23"/>
      <c r="H1023" s="23"/>
      <c r="J1023" s="23"/>
      <c r="K1023" s="23"/>
      <c r="M1023" s="23"/>
      <c r="N1023" s="23"/>
      <c r="P1023" s="23"/>
    </row>
    <row r="1024" spans="2:16" x14ac:dyDescent="0.25">
      <c r="B1024" s="23"/>
      <c r="E1024" s="23"/>
      <c r="G1024" s="23"/>
      <c r="H1024" s="23"/>
      <c r="J1024" s="23"/>
      <c r="K1024" s="23"/>
      <c r="M1024" s="23"/>
      <c r="N1024" s="23"/>
      <c r="P1024" s="23"/>
    </row>
    <row r="1025" spans="2:16" x14ac:dyDescent="0.25">
      <c r="B1025" s="23"/>
      <c r="E1025" s="23"/>
      <c r="G1025" s="23"/>
      <c r="H1025" s="23"/>
      <c r="J1025" s="23"/>
      <c r="K1025" s="23"/>
      <c r="M1025" s="23"/>
      <c r="N1025" s="23"/>
      <c r="P1025" s="23"/>
    </row>
    <row r="1026" spans="2:16" x14ac:dyDescent="0.25">
      <c r="B1026" s="23"/>
      <c r="E1026" s="23"/>
      <c r="G1026" s="23"/>
      <c r="H1026" s="23"/>
      <c r="J1026" s="23"/>
      <c r="K1026" s="23"/>
      <c r="M1026" s="23"/>
      <c r="N1026" s="23"/>
      <c r="P1026" s="23"/>
    </row>
    <row r="1027" spans="2:16" x14ac:dyDescent="0.25">
      <c r="B1027" s="23"/>
      <c r="E1027" s="23"/>
      <c r="G1027" s="23"/>
      <c r="H1027" s="23"/>
      <c r="J1027" s="23"/>
      <c r="K1027" s="23"/>
      <c r="M1027" s="23"/>
      <c r="N1027" s="23"/>
      <c r="P1027" s="23"/>
    </row>
    <row r="1028" spans="2:16" x14ac:dyDescent="0.25">
      <c r="B1028" s="23"/>
      <c r="E1028" s="23"/>
      <c r="G1028" s="23"/>
      <c r="H1028" s="23"/>
      <c r="J1028" s="23"/>
      <c r="K1028" s="23"/>
      <c r="M1028" s="23"/>
      <c r="N1028" s="23"/>
      <c r="P1028" s="23"/>
    </row>
    <row r="1029" spans="2:16" x14ac:dyDescent="0.25">
      <c r="B1029" s="23"/>
      <c r="E1029" s="23"/>
      <c r="G1029" s="23"/>
      <c r="H1029" s="23"/>
      <c r="J1029" s="23"/>
      <c r="K1029" s="23"/>
      <c r="M1029" s="23"/>
      <c r="N1029" s="23"/>
      <c r="P1029" s="23"/>
    </row>
    <row r="1030" spans="2:16" x14ac:dyDescent="0.25">
      <c r="B1030" s="23"/>
      <c r="E1030" s="23"/>
      <c r="G1030" s="23"/>
      <c r="H1030" s="23"/>
      <c r="J1030" s="23"/>
      <c r="K1030" s="23"/>
      <c r="M1030" s="23"/>
      <c r="N1030" s="23"/>
      <c r="P1030" s="23"/>
    </row>
    <row r="1031" spans="2:16" x14ac:dyDescent="0.25">
      <c r="B1031" s="23"/>
      <c r="E1031" s="23"/>
      <c r="G1031" s="23"/>
      <c r="H1031" s="23"/>
      <c r="J1031" s="23"/>
      <c r="K1031" s="23"/>
      <c r="M1031" s="23"/>
      <c r="N1031" s="23"/>
      <c r="P1031" s="23"/>
    </row>
    <row r="1032" spans="2:16" x14ac:dyDescent="0.25">
      <c r="B1032" s="23"/>
      <c r="E1032" s="23"/>
      <c r="G1032" s="23"/>
      <c r="H1032" s="23"/>
      <c r="J1032" s="23"/>
      <c r="K1032" s="23"/>
      <c r="M1032" s="23"/>
      <c r="N1032" s="23"/>
      <c r="P1032" s="23"/>
    </row>
    <row r="1033" spans="2:16" x14ac:dyDescent="0.25">
      <c r="B1033" s="23"/>
      <c r="E1033" s="23"/>
      <c r="G1033" s="23"/>
      <c r="H1033" s="23"/>
      <c r="J1033" s="23"/>
      <c r="K1033" s="23"/>
      <c r="M1033" s="23"/>
      <c r="N1033" s="23"/>
      <c r="P1033" s="23"/>
    </row>
    <row r="1034" spans="2:16" x14ac:dyDescent="0.25">
      <c r="B1034" s="23"/>
      <c r="E1034" s="23"/>
      <c r="G1034" s="23"/>
      <c r="H1034" s="23"/>
      <c r="J1034" s="23"/>
      <c r="K1034" s="23"/>
      <c r="M1034" s="23"/>
      <c r="N1034" s="23"/>
      <c r="P1034" s="23"/>
    </row>
    <row r="1035" spans="2:16" x14ac:dyDescent="0.25">
      <c r="B1035" s="23"/>
      <c r="E1035" s="23"/>
      <c r="G1035" s="23"/>
      <c r="H1035" s="23"/>
      <c r="J1035" s="23"/>
      <c r="K1035" s="23"/>
      <c r="M1035" s="23"/>
      <c r="N1035" s="23"/>
      <c r="P1035" s="23"/>
    </row>
    <row r="1036" spans="2:16" x14ac:dyDescent="0.25">
      <c r="B1036" s="23"/>
      <c r="E1036" s="23"/>
      <c r="G1036" s="23"/>
      <c r="H1036" s="23"/>
      <c r="J1036" s="23"/>
      <c r="K1036" s="23"/>
      <c r="M1036" s="23"/>
      <c r="N1036" s="23"/>
      <c r="P1036" s="23"/>
    </row>
    <row r="1037" spans="2:16" x14ac:dyDescent="0.25">
      <c r="B1037" s="23"/>
      <c r="E1037" s="23"/>
      <c r="G1037" s="23"/>
      <c r="H1037" s="23"/>
      <c r="J1037" s="23"/>
      <c r="K1037" s="23"/>
      <c r="M1037" s="23"/>
      <c r="N1037" s="23"/>
      <c r="P1037" s="23"/>
    </row>
    <row r="1038" spans="2:16" x14ac:dyDescent="0.25">
      <c r="B1038" s="23"/>
      <c r="E1038" s="23"/>
      <c r="G1038" s="23"/>
      <c r="H1038" s="23"/>
      <c r="J1038" s="23"/>
      <c r="K1038" s="23"/>
      <c r="M1038" s="23"/>
      <c r="N1038" s="23"/>
      <c r="P1038" s="23"/>
    </row>
    <row r="1039" spans="2:16" x14ac:dyDescent="0.25">
      <c r="B1039" s="23"/>
      <c r="E1039" s="23"/>
      <c r="G1039" s="23"/>
      <c r="H1039" s="23"/>
      <c r="J1039" s="23"/>
      <c r="K1039" s="23"/>
      <c r="M1039" s="23"/>
      <c r="N1039" s="23"/>
      <c r="P1039" s="23"/>
    </row>
    <row r="1040" spans="2:16" x14ac:dyDescent="0.25">
      <c r="B1040" s="23"/>
      <c r="E1040" s="23"/>
      <c r="G1040" s="23"/>
      <c r="H1040" s="23"/>
      <c r="J1040" s="23"/>
      <c r="K1040" s="23"/>
      <c r="M1040" s="23"/>
      <c r="N1040" s="23"/>
      <c r="P1040" s="23"/>
    </row>
    <row r="1041" spans="2:16" x14ac:dyDescent="0.25">
      <c r="B1041" s="23"/>
      <c r="E1041" s="23"/>
      <c r="G1041" s="23"/>
      <c r="H1041" s="23"/>
      <c r="J1041" s="23"/>
      <c r="K1041" s="23"/>
      <c r="M1041" s="23"/>
      <c r="N1041" s="23"/>
      <c r="P1041" s="23"/>
    </row>
    <row r="1042" spans="2:16" x14ac:dyDescent="0.25">
      <c r="B1042" s="23"/>
      <c r="E1042" s="23"/>
      <c r="G1042" s="23"/>
      <c r="H1042" s="23"/>
      <c r="J1042" s="23"/>
      <c r="K1042" s="23"/>
      <c r="M1042" s="23"/>
      <c r="N1042" s="23"/>
      <c r="P1042" s="23"/>
    </row>
    <row r="1043" spans="2:16" x14ac:dyDescent="0.25">
      <c r="B1043" s="23"/>
      <c r="E1043" s="23"/>
      <c r="G1043" s="23"/>
      <c r="H1043" s="23"/>
      <c r="J1043" s="23"/>
      <c r="K1043" s="23"/>
      <c r="M1043" s="23"/>
      <c r="N1043" s="23"/>
      <c r="P1043" s="23"/>
    </row>
    <row r="1044" spans="2:16" x14ac:dyDescent="0.25">
      <c r="B1044" s="23"/>
      <c r="E1044" s="23"/>
      <c r="G1044" s="23"/>
      <c r="H1044" s="23"/>
      <c r="J1044" s="23"/>
      <c r="K1044" s="23"/>
      <c r="M1044" s="23"/>
      <c r="N1044" s="23"/>
      <c r="P1044" s="23"/>
    </row>
    <row r="1045" spans="2:16" x14ac:dyDescent="0.25">
      <c r="B1045" s="23"/>
      <c r="E1045" s="23"/>
      <c r="G1045" s="23"/>
      <c r="H1045" s="23"/>
      <c r="J1045" s="23"/>
      <c r="K1045" s="23"/>
      <c r="M1045" s="23"/>
      <c r="N1045" s="23"/>
      <c r="P1045" s="23"/>
    </row>
    <row r="1046" spans="2:16" x14ac:dyDescent="0.25">
      <c r="B1046" s="23"/>
      <c r="E1046" s="23"/>
      <c r="G1046" s="23"/>
      <c r="H1046" s="23"/>
      <c r="J1046" s="23"/>
      <c r="K1046" s="23"/>
      <c r="M1046" s="23"/>
      <c r="N1046" s="23"/>
      <c r="P1046" s="23"/>
    </row>
    <row r="1047" spans="2:16" x14ac:dyDescent="0.25">
      <c r="B1047" s="23"/>
      <c r="E1047" s="23"/>
      <c r="G1047" s="23"/>
      <c r="H1047" s="23"/>
      <c r="J1047" s="23"/>
      <c r="K1047" s="23"/>
      <c r="M1047" s="23"/>
      <c r="N1047" s="23"/>
      <c r="P1047" s="23"/>
    </row>
    <row r="1048" spans="2:16" x14ac:dyDescent="0.25">
      <c r="B1048" s="23"/>
      <c r="E1048" s="23"/>
      <c r="G1048" s="23"/>
      <c r="H1048" s="23"/>
      <c r="J1048" s="23"/>
      <c r="K1048" s="23"/>
      <c r="M1048" s="23"/>
      <c r="N1048" s="23"/>
      <c r="P1048" s="23"/>
    </row>
    <row r="1049" spans="2:16" x14ac:dyDescent="0.25">
      <c r="B1049" s="23"/>
      <c r="E1049" s="23"/>
      <c r="G1049" s="23"/>
      <c r="H1049" s="23"/>
      <c r="J1049" s="23"/>
      <c r="K1049" s="23"/>
      <c r="M1049" s="23"/>
      <c r="N1049" s="23"/>
      <c r="P1049" s="23"/>
    </row>
    <row r="1050" spans="2:16" x14ac:dyDescent="0.25">
      <c r="B1050" s="23"/>
      <c r="E1050" s="23"/>
      <c r="G1050" s="23"/>
      <c r="H1050" s="23"/>
      <c r="J1050" s="23"/>
      <c r="K1050" s="23"/>
      <c r="M1050" s="23"/>
      <c r="N1050" s="23"/>
      <c r="P1050" s="23"/>
    </row>
    <row r="1051" spans="2:16" x14ac:dyDescent="0.25">
      <c r="B1051" s="23"/>
      <c r="E1051" s="23"/>
      <c r="G1051" s="23"/>
      <c r="H1051" s="23"/>
      <c r="J1051" s="23"/>
      <c r="K1051" s="23"/>
      <c r="M1051" s="23"/>
      <c r="N1051" s="23"/>
      <c r="P1051" s="23"/>
    </row>
    <row r="1052" spans="2:16" x14ac:dyDescent="0.25">
      <c r="B1052" s="23"/>
      <c r="E1052" s="23"/>
      <c r="G1052" s="23"/>
      <c r="H1052" s="23"/>
      <c r="J1052" s="23"/>
      <c r="K1052" s="23"/>
      <c r="M1052" s="23"/>
      <c r="N1052" s="23"/>
      <c r="P1052" s="23"/>
    </row>
    <row r="1053" spans="2:16" x14ac:dyDescent="0.25">
      <c r="B1053" s="23"/>
      <c r="E1053" s="23"/>
      <c r="G1053" s="23"/>
      <c r="H1053" s="23"/>
      <c r="J1053" s="23"/>
      <c r="K1053" s="23"/>
      <c r="M1053" s="23"/>
      <c r="N1053" s="23"/>
      <c r="P1053" s="23"/>
    </row>
    <row r="1054" spans="2:16" x14ac:dyDescent="0.25">
      <c r="B1054" s="23"/>
      <c r="E1054" s="23"/>
      <c r="G1054" s="23"/>
      <c r="H1054" s="23"/>
      <c r="J1054" s="23"/>
      <c r="K1054" s="23"/>
      <c r="M1054" s="23"/>
      <c r="N1054" s="23"/>
      <c r="P1054" s="23"/>
    </row>
    <row r="1055" spans="2:16" x14ac:dyDescent="0.25">
      <c r="B1055" s="23"/>
      <c r="E1055" s="23"/>
      <c r="G1055" s="23"/>
      <c r="H1055" s="23"/>
      <c r="J1055" s="23"/>
      <c r="K1055" s="23"/>
      <c r="M1055" s="23"/>
      <c r="N1055" s="23"/>
      <c r="P1055" s="23"/>
    </row>
    <row r="1056" spans="2:16" x14ac:dyDescent="0.25">
      <c r="B1056" s="23"/>
      <c r="E1056" s="23"/>
      <c r="G1056" s="23"/>
      <c r="H1056" s="23"/>
      <c r="J1056" s="23"/>
      <c r="K1056" s="23"/>
      <c r="M1056" s="23"/>
      <c r="N1056" s="23"/>
      <c r="P1056" s="23"/>
    </row>
    <row r="1057" spans="2:16" x14ac:dyDescent="0.25">
      <c r="B1057" s="23"/>
      <c r="E1057" s="23"/>
      <c r="G1057" s="23"/>
      <c r="H1057" s="23"/>
      <c r="J1057" s="23"/>
      <c r="K1057" s="23"/>
      <c r="M1057" s="23"/>
      <c r="N1057" s="23"/>
      <c r="P1057" s="23"/>
    </row>
    <row r="1058" spans="2:16" x14ac:dyDescent="0.25">
      <c r="B1058" s="23"/>
      <c r="E1058" s="23"/>
      <c r="G1058" s="23"/>
      <c r="H1058" s="23"/>
      <c r="J1058" s="23"/>
      <c r="K1058" s="23"/>
      <c r="M1058" s="23"/>
      <c r="N1058" s="23"/>
      <c r="P1058" s="23"/>
    </row>
    <row r="1059" spans="2:16" x14ac:dyDescent="0.25">
      <c r="B1059" s="23"/>
      <c r="E1059" s="23"/>
      <c r="G1059" s="23"/>
      <c r="H1059" s="23"/>
      <c r="J1059" s="23"/>
      <c r="K1059" s="23"/>
      <c r="M1059" s="23"/>
      <c r="N1059" s="23"/>
      <c r="P1059" s="23"/>
    </row>
    <row r="1060" spans="2:16" x14ac:dyDescent="0.25">
      <c r="B1060" s="23"/>
      <c r="E1060" s="23"/>
      <c r="G1060" s="23"/>
      <c r="H1060" s="23"/>
      <c r="J1060" s="23"/>
      <c r="K1060" s="23"/>
      <c r="M1060" s="23"/>
      <c r="N1060" s="23"/>
      <c r="P1060" s="23"/>
    </row>
    <row r="1061" spans="2:16" x14ac:dyDescent="0.25">
      <c r="B1061" s="23"/>
      <c r="E1061" s="23"/>
      <c r="G1061" s="23"/>
      <c r="H1061" s="23"/>
      <c r="J1061" s="23"/>
      <c r="K1061" s="23"/>
      <c r="M1061" s="23"/>
      <c r="N1061" s="23"/>
      <c r="P1061" s="23"/>
    </row>
    <row r="1062" spans="2:16" x14ac:dyDescent="0.25">
      <c r="B1062" s="23"/>
      <c r="E1062" s="23"/>
      <c r="G1062" s="23"/>
      <c r="H1062" s="23"/>
      <c r="J1062" s="23"/>
      <c r="K1062" s="23"/>
      <c r="M1062" s="23"/>
      <c r="N1062" s="23"/>
      <c r="P1062" s="23"/>
    </row>
    <row r="1063" spans="2:16" x14ac:dyDescent="0.25">
      <c r="B1063" s="23"/>
      <c r="E1063" s="23"/>
      <c r="G1063" s="23"/>
      <c r="H1063" s="23"/>
      <c r="J1063" s="23"/>
      <c r="K1063" s="23"/>
      <c r="M1063" s="23"/>
      <c r="N1063" s="23"/>
      <c r="P1063" s="23"/>
    </row>
    <row r="1064" spans="2:16" x14ac:dyDescent="0.25">
      <c r="B1064" s="23"/>
      <c r="E1064" s="23"/>
      <c r="G1064" s="23"/>
      <c r="H1064" s="23"/>
      <c r="J1064" s="23"/>
      <c r="K1064" s="23"/>
      <c r="M1064" s="23"/>
      <c r="N1064" s="23"/>
      <c r="P1064" s="23"/>
    </row>
    <row r="1065" spans="2:16" x14ac:dyDescent="0.25">
      <c r="B1065" s="23"/>
      <c r="E1065" s="23"/>
      <c r="G1065" s="23"/>
      <c r="H1065" s="23"/>
      <c r="J1065" s="23"/>
      <c r="K1065" s="23"/>
      <c r="M1065" s="23"/>
      <c r="N1065" s="23"/>
      <c r="P1065" s="23"/>
    </row>
    <row r="1066" spans="2:16" x14ac:dyDescent="0.25">
      <c r="B1066" s="23"/>
      <c r="E1066" s="23"/>
      <c r="G1066" s="23"/>
      <c r="H1066" s="23"/>
      <c r="J1066" s="23"/>
      <c r="K1066" s="23"/>
      <c r="M1066" s="23"/>
      <c r="N1066" s="23"/>
      <c r="P1066" s="23"/>
    </row>
    <row r="1067" spans="2:16" x14ac:dyDescent="0.25">
      <c r="B1067" s="23"/>
      <c r="E1067" s="23"/>
      <c r="G1067" s="23"/>
      <c r="H1067" s="23"/>
      <c r="J1067" s="23"/>
      <c r="K1067" s="23"/>
      <c r="M1067" s="23"/>
      <c r="N1067" s="23"/>
      <c r="P1067" s="23"/>
    </row>
    <row r="1068" spans="2:16" x14ac:dyDescent="0.25">
      <c r="B1068" s="23"/>
      <c r="E1068" s="23"/>
      <c r="G1068" s="23"/>
      <c r="H1068" s="23"/>
      <c r="J1068" s="23"/>
      <c r="K1068" s="23"/>
      <c r="M1068" s="23"/>
      <c r="N1068" s="23"/>
      <c r="P1068" s="23"/>
    </row>
    <row r="1069" spans="2:16" x14ac:dyDescent="0.25">
      <c r="B1069" s="23"/>
      <c r="E1069" s="23"/>
      <c r="G1069" s="23"/>
      <c r="H1069" s="23"/>
      <c r="J1069" s="23"/>
      <c r="K1069" s="23"/>
      <c r="M1069" s="23"/>
      <c r="N1069" s="23"/>
      <c r="P1069" s="23"/>
    </row>
    <row r="1070" spans="2:16" x14ac:dyDescent="0.25">
      <c r="B1070" s="23"/>
      <c r="E1070" s="23"/>
      <c r="G1070" s="23"/>
      <c r="H1070" s="23"/>
      <c r="J1070" s="23"/>
      <c r="K1070" s="23"/>
      <c r="M1070" s="23"/>
      <c r="N1070" s="23"/>
      <c r="P1070" s="23"/>
    </row>
    <row r="1071" spans="2:16" x14ac:dyDescent="0.25">
      <c r="B1071" s="23"/>
      <c r="E1071" s="23"/>
      <c r="G1071" s="23"/>
      <c r="H1071" s="23"/>
      <c r="J1071" s="23"/>
      <c r="K1071" s="23"/>
      <c r="M1071" s="23"/>
      <c r="N1071" s="23"/>
      <c r="P1071" s="23"/>
    </row>
    <row r="1072" spans="2:16" x14ac:dyDescent="0.25">
      <c r="B1072" s="23"/>
      <c r="E1072" s="23"/>
      <c r="G1072" s="23"/>
      <c r="H1072" s="23"/>
      <c r="J1072" s="23"/>
      <c r="K1072" s="23"/>
      <c r="M1072" s="23"/>
      <c r="N1072" s="23"/>
      <c r="P1072" s="23"/>
    </row>
    <row r="1073" spans="2:16" x14ac:dyDescent="0.25">
      <c r="B1073" s="23"/>
      <c r="E1073" s="23"/>
      <c r="G1073" s="23"/>
      <c r="H1073" s="23"/>
      <c r="J1073" s="23"/>
      <c r="K1073" s="23"/>
      <c r="M1073" s="23"/>
      <c r="N1073" s="23"/>
      <c r="P1073" s="23"/>
    </row>
    <row r="1074" spans="2:16" x14ac:dyDescent="0.25">
      <c r="B1074" s="23"/>
      <c r="E1074" s="23"/>
      <c r="G1074" s="23"/>
      <c r="H1074" s="23"/>
      <c r="J1074" s="23"/>
      <c r="K1074" s="23"/>
      <c r="M1074" s="23"/>
      <c r="N1074" s="23"/>
      <c r="P1074" s="23"/>
    </row>
    <row r="1075" spans="2:16" x14ac:dyDescent="0.25">
      <c r="B1075" s="23"/>
      <c r="E1075" s="23"/>
      <c r="G1075" s="23"/>
      <c r="H1075" s="23"/>
      <c r="J1075" s="23"/>
      <c r="K1075" s="23"/>
      <c r="M1075" s="23"/>
      <c r="N1075" s="23"/>
      <c r="P1075" s="23"/>
    </row>
    <row r="1076" spans="2:16" x14ac:dyDescent="0.25">
      <c r="B1076" s="23"/>
      <c r="E1076" s="23"/>
      <c r="G1076" s="23"/>
      <c r="H1076" s="23"/>
      <c r="J1076" s="23"/>
      <c r="K1076" s="23"/>
      <c r="M1076" s="23"/>
      <c r="N1076" s="23"/>
      <c r="P1076" s="23"/>
    </row>
    <row r="1077" spans="2:16" x14ac:dyDescent="0.25">
      <c r="B1077" s="23"/>
      <c r="E1077" s="23"/>
      <c r="G1077" s="23"/>
      <c r="H1077" s="23"/>
      <c r="J1077" s="23"/>
      <c r="K1077" s="23"/>
      <c r="M1077" s="23"/>
      <c r="N1077" s="23"/>
      <c r="P1077" s="23"/>
    </row>
    <row r="1078" spans="2:16" x14ac:dyDescent="0.25">
      <c r="B1078" s="23"/>
      <c r="E1078" s="23"/>
      <c r="G1078" s="23"/>
      <c r="H1078" s="23"/>
      <c r="J1078" s="23"/>
      <c r="K1078" s="23"/>
      <c r="M1078" s="23"/>
      <c r="N1078" s="23"/>
      <c r="P1078" s="23"/>
    </row>
    <row r="1079" spans="2:16" x14ac:dyDescent="0.25">
      <c r="B1079" s="23"/>
      <c r="E1079" s="23"/>
      <c r="G1079" s="23"/>
      <c r="H1079" s="23"/>
      <c r="J1079" s="23"/>
      <c r="K1079" s="23"/>
      <c r="M1079" s="23"/>
      <c r="N1079" s="23"/>
      <c r="P1079" s="23"/>
    </row>
    <row r="1080" spans="2:16" x14ac:dyDescent="0.25">
      <c r="B1080" s="23"/>
      <c r="E1080" s="23"/>
      <c r="G1080" s="23"/>
      <c r="H1080" s="23"/>
      <c r="J1080" s="23"/>
      <c r="K1080" s="23"/>
      <c r="M1080" s="23"/>
      <c r="N1080" s="23"/>
      <c r="P1080" s="23"/>
    </row>
    <row r="1081" spans="2:16" x14ac:dyDescent="0.25">
      <c r="B1081" s="23"/>
      <c r="E1081" s="23"/>
      <c r="G1081" s="23"/>
      <c r="H1081" s="23"/>
      <c r="J1081" s="23"/>
      <c r="K1081" s="23"/>
      <c r="M1081" s="23"/>
      <c r="N1081" s="23"/>
      <c r="P1081" s="23"/>
    </row>
    <row r="1082" spans="2:16" x14ac:dyDescent="0.25">
      <c r="B1082" s="23"/>
      <c r="E1082" s="23"/>
      <c r="G1082" s="23"/>
      <c r="H1082" s="23"/>
      <c r="J1082" s="23"/>
      <c r="K1082" s="23"/>
      <c r="M1082" s="23"/>
      <c r="N1082" s="23"/>
      <c r="P1082" s="23"/>
    </row>
    <row r="1083" spans="2:16" x14ac:dyDescent="0.25">
      <c r="B1083" s="23"/>
      <c r="E1083" s="23"/>
      <c r="G1083" s="23"/>
      <c r="H1083" s="23"/>
      <c r="J1083" s="23"/>
      <c r="K1083" s="23"/>
      <c r="M1083" s="23"/>
      <c r="N1083" s="23"/>
      <c r="P1083" s="23"/>
    </row>
    <row r="1084" spans="2:16" x14ac:dyDescent="0.25">
      <c r="B1084" s="23"/>
      <c r="E1084" s="23"/>
      <c r="G1084" s="23"/>
      <c r="H1084" s="23"/>
      <c r="J1084" s="23"/>
      <c r="K1084" s="23"/>
      <c r="M1084" s="23"/>
      <c r="N1084" s="23"/>
      <c r="P1084" s="23"/>
    </row>
    <row r="1085" spans="2:16" x14ac:dyDescent="0.25">
      <c r="B1085" s="23"/>
      <c r="E1085" s="23"/>
      <c r="G1085" s="23"/>
      <c r="H1085" s="23"/>
      <c r="J1085" s="23"/>
      <c r="K1085" s="23"/>
      <c r="M1085" s="23"/>
      <c r="N1085" s="23"/>
      <c r="P1085" s="23"/>
    </row>
    <row r="1086" spans="2:16" x14ac:dyDescent="0.25">
      <c r="B1086" s="23"/>
      <c r="E1086" s="23"/>
      <c r="G1086" s="23"/>
      <c r="H1086" s="23"/>
      <c r="J1086" s="23"/>
      <c r="K1086" s="23"/>
      <c r="M1086" s="23"/>
      <c r="N1086" s="23"/>
      <c r="P1086" s="23"/>
    </row>
    <row r="1087" spans="2:16" x14ac:dyDescent="0.25">
      <c r="B1087" s="23"/>
      <c r="E1087" s="23"/>
      <c r="G1087" s="23"/>
      <c r="H1087" s="23"/>
      <c r="J1087" s="23"/>
      <c r="K1087" s="23"/>
      <c r="M1087" s="23"/>
      <c r="N1087" s="23"/>
      <c r="P1087" s="23"/>
    </row>
    <row r="1088" spans="2:16" x14ac:dyDescent="0.25">
      <c r="B1088" s="23"/>
      <c r="E1088" s="23"/>
      <c r="G1088" s="23"/>
      <c r="H1088" s="23"/>
      <c r="J1088" s="23"/>
      <c r="K1088" s="23"/>
      <c r="M1088" s="23"/>
      <c r="N1088" s="23"/>
      <c r="P1088" s="23"/>
    </row>
    <row r="1089" spans="2:16" x14ac:dyDescent="0.25">
      <c r="B1089" s="23"/>
      <c r="E1089" s="23"/>
      <c r="G1089" s="23"/>
      <c r="H1089" s="23"/>
      <c r="J1089" s="23"/>
      <c r="K1089" s="23"/>
      <c r="M1089" s="23"/>
      <c r="N1089" s="23"/>
      <c r="P1089" s="23"/>
    </row>
    <row r="1090" spans="2:16" x14ac:dyDescent="0.25">
      <c r="B1090" s="23"/>
      <c r="E1090" s="23"/>
      <c r="G1090" s="23"/>
      <c r="H1090" s="23"/>
      <c r="J1090" s="23"/>
      <c r="K1090" s="23"/>
      <c r="M1090" s="23"/>
      <c r="N1090" s="23"/>
      <c r="P1090" s="23"/>
    </row>
    <row r="1091" spans="2:16" x14ac:dyDescent="0.25">
      <c r="B1091" s="23"/>
      <c r="E1091" s="23"/>
      <c r="G1091" s="23"/>
      <c r="H1091" s="23"/>
      <c r="J1091" s="23"/>
      <c r="K1091" s="23"/>
      <c r="M1091" s="23"/>
      <c r="N1091" s="23"/>
      <c r="P1091" s="23"/>
    </row>
    <row r="1092" spans="2:16" x14ac:dyDescent="0.25">
      <c r="B1092" s="23"/>
      <c r="E1092" s="23"/>
      <c r="G1092" s="23"/>
      <c r="H1092" s="23"/>
      <c r="J1092" s="23"/>
      <c r="K1092" s="23"/>
      <c r="M1092" s="23"/>
      <c r="N1092" s="23"/>
      <c r="P1092" s="23"/>
    </row>
    <row r="1093" spans="2:16" x14ac:dyDescent="0.25">
      <c r="B1093" s="23"/>
      <c r="E1093" s="23"/>
      <c r="G1093" s="23"/>
      <c r="H1093" s="23"/>
      <c r="J1093" s="23"/>
      <c r="K1093" s="23"/>
      <c r="M1093" s="23"/>
      <c r="N1093" s="23"/>
      <c r="P1093" s="23"/>
    </row>
    <row r="1094" spans="2:16" x14ac:dyDescent="0.25">
      <c r="B1094" s="23"/>
      <c r="E1094" s="23"/>
      <c r="G1094" s="23"/>
      <c r="H1094" s="23"/>
      <c r="J1094" s="23"/>
      <c r="K1094" s="23"/>
      <c r="M1094" s="23"/>
      <c r="N1094" s="23"/>
      <c r="P1094" s="23"/>
    </row>
    <row r="1095" spans="2:16" x14ac:dyDescent="0.25">
      <c r="B1095" s="23"/>
      <c r="E1095" s="23"/>
      <c r="G1095" s="23"/>
      <c r="H1095" s="23"/>
      <c r="J1095" s="23"/>
      <c r="K1095" s="23"/>
      <c r="M1095" s="23"/>
      <c r="N1095" s="23"/>
      <c r="P1095" s="23"/>
    </row>
    <row r="1096" spans="2:16" x14ac:dyDescent="0.25">
      <c r="B1096" s="23"/>
      <c r="E1096" s="23"/>
      <c r="G1096" s="23"/>
      <c r="H1096" s="23"/>
      <c r="J1096" s="23"/>
      <c r="K1096" s="23"/>
      <c r="M1096" s="23"/>
      <c r="N1096" s="23"/>
      <c r="P1096" s="23"/>
    </row>
    <row r="1097" spans="2:16" x14ac:dyDescent="0.25">
      <c r="B1097" s="23"/>
      <c r="E1097" s="23"/>
      <c r="G1097" s="23"/>
      <c r="H1097" s="23"/>
      <c r="J1097" s="23"/>
      <c r="K1097" s="23"/>
      <c r="M1097" s="23"/>
      <c r="N1097" s="23"/>
      <c r="P1097" s="23"/>
    </row>
    <row r="1098" spans="2:16" x14ac:dyDescent="0.25">
      <c r="B1098" s="23"/>
      <c r="E1098" s="23"/>
      <c r="G1098" s="23"/>
      <c r="H1098" s="23"/>
      <c r="J1098" s="23"/>
      <c r="K1098" s="23"/>
      <c r="M1098" s="23"/>
      <c r="N1098" s="23"/>
      <c r="P1098" s="23"/>
    </row>
    <row r="1099" spans="2:16" x14ac:dyDescent="0.25">
      <c r="B1099" s="23"/>
      <c r="E1099" s="23"/>
      <c r="G1099" s="23"/>
      <c r="H1099" s="23"/>
      <c r="J1099" s="23"/>
      <c r="K1099" s="23"/>
      <c r="M1099" s="23"/>
      <c r="N1099" s="23"/>
      <c r="P1099" s="23"/>
    </row>
    <row r="1100" spans="2:16" x14ac:dyDescent="0.25">
      <c r="B1100" s="23"/>
      <c r="E1100" s="23"/>
      <c r="G1100" s="23"/>
      <c r="H1100" s="23"/>
      <c r="J1100" s="23"/>
      <c r="K1100" s="23"/>
      <c r="M1100" s="23"/>
      <c r="N1100" s="23"/>
      <c r="P1100" s="23"/>
    </row>
    <row r="1101" spans="2:16" x14ac:dyDescent="0.25">
      <c r="B1101" s="23"/>
      <c r="E1101" s="23"/>
      <c r="G1101" s="23"/>
      <c r="H1101" s="23"/>
      <c r="J1101" s="23"/>
      <c r="K1101" s="23"/>
      <c r="M1101" s="23"/>
      <c r="N1101" s="23"/>
      <c r="P1101" s="23"/>
    </row>
    <row r="1102" spans="2:16" x14ac:dyDescent="0.25">
      <c r="B1102" s="23"/>
      <c r="E1102" s="23"/>
      <c r="G1102" s="23"/>
      <c r="H1102" s="23"/>
      <c r="J1102" s="23"/>
      <c r="K1102" s="23"/>
      <c r="M1102" s="23"/>
      <c r="N1102" s="23"/>
      <c r="P1102" s="23"/>
    </row>
    <row r="1103" spans="2:16" x14ac:dyDescent="0.25">
      <c r="B1103" s="23"/>
      <c r="E1103" s="23"/>
      <c r="G1103" s="23"/>
      <c r="H1103" s="23"/>
      <c r="J1103" s="23"/>
      <c r="K1103" s="23"/>
      <c r="M1103" s="23"/>
      <c r="N1103" s="23"/>
      <c r="P1103" s="23"/>
    </row>
    <row r="1104" spans="2:16" x14ac:dyDescent="0.25">
      <c r="B1104" s="23"/>
      <c r="E1104" s="23"/>
      <c r="G1104" s="23"/>
      <c r="H1104" s="23"/>
      <c r="J1104" s="23"/>
      <c r="K1104" s="23"/>
      <c r="M1104" s="23"/>
      <c r="N1104" s="23"/>
      <c r="P1104" s="23"/>
    </row>
    <row r="1105" spans="2:16" x14ac:dyDescent="0.25">
      <c r="B1105" s="23"/>
      <c r="E1105" s="23"/>
      <c r="G1105" s="23"/>
      <c r="H1105" s="23"/>
      <c r="J1105" s="23"/>
      <c r="K1105" s="23"/>
      <c r="M1105" s="23"/>
      <c r="N1105" s="23"/>
      <c r="P1105" s="23"/>
    </row>
    <row r="1106" spans="2:16" x14ac:dyDescent="0.25">
      <c r="B1106" s="23"/>
      <c r="E1106" s="23"/>
      <c r="G1106" s="23"/>
      <c r="H1106" s="23"/>
      <c r="J1106" s="23"/>
      <c r="K1106" s="23"/>
      <c r="M1106" s="23"/>
      <c r="N1106" s="23"/>
      <c r="P1106" s="23"/>
    </row>
    <row r="1107" spans="2:16" x14ac:dyDescent="0.25">
      <c r="B1107" s="23"/>
      <c r="E1107" s="23"/>
      <c r="G1107" s="23"/>
      <c r="H1107" s="23"/>
      <c r="J1107" s="23"/>
      <c r="K1107" s="23"/>
      <c r="M1107" s="23"/>
      <c r="N1107" s="23"/>
      <c r="P1107" s="23"/>
    </row>
    <row r="1108" spans="2:16" x14ac:dyDescent="0.25">
      <c r="B1108" s="23"/>
      <c r="E1108" s="23"/>
      <c r="G1108" s="23"/>
      <c r="H1108" s="23"/>
      <c r="J1108" s="23"/>
      <c r="K1108" s="23"/>
      <c r="M1108" s="23"/>
      <c r="N1108" s="23"/>
      <c r="P1108" s="23"/>
    </row>
    <row r="1109" spans="2:16" x14ac:dyDescent="0.25">
      <c r="B1109" s="23"/>
      <c r="E1109" s="23"/>
      <c r="G1109" s="23"/>
      <c r="H1109" s="23"/>
      <c r="J1109" s="23"/>
      <c r="K1109" s="23"/>
      <c r="M1109" s="23"/>
      <c r="N1109" s="23"/>
      <c r="P1109" s="23"/>
    </row>
    <row r="1110" spans="2:16" x14ac:dyDescent="0.25">
      <c r="B1110" s="23"/>
      <c r="E1110" s="23"/>
      <c r="G1110" s="23"/>
      <c r="H1110" s="23"/>
      <c r="J1110" s="23"/>
      <c r="K1110" s="23"/>
      <c r="M1110" s="23"/>
      <c r="N1110" s="23"/>
      <c r="P1110" s="23"/>
    </row>
    <row r="1111" spans="2:16" x14ac:dyDescent="0.25">
      <c r="B1111" s="23"/>
      <c r="E1111" s="23"/>
      <c r="G1111" s="23"/>
      <c r="H1111" s="23"/>
      <c r="J1111" s="23"/>
      <c r="K1111" s="23"/>
      <c r="M1111" s="23"/>
      <c r="N1111" s="23"/>
      <c r="P1111" s="23"/>
    </row>
    <row r="1112" spans="2:16" x14ac:dyDescent="0.25">
      <c r="B1112" s="23"/>
      <c r="E1112" s="23"/>
      <c r="G1112" s="23"/>
      <c r="H1112" s="23"/>
      <c r="J1112" s="23"/>
      <c r="K1112" s="23"/>
      <c r="M1112" s="23"/>
      <c r="N1112" s="23"/>
      <c r="P1112" s="23"/>
    </row>
    <row r="1113" spans="2:16" x14ac:dyDescent="0.25">
      <c r="B1113" s="23"/>
      <c r="E1113" s="23"/>
      <c r="G1113" s="23"/>
      <c r="H1113" s="23"/>
      <c r="J1113" s="23"/>
      <c r="K1113" s="23"/>
      <c r="M1113" s="23"/>
      <c r="N1113" s="23"/>
      <c r="P1113" s="23"/>
    </row>
    <row r="1114" spans="2:16" x14ac:dyDescent="0.25">
      <c r="B1114" s="23"/>
      <c r="E1114" s="23"/>
      <c r="G1114" s="23"/>
      <c r="H1114" s="23"/>
      <c r="J1114" s="23"/>
      <c r="K1114" s="23"/>
      <c r="M1114" s="23"/>
      <c r="N1114" s="23"/>
      <c r="P1114" s="23"/>
    </row>
    <row r="1115" spans="2:16" x14ac:dyDescent="0.25">
      <c r="B1115" s="23"/>
      <c r="E1115" s="23"/>
      <c r="G1115" s="23"/>
      <c r="H1115" s="23"/>
      <c r="J1115" s="23"/>
      <c r="K1115" s="23"/>
      <c r="M1115" s="23"/>
      <c r="N1115" s="23"/>
      <c r="P1115" s="23"/>
    </row>
    <row r="1116" spans="2:16" x14ac:dyDescent="0.25">
      <c r="B1116" s="23"/>
      <c r="E1116" s="23"/>
      <c r="G1116" s="23"/>
      <c r="H1116" s="23"/>
      <c r="J1116" s="23"/>
      <c r="K1116" s="23"/>
      <c r="M1116" s="23"/>
      <c r="N1116" s="23"/>
      <c r="P1116" s="23"/>
    </row>
    <row r="1117" spans="2:16" x14ac:dyDescent="0.25">
      <c r="B1117" s="23"/>
      <c r="E1117" s="23"/>
      <c r="G1117" s="23"/>
      <c r="H1117" s="23"/>
      <c r="J1117" s="23"/>
      <c r="K1117" s="23"/>
      <c r="M1117" s="23"/>
      <c r="N1117" s="23"/>
      <c r="P1117" s="23"/>
    </row>
    <row r="1118" spans="2:16" x14ac:dyDescent="0.25">
      <c r="B1118" s="23"/>
      <c r="E1118" s="23"/>
      <c r="G1118" s="23"/>
      <c r="H1118" s="23"/>
      <c r="J1118" s="23"/>
      <c r="K1118" s="23"/>
      <c r="M1118" s="23"/>
      <c r="N1118" s="23"/>
      <c r="P1118" s="23"/>
    </row>
    <row r="1119" spans="2:16" x14ac:dyDescent="0.25">
      <c r="B1119" s="23"/>
      <c r="E1119" s="23"/>
      <c r="G1119" s="23"/>
      <c r="H1119" s="23"/>
      <c r="J1119" s="23"/>
      <c r="K1119" s="23"/>
      <c r="M1119" s="23"/>
      <c r="N1119" s="23"/>
      <c r="P1119" s="23"/>
    </row>
    <row r="1120" spans="2:16" x14ac:dyDescent="0.25">
      <c r="B1120" s="23"/>
      <c r="E1120" s="23"/>
      <c r="G1120" s="23"/>
      <c r="H1120" s="23"/>
      <c r="J1120" s="23"/>
      <c r="K1120" s="23"/>
      <c r="M1120" s="23"/>
      <c r="N1120" s="23"/>
      <c r="P1120" s="23"/>
    </row>
    <row r="1121" spans="2:16" x14ac:dyDescent="0.25">
      <c r="B1121" s="23"/>
      <c r="E1121" s="23"/>
      <c r="G1121" s="23"/>
      <c r="H1121" s="23"/>
      <c r="J1121" s="23"/>
      <c r="K1121" s="23"/>
      <c r="M1121" s="23"/>
      <c r="N1121" s="23"/>
      <c r="P1121" s="23"/>
    </row>
    <row r="1122" spans="2:16" x14ac:dyDescent="0.25">
      <c r="B1122" s="23"/>
      <c r="E1122" s="23"/>
      <c r="G1122" s="23"/>
      <c r="H1122" s="23"/>
      <c r="J1122" s="23"/>
      <c r="K1122" s="23"/>
      <c r="M1122" s="23"/>
      <c r="N1122" s="23"/>
      <c r="P1122" s="23"/>
    </row>
    <row r="1123" spans="2:16" x14ac:dyDescent="0.25">
      <c r="B1123" s="23"/>
      <c r="E1123" s="23"/>
      <c r="G1123" s="23"/>
      <c r="H1123" s="23"/>
      <c r="J1123" s="23"/>
      <c r="K1123" s="23"/>
      <c r="M1123" s="23"/>
      <c r="N1123" s="23"/>
      <c r="P1123" s="23"/>
    </row>
    <row r="1124" spans="2:16" x14ac:dyDescent="0.25">
      <c r="B1124" s="23"/>
      <c r="E1124" s="23"/>
      <c r="G1124" s="23"/>
      <c r="H1124" s="23"/>
      <c r="J1124" s="23"/>
      <c r="K1124" s="23"/>
      <c r="M1124" s="23"/>
      <c r="N1124" s="23"/>
      <c r="P1124" s="23"/>
    </row>
    <row r="1125" spans="2:16" x14ac:dyDescent="0.25">
      <c r="B1125" s="23"/>
      <c r="E1125" s="23"/>
      <c r="G1125" s="23"/>
      <c r="H1125" s="23"/>
      <c r="J1125" s="23"/>
      <c r="K1125" s="23"/>
      <c r="M1125" s="23"/>
      <c r="N1125" s="23"/>
      <c r="P1125" s="23"/>
    </row>
    <row r="1126" spans="2:16" x14ac:dyDescent="0.25">
      <c r="B1126" s="23"/>
      <c r="E1126" s="23"/>
      <c r="G1126" s="23"/>
      <c r="H1126" s="23"/>
      <c r="J1126" s="23"/>
      <c r="K1126" s="23"/>
      <c r="M1126" s="23"/>
      <c r="N1126" s="23"/>
      <c r="P1126" s="23"/>
    </row>
    <row r="1127" spans="2:16" x14ac:dyDescent="0.25">
      <c r="B1127" s="23"/>
      <c r="E1127" s="23"/>
      <c r="G1127" s="23"/>
      <c r="H1127" s="23"/>
      <c r="J1127" s="23"/>
      <c r="K1127" s="23"/>
      <c r="M1127" s="23"/>
      <c r="N1127" s="23"/>
      <c r="P1127" s="23"/>
    </row>
    <row r="1128" spans="2:16" x14ac:dyDescent="0.25">
      <c r="B1128" s="23"/>
      <c r="E1128" s="23"/>
      <c r="G1128" s="23"/>
      <c r="H1128" s="23"/>
      <c r="J1128" s="23"/>
      <c r="K1128" s="23"/>
      <c r="M1128" s="23"/>
      <c r="N1128" s="23"/>
      <c r="P1128" s="23"/>
    </row>
    <row r="1129" spans="2:16" x14ac:dyDescent="0.25">
      <c r="B1129" s="23"/>
      <c r="E1129" s="23"/>
      <c r="G1129" s="23"/>
      <c r="H1129" s="23"/>
      <c r="J1129" s="23"/>
      <c r="K1129" s="23"/>
      <c r="M1129" s="23"/>
      <c r="N1129" s="23"/>
      <c r="P1129" s="23"/>
    </row>
    <row r="1130" spans="2:16" x14ac:dyDescent="0.25">
      <c r="B1130" s="23"/>
      <c r="E1130" s="23"/>
      <c r="G1130" s="23"/>
      <c r="H1130" s="23"/>
      <c r="J1130" s="23"/>
      <c r="K1130" s="23"/>
      <c r="M1130" s="23"/>
      <c r="N1130" s="23"/>
      <c r="P1130" s="23"/>
    </row>
    <row r="1131" spans="2:16" x14ac:dyDescent="0.25">
      <c r="B1131" s="23"/>
      <c r="E1131" s="23"/>
      <c r="G1131" s="23"/>
      <c r="H1131" s="23"/>
      <c r="J1131" s="23"/>
      <c r="K1131" s="23"/>
      <c r="M1131" s="23"/>
      <c r="N1131" s="23"/>
      <c r="P1131" s="23"/>
    </row>
    <row r="1132" spans="2:16" x14ac:dyDescent="0.25">
      <c r="B1132" s="23"/>
      <c r="E1132" s="23"/>
      <c r="G1132" s="23"/>
      <c r="H1132" s="23"/>
      <c r="J1132" s="23"/>
      <c r="K1132" s="23"/>
      <c r="M1132" s="23"/>
      <c r="N1132" s="23"/>
      <c r="P1132" s="23"/>
    </row>
    <row r="1133" spans="2:16" x14ac:dyDescent="0.25">
      <c r="B1133" s="23"/>
      <c r="E1133" s="23"/>
      <c r="G1133" s="23"/>
      <c r="H1133" s="23"/>
      <c r="J1133" s="23"/>
      <c r="K1133" s="23"/>
      <c r="M1133" s="23"/>
      <c r="N1133" s="23"/>
      <c r="P1133" s="23"/>
    </row>
    <row r="1134" spans="2:16" x14ac:dyDescent="0.25">
      <c r="B1134" s="23"/>
      <c r="E1134" s="23"/>
      <c r="G1134" s="23"/>
      <c r="H1134" s="23"/>
      <c r="J1134" s="23"/>
      <c r="K1134" s="23"/>
      <c r="M1134" s="23"/>
      <c r="N1134" s="23"/>
      <c r="P1134" s="23"/>
    </row>
    <row r="1135" spans="2:16" x14ac:dyDescent="0.25">
      <c r="B1135" s="23"/>
      <c r="E1135" s="23"/>
      <c r="G1135" s="23"/>
      <c r="H1135" s="23"/>
      <c r="J1135" s="23"/>
      <c r="K1135" s="23"/>
      <c r="M1135" s="23"/>
      <c r="N1135" s="23"/>
      <c r="P1135" s="23"/>
    </row>
    <row r="1136" spans="2:16" x14ac:dyDescent="0.25">
      <c r="B1136" s="23"/>
      <c r="E1136" s="23"/>
      <c r="G1136" s="23"/>
      <c r="H1136" s="23"/>
      <c r="J1136" s="23"/>
      <c r="K1136" s="23"/>
      <c r="M1136" s="23"/>
      <c r="N1136" s="23"/>
      <c r="P1136" s="23"/>
    </row>
    <row r="1137" spans="2:16" x14ac:dyDescent="0.25">
      <c r="B1137" s="23"/>
      <c r="E1137" s="23"/>
      <c r="G1137" s="23"/>
      <c r="H1137" s="23"/>
      <c r="J1137" s="23"/>
      <c r="K1137" s="23"/>
      <c r="M1137" s="23"/>
      <c r="N1137" s="23"/>
      <c r="P1137" s="23"/>
    </row>
    <row r="1138" spans="2:16" x14ac:dyDescent="0.25">
      <c r="B1138" s="23"/>
      <c r="E1138" s="23"/>
      <c r="G1138" s="23"/>
      <c r="H1138" s="23"/>
      <c r="J1138" s="23"/>
      <c r="K1138" s="23"/>
      <c r="M1138" s="23"/>
      <c r="N1138" s="23"/>
      <c r="P1138" s="23"/>
    </row>
    <row r="1139" spans="2:16" x14ac:dyDescent="0.25">
      <c r="B1139" s="23"/>
      <c r="E1139" s="23"/>
      <c r="G1139" s="23"/>
      <c r="H1139" s="23"/>
      <c r="J1139" s="23"/>
      <c r="K1139" s="23"/>
      <c r="M1139" s="23"/>
      <c r="N1139" s="23"/>
      <c r="P1139" s="23"/>
    </row>
    <row r="1140" spans="2:16" x14ac:dyDescent="0.25">
      <c r="B1140" s="23"/>
      <c r="E1140" s="23"/>
      <c r="G1140" s="23"/>
      <c r="H1140" s="23"/>
      <c r="J1140" s="23"/>
      <c r="K1140" s="23"/>
      <c r="M1140" s="23"/>
      <c r="N1140" s="23"/>
      <c r="P1140" s="23"/>
    </row>
    <row r="1141" spans="2:16" x14ac:dyDescent="0.25">
      <c r="B1141" s="23"/>
      <c r="E1141" s="23"/>
      <c r="G1141" s="23"/>
      <c r="H1141" s="23"/>
      <c r="J1141" s="23"/>
      <c r="K1141" s="23"/>
      <c r="M1141" s="23"/>
      <c r="N1141" s="23"/>
      <c r="P1141" s="23"/>
    </row>
    <row r="1142" spans="2:16" x14ac:dyDescent="0.25">
      <c r="B1142" s="23"/>
      <c r="E1142" s="23"/>
      <c r="G1142" s="23"/>
      <c r="H1142" s="23"/>
      <c r="J1142" s="23"/>
      <c r="K1142" s="23"/>
      <c r="M1142" s="23"/>
      <c r="N1142" s="23"/>
      <c r="P1142" s="23"/>
    </row>
    <row r="1143" spans="2:16" x14ac:dyDescent="0.25">
      <c r="B1143" s="23"/>
      <c r="E1143" s="23"/>
      <c r="G1143" s="23"/>
      <c r="H1143" s="23"/>
      <c r="J1143" s="23"/>
      <c r="K1143" s="23"/>
      <c r="M1143" s="23"/>
      <c r="N1143" s="23"/>
      <c r="P1143" s="23"/>
    </row>
    <row r="1144" spans="2:16" x14ac:dyDescent="0.25">
      <c r="B1144" s="23"/>
      <c r="E1144" s="23"/>
      <c r="G1144" s="23"/>
      <c r="H1144" s="23"/>
      <c r="J1144" s="23"/>
      <c r="K1144" s="23"/>
      <c r="M1144" s="23"/>
      <c r="N1144" s="23"/>
      <c r="P1144" s="23"/>
    </row>
    <row r="1145" spans="2:16" x14ac:dyDescent="0.25">
      <c r="B1145" s="23"/>
      <c r="E1145" s="23"/>
      <c r="G1145" s="23"/>
      <c r="H1145" s="23"/>
      <c r="J1145" s="23"/>
      <c r="K1145" s="23"/>
      <c r="M1145" s="23"/>
      <c r="N1145" s="23"/>
      <c r="P1145" s="23"/>
    </row>
    <row r="1146" spans="2:16" x14ac:dyDescent="0.25">
      <c r="B1146" s="23"/>
      <c r="E1146" s="23"/>
      <c r="G1146" s="23"/>
      <c r="H1146" s="23"/>
      <c r="J1146" s="23"/>
      <c r="K1146" s="23"/>
      <c r="M1146" s="23"/>
      <c r="N1146" s="23"/>
      <c r="P1146" s="23"/>
    </row>
    <row r="1147" spans="2:16" x14ac:dyDescent="0.25">
      <c r="B1147" s="23"/>
      <c r="E1147" s="23"/>
      <c r="G1147" s="23"/>
      <c r="H1147" s="23"/>
      <c r="J1147" s="23"/>
      <c r="K1147" s="23"/>
      <c r="M1147" s="23"/>
      <c r="N1147" s="23"/>
      <c r="P1147" s="23"/>
    </row>
    <row r="1148" spans="2:16" x14ac:dyDescent="0.25">
      <c r="B1148" s="23"/>
      <c r="E1148" s="23"/>
      <c r="G1148" s="23"/>
      <c r="H1148" s="23"/>
      <c r="J1148" s="23"/>
      <c r="K1148" s="23"/>
      <c r="M1148" s="23"/>
      <c r="N1148" s="23"/>
      <c r="P1148" s="23"/>
    </row>
    <row r="1149" spans="2:16" x14ac:dyDescent="0.25">
      <c r="B1149" s="23"/>
      <c r="E1149" s="23"/>
      <c r="G1149" s="23"/>
      <c r="H1149" s="23"/>
      <c r="J1149" s="23"/>
      <c r="K1149" s="23"/>
      <c r="M1149" s="23"/>
      <c r="N1149" s="23"/>
      <c r="P1149" s="23"/>
    </row>
    <row r="1150" spans="2:16" x14ac:dyDescent="0.25">
      <c r="B1150" s="23"/>
      <c r="E1150" s="23"/>
      <c r="G1150" s="23"/>
      <c r="H1150" s="23"/>
      <c r="J1150" s="23"/>
      <c r="K1150" s="23"/>
      <c r="M1150" s="23"/>
      <c r="N1150" s="23"/>
      <c r="P1150" s="23"/>
    </row>
    <row r="1151" spans="2:16" x14ac:dyDescent="0.25">
      <c r="B1151" s="23"/>
      <c r="E1151" s="23"/>
      <c r="G1151" s="23"/>
      <c r="H1151" s="23"/>
      <c r="J1151" s="23"/>
      <c r="K1151" s="23"/>
      <c r="M1151" s="23"/>
      <c r="N1151" s="23"/>
      <c r="P1151" s="23"/>
    </row>
    <row r="1152" spans="2:16" x14ac:dyDescent="0.25">
      <c r="B1152" s="23"/>
      <c r="E1152" s="23"/>
      <c r="G1152" s="23"/>
      <c r="H1152" s="23"/>
      <c r="J1152" s="23"/>
      <c r="K1152" s="23"/>
      <c r="M1152" s="23"/>
      <c r="N1152" s="23"/>
      <c r="P1152" s="23"/>
    </row>
    <row r="1153" spans="2:16" x14ac:dyDescent="0.25">
      <c r="B1153" s="23"/>
      <c r="E1153" s="23"/>
      <c r="G1153" s="23"/>
      <c r="H1153" s="23"/>
      <c r="J1153" s="23"/>
      <c r="K1153" s="23"/>
      <c r="M1153" s="23"/>
      <c r="N1153" s="23"/>
      <c r="P1153" s="23"/>
    </row>
    <row r="1154" spans="2:16" x14ac:dyDescent="0.25">
      <c r="B1154" s="23"/>
      <c r="E1154" s="23"/>
      <c r="G1154" s="23"/>
      <c r="H1154" s="23"/>
      <c r="J1154" s="23"/>
      <c r="K1154" s="23"/>
      <c r="M1154" s="23"/>
      <c r="N1154" s="23"/>
      <c r="P1154" s="23"/>
    </row>
    <row r="1155" spans="2:16" x14ac:dyDescent="0.25">
      <c r="B1155" s="23"/>
      <c r="E1155" s="23"/>
      <c r="G1155" s="23"/>
      <c r="H1155" s="23"/>
      <c r="J1155" s="23"/>
      <c r="K1155" s="23"/>
      <c r="M1155" s="23"/>
      <c r="N1155" s="23"/>
      <c r="P1155" s="23"/>
    </row>
    <row r="1156" spans="2:16" x14ac:dyDescent="0.25">
      <c r="B1156" s="23"/>
      <c r="E1156" s="23"/>
      <c r="G1156" s="23"/>
      <c r="H1156" s="23"/>
      <c r="J1156" s="23"/>
      <c r="K1156" s="23"/>
      <c r="M1156" s="23"/>
      <c r="N1156" s="23"/>
      <c r="P1156" s="23"/>
    </row>
    <row r="1157" spans="2:16" x14ac:dyDescent="0.25">
      <c r="B1157" s="23"/>
      <c r="E1157" s="23"/>
      <c r="G1157" s="23"/>
      <c r="H1157" s="23"/>
      <c r="J1157" s="23"/>
      <c r="K1157" s="23"/>
      <c r="M1157" s="23"/>
      <c r="N1157" s="23"/>
      <c r="P1157" s="23"/>
    </row>
    <row r="1158" spans="2:16" x14ac:dyDescent="0.25">
      <c r="B1158" s="23"/>
      <c r="E1158" s="23"/>
      <c r="G1158" s="23"/>
      <c r="H1158" s="23"/>
      <c r="J1158" s="23"/>
      <c r="K1158" s="23"/>
      <c r="M1158" s="23"/>
      <c r="N1158" s="23"/>
      <c r="P1158" s="23"/>
    </row>
    <row r="1159" spans="2:16" x14ac:dyDescent="0.25">
      <c r="B1159" s="23"/>
      <c r="E1159" s="23"/>
      <c r="G1159" s="23"/>
      <c r="H1159" s="23"/>
      <c r="J1159" s="23"/>
      <c r="K1159" s="23"/>
      <c r="M1159" s="23"/>
      <c r="N1159" s="23"/>
      <c r="P1159" s="23"/>
    </row>
    <row r="1160" spans="2:16" x14ac:dyDescent="0.25">
      <c r="B1160" s="23"/>
      <c r="E1160" s="23"/>
      <c r="G1160" s="23"/>
      <c r="H1160" s="23"/>
      <c r="J1160" s="23"/>
      <c r="K1160" s="23"/>
      <c r="M1160" s="23"/>
      <c r="N1160" s="23"/>
      <c r="P1160" s="23"/>
    </row>
    <row r="1161" spans="2:16" x14ac:dyDescent="0.25">
      <c r="B1161" s="23"/>
      <c r="E1161" s="23"/>
      <c r="G1161" s="23"/>
      <c r="H1161" s="23"/>
      <c r="J1161" s="23"/>
      <c r="K1161" s="23"/>
      <c r="M1161" s="23"/>
      <c r="N1161" s="23"/>
      <c r="P1161" s="23"/>
    </row>
    <row r="1162" spans="2:16" x14ac:dyDescent="0.25">
      <c r="B1162" s="23"/>
      <c r="E1162" s="23"/>
      <c r="G1162" s="23"/>
      <c r="H1162" s="23"/>
      <c r="J1162" s="23"/>
      <c r="K1162" s="23"/>
      <c r="M1162" s="23"/>
      <c r="N1162" s="23"/>
      <c r="P1162" s="23"/>
    </row>
    <row r="1163" spans="2:16" x14ac:dyDescent="0.25">
      <c r="B1163" s="23"/>
      <c r="E1163" s="23"/>
      <c r="G1163" s="23"/>
      <c r="H1163" s="23"/>
      <c r="J1163" s="23"/>
      <c r="K1163" s="23"/>
      <c r="M1163" s="23"/>
      <c r="N1163" s="23"/>
      <c r="P1163" s="23"/>
    </row>
    <row r="1164" spans="2:16" x14ac:dyDescent="0.25">
      <c r="B1164" s="23"/>
      <c r="E1164" s="23"/>
      <c r="G1164" s="23"/>
      <c r="H1164" s="23"/>
      <c r="J1164" s="23"/>
      <c r="K1164" s="23"/>
      <c r="M1164" s="23"/>
      <c r="N1164" s="23"/>
      <c r="P1164" s="23"/>
    </row>
    <row r="1165" spans="2:16" x14ac:dyDescent="0.25">
      <c r="B1165" s="23"/>
      <c r="E1165" s="23"/>
      <c r="G1165" s="23"/>
      <c r="H1165" s="23"/>
      <c r="J1165" s="23"/>
      <c r="K1165" s="23"/>
      <c r="M1165" s="23"/>
      <c r="N1165" s="23"/>
      <c r="P1165" s="23"/>
    </row>
    <row r="1166" spans="2:16" x14ac:dyDescent="0.25">
      <c r="B1166" s="23"/>
      <c r="E1166" s="23"/>
      <c r="G1166" s="23"/>
      <c r="H1166" s="23"/>
      <c r="J1166" s="23"/>
      <c r="K1166" s="23"/>
      <c r="M1166" s="23"/>
      <c r="N1166" s="23"/>
      <c r="P1166" s="23"/>
    </row>
    <row r="1167" spans="2:16" x14ac:dyDescent="0.25">
      <c r="B1167" s="23"/>
      <c r="E1167" s="23"/>
      <c r="G1167" s="23"/>
      <c r="H1167" s="23"/>
      <c r="J1167" s="23"/>
      <c r="K1167" s="23"/>
      <c r="M1167" s="23"/>
      <c r="N1167" s="23"/>
      <c r="P1167" s="23"/>
    </row>
    <row r="1168" spans="2:16" x14ac:dyDescent="0.25">
      <c r="B1168" s="23"/>
      <c r="E1168" s="23"/>
      <c r="G1168" s="23"/>
      <c r="H1168" s="23"/>
      <c r="J1168" s="23"/>
      <c r="K1168" s="23"/>
      <c r="M1168" s="23"/>
      <c r="N1168" s="23"/>
      <c r="P1168" s="23"/>
    </row>
    <row r="1169" spans="2:16" x14ac:dyDescent="0.25">
      <c r="B1169" s="23"/>
      <c r="E1169" s="23"/>
      <c r="G1169" s="23"/>
      <c r="H1169" s="23"/>
      <c r="J1169" s="23"/>
      <c r="K1169" s="23"/>
      <c r="M1169" s="23"/>
      <c r="N1169" s="23"/>
      <c r="P1169" s="23"/>
    </row>
    <row r="1170" spans="2:16" x14ac:dyDescent="0.25">
      <c r="B1170" s="23"/>
      <c r="E1170" s="23"/>
      <c r="G1170" s="23"/>
      <c r="H1170" s="23"/>
      <c r="J1170" s="23"/>
      <c r="K1170" s="23"/>
      <c r="M1170" s="23"/>
      <c r="N1170" s="23"/>
      <c r="P1170" s="23"/>
    </row>
    <row r="1171" spans="2:16" x14ac:dyDescent="0.25">
      <c r="B1171" s="23"/>
      <c r="E1171" s="23"/>
      <c r="G1171" s="23"/>
      <c r="H1171" s="23"/>
      <c r="J1171" s="23"/>
      <c r="K1171" s="23"/>
      <c r="M1171" s="23"/>
      <c r="N1171" s="23"/>
      <c r="P1171" s="23"/>
    </row>
    <row r="1172" spans="2:16" x14ac:dyDescent="0.25">
      <c r="B1172" s="23"/>
      <c r="E1172" s="23"/>
      <c r="G1172" s="23"/>
      <c r="H1172" s="23"/>
      <c r="J1172" s="23"/>
      <c r="K1172" s="23"/>
      <c r="M1172" s="23"/>
      <c r="N1172" s="23"/>
      <c r="P1172" s="23"/>
    </row>
    <row r="1173" spans="2:16" x14ac:dyDescent="0.25">
      <c r="B1173" s="23"/>
      <c r="E1173" s="23"/>
      <c r="G1173" s="23"/>
      <c r="H1173" s="23"/>
      <c r="J1173" s="23"/>
      <c r="K1173" s="23"/>
      <c r="M1173" s="23"/>
      <c r="N1173" s="23"/>
      <c r="P1173" s="23"/>
    </row>
    <row r="1174" spans="2:16" x14ac:dyDescent="0.25">
      <c r="B1174" s="23"/>
      <c r="E1174" s="23"/>
      <c r="G1174" s="23"/>
      <c r="H1174" s="23"/>
      <c r="J1174" s="23"/>
      <c r="K1174" s="23"/>
      <c r="M1174" s="23"/>
      <c r="N1174" s="23"/>
      <c r="P1174" s="23"/>
    </row>
    <row r="1175" spans="2:16" x14ac:dyDescent="0.25">
      <c r="B1175" s="23"/>
      <c r="E1175" s="23"/>
      <c r="G1175" s="23"/>
      <c r="H1175" s="23"/>
      <c r="J1175" s="23"/>
      <c r="K1175" s="23"/>
      <c r="M1175" s="23"/>
      <c r="N1175" s="23"/>
      <c r="P1175" s="23"/>
    </row>
    <row r="1176" spans="2:16" x14ac:dyDescent="0.25">
      <c r="B1176" s="23"/>
      <c r="E1176" s="23"/>
      <c r="G1176" s="23"/>
      <c r="H1176" s="23"/>
      <c r="J1176" s="23"/>
      <c r="K1176" s="23"/>
      <c r="M1176" s="23"/>
      <c r="N1176" s="23"/>
      <c r="P1176" s="23"/>
    </row>
    <row r="1177" spans="2:16" x14ac:dyDescent="0.25">
      <c r="B1177" s="23"/>
      <c r="E1177" s="23"/>
      <c r="G1177" s="23"/>
      <c r="H1177" s="23"/>
      <c r="J1177" s="23"/>
      <c r="K1177" s="23"/>
      <c r="M1177" s="23"/>
      <c r="N1177" s="23"/>
      <c r="P1177" s="23"/>
    </row>
    <row r="1178" spans="2:16" x14ac:dyDescent="0.25">
      <c r="B1178" s="23"/>
      <c r="E1178" s="23"/>
      <c r="G1178" s="23"/>
      <c r="H1178" s="23"/>
      <c r="J1178" s="23"/>
      <c r="K1178" s="23"/>
      <c r="M1178" s="23"/>
      <c r="N1178" s="23"/>
      <c r="P1178" s="23"/>
    </row>
    <row r="1179" spans="2:16" x14ac:dyDescent="0.25">
      <c r="B1179" s="23"/>
      <c r="E1179" s="23"/>
      <c r="G1179" s="23"/>
      <c r="H1179" s="23"/>
      <c r="J1179" s="23"/>
      <c r="K1179" s="23"/>
      <c r="M1179" s="23"/>
      <c r="N1179" s="23"/>
      <c r="P1179" s="23"/>
    </row>
    <row r="1180" spans="2:16" x14ac:dyDescent="0.25">
      <c r="B1180" s="23"/>
      <c r="E1180" s="23"/>
      <c r="G1180" s="23"/>
      <c r="H1180" s="23"/>
      <c r="J1180" s="23"/>
      <c r="K1180" s="23"/>
      <c r="M1180" s="23"/>
      <c r="N1180" s="23"/>
      <c r="P1180" s="23"/>
    </row>
    <row r="1181" spans="2:16" x14ac:dyDescent="0.25">
      <c r="B1181" s="23"/>
      <c r="E1181" s="23"/>
      <c r="G1181" s="23"/>
      <c r="H1181" s="23"/>
      <c r="J1181" s="23"/>
      <c r="K1181" s="23"/>
      <c r="M1181" s="23"/>
      <c r="N1181" s="23"/>
      <c r="P1181" s="23"/>
    </row>
    <row r="1182" spans="2:16" x14ac:dyDescent="0.25">
      <c r="B1182" s="23"/>
      <c r="E1182" s="23"/>
      <c r="G1182" s="23"/>
      <c r="H1182" s="23"/>
      <c r="J1182" s="23"/>
      <c r="K1182" s="23"/>
      <c r="M1182" s="23"/>
      <c r="N1182" s="23"/>
      <c r="P1182" s="23"/>
    </row>
    <row r="1183" spans="2:16" x14ac:dyDescent="0.25">
      <c r="B1183" s="23"/>
      <c r="E1183" s="23"/>
      <c r="G1183" s="23"/>
      <c r="H1183" s="23"/>
      <c r="J1183" s="23"/>
      <c r="K1183" s="23"/>
      <c r="M1183" s="23"/>
      <c r="N1183" s="23"/>
      <c r="P1183" s="23"/>
    </row>
    <row r="1184" spans="2:16" x14ac:dyDescent="0.25">
      <c r="B1184" s="23"/>
      <c r="E1184" s="23"/>
      <c r="G1184" s="23"/>
      <c r="H1184" s="23"/>
      <c r="J1184" s="23"/>
      <c r="K1184" s="23"/>
      <c r="M1184" s="23"/>
      <c r="N1184" s="23"/>
      <c r="P1184" s="23"/>
    </row>
    <row r="1185" spans="2:16" x14ac:dyDescent="0.25">
      <c r="B1185" s="23"/>
      <c r="E1185" s="23"/>
      <c r="G1185" s="23"/>
      <c r="H1185" s="23"/>
      <c r="J1185" s="23"/>
      <c r="K1185" s="23"/>
      <c r="M1185" s="23"/>
      <c r="N1185" s="23"/>
      <c r="P1185" s="23"/>
    </row>
    <row r="1186" spans="2:16" x14ac:dyDescent="0.25">
      <c r="B1186" s="23"/>
      <c r="E1186" s="23"/>
      <c r="G1186" s="23"/>
      <c r="H1186" s="23"/>
      <c r="J1186" s="23"/>
      <c r="K1186" s="23"/>
      <c r="M1186" s="23"/>
      <c r="N1186" s="23"/>
      <c r="P1186" s="23"/>
    </row>
    <row r="1187" spans="2:16" x14ac:dyDescent="0.25">
      <c r="B1187" s="23"/>
      <c r="E1187" s="23"/>
      <c r="G1187" s="23"/>
      <c r="H1187" s="23"/>
      <c r="J1187" s="23"/>
      <c r="K1187" s="23"/>
      <c r="M1187" s="23"/>
      <c r="N1187" s="23"/>
      <c r="P1187" s="23"/>
    </row>
    <row r="1188" spans="2:16" x14ac:dyDescent="0.25">
      <c r="B1188" s="23"/>
      <c r="E1188" s="23"/>
      <c r="G1188" s="23"/>
      <c r="H1188" s="23"/>
      <c r="J1188" s="23"/>
      <c r="K1188" s="23"/>
      <c r="M1188" s="23"/>
      <c r="N1188" s="23"/>
      <c r="P1188" s="23"/>
    </row>
    <row r="1189" spans="2:16" x14ac:dyDescent="0.25">
      <c r="B1189" s="23"/>
      <c r="E1189" s="23"/>
      <c r="G1189" s="23"/>
      <c r="H1189" s="23"/>
      <c r="J1189" s="23"/>
      <c r="K1189" s="23"/>
      <c r="M1189" s="23"/>
      <c r="N1189" s="23"/>
      <c r="P1189" s="23"/>
    </row>
    <row r="1190" spans="2:16" x14ac:dyDescent="0.25">
      <c r="B1190" s="23"/>
      <c r="E1190" s="23"/>
      <c r="G1190" s="23"/>
      <c r="H1190" s="23"/>
      <c r="J1190" s="23"/>
      <c r="K1190" s="23"/>
      <c r="M1190" s="23"/>
      <c r="N1190" s="23"/>
      <c r="P1190" s="23"/>
    </row>
    <row r="1191" spans="2:16" x14ac:dyDescent="0.25">
      <c r="B1191" s="23"/>
      <c r="E1191" s="23"/>
      <c r="G1191" s="23"/>
      <c r="H1191" s="23"/>
      <c r="J1191" s="23"/>
      <c r="K1191" s="23"/>
      <c r="M1191" s="23"/>
      <c r="N1191" s="23"/>
      <c r="P1191" s="23"/>
    </row>
    <row r="1192" spans="2:16" x14ac:dyDescent="0.25">
      <c r="B1192" s="23"/>
      <c r="E1192" s="23"/>
      <c r="G1192" s="23"/>
      <c r="H1192" s="23"/>
      <c r="J1192" s="23"/>
      <c r="K1192" s="23"/>
      <c r="M1192" s="23"/>
      <c r="N1192" s="23"/>
      <c r="P1192" s="23"/>
    </row>
    <row r="1193" spans="2:16" x14ac:dyDescent="0.25">
      <c r="B1193" s="23"/>
      <c r="E1193" s="23"/>
      <c r="G1193" s="23"/>
      <c r="H1193" s="23"/>
      <c r="J1193" s="23"/>
      <c r="K1193" s="23"/>
      <c r="M1193" s="23"/>
      <c r="N1193" s="23"/>
      <c r="P1193" s="23"/>
    </row>
    <row r="1194" spans="2:16" x14ac:dyDescent="0.25">
      <c r="B1194" s="23"/>
      <c r="E1194" s="23"/>
      <c r="G1194" s="23"/>
      <c r="H1194" s="23"/>
      <c r="J1194" s="23"/>
      <c r="K1194" s="23"/>
      <c r="M1194" s="23"/>
      <c r="N1194" s="23"/>
      <c r="P1194" s="23"/>
    </row>
    <row r="1195" spans="2:16" x14ac:dyDescent="0.25">
      <c r="B1195" s="23"/>
      <c r="E1195" s="23"/>
      <c r="G1195" s="23"/>
      <c r="H1195" s="23"/>
      <c r="J1195" s="23"/>
      <c r="K1195" s="23"/>
      <c r="M1195" s="23"/>
      <c r="N1195" s="23"/>
      <c r="P1195" s="23"/>
    </row>
    <row r="1196" spans="2:16" x14ac:dyDescent="0.25">
      <c r="B1196" s="23"/>
      <c r="E1196" s="23"/>
      <c r="G1196" s="23"/>
      <c r="H1196" s="23"/>
      <c r="J1196" s="23"/>
      <c r="K1196" s="23"/>
      <c r="M1196" s="23"/>
      <c r="N1196" s="23"/>
      <c r="P1196" s="23"/>
    </row>
    <row r="1197" spans="2:16" x14ac:dyDescent="0.25">
      <c r="B1197" s="23"/>
      <c r="E1197" s="23"/>
      <c r="G1197" s="23"/>
      <c r="H1197" s="23"/>
      <c r="J1197" s="23"/>
      <c r="K1197" s="23"/>
      <c r="M1197" s="23"/>
      <c r="N1197" s="23"/>
      <c r="P1197" s="23"/>
    </row>
    <row r="1198" spans="2:16" x14ac:dyDescent="0.25">
      <c r="B1198" s="23"/>
      <c r="E1198" s="23"/>
      <c r="G1198" s="23"/>
      <c r="H1198" s="23"/>
      <c r="J1198" s="23"/>
      <c r="K1198" s="23"/>
      <c r="M1198" s="23"/>
      <c r="N1198" s="23"/>
      <c r="P1198" s="23"/>
    </row>
    <row r="1199" spans="2:16" x14ac:dyDescent="0.25">
      <c r="B1199" s="23"/>
      <c r="E1199" s="23"/>
      <c r="G1199" s="23"/>
      <c r="H1199" s="23"/>
      <c r="J1199" s="23"/>
      <c r="K1199" s="23"/>
      <c r="M1199" s="23"/>
      <c r="N1199" s="23"/>
      <c r="P1199" s="23"/>
    </row>
    <row r="1200" spans="2:16" x14ac:dyDescent="0.25">
      <c r="B1200" s="23"/>
      <c r="E1200" s="23"/>
      <c r="G1200" s="23"/>
      <c r="H1200" s="23"/>
      <c r="J1200" s="23"/>
      <c r="K1200" s="23"/>
      <c r="M1200" s="23"/>
      <c r="N1200" s="23"/>
      <c r="P1200" s="23"/>
    </row>
    <row r="1201" spans="2:16" x14ac:dyDescent="0.25">
      <c r="B1201" s="23"/>
      <c r="E1201" s="23"/>
      <c r="G1201" s="23"/>
      <c r="H1201" s="23"/>
      <c r="J1201" s="23"/>
      <c r="K1201" s="23"/>
      <c r="M1201" s="23"/>
      <c r="N1201" s="23"/>
      <c r="P1201" s="23"/>
    </row>
    <row r="1202" spans="2:16" x14ac:dyDescent="0.25">
      <c r="B1202" s="23"/>
      <c r="E1202" s="23"/>
      <c r="G1202" s="23"/>
      <c r="H1202" s="23"/>
      <c r="J1202" s="23"/>
      <c r="K1202" s="23"/>
      <c r="M1202" s="23"/>
      <c r="N1202" s="23"/>
      <c r="P1202" s="23"/>
    </row>
    <row r="1203" spans="2:16" x14ac:dyDescent="0.25">
      <c r="B1203" s="23"/>
      <c r="E1203" s="23"/>
      <c r="G1203" s="23"/>
      <c r="H1203" s="23"/>
      <c r="J1203" s="23"/>
      <c r="K1203" s="23"/>
      <c r="M1203" s="23"/>
      <c r="N1203" s="23"/>
      <c r="P1203" s="23"/>
    </row>
    <row r="1204" spans="2:16" x14ac:dyDescent="0.25">
      <c r="B1204" s="23"/>
      <c r="E1204" s="23"/>
      <c r="G1204" s="23"/>
      <c r="H1204" s="23"/>
      <c r="J1204" s="23"/>
      <c r="K1204" s="23"/>
      <c r="M1204" s="23"/>
      <c r="N1204" s="23"/>
      <c r="P1204" s="23"/>
    </row>
    <row r="1205" spans="2:16" x14ac:dyDescent="0.25">
      <c r="B1205" s="23"/>
      <c r="E1205" s="23"/>
      <c r="G1205" s="23"/>
      <c r="H1205" s="23"/>
      <c r="J1205" s="23"/>
      <c r="K1205" s="23"/>
      <c r="M1205" s="23"/>
      <c r="N1205" s="23"/>
      <c r="P1205" s="23"/>
    </row>
    <row r="1206" spans="2:16" x14ac:dyDescent="0.25">
      <c r="B1206" s="23"/>
      <c r="E1206" s="23"/>
      <c r="G1206" s="23"/>
      <c r="H1206" s="23"/>
      <c r="J1206" s="23"/>
      <c r="K1206" s="23"/>
      <c r="M1206" s="23"/>
      <c r="N1206" s="23"/>
      <c r="P1206" s="23"/>
    </row>
    <row r="1207" spans="2:16" x14ac:dyDescent="0.25">
      <c r="B1207" s="23"/>
      <c r="E1207" s="23"/>
      <c r="G1207" s="23"/>
      <c r="H1207" s="23"/>
      <c r="J1207" s="23"/>
      <c r="K1207" s="23"/>
      <c r="M1207" s="23"/>
      <c r="N1207" s="23"/>
      <c r="P1207" s="23"/>
    </row>
    <row r="1208" spans="2:16" x14ac:dyDescent="0.25">
      <c r="B1208" s="23"/>
      <c r="E1208" s="23"/>
      <c r="G1208" s="23"/>
      <c r="H1208" s="23"/>
      <c r="J1208" s="23"/>
      <c r="K1208" s="23"/>
      <c r="M1208" s="23"/>
      <c r="N1208" s="23"/>
      <c r="P1208" s="23"/>
    </row>
    <row r="1209" spans="2:16" x14ac:dyDescent="0.25">
      <c r="B1209" s="23"/>
      <c r="E1209" s="23"/>
      <c r="G1209" s="23"/>
      <c r="H1209" s="23"/>
      <c r="J1209" s="23"/>
      <c r="K1209" s="23"/>
      <c r="M1209" s="23"/>
      <c r="N1209" s="23"/>
      <c r="P1209" s="23"/>
    </row>
    <row r="1210" spans="2:16" x14ac:dyDescent="0.25">
      <c r="B1210" s="23"/>
      <c r="E1210" s="23"/>
      <c r="G1210" s="23"/>
      <c r="H1210" s="23"/>
      <c r="J1210" s="23"/>
      <c r="K1210" s="23"/>
      <c r="M1210" s="23"/>
      <c r="N1210" s="23"/>
      <c r="P1210" s="23"/>
    </row>
    <row r="1211" spans="2:16" x14ac:dyDescent="0.25">
      <c r="B1211" s="23"/>
      <c r="E1211" s="23"/>
      <c r="G1211" s="23"/>
      <c r="H1211" s="23"/>
      <c r="J1211" s="23"/>
      <c r="K1211" s="23"/>
      <c r="M1211" s="23"/>
      <c r="N1211" s="23"/>
      <c r="P1211" s="23"/>
    </row>
    <row r="1212" spans="2:16" x14ac:dyDescent="0.25">
      <c r="B1212" s="23"/>
      <c r="E1212" s="23"/>
      <c r="G1212" s="23"/>
      <c r="H1212" s="23"/>
      <c r="J1212" s="23"/>
      <c r="K1212" s="23"/>
      <c r="M1212" s="23"/>
      <c r="N1212" s="23"/>
      <c r="P1212" s="23"/>
    </row>
    <row r="1213" spans="2:16" x14ac:dyDescent="0.25">
      <c r="B1213" s="23"/>
      <c r="E1213" s="23"/>
      <c r="G1213" s="23"/>
      <c r="H1213" s="23"/>
      <c r="J1213" s="23"/>
      <c r="K1213" s="23"/>
      <c r="M1213" s="23"/>
      <c r="N1213" s="23"/>
      <c r="P1213" s="23"/>
    </row>
    <row r="1214" spans="2:16" x14ac:dyDescent="0.25">
      <c r="B1214" s="23"/>
      <c r="E1214" s="23"/>
      <c r="G1214" s="23"/>
      <c r="H1214" s="23"/>
      <c r="J1214" s="23"/>
      <c r="K1214" s="23"/>
      <c r="M1214" s="23"/>
      <c r="N1214" s="23"/>
      <c r="P1214" s="23"/>
    </row>
    <row r="1215" spans="2:16" x14ac:dyDescent="0.25">
      <c r="B1215" s="23"/>
      <c r="E1215" s="23"/>
      <c r="G1215" s="23"/>
      <c r="H1215" s="23"/>
      <c r="J1215" s="23"/>
      <c r="K1215" s="23"/>
      <c r="M1215" s="23"/>
      <c r="N1215" s="23"/>
      <c r="P1215" s="23"/>
    </row>
    <row r="1216" spans="2:16" x14ac:dyDescent="0.25">
      <c r="B1216" s="23"/>
      <c r="E1216" s="23"/>
      <c r="G1216" s="23"/>
      <c r="H1216" s="23"/>
      <c r="J1216" s="23"/>
      <c r="K1216" s="23"/>
      <c r="M1216" s="23"/>
      <c r="N1216" s="23"/>
      <c r="P1216" s="23"/>
    </row>
    <row r="1217" spans="2:16" x14ac:dyDescent="0.25">
      <c r="B1217" s="23"/>
      <c r="E1217" s="23"/>
      <c r="G1217" s="23"/>
      <c r="H1217" s="23"/>
      <c r="J1217" s="23"/>
      <c r="K1217" s="23"/>
      <c r="M1217" s="23"/>
      <c r="N1217" s="23"/>
      <c r="P1217" s="23"/>
    </row>
    <row r="1218" spans="2:16" x14ac:dyDescent="0.25">
      <c r="B1218" s="23"/>
      <c r="E1218" s="23"/>
      <c r="G1218" s="23"/>
      <c r="H1218" s="23"/>
      <c r="J1218" s="23"/>
      <c r="K1218" s="23"/>
      <c r="M1218" s="23"/>
      <c r="N1218" s="23"/>
      <c r="P1218" s="23"/>
    </row>
    <row r="1219" spans="2:16" x14ac:dyDescent="0.25">
      <c r="B1219" s="23"/>
      <c r="E1219" s="23"/>
      <c r="G1219" s="23"/>
      <c r="H1219" s="23"/>
      <c r="J1219" s="23"/>
      <c r="K1219" s="23"/>
      <c r="M1219" s="23"/>
      <c r="N1219" s="23"/>
      <c r="P1219" s="23"/>
    </row>
    <row r="1220" spans="2:16" x14ac:dyDescent="0.25">
      <c r="B1220" s="23"/>
      <c r="E1220" s="23"/>
      <c r="G1220" s="23"/>
      <c r="H1220" s="23"/>
      <c r="J1220" s="23"/>
      <c r="K1220" s="23"/>
      <c r="M1220" s="23"/>
      <c r="N1220" s="23"/>
      <c r="P1220" s="23"/>
    </row>
    <row r="1221" spans="2:16" x14ac:dyDescent="0.25">
      <c r="B1221" s="23"/>
      <c r="E1221" s="23"/>
      <c r="G1221" s="23"/>
      <c r="H1221" s="23"/>
      <c r="J1221" s="23"/>
      <c r="K1221" s="23"/>
      <c r="M1221" s="23"/>
      <c r="N1221" s="23"/>
      <c r="P1221" s="23"/>
    </row>
    <row r="1222" spans="2:16" x14ac:dyDescent="0.25">
      <c r="B1222" s="23"/>
      <c r="E1222" s="23"/>
      <c r="G1222" s="23"/>
      <c r="H1222" s="23"/>
      <c r="J1222" s="23"/>
      <c r="K1222" s="23"/>
      <c r="M1222" s="23"/>
      <c r="N1222" s="23"/>
      <c r="P1222" s="23"/>
    </row>
    <row r="1223" spans="2:16" x14ac:dyDescent="0.25">
      <c r="B1223" s="23"/>
      <c r="E1223" s="23"/>
      <c r="G1223" s="23"/>
      <c r="H1223" s="23"/>
      <c r="J1223" s="23"/>
      <c r="K1223" s="23"/>
      <c r="M1223" s="23"/>
      <c r="N1223" s="23"/>
      <c r="P1223" s="23"/>
    </row>
    <row r="1224" spans="2:16" x14ac:dyDescent="0.25">
      <c r="B1224" s="23"/>
      <c r="E1224" s="23"/>
      <c r="G1224" s="23"/>
      <c r="H1224" s="23"/>
      <c r="J1224" s="23"/>
      <c r="K1224" s="23"/>
      <c r="M1224" s="23"/>
      <c r="N1224" s="23"/>
      <c r="P1224" s="23"/>
    </row>
    <row r="1225" spans="2:16" x14ac:dyDescent="0.25">
      <c r="B1225" s="23"/>
      <c r="E1225" s="23"/>
      <c r="G1225" s="23"/>
      <c r="H1225" s="23"/>
      <c r="J1225" s="23"/>
      <c r="K1225" s="23"/>
      <c r="M1225" s="23"/>
      <c r="N1225" s="23"/>
      <c r="P1225" s="23"/>
    </row>
    <row r="1226" spans="2:16" x14ac:dyDescent="0.25">
      <c r="B1226" s="23"/>
      <c r="E1226" s="23"/>
      <c r="G1226" s="23"/>
      <c r="H1226" s="23"/>
      <c r="J1226" s="23"/>
      <c r="K1226" s="23"/>
      <c r="M1226" s="23"/>
      <c r="N1226" s="23"/>
      <c r="P1226" s="23"/>
    </row>
    <row r="1227" spans="2:16" x14ac:dyDescent="0.25">
      <c r="B1227" s="23"/>
      <c r="E1227" s="23"/>
      <c r="G1227" s="23"/>
      <c r="H1227" s="23"/>
      <c r="J1227" s="23"/>
      <c r="K1227" s="23"/>
      <c r="M1227" s="23"/>
      <c r="N1227" s="23"/>
      <c r="P1227" s="23"/>
    </row>
    <row r="1228" spans="2:16" x14ac:dyDescent="0.25">
      <c r="B1228" s="23"/>
      <c r="E1228" s="23"/>
      <c r="G1228" s="23"/>
      <c r="H1228" s="23"/>
      <c r="J1228" s="23"/>
      <c r="K1228" s="23"/>
      <c r="M1228" s="23"/>
      <c r="N1228" s="23"/>
      <c r="P1228" s="23"/>
    </row>
    <row r="1229" spans="2:16" x14ac:dyDescent="0.25">
      <c r="B1229" s="23"/>
      <c r="E1229" s="23"/>
      <c r="G1229" s="23"/>
      <c r="H1229" s="23"/>
      <c r="J1229" s="23"/>
      <c r="K1229" s="23"/>
      <c r="M1229" s="23"/>
      <c r="N1229" s="23"/>
      <c r="P1229" s="23"/>
    </row>
    <row r="1230" spans="2:16" x14ac:dyDescent="0.25">
      <c r="B1230" s="23"/>
      <c r="E1230" s="23"/>
      <c r="G1230" s="23"/>
      <c r="H1230" s="23"/>
      <c r="J1230" s="23"/>
      <c r="K1230" s="23"/>
      <c r="M1230" s="23"/>
      <c r="N1230" s="23"/>
      <c r="P1230" s="23"/>
    </row>
    <row r="1231" spans="2:16" x14ac:dyDescent="0.25">
      <c r="B1231" s="23"/>
      <c r="E1231" s="23"/>
      <c r="G1231" s="23"/>
      <c r="H1231" s="23"/>
      <c r="J1231" s="23"/>
      <c r="K1231" s="23"/>
      <c r="M1231" s="23"/>
      <c r="N1231" s="23"/>
      <c r="P1231" s="23"/>
    </row>
    <row r="1232" spans="2:16" x14ac:dyDescent="0.25">
      <c r="B1232" s="23"/>
      <c r="E1232" s="23"/>
      <c r="G1232" s="23"/>
      <c r="H1232" s="23"/>
      <c r="J1232" s="23"/>
      <c r="K1232" s="23"/>
      <c r="M1232" s="23"/>
      <c r="N1232" s="23"/>
      <c r="P1232" s="23"/>
    </row>
    <row r="1233" spans="2:16" x14ac:dyDescent="0.25">
      <c r="B1233" s="23"/>
      <c r="E1233" s="23"/>
      <c r="G1233" s="23"/>
      <c r="H1233" s="23"/>
      <c r="J1233" s="23"/>
      <c r="K1233" s="23"/>
      <c r="M1233" s="23"/>
      <c r="N1233" s="23"/>
      <c r="P1233" s="23"/>
    </row>
    <row r="1234" spans="2:16" x14ac:dyDescent="0.25">
      <c r="B1234" s="23"/>
      <c r="E1234" s="23"/>
      <c r="G1234" s="23"/>
      <c r="H1234" s="23"/>
      <c r="J1234" s="23"/>
      <c r="K1234" s="23"/>
      <c r="M1234" s="23"/>
      <c r="N1234" s="23"/>
      <c r="P1234" s="23"/>
    </row>
    <row r="1235" spans="2:16" x14ac:dyDescent="0.25">
      <c r="B1235" s="23"/>
      <c r="E1235" s="23"/>
      <c r="G1235" s="23"/>
      <c r="H1235" s="23"/>
      <c r="J1235" s="23"/>
      <c r="K1235" s="23"/>
      <c r="M1235" s="23"/>
      <c r="N1235" s="23"/>
      <c r="P1235" s="23"/>
    </row>
    <row r="1236" spans="2:16" x14ac:dyDescent="0.25">
      <c r="B1236" s="23"/>
      <c r="E1236" s="23"/>
      <c r="G1236" s="23"/>
      <c r="H1236" s="23"/>
      <c r="J1236" s="23"/>
      <c r="K1236" s="23"/>
      <c r="M1236" s="23"/>
      <c r="N1236" s="23"/>
      <c r="P1236" s="23"/>
    </row>
    <row r="1237" spans="2:16" x14ac:dyDescent="0.25">
      <c r="B1237" s="23"/>
      <c r="E1237" s="23"/>
      <c r="G1237" s="23"/>
      <c r="H1237" s="23"/>
      <c r="J1237" s="23"/>
      <c r="K1237" s="23"/>
      <c r="M1237" s="23"/>
      <c r="N1237" s="23"/>
      <c r="P1237" s="23"/>
    </row>
    <row r="1238" spans="2:16" x14ac:dyDescent="0.25">
      <c r="B1238" s="23"/>
      <c r="E1238" s="23"/>
      <c r="G1238" s="23"/>
      <c r="H1238" s="23"/>
      <c r="J1238" s="23"/>
      <c r="K1238" s="23"/>
      <c r="M1238" s="23"/>
      <c r="N1238" s="23"/>
      <c r="P1238" s="23"/>
    </row>
    <row r="1239" spans="2:16" x14ac:dyDescent="0.25">
      <c r="B1239" s="23"/>
      <c r="E1239" s="23"/>
      <c r="G1239" s="23"/>
      <c r="H1239" s="23"/>
      <c r="J1239" s="23"/>
      <c r="K1239" s="23"/>
      <c r="M1239" s="23"/>
      <c r="N1239" s="23"/>
      <c r="P1239" s="23"/>
    </row>
    <row r="1240" spans="2:16" x14ac:dyDescent="0.25">
      <c r="B1240" s="23"/>
      <c r="E1240" s="23"/>
      <c r="G1240" s="23"/>
      <c r="H1240" s="23"/>
      <c r="J1240" s="23"/>
      <c r="K1240" s="23"/>
      <c r="M1240" s="23"/>
      <c r="N1240" s="23"/>
      <c r="P1240" s="23"/>
    </row>
    <row r="1241" spans="2:16" x14ac:dyDescent="0.25">
      <c r="B1241" s="23"/>
      <c r="E1241" s="23"/>
      <c r="G1241" s="23"/>
      <c r="H1241" s="23"/>
      <c r="J1241" s="23"/>
      <c r="K1241" s="23"/>
      <c r="M1241" s="23"/>
      <c r="N1241" s="23"/>
      <c r="P1241" s="23"/>
    </row>
    <row r="1242" spans="2:16" x14ac:dyDescent="0.25">
      <c r="B1242" s="23"/>
      <c r="E1242" s="23"/>
      <c r="G1242" s="23"/>
      <c r="H1242" s="23"/>
      <c r="J1242" s="23"/>
      <c r="K1242" s="23"/>
      <c r="M1242" s="23"/>
      <c r="N1242" s="23"/>
      <c r="P1242" s="23"/>
    </row>
    <row r="1243" spans="2:16" x14ac:dyDescent="0.25">
      <c r="B1243" s="23"/>
      <c r="E1243" s="23"/>
      <c r="G1243" s="23"/>
      <c r="H1243" s="23"/>
      <c r="J1243" s="23"/>
      <c r="K1243" s="23"/>
      <c r="M1243" s="23"/>
      <c r="N1243" s="23"/>
      <c r="P1243" s="23"/>
    </row>
    <row r="1244" spans="2:16" x14ac:dyDescent="0.25">
      <c r="B1244" s="23"/>
      <c r="E1244" s="23"/>
      <c r="G1244" s="23"/>
      <c r="H1244" s="23"/>
      <c r="J1244" s="23"/>
      <c r="K1244" s="23"/>
      <c r="M1244" s="23"/>
      <c r="N1244" s="23"/>
      <c r="P1244" s="23"/>
    </row>
    <row r="1245" spans="2:16" x14ac:dyDescent="0.25">
      <c r="B1245" s="23"/>
      <c r="E1245" s="23"/>
      <c r="G1245" s="23"/>
      <c r="H1245" s="23"/>
      <c r="J1245" s="23"/>
      <c r="K1245" s="23"/>
      <c r="M1245" s="23"/>
      <c r="N1245" s="23"/>
      <c r="P1245" s="23"/>
    </row>
    <row r="1246" spans="2:16" x14ac:dyDescent="0.25">
      <c r="B1246" s="23"/>
      <c r="E1246" s="23"/>
      <c r="G1246" s="23"/>
      <c r="H1246" s="23"/>
      <c r="J1246" s="23"/>
      <c r="K1246" s="23"/>
      <c r="M1246" s="23"/>
      <c r="N1246" s="23"/>
      <c r="P1246" s="23"/>
    </row>
    <row r="1247" spans="2:16" x14ac:dyDescent="0.25">
      <c r="B1247" s="23"/>
      <c r="E1247" s="23"/>
      <c r="G1247" s="23"/>
      <c r="H1247" s="23"/>
      <c r="J1247" s="23"/>
      <c r="K1247" s="23"/>
      <c r="M1247" s="23"/>
      <c r="N1247" s="23"/>
      <c r="P1247" s="23"/>
    </row>
    <row r="1248" spans="2:16" x14ac:dyDescent="0.25">
      <c r="B1248" s="23"/>
      <c r="E1248" s="23"/>
      <c r="G1248" s="23"/>
      <c r="H1248" s="23"/>
      <c r="J1248" s="23"/>
      <c r="K1248" s="23"/>
      <c r="M1248" s="23"/>
      <c r="N1248" s="23"/>
      <c r="P1248" s="23"/>
    </row>
    <row r="1249" spans="2:16" x14ac:dyDescent="0.25">
      <c r="B1249" s="23"/>
      <c r="E1249" s="23"/>
      <c r="G1249" s="23"/>
      <c r="H1249" s="23"/>
      <c r="J1249" s="23"/>
      <c r="K1249" s="23"/>
      <c r="M1249" s="23"/>
      <c r="N1249" s="23"/>
      <c r="P1249" s="23"/>
    </row>
    <row r="1250" spans="2:16" x14ac:dyDescent="0.25">
      <c r="B1250" s="23"/>
      <c r="E1250" s="23"/>
      <c r="G1250" s="23"/>
      <c r="H1250" s="23"/>
      <c r="J1250" s="23"/>
      <c r="K1250" s="23"/>
      <c r="M1250" s="23"/>
      <c r="N1250" s="23"/>
      <c r="P1250" s="23"/>
    </row>
    <row r="1251" spans="2:16" x14ac:dyDescent="0.25">
      <c r="B1251" s="23"/>
      <c r="E1251" s="23"/>
      <c r="G1251" s="23"/>
      <c r="H1251" s="23"/>
      <c r="J1251" s="23"/>
      <c r="K1251" s="23"/>
      <c r="M1251" s="23"/>
      <c r="N1251" s="23"/>
      <c r="P1251" s="23"/>
    </row>
    <row r="1252" spans="2:16" x14ac:dyDescent="0.25">
      <c r="B1252" s="23"/>
      <c r="E1252" s="23"/>
      <c r="G1252" s="23"/>
      <c r="H1252" s="23"/>
      <c r="J1252" s="23"/>
      <c r="K1252" s="23"/>
      <c r="M1252" s="23"/>
      <c r="N1252" s="23"/>
      <c r="P1252" s="23"/>
    </row>
    <row r="1253" spans="2:16" x14ac:dyDescent="0.25">
      <c r="B1253" s="23"/>
      <c r="E1253" s="23"/>
      <c r="G1253" s="23"/>
      <c r="H1253" s="23"/>
      <c r="J1253" s="23"/>
      <c r="K1253" s="23"/>
      <c r="M1253" s="23"/>
      <c r="N1253" s="23"/>
      <c r="P1253" s="23"/>
    </row>
    <row r="1254" spans="2:16" x14ac:dyDescent="0.25">
      <c r="B1254" s="23"/>
      <c r="E1254" s="23"/>
      <c r="G1254" s="23"/>
      <c r="H1254" s="23"/>
      <c r="J1254" s="23"/>
      <c r="K1254" s="23"/>
      <c r="M1254" s="23"/>
      <c r="N1254" s="23"/>
      <c r="P1254" s="23"/>
    </row>
    <row r="1255" spans="2:16" x14ac:dyDescent="0.25">
      <c r="B1255" s="23"/>
      <c r="E1255" s="23"/>
      <c r="G1255" s="23"/>
      <c r="H1255" s="23"/>
      <c r="J1255" s="23"/>
      <c r="K1255" s="23"/>
      <c r="M1255" s="23"/>
      <c r="N1255" s="23"/>
      <c r="P1255" s="23"/>
    </row>
    <row r="1256" spans="2:16" x14ac:dyDescent="0.25">
      <c r="B1256" s="23"/>
      <c r="E1256" s="23"/>
      <c r="G1256" s="23"/>
      <c r="H1256" s="23"/>
      <c r="J1256" s="23"/>
      <c r="K1256" s="23"/>
      <c r="M1256" s="23"/>
      <c r="N1256" s="23"/>
      <c r="P1256" s="23"/>
    </row>
    <row r="1257" spans="2:16" x14ac:dyDescent="0.25">
      <c r="B1257" s="23"/>
      <c r="E1257" s="23"/>
      <c r="G1257" s="23"/>
      <c r="H1257" s="23"/>
      <c r="J1257" s="23"/>
      <c r="K1257" s="23"/>
      <c r="M1257" s="23"/>
      <c r="N1257" s="23"/>
      <c r="P1257" s="23"/>
    </row>
    <row r="1258" spans="2:16" x14ac:dyDescent="0.25">
      <c r="B1258" s="23"/>
      <c r="E1258" s="23"/>
      <c r="G1258" s="23"/>
      <c r="H1258" s="23"/>
      <c r="J1258" s="23"/>
      <c r="K1258" s="23"/>
      <c r="M1258" s="23"/>
      <c r="N1258" s="23"/>
      <c r="P1258" s="23"/>
    </row>
    <row r="1259" spans="2:16" x14ac:dyDescent="0.25">
      <c r="B1259" s="23"/>
      <c r="E1259" s="23"/>
      <c r="G1259" s="23"/>
      <c r="H1259" s="23"/>
      <c r="J1259" s="23"/>
      <c r="K1259" s="23"/>
      <c r="M1259" s="23"/>
      <c r="N1259" s="23"/>
      <c r="P1259" s="23"/>
    </row>
    <row r="1260" spans="2:16" x14ac:dyDescent="0.25">
      <c r="B1260" s="23"/>
      <c r="E1260" s="23"/>
      <c r="G1260" s="23"/>
      <c r="H1260" s="23"/>
      <c r="J1260" s="23"/>
      <c r="K1260" s="23"/>
      <c r="M1260" s="23"/>
      <c r="N1260" s="23"/>
      <c r="P1260" s="23"/>
    </row>
    <row r="1261" spans="2:16" x14ac:dyDescent="0.25">
      <c r="B1261" s="23"/>
      <c r="E1261" s="23"/>
      <c r="G1261" s="23"/>
      <c r="H1261" s="23"/>
      <c r="J1261" s="23"/>
      <c r="K1261" s="23"/>
      <c r="M1261" s="23"/>
      <c r="N1261" s="23"/>
      <c r="P1261" s="23"/>
    </row>
    <row r="1262" spans="2:16" x14ac:dyDescent="0.25">
      <c r="B1262" s="23"/>
      <c r="E1262" s="23"/>
      <c r="G1262" s="23"/>
      <c r="H1262" s="23"/>
      <c r="J1262" s="23"/>
      <c r="K1262" s="23"/>
      <c r="M1262" s="23"/>
      <c r="N1262" s="23"/>
      <c r="P1262" s="23"/>
    </row>
    <row r="1263" spans="2:16" x14ac:dyDescent="0.25">
      <c r="B1263" s="23"/>
      <c r="E1263" s="23"/>
      <c r="G1263" s="23"/>
      <c r="H1263" s="23"/>
      <c r="J1263" s="23"/>
      <c r="K1263" s="23"/>
      <c r="M1263" s="23"/>
      <c r="N1263" s="23"/>
      <c r="P1263" s="23"/>
    </row>
    <row r="1264" spans="2:16" x14ac:dyDescent="0.25">
      <c r="B1264" s="23"/>
      <c r="E1264" s="23"/>
      <c r="G1264" s="23"/>
      <c r="H1264" s="23"/>
      <c r="J1264" s="23"/>
      <c r="K1264" s="23"/>
      <c r="M1264" s="23"/>
      <c r="N1264" s="23"/>
      <c r="P1264" s="23"/>
    </row>
    <row r="1265" spans="2:16" x14ac:dyDescent="0.25">
      <c r="B1265" s="23"/>
      <c r="E1265" s="23"/>
      <c r="G1265" s="23"/>
      <c r="H1265" s="23"/>
      <c r="J1265" s="23"/>
      <c r="K1265" s="23"/>
      <c r="M1265" s="23"/>
      <c r="N1265" s="23"/>
      <c r="P1265" s="23"/>
    </row>
    <row r="1266" spans="2:16" x14ac:dyDescent="0.25">
      <c r="B1266" s="23"/>
      <c r="E1266" s="23"/>
      <c r="G1266" s="23"/>
      <c r="H1266" s="23"/>
      <c r="J1266" s="23"/>
      <c r="K1266" s="23"/>
      <c r="M1266" s="23"/>
      <c r="N1266" s="23"/>
      <c r="P1266" s="23"/>
    </row>
    <row r="1267" spans="2:16" x14ac:dyDescent="0.25">
      <c r="B1267" s="23"/>
      <c r="E1267" s="23"/>
      <c r="G1267" s="23"/>
      <c r="H1267" s="23"/>
      <c r="J1267" s="23"/>
      <c r="K1267" s="23"/>
      <c r="M1267" s="23"/>
      <c r="N1267" s="23"/>
      <c r="P1267" s="23"/>
    </row>
    <row r="1268" spans="2:16" x14ac:dyDescent="0.25">
      <c r="B1268" s="23"/>
      <c r="E1268" s="23"/>
      <c r="G1268" s="23"/>
      <c r="H1268" s="23"/>
      <c r="J1268" s="23"/>
      <c r="K1268" s="23"/>
      <c r="M1268" s="23"/>
      <c r="N1268" s="23"/>
      <c r="P1268" s="23"/>
    </row>
    <row r="1269" spans="2:16" x14ac:dyDescent="0.25">
      <c r="B1269" s="23"/>
      <c r="E1269" s="23"/>
      <c r="G1269" s="23"/>
      <c r="H1269" s="23"/>
      <c r="J1269" s="23"/>
      <c r="K1269" s="23"/>
      <c r="M1269" s="23"/>
      <c r="N1269" s="23"/>
      <c r="P1269" s="23"/>
    </row>
    <row r="1270" spans="2:16" x14ac:dyDescent="0.25">
      <c r="B1270" s="23"/>
      <c r="E1270" s="23"/>
      <c r="G1270" s="23"/>
      <c r="H1270" s="23"/>
      <c r="J1270" s="23"/>
      <c r="K1270" s="23"/>
      <c r="M1270" s="23"/>
      <c r="N1270" s="23"/>
      <c r="P1270" s="23"/>
    </row>
    <row r="1271" spans="2:16" x14ac:dyDescent="0.25">
      <c r="B1271" s="23"/>
      <c r="E1271" s="23"/>
      <c r="G1271" s="23"/>
      <c r="H1271" s="23"/>
      <c r="J1271" s="23"/>
      <c r="K1271" s="23"/>
      <c r="M1271" s="23"/>
      <c r="N1271" s="23"/>
      <c r="P1271" s="23"/>
    </row>
    <row r="1272" spans="2:16" x14ac:dyDescent="0.25">
      <c r="B1272" s="23"/>
      <c r="E1272" s="23"/>
      <c r="G1272" s="23"/>
      <c r="H1272" s="23"/>
      <c r="J1272" s="23"/>
      <c r="K1272" s="23"/>
      <c r="M1272" s="23"/>
      <c r="N1272" s="23"/>
      <c r="P1272" s="23"/>
    </row>
    <row r="1273" spans="2:16" x14ac:dyDescent="0.25">
      <c r="B1273" s="23"/>
      <c r="E1273" s="23"/>
      <c r="G1273" s="23"/>
      <c r="H1273" s="23"/>
      <c r="J1273" s="23"/>
      <c r="K1273" s="23"/>
      <c r="M1273" s="23"/>
      <c r="N1273" s="23"/>
      <c r="P1273" s="23"/>
    </row>
    <row r="1274" spans="2:16" x14ac:dyDescent="0.25">
      <c r="B1274" s="23"/>
      <c r="E1274" s="23"/>
      <c r="G1274" s="23"/>
      <c r="H1274" s="23"/>
      <c r="J1274" s="23"/>
      <c r="K1274" s="23"/>
      <c r="M1274" s="23"/>
      <c r="N1274" s="23"/>
      <c r="P1274" s="23"/>
    </row>
    <row r="1275" spans="2:16" x14ac:dyDescent="0.25">
      <c r="B1275" s="23"/>
      <c r="E1275" s="23"/>
      <c r="G1275" s="23"/>
      <c r="H1275" s="23"/>
      <c r="J1275" s="23"/>
      <c r="K1275" s="23"/>
      <c r="M1275" s="23"/>
      <c r="N1275" s="23"/>
      <c r="P1275" s="23"/>
    </row>
    <row r="1276" spans="2:16" x14ac:dyDescent="0.25">
      <c r="B1276" s="23"/>
      <c r="E1276" s="23"/>
      <c r="G1276" s="23"/>
      <c r="H1276" s="23"/>
      <c r="J1276" s="23"/>
      <c r="K1276" s="23"/>
      <c r="M1276" s="23"/>
      <c r="N1276" s="23"/>
      <c r="P1276" s="23"/>
    </row>
    <row r="1277" spans="2:16" x14ac:dyDescent="0.25">
      <c r="B1277" s="23"/>
      <c r="E1277" s="23"/>
      <c r="G1277" s="23"/>
      <c r="H1277" s="23"/>
      <c r="J1277" s="23"/>
      <c r="K1277" s="23"/>
      <c r="M1277" s="23"/>
      <c r="N1277" s="23"/>
      <c r="P1277" s="23"/>
    </row>
    <row r="1278" spans="2:16" x14ac:dyDescent="0.25">
      <c r="B1278" s="23"/>
      <c r="E1278" s="23"/>
      <c r="G1278" s="23"/>
      <c r="H1278" s="23"/>
      <c r="J1278" s="23"/>
      <c r="K1278" s="23"/>
      <c r="M1278" s="23"/>
      <c r="N1278" s="23"/>
      <c r="P1278" s="23"/>
    </row>
    <row r="1279" spans="2:16" x14ac:dyDescent="0.25">
      <c r="B1279" s="23"/>
      <c r="E1279" s="23"/>
      <c r="G1279" s="23"/>
      <c r="H1279" s="23"/>
      <c r="J1279" s="23"/>
      <c r="K1279" s="23"/>
      <c r="M1279" s="23"/>
      <c r="N1279" s="23"/>
      <c r="P1279" s="23"/>
    </row>
    <row r="1280" spans="2:16" x14ac:dyDescent="0.25">
      <c r="B1280" s="23"/>
      <c r="E1280" s="23"/>
      <c r="G1280" s="23"/>
      <c r="H1280" s="23"/>
      <c r="J1280" s="23"/>
      <c r="K1280" s="23"/>
      <c r="M1280" s="23"/>
      <c r="N1280" s="23"/>
      <c r="P1280" s="23"/>
    </row>
    <row r="1281" spans="2:16" x14ac:dyDescent="0.25">
      <c r="B1281" s="23"/>
      <c r="E1281" s="23"/>
      <c r="G1281" s="23"/>
      <c r="H1281" s="23"/>
      <c r="J1281" s="23"/>
      <c r="K1281" s="23"/>
      <c r="M1281" s="23"/>
      <c r="N1281" s="23"/>
      <c r="P1281" s="23"/>
    </row>
    <row r="1282" spans="2:16" x14ac:dyDescent="0.25">
      <c r="B1282" s="23"/>
      <c r="E1282" s="23"/>
      <c r="G1282" s="23"/>
      <c r="H1282" s="23"/>
      <c r="J1282" s="23"/>
      <c r="K1282" s="23"/>
      <c r="M1282" s="23"/>
      <c r="N1282" s="23"/>
      <c r="P1282" s="23"/>
    </row>
    <row r="1283" spans="2:16" x14ac:dyDescent="0.25">
      <c r="B1283" s="23"/>
      <c r="E1283" s="23"/>
      <c r="G1283" s="23"/>
      <c r="H1283" s="23"/>
      <c r="J1283" s="23"/>
      <c r="K1283" s="23"/>
      <c r="M1283" s="23"/>
      <c r="N1283" s="23"/>
      <c r="P1283" s="23"/>
    </row>
    <row r="1284" spans="2:16" x14ac:dyDescent="0.25">
      <c r="B1284" s="23"/>
      <c r="E1284" s="23"/>
      <c r="G1284" s="23"/>
      <c r="H1284" s="23"/>
      <c r="J1284" s="23"/>
      <c r="K1284" s="23"/>
      <c r="M1284" s="23"/>
      <c r="N1284" s="23"/>
      <c r="P1284" s="23"/>
    </row>
    <row r="1285" spans="2:16" x14ac:dyDescent="0.25">
      <c r="B1285" s="23"/>
      <c r="E1285" s="23"/>
      <c r="G1285" s="23"/>
      <c r="H1285" s="23"/>
      <c r="J1285" s="23"/>
      <c r="K1285" s="23"/>
      <c r="M1285" s="23"/>
      <c r="N1285" s="23"/>
      <c r="P1285" s="23"/>
    </row>
    <row r="1286" spans="2:16" x14ac:dyDescent="0.25">
      <c r="B1286" s="23"/>
      <c r="E1286" s="23"/>
      <c r="G1286" s="23"/>
      <c r="H1286" s="23"/>
      <c r="J1286" s="23"/>
      <c r="K1286" s="23"/>
      <c r="M1286" s="23"/>
      <c r="N1286" s="23"/>
      <c r="P1286" s="23"/>
    </row>
    <row r="1287" spans="2:16" x14ac:dyDescent="0.25">
      <c r="B1287" s="23"/>
      <c r="E1287" s="23"/>
      <c r="G1287" s="23"/>
      <c r="H1287" s="23"/>
      <c r="J1287" s="23"/>
      <c r="K1287" s="23"/>
      <c r="M1287" s="23"/>
      <c r="N1287" s="23"/>
      <c r="P1287" s="23"/>
    </row>
    <row r="1288" spans="2:16" x14ac:dyDescent="0.25">
      <c r="B1288" s="23"/>
      <c r="E1288" s="23"/>
      <c r="G1288" s="23"/>
      <c r="H1288" s="23"/>
      <c r="J1288" s="23"/>
      <c r="K1288" s="23"/>
      <c r="M1288" s="23"/>
      <c r="N1288" s="23"/>
      <c r="P1288" s="23"/>
    </row>
    <row r="1289" spans="2:16" x14ac:dyDescent="0.25">
      <c r="B1289" s="23"/>
      <c r="E1289" s="23"/>
      <c r="G1289" s="23"/>
      <c r="H1289" s="23"/>
      <c r="J1289" s="23"/>
      <c r="K1289" s="23"/>
      <c r="M1289" s="23"/>
      <c r="N1289" s="23"/>
      <c r="P1289" s="23"/>
    </row>
    <row r="1290" spans="2:16" x14ac:dyDescent="0.25">
      <c r="B1290" s="23"/>
      <c r="E1290" s="23"/>
      <c r="G1290" s="23"/>
      <c r="H1290" s="23"/>
      <c r="J1290" s="23"/>
      <c r="K1290" s="23"/>
      <c r="M1290" s="23"/>
      <c r="N1290" s="23"/>
      <c r="P1290" s="23"/>
    </row>
    <row r="1291" spans="2:16" x14ac:dyDescent="0.25">
      <c r="B1291" s="23"/>
      <c r="E1291" s="23"/>
      <c r="G1291" s="23"/>
      <c r="H1291" s="23"/>
      <c r="J1291" s="23"/>
      <c r="K1291" s="23"/>
      <c r="M1291" s="23"/>
      <c r="N1291" s="23"/>
      <c r="P1291" s="23"/>
    </row>
    <row r="1292" spans="2:16" x14ac:dyDescent="0.25">
      <c r="B1292" s="23"/>
      <c r="E1292" s="23"/>
      <c r="G1292" s="23"/>
      <c r="H1292" s="23"/>
      <c r="J1292" s="23"/>
      <c r="K1292" s="23"/>
      <c r="M1292" s="23"/>
      <c r="N1292" s="23"/>
      <c r="P1292" s="23"/>
    </row>
    <row r="1293" spans="2:16" x14ac:dyDescent="0.25">
      <c r="B1293" s="23"/>
      <c r="E1293" s="23"/>
      <c r="G1293" s="23"/>
      <c r="H1293" s="23"/>
      <c r="J1293" s="23"/>
      <c r="K1293" s="23"/>
      <c r="M1293" s="23"/>
      <c r="N1293" s="23"/>
      <c r="P1293" s="23"/>
    </row>
    <row r="1294" spans="2:16" x14ac:dyDescent="0.25">
      <c r="B1294" s="23"/>
      <c r="E1294" s="23"/>
      <c r="G1294" s="23"/>
      <c r="H1294" s="23"/>
      <c r="J1294" s="23"/>
      <c r="K1294" s="23"/>
      <c r="M1294" s="23"/>
      <c r="N1294" s="23"/>
      <c r="P1294" s="23"/>
    </row>
    <row r="1295" spans="2:16" x14ac:dyDescent="0.25">
      <c r="B1295" s="23"/>
      <c r="E1295" s="23"/>
      <c r="G1295" s="23"/>
      <c r="H1295" s="23"/>
      <c r="J1295" s="23"/>
      <c r="K1295" s="23"/>
      <c r="M1295" s="23"/>
      <c r="N1295" s="23"/>
      <c r="P1295" s="23"/>
    </row>
    <row r="1296" spans="2:16" x14ac:dyDescent="0.25">
      <c r="B1296" s="23"/>
      <c r="E1296" s="23"/>
      <c r="G1296" s="23"/>
      <c r="H1296" s="23"/>
      <c r="J1296" s="23"/>
      <c r="K1296" s="23"/>
      <c r="M1296" s="23"/>
      <c r="N1296" s="23"/>
      <c r="P1296" s="23"/>
    </row>
    <row r="1297" spans="2:16" x14ac:dyDescent="0.25">
      <c r="B1297" s="23"/>
      <c r="E1297" s="23"/>
      <c r="G1297" s="23"/>
      <c r="H1297" s="23"/>
      <c r="J1297" s="23"/>
      <c r="K1297" s="23"/>
      <c r="M1297" s="23"/>
      <c r="N1297" s="23"/>
      <c r="P1297" s="23"/>
    </row>
    <row r="1298" spans="2:16" x14ac:dyDescent="0.25">
      <c r="B1298" s="23"/>
      <c r="E1298" s="23"/>
      <c r="G1298" s="23"/>
      <c r="H1298" s="23"/>
      <c r="J1298" s="23"/>
      <c r="K1298" s="23"/>
      <c r="M1298" s="23"/>
      <c r="N1298" s="23"/>
      <c r="P1298" s="23"/>
    </row>
    <row r="1299" spans="2:16" x14ac:dyDescent="0.25">
      <c r="B1299" s="23"/>
      <c r="E1299" s="23"/>
      <c r="G1299" s="23"/>
      <c r="H1299" s="23"/>
      <c r="J1299" s="23"/>
      <c r="K1299" s="23"/>
      <c r="M1299" s="23"/>
      <c r="N1299" s="23"/>
      <c r="P1299" s="23"/>
    </row>
    <row r="1300" spans="2:16" x14ac:dyDescent="0.25">
      <c r="B1300" s="23"/>
      <c r="E1300" s="23"/>
      <c r="G1300" s="23"/>
      <c r="H1300" s="23"/>
      <c r="J1300" s="23"/>
      <c r="K1300" s="23"/>
      <c r="M1300" s="23"/>
      <c r="N1300" s="23"/>
      <c r="P1300" s="23"/>
    </row>
    <row r="1301" spans="2:16" x14ac:dyDescent="0.25">
      <c r="B1301" s="23"/>
      <c r="E1301" s="23"/>
      <c r="G1301" s="23"/>
      <c r="H1301" s="23"/>
      <c r="J1301" s="23"/>
      <c r="K1301" s="23"/>
      <c r="M1301" s="23"/>
      <c r="N1301" s="23"/>
      <c r="P1301" s="23"/>
    </row>
    <row r="1302" spans="2:16" x14ac:dyDescent="0.25">
      <c r="B1302" s="23"/>
      <c r="E1302" s="23"/>
      <c r="G1302" s="23"/>
      <c r="H1302" s="23"/>
      <c r="J1302" s="23"/>
      <c r="K1302" s="23"/>
      <c r="M1302" s="23"/>
      <c r="N1302" s="23"/>
      <c r="P1302" s="23"/>
    </row>
    <row r="1303" spans="2:16" x14ac:dyDescent="0.25">
      <c r="B1303" s="23"/>
      <c r="E1303" s="23"/>
      <c r="G1303" s="23"/>
      <c r="H1303" s="23"/>
      <c r="J1303" s="23"/>
      <c r="K1303" s="23"/>
      <c r="M1303" s="23"/>
      <c r="N1303" s="23"/>
      <c r="P1303" s="23"/>
    </row>
    <row r="1304" spans="2:16" x14ac:dyDescent="0.25">
      <c r="B1304" s="23"/>
      <c r="E1304" s="23"/>
      <c r="G1304" s="23"/>
      <c r="H1304" s="23"/>
      <c r="J1304" s="23"/>
      <c r="K1304" s="23"/>
      <c r="M1304" s="23"/>
      <c r="N1304" s="23"/>
      <c r="P1304" s="23"/>
    </row>
    <row r="1305" spans="2:16" x14ac:dyDescent="0.25">
      <c r="B1305" s="23"/>
      <c r="E1305" s="23"/>
      <c r="G1305" s="23"/>
      <c r="H1305" s="23"/>
      <c r="J1305" s="23"/>
      <c r="K1305" s="23"/>
      <c r="M1305" s="23"/>
      <c r="N1305" s="23"/>
      <c r="P1305" s="23"/>
    </row>
    <row r="1306" spans="2:16" x14ac:dyDescent="0.25">
      <c r="B1306" s="23"/>
      <c r="E1306" s="23"/>
      <c r="G1306" s="23"/>
      <c r="H1306" s="23"/>
      <c r="J1306" s="23"/>
      <c r="K1306" s="23"/>
      <c r="M1306" s="23"/>
      <c r="N1306" s="23"/>
      <c r="P1306" s="23"/>
    </row>
    <row r="1307" spans="2:16" x14ac:dyDescent="0.25">
      <c r="B1307" s="23"/>
      <c r="E1307" s="23"/>
      <c r="G1307" s="23"/>
      <c r="H1307" s="23"/>
      <c r="J1307" s="23"/>
      <c r="K1307" s="23"/>
      <c r="M1307" s="23"/>
      <c r="N1307" s="23"/>
      <c r="P1307" s="23"/>
    </row>
    <row r="1308" spans="2:16" x14ac:dyDescent="0.25">
      <c r="B1308" s="23"/>
      <c r="E1308" s="23"/>
      <c r="G1308" s="23"/>
      <c r="H1308" s="23"/>
      <c r="J1308" s="23"/>
      <c r="K1308" s="23"/>
      <c r="M1308" s="23"/>
      <c r="N1308" s="23"/>
      <c r="P1308" s="23"/>
    </row>
    <row r="1309" spans="2:16" x14ac:dyDescent="0.25">
      <c r="B1309" s="23"/>
      <c r="E1309" s="23"/>
      <c r="G1309" s="23"/>
      <c r="H1309" s="23"/>
      <c r="J1309" s="23"/>
      <c r="K1309" s="23"/>
      <c r="M1309" s="23"/>
      <c r="N1309" s="23"/>
      <c r="P1309" s="23"/>
    </row>
    <row r="1310" spans="2:16" x14ac:dyDescent="0.25">
      <c r="B1310" s="23"/>
      <c r="E1310" s="23"/>
      <c r="G1310" s="23"/>
      <c r="H1310" s="23"/>
      <c r="J1310" s="23"/>
      <c r="K1310" s="23"/>
      <c r="M1310" s="23"/>
      <c r="N1310" s="23"/>
      <c r="P1310" s="23"/>
    </row>
    <row r="1311" spans="2:16" x14ac:dyDescent="0.25">
      <c r="B1311" s="23"/>
      <c r="E1311" s="23"/>
      <c r="G1311" s="23"/>
      <c r="H1311" s="23"/>
      <c r="J1311" s="23"/>
      <c r="K1311" s="23"/>
      <c r="M1311" s="23"/>
      <c r="N1311" s="23"/>
      <c r="P1311" s="23"/>
    </row>
    <row r="1312" spans="2:16" x14ac:dyDescent="0.25">
      <c r="B1312" s="23"/>
      <c r="E1312" s="23"/>
      <c r="G1312" s="23"/>
      <c r="H1312" s="23"/>
      <c r="J1312" s="23"/>
      <c r="K1312" s="23"/>
      <c r="M1312" s="23"/>
      <c r="N1312" s="23"/>
      <c r="P1312" s="23"/>
    </row>
    <row r="1313" spans="2:16" x14ac:dyDescent="0.25">
      <c r="B1313" s="23"/>
      <c r="E1313" s="23"/>
      <c r="G1313" s="23"/>
      <c r="H1313" s="23"/>
      <c r="J1313" s="23"/>
      <c r="K1313" s="23"/>
      <c r="M1313" s="23"/>
      <c r="N1313" s="23"/>
      <c r="P1313" s="23"/>
    </row>
    <row r="1314" spans="2:16" x14ac:dyDescent="0.25">
      <c r="B1314" s="23"/>
      <c r="E1314" s="23"/>
      <c r="G1314" s="23"/>
      <c r="H1314" s="23"/>
      <c r="J1314" s="23"/>
      <c r="K1314" s="23"/>
      <c r="M1314" s="23"/>
      <c r="N1314" s="23"/>
      <c r="P1314" s="23"/>
    </row>
    <row r="1315" spans="2:16" x14ac:dyDescent="0.25">
      <c r="B1315" s="23"/>
      <c r="E1315" s="23"/>
      <c r="G1315" s="23"/>
      <c r="H1315" s="23"/>
      <c r="J1315" s="23"/>
      <c r="K1315" s="23"/>
      <c r="M1315" s="23"/>
      <c r="N1315" s="23"/>
      <c r="P1315" s="23"/>
    </row>
    <row r="1316" spans="2:16" x14ac:dyDescent="0.25">
      <c r="B1316" s="23"/>
      <c r="E1316" s="23"/>
      <c r="G1316" s="23"/>
      <c r="H1316" s="23"/>
      <c r="J1316" s="23"/>
      <c r="K1316" s="23"/>
      <c r="M1316" s="23"/>
      <c r="N1316" s="23"/>
      <c r="P1316" s="23"/>
    </row>
    <row r="1317" spans="2:16" x14ac:dyDescent="0.25">
      <c r="B1317" s="23"/>
      <c r="E1317" s="23"/>
      <c r="G1317" s="23"/>
      <c r="H1317" s="23"/>
      <c r="J1317" s="23"/>
      <c r="K1317" s="23"/>
      <c r="M1317" s="23"/>
      <c r="N1317" s="23"/>
      <c r="P1317" s="23"/>
    </row>
    <row r="1318" spans="2:16" x14ac:dyDescent="0.25">
      <c r="B1318" s="23"/>
      <c r="E1318" s="23"/>
      <c r="G1318" s="23"/>
      <c r="H1318" s="23"/>
      <c r="J1318" s="23"/>
      <c r="K1318" s="23"/>
      <c r="M1318" s="23"/>
      <c r="N1318" s="23"/>
      <c r="P1318" s="23"/>
    </row>
    <row r="1319" spans="2:16" x14ac:dyDescent="0.25">
      <c r="B1319" s="23"/>
      <c r="E1319" s="23"/>
      <c r="G1319" s="23"/>
      <c r="H1319" s="23"/>
      <c r="J1319" s="23"/>
      <c r="K1319" s="23"/>
      <c r="M1319" s="23"/>
      <c r="N1319" s="23"/>
      <c r="P1319" s="23"/>
    </row>
    <row r="1320" spans="2:16" x14ac:dyDescent="0.25">
      <c r="B1320" s="23"/>
      <c r="E1320" s="23"/>
      <c r="G1320" s="23"/>
      <c r="H1320" s="23"/>
      <c r="J1320" s="23"/>
      <c r="K1320" s="23"/>
      <c r="M1320" s="23"/>
      <c r="N1320" s="23"/>
      <c r="P1320" s="23"/>
    </row>
    <row r="1321" spans="2:16" x14ac:dyDescent="0.25">
      <c r="B1321" s="23"/>
      <c r="E1321" s="23"/>
      <c r="G1321" s="23"/>
      <c r="H1321" s="23"/>
      <c r="J1321" s="23"/>
      <c r="K1321" s="23"/>
      <c r="M1321" s="23"/>
      <c r="N1321" s="23"/>
      <c r="P1321" s="23"/>
    </row>
    <row r="1322" spans="2:16" x14ac:dyDescent="0.25">
      <c r="B1322" s="23"/>
      <c r="E1322" s="23"/>
      <c r="G1322" s="23"/>
      <c r="H1322" s="23"/>
      <c r="J1322" s="23"/>
      <c r="K1322" s="23"/>
      <c r="M1322" s="23"/>
      <c r="N1322" s="23"/>
      <c r="P1322" s="23"/>
    </row>
    <row r="1323" spans="2:16" x14ac:dyDescent="0.25">
      <c r="B1323" s="23"/>
      <c r="E1323" s="23"/>
      <c r="G1323" s="23"/>
      <c r="H1323" s="23"/>
      <c r="J1323" s="23"/>
      <c r="K1323" s="23"/>
      <c r="M1323" s="23"/>
      <c r="N1323" s="23"/>
      <c r="P1323" s="23"/>
    </row>
    <row r="1324" spans="2:16" x14ac:dyDescent="0.25">
      <c r="B1324" s="23"/>
      <c r="E1324" s="23"/>
      <c r="G1324" s="23"/>
      <c r="H1324" s="23"/>
      <c r="J1324" s="23"/>
      <c r="K1324" s="23"/>
      <c r="M1324" s="23"/>
      <c r="N1324" s="23"/>
      <c r="P1324" s="23"/>
    </row>
    <row r="1325" spans="2:16" x14ac:dyDescent="0.25">
      <c r="B1325" s="23"/>
      <c r="E1325" s="23"/>
      <c r="G1325" s="23"/>
      <c r="H1325" s="23"/>
      <c r="J1325" s="23"/>
      <c r="K1325" s="23"/>
      <c r="M1325" s="23"/>
      <c r="N1325" s="23"/>
      <c r="P1325" s="23"/>
    </row>
    <row r="1326" spans="2:16" x14ac:dyDescent="0.25">
      <c r="B1326" s="23"/>
      <c r="E1326" s="23"/>
      <c r="G1326" s="23"/>
      <c r="H1326" s="23"/>
      <c r="J1326" s="23"/>
      <c r="K1326" s="23"/>
      <c r="M1326" s="23"/>
      <c r="N1326" s="23"/>
      <c r="P1326" s="23"/>
    </row>
    <row r="1327" spans="2:16" x14ac:dyDescent="0.25">
      <c r="B1327" s="23"/>
      <c r="E1327" s="23"/>
      <c r="G1327" s="23"/>
      <c r="H1327" s="23"/>
      <c r="J1327" s="23"/>
      <c r="K1327" s="23"/>
      <c r="M1327" s="23"/>
      <c r="N1327" s="23"/>
      <c r="P1327" s="23"/>
    </row>
    <row r="1328" spans="2:16" x14ac:dyDescent="0.25">
      <c r="B1328" s="23"/>
      <c r="E1328" s="23"/>
      <c r="G1328" s="23"/>
      <c r="H1328" s="23"/>
      <c r="J1328" s="23"/>
      <c r="K1328" s="23"/>
      <c r="M1328" s="23"/>
      <c r="N1328" s="23"/>
      <c r="P1328" s="23"/>
    </row>
    <row r="1329" spans="2:16" x14ac:dyDescent="0.25">
      <c r="B1329" s="23"/>
      <c r="E1329" s="23"/>
      <c r="G1329" s="23"/>
      <c r="H1329" s="23"/>
      <c r="J1329" s="23"/>
      <c r="K1329" s="23"/>
      <c r="M1329" s="23"/>
      <c r="N1329" s="23"/>
      <c r="P1329" s="23"/>
    </row>
    <row r="1330" spans="2:16" x14ac:dyDescent="0.25">
      <c r="B1330" s="23"/>
      <c r="E1330" s="23"/>
      <c r="G1330" s="23"/>
      <c r="H1330" s="23"/>
      <c r="J1330" s="23"/>
      <c r="K1330" s="23"/>
      <c r="M1330" s="23"/>
      <c r="N1330" s="23"/>
      <c r="P1330" s="23"/>
    </row>
    <row r="1331" spans="2:16" x14ac:dyDescent="0.25">
      <c r="B1331" s="23"/>
      <c r="E1331" s="23"/>
      <c r="G1331" s="23"/>
      <c r="H1331" s="23"/>
      <c r="J1331" s="23"/>
      <c r="K1331" s="23"/>
      <c r="M1331" s="23"/>
      <c r="N1331" s="23"/>
      <c r="P1331" s="23"/>
    </row>
    <row r="1332" spans="2:16" x14ac:dyDescent="0.25">
      <c r="B1332" s="23"/>
      <c r="E1332" s="23"/>
      <c r="G1332" s="23"/>
      <c r="H1332" s="23"/>
      <c r="J1332" s="23"/>
      <c r="K1332" s="23"/>
      <c r="M1332" s="23"/>
      <c r="N1332" s="23"/>
      <c r="P1332" s="23"/>
    </row>
    <row r="1333" spans="2:16" x14ac:dyDescent="0.25">
      <c r="B1333" s="23"/>
      <c r="E1333" s="23"/>
      <c r="G1333" s="23"/>
      <c r="H1333" s="23"/>
      <c r="J1333" s="23"/>
      <c r="K1333" s="23"/>
      <c r="M1333" s="23"/>
      <c r="N1333" s="23"/>
      <c r="P1333" s="23"/>
    </row>
    <row r="1334" spans="2:16" x14ac:dyDescent="0.25">
      <c r="B1334" s="23"/>
      <c r="E1334" s="23"/>
      <c r="G1334" s="23"/>
      <c r="H1334" s="23"/>
      <c r="J1334" s="23"/>
      <c r="K1334" s="23"/>
      <c r="M1334" s="23"/>
      <c r="N1334" s="23"/>
      <c r="P1334" s="23"/>
    </row>
    <row r="1335" spans="2:16" x14ac:dyDescent="0.25">
      <c r="B1335" s="23"/>
      <c r="E1335" s="23"/>
      <c r="G1335" s="23"/>
      <c r="H1335" s="23"/>
      <c r="J1335" s="23"/>
      <c r="K1335" s="23"/>
      <c r="M1335" s="23"/>
      <c r="N1335" s="23"/>
      <c r="P1335" s="23"/>
    </row>
    <row r="1336" spans="2:16" x14ac:dyDescent="0.25">
      <c r="B1336" s="23"/>
      <c r="E1336" s="23"/>
      <c r="G1336" s="23"/>
      <c r="H1336" s="23"/>
      <c r="J1336" s="23"/>
      <c r="K1336" s="23"/>
      <c r="M1336" s="23"/>
      <c r="N1336" s="23"/>
      <c r="P1336" s="23"/>
    </row>
    <row r="1337" spans="2:16" x14ac:dyDescent="0.25">
      <c r="B1337" s="23"/>
      <c r="E1337" s="23"/>
      <c r="G1337" s="23"/>
      <c r="H1337" s="23"/>
      <c r="J1337" s="23"/>
      <c r="K1337" s="23"/>
      <c r="M1337" s="23"/>
      <c r="N1337" s="23"/>
      <c r="P1337" s="23"/>
    </row>
    <row r="1338" spans="2:16" x14ac:dyDescent="0.25">
      <c r="B1338" s="23"/>
      <c r="E1338" s="23"/>
      <c r="G1338" s="23"/>
      <c r="H1338" s="23"/>
      <c r="J1338" s="23"/>
      <c r="K1338" s="23"/>
      <c r="M1338" s="23"/>
      <c r="N1338" s="23"/>
      <c r="P1338" s="23"/>
    </row>
    <row r="1339" spans="2:16" x14ac:dyDescent="0.25">
      <c r="B1339" s="23"/>
      <c r="E1339" s="23"/>
      <c r="G1339" s="23"/>
      <c r="H1339" s="23"/>
      <c r="J1339" s="23"/>
      <c r="K1339" s="23"/>
      <c r="M1339" s="23"/>
      <c r="N1339" s="23"/>
      <c r="P1339" s="23"/>
    </row>
    <row r="1340" spans="2:16" x14ac:dyDescent="0.25">
      <c r="B1340" s="23"/>
      <c r="E1340" s="23"/>
      <c r="G1340" s="23"/>
      <c r="H1340" s="23"/>
      <c r="J1340" s="23"/>
      <c r="K1340" s="23"/>
      <c r="M1340" s="23"/>
      <c r="N1340" s="23"/>
      <c r="P1340" s="23"/>
    </row>
    <row r="1341" spans="2:16" x14ac:dyDescent="0.25">
      <c r="B1341" s="23"/>
      <c r="E1341" s="23"/>
      <c r="G1341" s="23"/>
      <c r="H1341" s="23"/>
      <c r="J1341" s="23"/>
      <c r="K1341" s="23"/>
      <c r="M1341" s="23"/>
      <c r="N1341" s="23"/>
      <c r="P1341" s="23"/>
    </row>
    <row r="1342" spans="2:16" x14ac:dyDescent="0.25">
      <c r="B1342" s="23"/>
      <c r="E1342" s="23"/>
      <c r="G1342" s="23"/>
      <c r="H1342" s="23"/>
      <c r="J1342" s="23"/>
      <c r="K1342" s="23"/>
      <c r="M1342" s="23"/>
      <c r="N1342" s="23"/>
      <c r="P1342" s="23"/>
    </row>
    <row r="1343" spans="2:16" x14ac:dyDescent="0.25">
      <c r="B1343" s="23"/>
      <c r="E1343" s="23"/>
      <c r="G1343" s="23"/>
      <c r="H1343" s="23"/>
      <c r="J1343" s="23"/>
      <c r="K1343" s="23"/>
      <c r="M1343" s="23"/>
      <c r="N1343" s="23"/>
      <c r="P1343" s="23"/>
    </row>
    <row r="1344" spans="2:16" x14ac:dyDescent="0.25">
      <c r="B1344" s="23"/>
      <c r="E1344" s="23"/>
      <c r="G1344" s="23"/>
      <c r="H1344" s="23"/>
      <c r="J1344" s="23"/>
      <c r="K1344" s="23"/>
      <c r="M1344" s="23"/>
      <c r="N1344" s="23"/>
      <c r="P1344" s="23"/>
    </row>
    <row r="1345" spans="2:16" x14ac:dyDescent="0.25">
      <c r="B1345" s="23"/>
      <c r="E1345" s="23"/>
      <c r="G1345" s="23"/>
      <c r="H1345" s="23"/>
      <c r="J1345" s="23"/>
      <c r="K1345" s="23"/>
      <c r="M1345" s="23"/>
      <c r="N1345" s="23"/>
      <c r="P1345" s="23"/>
    </row>
    <row r="1346" spans="2:16" x14ac:dyDescent="0.25">
      <c r="B1346" s="23"/>
      <c r="E1346" s="23"/>
      <c r="G1346" s="23"/>
      <c r="H1346" s="23"/>
      <c r="J1346" s="23"/>
      <c r="K1346" s="23"/>
      <c r="M1346" s="23"/>
      <c r="N1346" s="23"/>
      <c r="P1346" s="23"/>
    </row>
    <row r="1347" spans="2:16" x14ac:dyDescent="0.25">
      <c r="B1347" s="23"/>
      <c r="E1347" s="23"/>
      <c r="G1347" s="23"/>
      <c r="H1347" s="23"/>
      <c r="J1347" s="23"/>
      <c r="K1347" s="23"/>
      <c r="M1347" s="23"/>
      <c r="N1347" s="23"/>
      <c r="P1347" s="23"/>
    </row>
    <row r="1348" spans="2:16" x14ac:dyDescent="0.25">
      <c r="B1348" s="23"/>
      <c r="E1348" s="23"/>
      <c r="G1348" s="23"/>
      <c r="H1348" s="23"/>
      <c r="J1348" s="23"/>
      <c r="K1348" s="23"/>
      <c r="M1348" s="23"/>
      <c r="N1348" s="23"/>
      <c r="P1348" s="23"/>
    </row>
    <row r="1349" spans="2:16" x14ac:dyDescent="0.25">
      <c r="B1349" s="23"/>
      <c r="E1349" s="23"/>
      <c r="G1349" s="23"/>
      <c r="H1349" s="23"/>
      <c r="J1349" s="23"/>
      <c r="K1349" s="23"/>
      <c r="M1349" s="23"/>
      <c r="N1349" s="23"/>
      <c r="P1349" s="23"/>
    </row>
    <row r="1350" spans="2:16" x14ac:dyDescent="0.25">
      <c r="B1350" s="23"/>
      <c r="E1350" s="23"/>
      <c r="G1350" s="23"/>
      <c r="H1350" s="23"/>
      <c r="J1350" s="23"/>
      <c r="K1350" s="23"/>
      <c r="M1350" s="23"/>
      <c r="N1350" s="23"/>
      <c r="P1350" s="23"/>
    </row>
    <row r="1351" spans="2:16" x14ac:dyDescent="0.25">
      <c r="B1351" s="23"/>
      <c r="E1351" s="23"/>
      <c r="G1351" s="23"/>
      <c r="H1351" s="23"/>
      <c r="J1351" s="23"/>
      <c r="K1351" s="23"/>
      <c r="M1351" s="23"/>
      <c r="N1351" s="23"/>
      <c r="P1351" s="23"/>
    </row>
    <row r="1352" spans="2:16" x14ac:dyDescent="0.25">
      <c r="B1352" s="23"/>
      <c r="E1352" s="23"/>
      <c r="G1352" s="23"/>
      <c r="H1352" s="23"/>
      <c r="J1352" s="23"/>
      <c r="K1352" s="23"/>
      <c r="M1352" s="23"/>
      <c r="N1352" s="23"/>
      <c r="P1352" s="23"/>
    </row>
    <row r="1353" spans="2:16" x14ac:dyDescent="0.25">
      <c r="B1353" s="23"/>
      <c r="E1353" s="23"/>
      <c r="G1353" s="23"/>
      <c r="H1353" s="23"/>
      <c r="J1353" s="23"/>
      <c r="K1353" s="23"/>
      <c r="M1353" s="23"/>
      <c r="N1353" s="23"/>
      <c r="P1353" s="23"/>
    </row>
    <row r="1354" spans="2:16" x14ac:dyDescent="0.25">
      <c r="B1354" s="23"/>
      <c r="E1354" s="23"/>
      <c r="G1354" s="23"/>
      <c r="H1354" s="23"/>
      <c r="J1354" s="23"/>
      <c r="K1354" s="23"/>
      <c r="M1354" s="23"/>
      <c r="N1354" s="23"/>
      <c r="P1354" s="23"/>
    </row>
    <row r="1355" spans="2:16" x14ac:dyDescent="0.25">
      <c r="B1355" s="23"/>
      <c r="E1355" s="23"/>
      <c r="G1355" s="23"/>
      <c r="H1355" s="23"/>
      <c r="J1355" s="23"/>
      <c r="K1355" s="23"/>
      <c r="M1355" s="23"/>
      <c r="N1355" s="23"/>
      <c r="P1355" s="23"/>
    </row>
    <row r="1356" spans="2:16" x14ac:dyDescent="0.25">
      <c r="B1356" s="23"/>
      <c r="E1356" s="23"/>
      <c r="G1356" s="23"/>
      <c r="H1356" s="23"/>
      <c r="J1356" s="23"/>
      <c r="K1356" s="23"/>
      <c r="M1356" s="23"/>
      <c r="N1356" s="23"/>
      <c r="P1356" s="23"/>
    </row>
    <row r="1357" spans="2:16" x14ac:dyDescent="0.25">
      <c r="B1357" s="23"/>
      <c r="E1357" s="23"/>
      <c r="G1357" s="23"/>
      <c r="H1357" s="23"/>
      <c r="J1357" s="23"/>
      <c r="K1357" s="23"/>
      <c r="M1357" s="23"/>
      <c r="N1357" s="23"/>
      <c r="P1357" s="23"/>
    </row>
    <row r="1358" spans="2:16" x14ac:dyDescent="0.25">
      <c r="B1358" s="23"/>
      <c r="E1358" s="23"/>
      <c r="G1358" s="23"/>
      <c r="H1358" s="23"/>
      <c r="J1358" s="23"/>
      <c r="K1358" s="23"/>
      <c r="M1358" s="23"/>
      <c r="N1358" s="23"/>
      <c r="P1358" s="23"/>
    </row>
    <row r="1359" spans="2:16" x14ac:dyDescent="0.25">
      <c r="B1359" s="23"/>
      <c r="E1359" s="23"/>
      <c r="G1359" s="23"/>
      <c r="H1359" s="23"/>
      <c r="J1359" s="23"/>
      <c r="K1359" s="23"/>
      <c r="M1359" s="23"/>
      <c r="N1359" s="23"/>
      <c r="P1359" s="23"/>
    </row>
    <row r="1360" spans="2:16" x14ac:dyDescent="0.25">
      <c r="B1360" s="23"/>
      <c r="E1360" s="23"/>
      <c r="G1360" s="23"/>
      <c r="H1360" s="23"/>
      <c r="J1360" s="23"/>
      <c r="K1360" s="23"/>
      <c r="M1360" s="23"/>
      <c r="N1360" s="23"/>
      <c r="P1360" s="23"/>
    </row>
    <row r="1361" spans="2:16" x14ac:dyDescent="0.25">
      <c r="B1361" s="23"/>
      <c r="E1361" s="23"/>
      <c r="G1361" s="23"/>
      <c r="H1361" s="23"/>
      <c r="J1361" s="23"/>
      <c r="K1361" s="23"/>
      <c r="M1361" s="23"/>
      <c r="N1361" s="23"/>
      <c r="P1361" s="23"/>
    </row>
    <row r="1362" spans="2:16" x14ac:dyDescent="0.25">
      <c r="B1362" s="23"/>
      <c r="E1362" s="23"/>
      <c r="G1362" s="23"/>
      <c r="H1362" s="23"/>
      <c r="J1362" s="23"/>
      <c r="K1362" s="23"/>
      <c r="M1362" s="23"/>
      <c r="N1362" s="23"/>
      <c r="P1362" s="23"/>
    </row>
    <row r="1363" spans="2:16" x14ac:dyDescent="0.25">
      <c r="B1363" s="23"/>
      <c r="E1363" s="23"/>
      <c r="G1363" s="23"/>
      <c r="H1363" s="23"/>
      <c r="J1363" s="23"/>
      <c r="K1363" s="23"/>
      <c r="M1363" s="23"/>
      <c r="N1363" s="23"/>
      <c r="P1363" s="23"/>
    </row>
    <row r="1364" spans="2:16" x14ac:dyDescent="0.25">
      <c r="B1364" s="23"/>
      <c r="E1364" s="23"/>
      <c r="G1364" s="23"/>
      <c r="H1364" s="23"/>
      <c r="J1364" s="23"/>
      <c r="K1364" s="23"/>
      <c r="M1364" s="23"/>
      <c r="N1364" s="23"/>
      <c r="P1364" s="23"/>
    </row>
    <row r="1365" spans="2:16" x14ac:dyDescent="0.25">
      <c r="B1365" s="23"/>
      <c r="E1365" s="23"/>
      <c r="G1365" s="23"/>
      <c r="H1365" s="23"/>
      <c r="J1365" s="23"/>
      <c r="K1365" s="23"/>
      <c r="M1365" s="23"/>
      <c r="N1365" s="23"/>
      <c r="P1365" s="23"/>
    </row>
    <row r="1366" spans="2:16" x14ac:dyDescent="0.25">
      <c r="B1366" s="23"/>
      <c r="E1366" s="23"/>
      <c r="G1366" s="23"/>
      <c r="H1366" s="23"/>
      <c r="J1366" s="23"/>
      <c r="K1366" s="23"/>
      <c r="M1366" s="23"/>
      <c r="N1366" s="23"/>
      <c r="P1366" s="23"/>
    </row>
    <row r="1367" spans="2:16" x14ac:dyDescent="0.25">
      <c r="B1367" s="23"/>
      <c r="E1367" s="23"/>
      <c r="G1367" s="23"/>
      <c r="H1367" s="23"/>
      <c r="J1367" s="23"/>
      <c r="K1367" s="23"/>
      <c r="M1367" s="23"/>
      <c r="N1367" s="23"/>
      <c r="P1367" s="23"/>
    </row>
    <row r="1368" spans="2:16" x14ac:dyDescent="0.25">
      <c r="B1368" s="23"/>
      <c r="E1368" s="23"/>
      <c r="G1368" s="23"/>
      <c r="H1368" s="23"/>
      <c r="J1368" s="23"/>
      <c r="K1368" s="23"/>
      <c r="M1368" s="23"/>
      <c r="N1368" s="23"/>
      <c r="P1368" s="23"/>
    </row>
    <row r="1369" spans="2:16" x14ac:dyDescent="0.25">
      <c r="B1369" s="23"/>
      <c r="E1369" s="23"/>
      <c r="G1369" s="23"/>
      <c r="H1369" s="23"/>
      <c r="J1369" s="23"/>
      <c r="K1369" s="23"/>
      <c r="M1369" s="23"/>
      <c r="N1369" s="23"/>
      <c r="P1369" s="23"/>
    </row>
    <row r="1370" spans="2:16" x14ac:dyDescent="0.25">
      <c r="B1370" s="23"/>
      <c r="E1370" s="23"/>
      <c r="G1370" s="23"/>
      <c r="H1370" s="23"/>
      <c r="J1370" s="23"/>
      <c r="K1370" s="23"/>
      <c r="M1370" s="23"/>
      <c r="N1370" s="23"/>
      <c r="P1370" s="23"/>
    </row>
    <row r="1371" spans="2:16" x14ac:dyDescent="0.25">
      <c r="B1371" s="23"/>
      <c r="E1371" s="23"/>
      <c r="G1371" s="23"/>
      <c r="H1371" s="23"/>
      <c r="J1371" s="23"/>
      <c r="K1371" s="23"/>
      <c r="M1371" s="23"/>
      <c r="N1371" s="23"/>
      <c r="P1371" s="23"/>
    </row>
    <row r="1372" spans="2:16" x14ac:dyDescent="0.25">
      <c r="B1372" s="23"/>
      <c r="E1372" s="23"/>
      <c r="G1372" s="23"/>
      <c r="H1372" s="23"/>
      <c r="J1372" s="23"/>
      <c r="K1372" s="23"/>
      <c r="M1372" s="23"/>
      <c r="N1372" s="23"/>
      <c r="P1372" s="23"/>
    </row>
    <row r="1373" spans="2:16" x14ac:dyDescent="0.25">
      <c r="B1373" s="23"/>
      <c r="E1373" s="23"/>
      <c r="G1373" s="23"/>
      <c r="H1373" s="23"/>
      <c r="J1373" s="23"/>
      <c r="K1373" s="23"/>
      <c r="M1373" s="23"/>
      <c r="N1373" s="23"/>
      <c r="P1373" s="23"/>
    </row>
    <row r="1374" spans="2:16" x14ac:dyDescent="0.25">
      <c r="B1374" s="23"/>
      <c r="E1374" s="23"/>
      <c r="G1374" s="23"/>
      <c r="H1374" s="23"/>
      <c r="J1374" s="23"/>
      <c r="K1374" s="23"/>
      <c r="M1374" s="23"/>
      <c r="N1374" s="23"/>
      <c r="P1374" s="23"/>
    </row>
    <row r="1375" spans="2:16" x14ac:dyDescent="0.25">
      <c r="B1375" s="23"/>
      <c r="E1375" s="23"/>
      <c r="G1375" s="23"/>
      <c r="H1375" s="23"/>
      <c r="J1375" s="23"/>
      <c r="K1375" s="23"/>
      <c r="M1375" s="23"/>
      <c r="N1375" s="23"/>
      <c r="P1375" s="23"/>
    </row>
    <row r="1376" spans="2:16" x14ac:dyDescent="0.25">
      <c r="B1376" s="23"/>
      <c r="E1376" s="23"/>
      <c r="G1376" s="23"/>
      <c r="H1376" s="23"/>
      <c r="J1376" s="23"/>
      <c r="K1376" s="23"/>
      <c r="M1376" s="23"/>
      <c r="N1376" s="23"/>
      <c r="P1376" s="23"/>
    </row>
    <row r="1377" spans="2:16" x14ac:dyDescent="0.25">
      <c r="B1377" s="23"/>
      <c r="E1377" s="23"/>
      <c r="G1377" s="23"/>
      <c r="H1377" s="23"/>
      <c r="J1377" s="23"/>
      <c r="K1377" s="23"/>
      <c r="M1377" s="23"/>
      <c r="N1377" s="23"/>
      <c r="P1377" s="23"/>
    </row>
    <row r="1378" spans="2:16" x14ac:dyDescent="0.25">
      <c r="B1378" s="23"/>
      <c r="E1378" s="23"/>
      <c r="G1378" s="23"/>
      <c r="H1378" s="23"/>
      <c r="J1378" s="23"/>
      <c r="K1378" s="23"/>
      <c r="M1378" s="23"/>
      <c r="N1378" s="23"/>
      <c r="P1378" s="23"/>
    </row>
    <row r="1379" spans="2:16" x14ac:dyDescent="0.25">
      <c r="B1379" s="23"/>
      <c r="E1379" s="23"/>
      <c r="G1379" s="23"/>
      <c r="H1379" s="23"/>
      <c r="J1379" s="23"/>
      <c r="K1379" s="23"/>
      <c r="M1379" s="23"/>
      <c r="N1379" s="23"/>
      <c r="P1379" s="23"/>
    </row>
    <row r="1380" spans="2:16" x14ac:dyDescent="0.25">
      <c r="B1380" s="23"/>
      <c r="E1380" s="23"/>
      <c r="G1380" s="23"/>
      <c r="H1380" s="23"/>
      <c r="J1380" s="23"/>
      <c r="K1380" s="23"/>
      <c r="M1380" s="23"/>
      <c r="N1380" s="23"/>
      <c r="P1380" s="23"/>
    </row>
    <row r="1381" spans="2:16" x14ac:dyDescent="0.25">
      <c r="B1381" s="23"/>
      <c r="E1381" s="23"/>
      <c r="G1381" s="23"/>
      <c r="H1381" s="23"/>
      <c r="J1381" s="23"/>
      <c r="K1381" s="23"/>
      <c r="M1381" s="23"/>
      <c r="N1381" s="23"/>
      <c r="P1381" s="23"/>
    </row>
    <row r="1382" spans="2:16" x14ac:dyDescent="0.25">
      <c r="B1382" s="23"/>
      <c r="E1382" s="23"/>
      <c r="G1382" s="23"/>
      <c r="H1382" s="23"/>
      <c r="J1382" s="23"/>
      <c r="K1382" s="23"/>
      <c r="M1382" s="23"/>
      <c r="N1382" s="23"/>
      <c r="P1382" s="23"/>
    </row>
    <row r="1383" spans="2:16" x14ac:dyDescent="0.25">
      <c r="B1383" s="23"/>
      <c r="E1383" s="23"/>
      <c r="G1383" s="23"/>
      <c r="H1383" s="23"/>
      <c r="J1383" s="23"/>
      <c r="K1383" s="23"/>
      <c r="M1383" s="23"/>
      <c r="N1383" s="23"/>
      <c r="P1383" s="23"/>
    </row>
    <row r="1384" spans="2:16" x14ac:dyDescent="0.25">
      <c r="B1384" s="23"/>
      <c r="E1384" s="23"/>
      <c r="G1384" s="23"/>
      <c r="H1384" s="23"/>
      <c r="J1384" s="23"/>
      <c r="K1384" s="23"/>
      <c r="M1384" s="23"/>
      <c r="N1384" s="23"/>
      <c r="P1384" s="23"/>
    </row>
    <row r="1385" spans="2:16" x14ac:dyDescent="0.25">
      <c r="B1385" s="23"/>
      <c r="E1385" s="23"/>
      <c r="G1385" s="23"/>
      <c r="H1385" s="23"/>
      <c r="J1385" s="23"/>
      <c r="K1385" s="23"/>
      <c r="M1385" s="23"/>
      <c r="N1385" s="23"/>
      <c r="P1385" s="23"/>
    </row>
    <row r="1386" spans="2:16" x14ac:dyDescent="0.25">
      <c r="B1386" s="23"/>
      <c r="E1386" s="23"/>
      <c r="G1386" s="23"/>
      <c r="H1386" s="23"/>
      <c r="J1386" s="23"/>
      <c r="K1386" s="23"/>
      <c r="M1386" s="23"/>
      <c r="N1386" s="23"/>
      <c r="P1386" s="23"/>
    </row>
    <row r="1387" spans="2:16" x14ac:dyDescent="0.25">
      <c r="B1387" s="23"/>
      <c r="E1387" s="23"/>
      <c r="G1387" s="23"/>
      <c r="H1387" s="23"/>
      <c r="J1387" s="23"/>
      <c r="K1387" s="23"/>
      <c r="M1387" s="23"/>
      <c r="N1387" s="23"/>
      <c r="P1387" s="23"/>
    </row>
    <row r="1388" spans="2:16" x14ac:dyDescent="0.25">
      <c r="B1388" s="23"/>
      <c r="E1388" s="23"/>
      <c r="G1388" s="23"/>
      <c r="H1388" s="23"/>
      <c r="J1388" s="23"/>
      <c r="K1388" s="23"/>
      <c r="M1388" s="23"/>
      <c r="N1388" s="23"/>
      <c r="P1388" s="23"/>
    </row>
    <row r="1389" spans="2:16" x14ac:dyDescent="0.25">
      <c r="B1389" s="23"/>
      <c r="E1389" s="23"/>
      <c r="G1389" s="23"/>
      <c r="H1389" s="23"/>
      <c r="J1389" s="23"/>
      <c r="K1389" s="23"/>
      <c r="M1389" s="23"/>
      <c r="N1389" s="23"/>
      <c r="P1389" s="23"/>
    </row>
    <row r="1390" spans="2:16" x14ac:dyDescent="0.25">
      <c r="B1390" s="23"/>
      <c r="E1390" s="23"/>
      <c r="G1390" s="23"/>
      <c r="H1390" s="23"/>
      <c r="J1390" s="23"/>
      <c r="K1390" s="23"/>
      <c r="M1390" s="23"/>
      <c r="N1390" s="23"/>
      <c r="P1390" s="23"/>
    </row>
    <row r="1391" spans="2:16" x14ac:dyDescent="0.25">
      <c r="B1391" s="23"/>
      <c r="E1391" s="23"/>
      <c r="G1391" s="23"/>
      <c r="H1391" s="23"/>
      <c r="J1391" s="23"/>
      <c r="K1391" s="23"/>
      <c r="M1391" s="23"/>
      <c r="N1391" s="23"/>
      <c r="P1391" s="23"/>
    </row>
    <row r="1392" spans="2:16" x14ac:dyDescent="0.25">
      <c r="B1392" s="23"/>
      <c r="E1392" s="23"/>
      <c r="G1392" s="23"/>
      <c r="H1392" s="23"/>
      <c r="J1392" s="23"/>
      <c r="K1392" s="23"/>
      <c r="M1392" s="23"/>
      <c r="N1392" s="23"/>
      <c r="P1392" s="23"/>
    </row>
    <row r="1393" spans="2:16" x14ac:dyDescent="0.25">
      <c r="B1393" s="23"/>
      <c r="E1393" s="23"/>
      <c r="G1393" s="23"/>
      <c r="H1393" s="23"/>
      <c r="J1393" s="23"/>
      <c r="K1393" s="23"/>
      <c r="M1393" s="23"/>
      <c r="N1393" s="23"/>
      <c r="P1393" s="23"/>
    </row>
    <row r="1394" spans="2:16" x14ac:dyDescent="0.25">
      <c r="B1394" s="23"/>
      <c r="E1394" s="23"/>
      <c r="G1394" s="23"/>
      <c r="H1394" s="23"/>
      <c r="J1394" s="23"/>
      <c r="K1394" s="23"/>
      <c r="M1394" s="23"/>
      <c r="N1394" s="23"/>
      <c r="P1394" s="23"/>
    </row>
    <row r="1395" spans="2:16" x14ac:dyDescent="0.25">
      <c r="B1395" s="23"/>
      <c r="E1395" s="23"/>
      <c r="G1395" s="23"/>
      <c r="H1395" s="23"/>
      <c r="J1395" s="23"/>
      <c r="K1395" s="23"/>
      <c r="M1395" s="23"/>
      <c r="N1395" s="23"/>
      <c r="P1395" s="23"/>
    </row>
    <row r="1396" spans="2:16" x14ac:dyDescent="0.25">
      <c r="B1396" s="23"/>
      <c r="E1396" s="23"/>
      <c r="G1396" s="23"/>
      <c r="H1396" s="23"/>
      <c r="J1396" s="23"/>
      <c r="K1396" s="23"/>
      <c r="M1396" s="23"/>
      <c r="N1396" s="23"/>
      <c r="P1396" s="23"/>
    </row>
    <row r="1397" spans="2:16" x14ac:dyDescent="0.25">
      <c r="B1397" s="23"/>
      <c r="E1397" s="23"/>
      <c r="G1397" s="23"/>
      <c r="H1397" s="23"/>
      <c r="J1397" s="23"/>
      <c r="K1397" s="23"/>
      <c r="M1397" s="23"/>
      <c r="N1397" s="23"/>
      <c r="P1397" s="23"/>
    </row>
    <row r="1398" spans="2:16" x14ac:dyDescent="0.25">
      <c r="B1398" s="23"/>
      <c r="E1398" s="23"/>
      <c r="G1398" s="23"/>
      <c r="H1398" s="23"/>
      <c r="J1398" s="23"/>
      <c r="K1398" s="23"/>
      <c r="M1398" s="23"/>
      <c r="N1398" s="23"/>
      <c r="P1398" s="23"/>
    </row>
    <row r="1399" spans="2:16" x14ac:dyDescent="0.25">
      <c r="B1399" s="23"/>
      <c r="E1399" s="23"/>
      <c r="G1399" s="23"/>
      <c r="H1399" s="23"/>
      <c r="J1399" s="23"/>
      <c r="K1399" s="23"/>
      <c r="M1399" s="23"/>
      <c r="N1399" s="23"/>
      <c r="P1399" s="23"/>
    </row>
    <row r="1400" spans="2:16" x14ac:dyDescent="0.25">
      <c r="B1400" s="23"/>
      <c r="E1400" s="23"/>
      <c r="G1400" s="23"/>
      <c r="H1400" s="23"/>
      <c r="J1400" s="23"/>
      <c r="K1400" s="23"/>
      <c r="M1400" s="23"/>
      <c r="N1400" s="23"/>
      <c r="P1400" s="23"/>
    </row>
    <row r="1401" spans="2:16" x14ac:dyDescent="0.25">
      <c r="B1401" s="23"/>
      <c r="E1401" s="23"/>
      <c r="G1401" s="23"/>
      <c r="H1401" s="23"/>
      <c r="J1401" s="23"/>
      <c r="K1401" s="23"/>
      <c r="M1401" s="23"/>
      <c r="N1401" s="23"/>
      <c r="P1401" s="23"/>
    </row>
    <row r="1402" spans="2:16" x14ac:dyDescent="0.25">
      <c r="B1402" s="23"/>
      <c r="E1402" s="23"/>
      <c r="G1402" s="23"/>
      <c r="H1402" s="23"/>
      <c r="J1402" s="23"/>
      <c r="K1402" s="23"/>
      <c r="M1402" s="23"/>
      <c r="N1402" s="23"/>
      <c r="P1402" s="23"/>
    </row>
    <row r="1403" spans="2:16" x14ac:dyDescent="0.25">
      <c r="B1403" s="23"/>
      <c r="E1403" s="23"/>
      <c r="G1403" s="23"/>
      <c r="H1403" s="23"/>
      <c r="J1403" s="23"/>
      <c r="K1403" s="23"/>
      <c r="M1403" s="23"/>
      <c r="N1403" s="23"/>
      <c r="P1403" s="23"/>
    </row>
    <row r="1404" spans="2:16" x14ac:dyDescent="0.25">
      <c r="B1404" s="23"/>
      <c r="E1404" s="23"/>
      <c r="G1404" s="23"/>
      <c r="H1404" s="23"/>
      <c r="J1404" s="23"/>
      <c r="K1404" s="23"/>
      <c r="M1404" s="23"/>
      <c r="N1404" s="23"/>
      <c r="P1404" s="23"/>
    </row>
    <row r="1405" spans="2:16" x14ac:dyDescent="0.25">
      <c r="B1405" s="23"/>
      <c r="E1405" s="23"/>
      <c r="G1405" s="23"/>
      <c r="H1405" s="23"/>
      <c r="J1405" s="23"/>
      <c r="K1405" s="23"/>
      <c r="M1405" s="23"/>
      <c r="N1405" s="23"/>
      <c r="P1405" s="23"/>
    </row>
    <row r="1406" spans="2:16" x14ac:dyDescent="0.25">
      <c r="B1406" s="23"/>
      <c r="E1406" s="23"/>
      <c r="G1406" s="23"/>
      <c r="H1406" s="23"/>
      <c r="J1406" s="23"/>
      <c r="K1406" s="23"/>
      <c r="M1406" s="23"/>
      <c r="N1406" s="23"/>
      <c r="P1406" s="23"/>
    </row>
    <row r="1407" spans="2:16" x14ac:dyDescent="0.25">
      <c r="B1407" s="23"/>
      <c r="E1407" s="23"/>
      <c r="G1407" s="23"/>
      <c r="H1407" s="23"/>
      <c r="J1407" s="23"/>
      <c r="K1407" s="23"/>
      <c r="M1407" s="23"/>
      <c r="N1407" s="23"/>
      <c r="P1407" s="23"/>
    </row>
    <row r="1408" spans="2:16" x14ac:dyDescent="0.25">
      <c r="B1408" s="23"/>
      <c r="E1408" s="23"/>
      <c r="G1408" s="23"/>
      <c r="H1408" s="23"/>
      <c r="J1408" s="23"/>
      <c r="K1408" s="23"/>
      <c r="M1408" s="23"/>
      <c r="N1408" s="23"/>
      <c r="P1408" s="23"/>
    </row>
    <row r="1409" spans="2:16" x14ac:dyDescent="0.25">
      <c r="B1409" s="23"/>
      <c r="E1409" s="23"/>
      <c r="G1409" s="23"/>
      <c r="H1409" s="23"/>
      <c r="J1409" s="23"/>
      <c r="K1409" s="23"/>
      <c r="M1409" s="23"/>
      <c r="N1409" s="23"/>
      <c r="P1409" s="23"/>
    </row>
    <row r="1410" spans="2:16" x14ac:dyDescent="0.25">
      <c r="B1410" s="23"/>
      <c r="E1410" s="23"/>
      <c r="G1410" s="23"/>
      <c r="H1410" s="23"/>
      <c r="J1410" s="23"/>
      <c r="K1410" s="23"/>
      <c r="M1410" s="23"/>
      <c r="N1410" s="23"/>
      <c r="P1410" s="23"/>
    </row>
    <row r="1411" spans="2:16" x14ac:dyDescent="0.25">
      <c r="B1411" s="23"/>
      <c r="E1411" s="23"/>
      <c r="G1411" s="23"/>
      <c r="H1411" s="23"/>
      <c r="J1411" s="23"/>
      <c r="K1411" s="23"/>
      <c r="M1411" s="23"/>
      <c r="N1411" s="23"/>
      <c r="P1411" s="23"/>
    </row>
    <row r="1412" spans="2:16" x14ac:dyDescent="0.25">
      <c r="B1412" s="23"/>
      <c r="E1412" s="23"/>
      <c r="G1412" s="23"/>
      <c r="H1412" s="23"/>
      <c r="J1412" s="23"/>
      <c r="K1412" s="23"/>
      <c r="M1412" s="23"/>
      <c r="N1412" s="23"/>
      <c r="P1412" s="23"/>
    </row>
    <row r="1413" spans="2:16" x14ac:dyDescent="0.25">
      <c r="B1413" s="23"/>
      <c r="E1413" s="23"/>
      <c r="G1413" s="23"/>
      <c r="H1413" s="23"/>
      <c r="J1413" s="23"/>
      <c r="K1413" s="23"/>
      <c r="M1413" s="23"/>
      <c r="N1413" s="23"/>
      <c r="P1413" s="23"/>
    </row>
    <row r="1414" spans="2:16" x14ac:dyDescent="0.25">
      <c r="B1414" s="23"/>
      <c r="E1414" s="23"/>
      <c r="G1414" s="23"/>
      <c r="H1414" s="23"/>
      <c r="J1414" s="23"/>
      <c r="K1414" s="23"/>
      <c r="M1414" s="23"/>
      <c r="N1414" s="23"/>
      <c r="P1414" s="23"/>
    </row>
    <row r="1415" spans="2:16" x14ac:dyDescent="0.25">
      <c r="B1415" s="23"/>
      <c r="E1415" s="23"/>
      <c r="G1415" s="23"/>
      <c r="H1415" s="23"/>
      <c r="J1415" s="23"/>
      <c r="K1415" s="23"/>
      <c r="M1415" s="23"/>
      <c r="N1415" s="23"/>
      <c r="P1415" s="23"/>
    </row>
    <row r="1416" spans="2:16" x14ac:dyDescent="0.25">
      <c r="B1416" s="23"/>
      <c r="E1416" s="23"/>
      <c r="G1416" s="23"/>
      <c r="H1416" s="23"/>
      <c r="J1416" s="23"/>
      <c r="K1416" s="23"/>
      <c r="M1416" s="23"/>
      <c r="N1416" s="23"/>
      <c r="P1416" s="23"/>
    </row>
    <row r="1417" spans="2:16" x14ac:dyDescent="0.25">
      <c r="B1417" s="23"/>
      <c r="E1417" s="23"/>
      <c r="G1417" s="23"/>
      <c r="H1417" s="23"/>
      <c r="J1417" s="23"/>
      <c r="K1417" s="23"/>
      <c r="M1417" s="23"/>
      <c r="N1417" s="23"/>
      <c r="P1417" s="23"/>
    </row>
    <row r="1418" spans="2:16" x14ac:dyDescent="0.25">
      <c r="B1418" s="23"/>
      <c r="E1418" s="23"/>
      <c r="G1418" s="23"/>
      <c r="H1418" s="23"/>
      <c r="J1418" s="23"/>
      <c r="K1418" s="23"/>
      <c r="M1418" s="23"/>
      <c r="N1418" s="23"/>
      <c r="P1418" s="23"/>
    </row>
    <row r="1419" spans="2:16" x14ac:dyDescent="0.25">
      <c r="B1419" s="23"/>
      <c r="E1419" s="23"/>
      <c r="G1419" s="23"/>
      <c r="H1419" s="23"/>
      <c r="J1419" s="23"/>
      <c r="K1419" s="23"/>
      <c r="M1419" s="23"/>
      <c r="N1419" s="23"/>
      <c r="P1419" s="23"/>
    </row>
    <row r="1420" spans="2:16" x14ac:dyDescent="0.25">
      <c r="B1420" s="23"/>
      <c r="E1420" s="23"/>
      <c r="G1420" s="23"/>
      <c r="H1420" s="23"/>
      <c r="J1420" s="23"/>
      <c r="K1420" s="23"/>
      <c r="M1420" s="23"/>
      <c r="N1420" s="23"/>
      <c r="P1420" s="23"/>
    </row>
    <row r="1421" spans="2:16" x14ac:dyDescent="0.25">
      <c r="B1421" s="23"/>
      <c r="E1421" s="23"/>
      <c r="G1421" s="23"/>
      <c r="H1421" s="23"/>
      <c r="J1421" s="23"/>
      <c r="K1421" s="23"/>
      <c r="M1421" s="23"/>
      <c r="N1421" s="23"/>
      <c r="P1421" s="23"/>
    </row>
    <row r="1422" spans="2:16" x14ac:dyDescent="0.25">
      <c r="B1422" s="23"/>
      <c r="E1422" s="23"/>
      <c r="G1422" s="23"/>
      <c r="H1422" s="23"/>
      <c r="J1422" s="23"/>
      <c r="K1422" s="23"/>
      <c r="M1422" s="23"/>
      <c r="N1422" s="23"/>
      <c r="P1422" s="23"/>
    </row>
    <row r="1423" spans="2:16" x14ac:dyDescent="0.25">
      <c r="B1423" s="23"/>
      <c r="E1423" s="23"/>
      <c r="G1423" s="23"/>
      <c r="H1423" s="23"/>
      <c r="J1423" s="23"/>
      <c r="K1423" s="23"/>
      <c r="M1423" s="23"/>
      <c r="N1423" s="23"/>
      <c r="P1423" s="23"/>
    </row>
    <row r="1424" spans="2:16" x14ac:dyDescent="0.25">
      <c r="B1424" s="23"/>
      <c r="E1424" s="23"/>
      <c r="G1424" s="23"/>
      <c r="H1424" s="23"/>
      <c r="J1424" s="23"/>
      <c r="K1424" s="23"/>
      <c r="M1424" s="23"/>
      <c r="N1424" s="23"/>
      <c r="P1424" s="23"/>
    </row>
    <row r="1425" spans="2:16" x14ac:dyDescent="0.25">
      <c r="B1425" s="23"/>
      <c r="E1425" s="23"/>
      <c r="G1425" s="23"/>
      <c r="H1425" s="23"/>
      <c r="J1425" s="23"/>
      <c r="K1425" s="23"/>
      <c r="M1425" s="23"/>
      <c r="N1425" s="23"/>
      <c r="P1425" s="23"/>
    </row>
    <row r="1426" spans="2:16" x14ac:dyDescent="0.25">
      <c r="B1426" s="23"/>
      <c r="E1426" s="23"/>
      <c r="G1426" s="23"/>
      <c r="H1426" s="23"/>
      <c r="J1426" s="23"/>
      <c r="K1426" s="23"/>
      <c r="M1426" s="23"/>
      <c r="N1426" s="23"/>
      <c r="P1426" s="23"/>
    </row>
    <row r="1427" spans="2:16" x14ac:dyDescent="0.25">
      <c r="B1427" s="23"/>
      <c r="E1427" s="23"/>
      <c r="G1427" s="23"/>
      <c r="H1427" s="23"/>
      <c r="J1427" s="23"/>
      <c r="K1427" s="23"/>
      <c r="M1427" s="23"/>
      <c r="N1427" s="23"/>
      <c r="P1427" s="23"/>
    </row>
    <row r="1428" spans="2:16" x14ac:dyDescent="0.25">
      <c r="B1428" s="23"/>
      <c r="E1428" s="23"/>
      <c r="G1428" s="23"/>
      <c r="H1428" s="23"/>
      <c r="J1428" s="23"/>
      <c r="K1428" s="23"/>
      <c r="M1428" s="23"/>
      <c r="N1428" s="23"/>
      <c r="P1428" s="23"/>
    </row>
    <row r="1429" spans="2:16" x14ac:dyDescent="0.25">
      <c r="B1429" s="23"/>
      <c r="E1429" s="23"/>
      <c r="G1429" s="23"/>
      <c r="H1429" s="23"/>
      <c r="J1429" s="23"/>
      <c r="K1429" s="23"/>
      <c r="M1429" s="23"/>
      <c r="N1429" s="23"/>
      <c r="P1429" s="23"/>
    </row>
    <row r="1430" spans="2:16" x14ac:dyDescent="0.25">
      <c r="B1430" s="23"/>
      <c r="E1430" s="23"/>
      <c r="G1430" s="23"/>
      <c r="H1430" s="23"/>
      <c r="J1430" s="23"/>
      <c r="K1430" s="23"/>
      <c r="M1430" s="23"/>
      <c r="N1430" s="23"/>
      <c r="P1430" s="23"/>
    </row>
    <row r="1431" spans="2:16" x14ac:dyDescent="0.25">
      <c r="B1431" s="23"/>
      <c r="E1431" s="23"/>
      <c r="G1431" s="23"/>
      <c r="H1431" s="23"/>
      <c r="J1431" s="23"/>
      <c r="K1431" s="23"/>
      <c r="M1431" s="23"/>
      <c r="N1431" s="23"/>
      <c r="P1431" s="23"/>
    </row>
    <row r="1432" spans="2:16" x14ac:dyDescent="0.25">
      <c r="B1432" s="23"/>
      <c r="E1432" s="23"/>
      <c r="G1432" s="23"/>
      <c r="H1432" s="23"/>
      <c r="J1432" s="23"/>
      <c r="K1432" s="23"/>
      <c r="M1432" s="23"/>
      <c r="N1432" s="23"/>
      <c r="P1432" s="23"/>
    </row>
    <row r="1433" spans="2:16" x14ac:dyDescent="0.25">
      <c r="B1433" s="23"/>
      <c r="E1433" s="23"/>
      <c r="G1433" s="23"/>
      <c r="H1433" s="23"/>
      <c r="J1433" s="23"/>
      <c r="K1433" s="23"/>
      <c r="M1433" s="23"/>
      <c r="N1433" s="23"/>
      <c r="P1433" s="23"/>
    </row>
    <row r="1434" spans="2:16" x14ac:dyDescent="0.25">
      <c r="B1434" s="23"/>
      <c r="E1434" s="23"/>
      <c r="G1434" s="23"/>
      <c r="H1434" s="23"/>
      <c r="J1434" s="23"/>
      <c r="K1434" s="23"/>
      <c r="M1434" s="23"/>
      <c r="N1434" s="23"/>
      <c r="P1434" s="23"/>
    </row>
    <row r="1435" spans="2:16" x14ac:dyDescent="0.25">
      <c r="B1435" s="23"/>
      <c r="E1435" s="23"/>
      <c r="G1435" s="23"/>
      <c r="H1435" s="23"/>
      <c r="J1435" s="23"/>
      <c r="K1435" s="23"/>
      <c r="M1435" s="23"/>
      <c r="N1435" s="23"/>
      <c r="P1435" s="23"/>
    </row>
    <row r="1436" spans="2:16" x14ac:dyDescent="0.25">
      <c r="B1436" s="23"/>
      <c r="E1436" s="23"/>
      <c r="G1436" s="23"/>
      <c r="H1436" s="23"/>
      <c r="J1436" s="23"/>
      <c r="K1436" s="23"/>
      <c r="M1436" s="23"/>
      <c r="N1436" s="23"/>
      <c r="P1436" s="23"/>
    </row>
    <row r="1437" spans="2:16" x14ac:dyDescent="0.25">
      <c r="B1437" s="23"/>
      <c r="E1437" s="23"/>
      <c r="G1437" s="23"/>
      <c r="H1437" s="23"/>
      <c r="J1437" s="23"/>
      <c r="K1437" s="23"/>
      <c r="M1437" s="23"/>
      <c r="N1437" s="23"/>
      <c r="P1437" s="23"/>
    </row>
    <row r="1438" spans="2:16" x14ac:dyDescent="0.25">
      <c r="B1438" s="23"/>
      <c r="E1438" s="23"/>
      <c r="G1438" s="23"/>
      <c r="H1438" s="23"/>
      <c r="J1438" s="23"/>
      <c r="K1438" s="23"/>
      <c r="M1438" s="23"/>
      <c r="N1438" s="23"/>
      <c r="P1438" s="23"/>
    </row>
    <row r="1439" spans="2:16" x14ac:dyDescent="0.25">
      <c r="B1439" s="23"/>
      <c r="E1439" s="23"/>
      <c r="G1439" s="23"/>
      <c r="H1439" s="23"/>
      <c r="J1439" s="23"/>
      <c r="K1439" s="23"/>
      <c r="M1439" s="23"/>
      <c r="N1439" s="23"/>
      <c r="P1439" s="23"/>
    </row>
    <row r="1440" spans="2:16" x14ac:dyDescent="0.25">
      <c r="B1440" s="23"/>
      <c r="E1440" s="23"/>
      <c r="G1440" s="23"/>
      <c r="H1440" s="23"/>
      <c r="J1440" s="23"/>
      <c r="K1440" s="23"/>
      <c r="M1440" s="23"/>
      <c r="N1440" s="23"/>
      <c r="P1440" s="23"/>
    </row>
    <row r="1441" spans="2:16" x14ac:dyDescent="0.25">
      <c r="B1441" s="23"/>
      <c r="E1441" s="23"/>
      <c r="G1441" s="23"/>
      <c r="H1441" s="23"/>
      <c r="J1441" s="23"/>
      <c r="K1441" s="23"/>
      <c r="M1441" s="23"/>
      <c r="N1441" s="23"/>
      <c r="P1441" s="23"/>
    </row>
    <row r="1442" spans="2:16" x14ac:dyDescent="0.25">
      <c r="B1442" s="23"/>
      <c r="E1442" s="23"/>
      <c r="G1442" s="23"/>
      <c r="H1442" s="23"/>
      <c r="J1442" s="23"/>
      <c r="K1442" s="23"/>
      <c r="M1442" s="23"/>
      <c r="N1442" s="23"/>
      <c r="P1442" s="23"/>
    </row>
    <row r="1443" spans="2:16" x14ac:dyDescent="0.25">
      <c r="B1443" s="23"/>
      <c r="E1443" s="23"/>
      <c r="G1443" s="23"/>
      <c r="H1443" s="23"/>
      <c r="J1443" s="23"/>
      <c r="K1443" s="23"/>
      <c r="M1443" s="23"/>
      <c r="N1443" s="23"/>
      <c r="P1443" s="23"/>
    </row>
    <row r="1444" spans="2:16" x14ac:dyDescent="0.25">
      <c r="B1444" s="23"/>
      <c r="E1444" s="23"/>
      <c r="G1444" s="23"/>
      <c r="H1444" s="23"/>
      <c r="J1444" s="23"/>
      <c r="K1444" s="23"/>
      <c r="M1444" s="23"/>
      <c r="N1444" s="23"/>
      <c r="P1444" s="23"/>
    </row>
    <row r="1445" spans="2:16" x14ac:dyDescent="0.25">
      <c r="B1445" s="23"/>
      <c r="E1445" s="23"/>
      <c r="G1445" s="23"/>
      <c r="H1445" s="23"/>
      <c r="J1445" s="23"/>
      <c r="K1445" s="23"/>
      <c r="M1445" s="23"/>
      <c r="N1445" s="23"/>
      <c r="P1445" s="23"/>
    </row>
    <row r="1446" spans="2:16" x14ac:dyDescent="0.25">
      <c r="B1446" s="23"/>
      <c r="E1446" s="23"/>
      <c r="G1446" s="23"/>
      <c r="H1446" s="23"/>
      <c r="J1446" s="23"/>
      <c r="K1446" s="23"/>
      <c r="M1446" s="23"/>
      <c r="N1446" s="23"/>
      <c r="P1446" s="23"/>
    </row>
    <row r="1447" spans="2:16" x14ac:dyDescent="0.25">
      <c r="B1447" s="23"/>
      <c r="E1447" s="23"/>
      <c r="G1447" s="23"/>
      <c r="H1447" s="23"/>
      <c r="J1447" s="23"/>
      <c r="K1447" s="23"/>
      <c r="M1447" s="23"/>
      <c r="N1447" s="23"/>
      <c r="P1447" s="23"/>
    </row>
    <row r="1448" spans="2:16" x14ac:dyDescent="0.25">
      <c r="B1448" s="23"/>
      <c r="E1448" s="23"/>
      <c r="G1448" s="23"/>
      <c r="H1448" s="23"/>
      <c r="J1448" s="23"/>
      <c r="K1448" s="23"/>
      <c r="M1448" s="23"/>
      <c r="N1448" s="23"/>
      <c r="P1448" s="23"/>
    </row>
    <row r="1449" spans="2:16" x14ac:dyDescent="0.25">
      <c r="B1449" s="23"/>
      <c r="E1449" s="23"/>
      <c r="G1449" s="23"/>
      <c r="H1449" s="23"/>
      <c r="J1449" s="23"/>
      <c r="K1449" s="23"/>
      <c r="M1449" s="23"/>
      <c r="N1449" s="23"/>
      <c r="P1449" s="23"/>
    </row>
    <row r="1450" spans="2:16" x14ac:dyDescent="0.25">
      <c r="B1450" s="23"/>
      <c r="E1450" s="23"/>
      <c r="G1450" s="23"/>
      <c r="H1450" s="23"/>
      <c r="J1450" s="23"/>
      <c r="K1450" s="23"/>
      <c r="M1450" s="23"/>
      <c r="N1450" s="23"/>
      <c r="P1450" s="23"/>
    </row>
    <row r="1451" spans="2:16" x14ac:dyDescent="0.25">
      <c r="B1451" s="23"/>
      <c r="E1451" s="23"/>
      <c r="G1451" s="23"/>
      <c r="H1451" s="23"/>
      <c r="J1451" s="23"/>
      <c r="K1451" s="23"/>
      <c r="M1451" s="23"/>
      <c r="N1451" s="23"/>
      <c r="P1451" s="23"/>
    </row>
    <row r="1452" spans="2:16" x14ac:dyDescent="0.25">
      <c r="B1452" s="23"/>
      <c r="E1452" s="23"/>
      <c r="G1452" s="23"/>
      <c r="H1452" s="23"/>
      <c r="J1452" s="23"/>
      <c r="K1452" s="23"/>
      <c r="M1452" s="23"/>
      <c r="N1452" s="23"/>
      <c r="P1452" s="23"/>
    </row>
    <row r="1453" spans="2:16" x14ac:dyDescent="0.25">
      <c r="B1453" s="23"/>
      <c r="E1453" s="23"/>
      <c r="G1453" s="23"/>
      <c r="H1453" s="23"/>
      <c r="J1453" s="23"/>
      <c r="K1453" s="23"/>
      <c r="M1453" s="23"/>
      <c r="N1453" s="23"/>
      <c r="P1453" s="23"/>
    </row>
    <row r="1454" spans="2:16" x14ac:dyDescent="0.25">
      <c r="B1454" s="23"/>
      <c r="E1454" s="23"/>
      <c r="G1454" s="23"/>
      <c r="H1454" s="23"/>
      <c r="J1454" s="23"/>
      <c r="K1454" s="23"/>
      <c r="M1454" s="23"/>
      <c r="N1454" s="23"/>
      <c r="P1454" s="23"/>
    </row>
    <row r="1455" spans="2:16" x14ac:dyDescent="0.25">
      <c r="B1455" s="23"/>
      <c r="E1455" s="23"/>
      <c r="G1455" s="23"/>
      <c r="H1455" s="23"/>
      <c r="J1455" s="23"/>
      <c r="K1455" s="23"/>
      <c r="M1455" s="23"/>
      <c r="N1455" s="23"/>
      <c r="P1455" s="23"/>
    </row>
    <row r="1456" spans="2:16" x14ac:dyDescent="0.25">
      <c r="B1456" s="23"/>
      <c r="E1456" s="23"/>
      <c r="G1456" s="23"/>
      <c r="H1456" s="23"/>
      <c r="J1456" s="23"/>
      <c r="K1456" s="23"/>
      <c r="M1456" s="23"/>
      <c r="N1456" s="23"/>
      <c r="P1456" s="23"/>
    </row>
    <row r="1457" spans="2:16" x14ac:dyDescent="0.25">
      <c r="B1457" s="23"/>
      <c r="E1457" s="23"/>
      <c r="G1457" s="23"/>
      <c r="H1457" s="23"/>
      <c r="J1457" s="23"/>
      <c r="K1457" s="23"/>
      <c r="M1457" s="23"/>
      <c r="N1457" s="23"/>
      <c r="P1457" s="23"/>
    </row>
    <row r="1458" spans="2:16" x14ac:dyDescent="0.25">
      <c r="B1458" s="23"/>
      <c r="E1458" s="23"/>
      <c r="G1458" s="23"/>
      <c r="H1458" s="23"/>
      <c r="J1458" s="23"/>
      <c r="K1458" s="23"/>
      <c r="M1458" s="23"/>
      <c r="N1458" s="23"/>
      <c r="P1458" s="23"/>
    </row>
    <row r="1459" spans="2:16" x14ac:dyDescent="0.25">
      <c r="B1459" s="23"/>
      <c r="E1459" s="23"/>
      <c r="G1459" s="23"/>
      <c r="H1459" s="23"/>
      <c r="J1459" s="23"/>
      <c r="K1459" s="23"/>
      <c r="M1459" s="23"/>
      <c r="N1459" s="23"/>
      <c r="P1459" s="23"/>
    </row>
    <row r="1460" spans="2:16" x14ac:dyDescent="0.25">
      <c r="B1460" s="23"/>
      <c r="E1460" s="23"/>
      <c r="G1460" s="23"/>
      <c r="H1460" s="23"/>
      <c r="J1460" s="23"/>
      <c r="K1460" s="23"/>
      <c r="M1460" s="23"/>
      <c r="N1460" s="23"/>
      <c r="P1460" s="23"/>
    </row>
    <row r="1461" spans="2:16" x14ac:dyDescent="0.25">
      <c r="B1461" s="23"/>
      <c r="E1461" s="23"/>
      <c r="G1461" s="23"/>
      <c r="H1461" s="23"/>
      <c r="J1461" s="23"/>
      <c r="K1461" s="23"/>
      <c r="M1461" s="23"/>
      <c r="N1461" s="23"/>
      <c r="P1461" s="23"/>
    </row>
    <row r="1462" spans="2:16" x14ac:dyDescent="0.25">
      <c r="B1462" s="23"/>
      <c r="E1462" s="23"/>
      <c r="G1462" s="23"/>
      <c r="H1462" s="23"/>
      <c r="J1462" s="23"/>
      <c r="K1462" s="23"/>
      <c r="M1462" s="23"/>
      <c r="N1462" s="23"/>
      <c r="P1462" s="23"/>
    </row>
    <row r="1463" spans="2:16" x14ac:dyDescent="0.25">
      <c r="B1463" s="23"/>
      <c r="E1463" s="23"/>
      <c r="G1463" s="23"/>
      <c r="H1463" s="23"/>
      <c r="J1463" s="23"/>
      <c r="K1463" s="23"/>
      <c r="M1463" s="23"/>
      <c r="N1463" s="23"/>
      <c r="P1463" s="23"/>
    </row>
    <row r="1464" spans="2:16" x14ac:dyDescent="0.25">
      <c r="B1464" s="23"/>
      <c r="E1464" s="23"/>
      <c r="G1464" s="23"/>
      <c r="H1464" s="23"/>
      <c r="J1464" s="23"/>
      <c r="K1464" s="23"/>
      <c r="M1464" s="23"/>
      <c r="N1464" s="23"/>
      <c r="P1464" s="23"/>
    </row>
    <row r="1465" spans="2:16" x14ac:dyDescent="0.25">
      <c r="B1465" s="23"/>
      <c r="E1465" s="23"/>
      <c r="G1465" s="23"/>
      <c r="H1465" s="23"/>
      <c r="J1465" s="23"/>
      <c r="K1465" s="23"/>
      <c r="M1465" s="23"/>
      <c r="N1465" s="23"/>
      <c r="P1465" s="23"/>
    </row>
    <row r="1466" spans="2:16" x14ac:dyDescent="0.25">
      <c r="B1466" s="23"/>
      <c r="E1466" s="23"/>
      <c r="G1466" s="23"/>
      <c r="H1466" s="23"/>
      <c r="J1466" s="23"/>
      <c r="K1466" s="23"/>
      <c r="M1466" s="23"/>
      <c r="N1466" s="23"/>
      <c r="P1466" s="23"/>
    </row>
    <row r="1467" spans="2:16" x14ac:dyDescent="0.25">
      <c r="B1467" s="23"/>
      <c r="E1467" s="23"/>
      <c r="G1467" s="23"/>
      <c r="H1467" s="23"/>
      <c r="J1467" s="23"/>
      <c r="K1467" s="23"/>
      <c r="M1467" s="23"/>
      <c r="N1467" s="23"/>
      <c r="P1467" s="23"/>
    </row>
    <row r="1468" spans="2:16" x14ac:dyDescent="0.25">
      <c r="B1468" s="23"/>
      <c r="E1468" s="23"/>
      <c r="G1468" s="23"/>
      <c r="H1468" s="23"/>
      <c r="J1468" s="23"/>
      <c r="K1468" s="23"/>
      <c r="M1468" s="23"/>
      <c r="N1468" s="23"/>
      <c r="P1468" s="23"/>
    </row>
    <row r="1469" spans="2:16" x14ac:dyDescent="0.25">
      <c r="B1469" s="23"/>
      <c r="E1469" s="23"/>
      <c r="G1469" s="23"/>
      <c r="H1469" s="23"/>
      <c r="J1469" s="23"/>
      <c r="K1469" s="23"/>
      <c r="M1469" s="23"/>
      <c r="N1469" s="23"/>
      <c r="P1469" s="23"/>
    </row>
    <row r="1470" spans="2:16" x14ac:dyDescent="0.25">
      <c r="B1470" s="23"/>
      <c r="E1470" s="23"/>
      <c r="G1470" s="23"/>
      <c r="H1470" s="23"/>
      <c r="J1470" s="23"/>
      <c r="K1470" s="23"/>
      <c r="M1470" s="23"/>
      <c r="N1470" s="23"/>
      <c r="P1470" s="23"/>
    </row>
    <row r="1471" spans="2:16" x14ac:dyDescent="0.25">
      <c r="B1471" s="23"/>
      <c r="E1471" s="23"/>
      <c r="G1471" s="23"/>
      <c r="H1471" s="23"/>
      <c r="J1471" s="23"/>
      <c r="K1471" s="23"/>
      <c r="M1471" s="23"/>
      <c r="N1471" s="23"/>
      <c r="P1471" s="23"/>
    </row>
    <row r="1472" spans="2:16" x14ac:dyDescent="0.25">
      <c r="B1472" s="23"/>
      <c r="E1472" s="23"/>
      <c r="G1472" s="23"/>
      <c r="H1472" s="23"/>
      <c r="J1472" s="23"/>
      <c r="K1472" s="23"/>
      <c r="M1472" s="23"/>
      <c r="N1472" s="23"/>
      <c r="P1472" s="23"/>
    </row>
    <row r="1473" spans="2:16" x14ac:dyDescent="0.25">
      <c r="B1473" s="23"/>
      <c r="E1473" s="23"/>
      <c r="G1473" s="23"/>
      <c r="H1473" s="23"/>
      <c r="J1473" s="23"/>
      <c r="K1473" s="23"/>
      <c r="M1473" s="23"/>
      <c r="N1473" s="23"/>
      <c r="P1473" s="23"/>
    </row>
    <row r="1474" spans="2:16" x14ac:dyDescent="0.25">
      <c r="B1474" s="23"/>
      <c r="E1474" s="23"/>
      <c r="G1474" s="23"/>
      <c r="H1474" s="23"/>
      <c r="J1474" s="23"/>
      <c r="K1474" s="23"/>
      <c r="M1474" s="23"/>
      <c r="N1474" s="23"/>
      <c r="P1474" s="23"/>
    </row>
    <row r="1475" spans="2:16" x14ac:dyDescent="0.25">
      <c r="B1475" s="23"/>
      <c r="E1475" s="23"/>
      <c r="G1475" s="23"/>
      <c r="H1475" s="23"/>
      <c r="J1475" s="23"/>
      <c r="K1475" s="23"/>
      <c r="M1475" s="23"/>
      <c r="N1475" s="23"/>
      <c r="P1475" s="23"/>
    </row>
    <row r="1476" spans="2:16" x14ac:dyDescent="0.25">
      <c r="B1476" s="23"/>
      <c r="E1476" s="23"/>
      <c r="G1476" s="23"/>
      <c r="H1476" s="23"/>
      <c r="J1476" s="23"/>
      <c r="K1476" s="23"/>
      <c r="M1476" s="23"/>
      <c r="N1476" s="23"/>
      <c r="P1476" s="23"/>
    </row>
    <row r="1477" spans="2:16" x14ac:dyDescent="0.25">
      <c r="B1477" s="23"/>
      <c r="E1477" s="23"/>
      <c r="G1477" s="23"/>
      <c r="H1477" s="23"/>
      <c r="J1477" s="23"/>
      <c r="K1477" s="23"/>
      <c r="M1477" s="23"/>
      <c r="N1477" s="23"/>
      <c r="P1477" s="23"/>
    </row>
    <row r="1478" spans="2:16" x14ac:dyDescent="0.25">
      <c r="B1478" s="23"/>
      <c r="E1478" s="23"/>
      <c r="G1478" s="23"/>
      <c r="H1478" s="23"/>
      <c r="J1478" s="23"/>
      <c r="K1478" s="23"/>
      <c r="M1478" s="23"/>
      <c r="N1478" s="23"/>
      <c r="P1478" s="23"/>
    </row>
    <row r="1479" spans="2:16" x14ac:dyDescent="0.25">
      <c r="B1479" s="23"/>
      <c r="E1479" s="23"/>
      <c r="G1479" s="23"/>
      <c r="H1479" s="23"/>
      <c r="J1479" s="23"/>
      <c r="K1479" s="23"/>
      <c r="M1479" s="23"/>
      <c r="N1479" s="23"/>
      <c r="P1479" s="23"/>
    </row>
    <row r="1480" spans="2:16" x14ac:dyDescent="0.25">
      <c r="B1480" s="23"/>
      <c r="E1480" s="23"/>
      <c r="G1480" s="23"/>
      <c r="H1480" s="23"/>
      <c r="J1480" s="23"/>
      <c r="K1480" s="23"/>
      <c r="M1480" s="23"/>
      <c r="N1480" s="23"/>
      <c r="P1480" s="23"/>
    </row>
    <row r="1481" spans="2:16" x14ac:dyDescent="0.25">
      <c r="B1481" s="23"/>
      <c r="E1481" s="23"/>
      <c r="G1481" s="23"/>
      <c r="H1481" s="23"/>
      <c r="J1481" s="23"/>
      <c r="K1481" s="23"/>
      <c r="M1481" s="23"/>
      <c r="N1481" s="23"/>
      <c r="P1481" s="23"/>
    </row>
    <row r="1482" spans="2:16" x14ac:dyDescent="0.25">
      <c r="B1482" s="23"/>
      <c r="E1482" s="23"/>
      <c r="G1482" s="23"/>
      <c r="H1482" s="23"/>
      <c r="J1482" s="23"/>
      <c r="K1482" s="23"/>
      <c r="M1482" s="23"/>
      <c r="N1482" s="23"/>
      <c r="P1482" s="23"/>
    </row>
    <row r="1483" spans="2:16" x14ac:dyDescent="0.25">
      <c r="B1483" s="23"/>
      <c r="E1483" s="23"/>
      <c r="G1483" s="23"/>
      <c r="H1483" s="23"/>
      <c r="J1483" s="23"/>
      <c r="K1483" s="23"/>
      <c r="M1483" s="23"/>
      <c r="N1483" s="23"/>
      <c r="P1483" s="23"/>
    </row>
    <row r="1484" spans="2:16" x14ac:dyDescent="0.25">
      <c r="B1484" s="23"/>
      <c r="E1484" s="23"/>
      <c r="G1484" s="23"/>
      <c r="H1484" s="23"/>
      <c r="J1484" s="23"/>
      <c r="K1484" s="23"/>
      <c r="M1484" s="23"/>
      <c r="N1484" s="23"/>
      <c r="P1484" s="23"/>
    </row>
    <row r="1485" spans="2:16" x14ac:dyDescent="0.25">
      <c r="B1485" s="23"/>
      <c r="E1485" s="23"/>
      <c r="G1485" s="23"/>
      <c r="H1485" s="23"/>
      <c r="J1485" s="23"/>
      <c r="K1485" s="23"/>
      <c r="M1485" s="23"/>
      <c r="N1485" s="23"/>
      <c r="P1485" s="23"/>
    </row>
    <row r="1486" spans="2:16" x14ac:dyDescent="0.25">
      <c r="B1486" s="23"/>
      <c r="E1486" s="23"/>
      <c r="G1486" s="23"/>
      <c r="H1486" s="23"/>
      <c r="J1486" s="23"/>
      <c r="K1486" s="23"/>
      <c r="M1486" s="23"/>
      <c r="N1486" s="23"/>
      <c r="P1486" s="23"/>
    </row>
    <row r="1487" spans="2:16" x14ac:dyDescent="0.25">
      <c r="B1487" s="23"/>
      <c r="E1487" s="23"/>
      <c r="G1487" s="23"/>
      <c r="H1487" s="23"/>
      <c r="J1487" s="23"/>
      <c r="K1487" s="23"/>
      <c r="M1487" s="23"/>
      <c r="N1487" s="23"/>
      <c r="P1487" s="23"/>
    </row>
    <row r="1488" spans="2:16" x14ac:dyDescent="0.25">
      <c r="B1488" s="23"/>
      <c r="E1488" s="23"/>
      <c r="G1488" s="23"/>
      <c r="H1488" s="23"/>
      <c r="J1488" s="23"/>
      <c r="K1488" s="23"/>
      <c r="M1488" s="23"/>
      <c r="N1488" s="23"/>
      <c r="P1488" s="23"/>
    </row>
    <row r="1489" spans="2:16" x14ac:dyDescent="0.25">
      <c r="B1489" s="23"/>
      <c r="E1489" s="23"/>
      <c r="G1489" s="23"/>
      <c r="H1489" s="23"/>
      <c r="J1489" s="23"/>
      <c r="K1489" s="23"/>
      <c r="M1489" s="23"/>
      <c r="N1489" s="23"/>
      <c r="P1489" s="23"/>
    </row>
    <row r="1490" spans="2:16" x14ac:dyDescent="0.25">
      <c r="B1490" s="23"/>
      <c r="E1490" s="23"/>
      <c r="G1490" s="23"/>
      <c r="H1490" s="23"/>
      <c r="J1490" s="23"/>
      <c r="K1490" s="23"/>
      <c r="M1490" s="23"/>
      <c r="N1490" s="23"/>
      <c r="P1490" s="23"/>
    </row>
    <row r="1491" spans="2:16" x14ac:dyDescent="0.25">
      <c r="B1491" s="23"/>
      <c r="E1491" s="23"/>
      <c r="G1491" s="23"/>
      <c r="H1491" s="23"/>
      <c r="J1491" s="23"/>
      <c r="K1491" s="23"/>
      <c r="M1491" s="23"/>
      <c r="N1491" s="23"/>
      <c r="P1491" s="23"/>
    </row>
    <row r="1492" spans="2:16" x14ac:dyDescent="0.25">
      <c r="B1492" s="23"/>
      <c r="E1492" s="23"/>
      <c r="G1492" s="23"/>
      <c r="H1492" s="23"/>
      <c r="J1492" s="23"/>
      <c r="K1492" s="23"/>
      <c r="M1492" s="23"/>
      <c r="N1492" s="23"/>
      <c r="P1492" s="23"/>
    </row>
    <row r="1493" spans="2:16" x14ac:dyDescent="0.25">
      <c r="B1493" s="23"/>
      <c r="E1493" s="23"/>
      <c r="G1493" s="23"/>
      <c r="H1493" s="23"/>
      <c r="J1493" s="23"/>
      <c r="K1493" s="23"/>
      <c r="M1493" s="23"/>
      <c r="N1493" s="23"/>
      <c r="P1493" s="23"/>
    </row>
    <row r="1494" spans="2:16" x14ac:dyDescent="0.25">
      <c r="B1494" s="23"/>
      <c r="E1494" s="23"/>
      <c r="G1494" s="23"/>
      <c r="H1494" s="23"/>
      <c r="J1494" s="23"/>
      <c r="K1494" s="23"/>
      <c r="M1494" s="23"/>
      <c r="N1494" s="23"/>
      <c r="P1494" s="23"/>
    </row>
    <row r="1495" spans="2:16" x14ac:dyDescent="0.25">
      <c r="B1495" s="23"/>
      <c r="E1495" s="23"/>
      <c r="G1495" s="23"/>
      <c r="H1495" s="23"/>
      <c r="J1495" s="23"/>
      <c r="K1495" s="23"/>
      <c r="M1495" s="23"/>
      <c r="N1495" s="23"/>
      <c r="P1495" s="23"/>
    </row>
    <row r="1496" spans="2:16" x14ac:dyDescent="0.25">
      <c r="B1496" s="23"/>
      <c r="E1496" s="23"/>
      <c r="G1496" s="23"/>
      <c r="H1496" s="23"/>
      <c r="J1496" s="23"/>
      <c r="K1496" s="23"/>
      <c r="M1496" s="23"/>
      <c r="N1496" s="23"/>
      <c r="P1496" s="23"/>
    </row>
    <row r="1497" spans="2:16" x14ac:dyDescent="0.25">
      <c r="B1497" s="23"/>
      <c r="E1497" s="23"/>
      <c r="G1497" s="23"/>
      <c r="H1497" s="23"/>
      <c r="J1497" s="23"/>
      <c r="K1497" s="23"/>
      <c r="M1497" s="23"/>
      <c r="N1497" s="23"/>
      <c r="P1497" s="23"/>
    </row>
    <row r="1498" spans="2:16" x14ac:dyDescent="0.25">
      <c r="B1498" s="23"/>
      <c r="E1498" s="23"/>
      <c r="G1498" s="23"/>
      <c r="H1498" s="23"/>
      <c r="J1498" s="23"/>
      <c r="K1498" s="23"/>
      <c r="M1498" s="23"/>
      <c r="N1498" s="23"/>
      <c r="P1498" s="23"/>
    </row>
    <row r="1499" spans="2:16" x14ac:dyDescent="0.25">
      <c r="B1499" s="23"/>
      <c r="E1499" s="23"/>
      <c r="G1499" s="23"/>
      <c r="H1499" s="23"/>
      <c r="J1499" s="23"/>
      <c r="K1499" s="23"/>
      <c r="M1499" s="23"/>
      <c r="N1499" s="23"/>
      <c r="P1499" s="23"/>
    </row>
    <row r="1500" spans="2:16" x14ac:dyDescent="0.25">
      <c r="B1500" s="23"/>
      <c r="E1500" s="23"/>
      <c r="G1500" s="23"/>
      <c r="H1500" s="23"/>
      <c r="J1500" s="23"/>
      <c r="K1500" s="23"/>
      <c r="M1500" s="23"/>
      <c r="N1500" s="23"/>
      <c r="P1500" s="23"/>
    </row>
    <row r="1501" spans="2:16" x14ac:dyDescent="0.25">
      <c r="B1501" s="23"/>
      <c r="E1501" s="23"/>
      <c r="G1501" s="23"/>
      <c r="H1501" s="23"/>
      <c r="J1501" s="23"/>
      <c r="K1501" s="23"/>
      <c r="M1501" s="23"/>
      <c r="N1501" s="23"/>
      <c r="P1501" s="23"/>
    </row>
    <row r="1502" spans="2:16" x14ac:dyDescent="0.25">
      <c r="B1502" s="23"/>
      <c r="E1502" s="23"/>
      <c r="G1502" s="23"/>
      <c r="H1502" s="23"/>
      <c r="J1502" s="23"/>
      <c r="K1502" s="23"/>
      <c r="M1502" s="23"/>
      <c r="N1502" s="23"/>
      <c r="P1502" s="23"/>
    </row>
    <row r="1503" spans="2:16" x14ac:dyDescent="0.25">
      <c r="B1503" s="23"/>
      <c r="E1503" s="23"/>
      <c r="G1503" s="23"/>
      <c r="H1503" s="23"/>
      <c r="J1503" s="23"/>
      <c r="K1503" s="23"/>
      <c r="M1503" s="23"/>
      <c r="N1503" s="23"/>
      <c r="P1503" s="23"/>
    </row>
    <row r="1504" spans="2:16" x14ac:dyDescent="0.25">
      <c r="B1504" s="23"/>
      <c r="E1504" s="23"/>
      <c r="G1504" s="23"/>
      <c r="H1504" s="23"/>
      <c r="J1504" s="23"/>
      <c r="K1504" s="23"/>
      <c r="M1504" s="23"/>
      <c r="N1504" s="23"/>
      <c r="P1504" s="23"/>
    </row>
    <row r="1505" spans="2:16" x14ac:dyDescent="0.25">
      <c r="B1505" s="23"/>
      <c r="E1505" s="23"/>
      <c r="G1505" s="23"/>
      <c r="H1505" s="23"/>
      <c r="J1505" s="23"/>
      <c r="K1505" s="23"/>
      <c r="M1505" s="23"/>
      <c r="N1505" s="23"/>
      <c r="P1505" s="23"/>
    </row>
    <row r="1506" spans="2:16" x14ac:dyDescent="0.25">
      <c r="B1506" s="23"/>
      <c r="E1506" s="23"/>
      <c r="G1506" s="23"/>
      <c r="H1506" s="23"/>
      <c r="J1506" s="23"/>
      <c r="K1506" s="23"/>
      <c r="M1506" s="23"/>
      <c r="N1506" s="23"/>
      <c r="P1506" s="23"/>
    </row>
    <row r="1507" spans="2:16" x14ac:dyDescent="0.25">
      <c r="B1507" s="23"/>
      <c r="E1507" s="23"/>
      <c r="G1507" s="23"/>
      <c r="H1507" s="23"/>
      <c r="J1507" s="23"/>
      <c r="K1507" s="23"/>
      <c r="M1507" s="23"/>
      <c r="N1507" s="23"/>
      <c r="P1507" s="23"/>
    </row>
    <row r="1508" spans="2:16" x14ac:dyDescent="0.25">
      <c r="B1508" s="23"/>
      <c r="E1508" s="23"/>
      <c r="G1508" s="23"/>
      <c r="H1508" s="23"/>
      <c r="J1508" s="23"/>
      <c r="K1508" s="23"/>
      <c r="M1508" s="23"/>
      <c r="N1508" s="23"/>
      <c r="P1508" s="23"/>
    </row>
    <row r="1509" spans="2:16" x14ac:dyDescent="0.25">
      <c r="B1509" s="23"/>
      <c r="E1509" s="23"/>
      <c r="G1509" s="23"/>
      <c r="H1509" s="23"/>
      <c r="J1509" s="23"/>
      <c r="K1509" s="23"/>
      <c r="M1509" s="23"/>
      <c r="N1509" s="23"/>
      <c r="P1509" s="23"/>
    </row>
    <row r="1510" spans="2:16" x14ac:dyDescent="0.25">
      <c r="B1510" s="23"/>
      <c r="E1510" s="23"/>
      <c r="G1510" s="23"/>
      <c r="H1510" s="23"/>
      <c r="J1510" s="23"/>
      <c r="K1510" s="23"/>
      <c r="M1510" s="23"/>
      <c r="N1510" s="23"/>
      <c r="P1510" s="23"/>
    </row>
    <row r="1511" spans="2:16" x14ac:dyDescent="0.25">
      <c r="B1511" s="23"/>
      <c r="E1511" s="23"/>
      <c r="G1511" s="23"/>
      <c r="H1511" s="23"/>
      <c r="J1511" s="23"/>
      <c r="K1511" s="23"/>
      <c r="M1511" s="23"/>
      <c r="N1511" s="23"/>
      <c r="P1511" s="23"/>
    </row>
    <row r="1512" spans="2:16" x14ac:dyDescent="0.25">
      <c r="B1512" s="23"/>
      <c r="E1512" s="23"/>
      <c r="G1512" s="23"/>
      <c r="H1512" s="23"/>
      <c r="J1512" s="23"/>
      <c r="K1512" s="23"/>
      <c r="M1512" s="23"/>
      <c r="N1512" s="23"/>
      <c r="P1512" s="23"/>
    </row>
    <row r="1513" spans="2:16" x14ac:dyDescent="0.25">
      <c r="B1513" s="23"/>
      <c r="E1513" s="23"/>
      <c r="G1513" s="23"/>
      <c r="H1513" s="23"/>
      <c r="J1513" s="23"/>
      <c r="K1513" s="23"/>
      <c r="M1513" s="23"/>
      <c r="N1513" s="23"/>
      <c r="P1513" s="23"/>
    </row>
    <row r="1514" spans="2:16" x14ac:dyDescent="0.25">
      <c r="B1514" s="23"/>
      <c r="E1514" s="23"/>
      <c r="G1514" s="23"/>
      <c r="H1514" s="23"/>
      <c r="J1514" s="23"/>
      <c r="K1514" s="23"/>
      <c r="M1514" s="23"/>
      <c r="N1514" s="23"/>
      <c r="P1514" s="23"/>
    </row>
    <row r="1515" spans="2:16" x14ac:dyDescent="0.25">
      <c r="B1515" s="23"/>
      <c r="E1515" s="23"/>
      <c r="G1515" s="23"/>
      <c r="H1515" s="23"/>
      <c r="J1515" s="23"/>
      <c r="K1515" s="23"/>
      <c r="M1515" s="23"/>
      <c r="N1515" s="23"/>
      <c r="P1515" s="23"/>
    </row>
    <row r="1516" spans="2:16" x14ac:dyDescent="0.25">
      <c r="B1516" s="23"/>
      <c r="E1516" s="23"/>
      <c r="G1516" s="23"/>
      <c r="H1516" s="23"/>
      <c r="J1516" s="23"/>
      <c r="K1516" s="23"/>
      <c r="M1516" s="23"/>
      <c r="N1516" s="23"/>
      <c r="P1516" s="23"/>
    </row>
    <row r="1517" spans="2:16" x14ac:dyDescent="0.25">
      <c r="B1517" s="23"/>
      <c r="E1517" s="23"/>
      <c r="G1517" s="23"/>
      <c r="H1517" s="23"/>
      <c r="J1517" s="23"/>
      <c r="K1517" s="23"/>
      <c r="M1517" s="23"/>
      <c r="N1517" s="23"/>
      <c r="P1517" s="23"/>
    </row>
    <row r="1518" spans="2:16" x14ac:dyDescent="0.25">
      <c r="B1518" s="23"/>
      <c r="E1518" s="23"/>
      <c r="G1518" s="23"/>
      <c r="H1518" s="23"/>
      <c r="J1518" s="23"/>
      <c r="K1518" s="23"/>
      <c r="M1518" s="23"/>
      <c r="N1518" s="23"/>
      <c r="P1518" s="23"/>
    </row>
    <row r="1519" spans="2:16" x14ac:dyDescent="0.25">
      <c r="B1519" s="23"/>
      <c r="E1519" s="23"/>
      <c r="G1519" s="23"/>
      <c r="H1519" s="23"/>
      <c r="J1519" s="23"/>
      <c r="K1519" s="23"/>
      <c r="M1519" s="23"/>
      <c r="N1519" s="23"/>
      <c r="P1519" s="23"/>
    </row>
    <row r="1520" spans="2:16" x14ac:dyDescent="0.25">
      <c r="B1520" s="23"/>
      <c r="E1520" s="23"/>
      <c r="G1520" s="23"/>
      <c r="H1520" s="23"/>
      <c r="J1520" s="23"/>
      <c r="K1520" s="23"/>
      <c r="M1520" s="23"/>
      <c r="N1520" s="23"/>
      <c r="P1520" s="23"/>
    </row>
    <row r="1521" spans="2:16" x14ac:dyDescent="0.25">
      <c r="B1521" s="23"/>
      <c r="E1521" s="23"/>
      <c r="G1521" s="23"/>
      <c r="H1521" s="23"/>
      <c r="J1521" s="23"/>
      <c r="K1521" s="23"/>
      <c r="M1521" s="23"/>
      <c r="N1521" s="23"/>
      <c r="P1521" s="23"/>
    </row>
    <row r="1522" spans="2:16" x14ac:dyDescent="0.25">
      <c r="B1522" s="23"/>
      <c r="E1522" s="23"/>
      <c r="G1522" s="23"/>
      <c r="H1522" s="23"/>
      <c r="J1522" s="23"/>
      <c r="K1522" s="23"/>
      <c r="M1522" s="23"/>
      <c r="N1522" s="23"/>
      <c r="P1522" s="23"/>
    </row>
    <row r="1523" spans="2:16" x14ac:dyDescent="0.25">
      <c r="B1523" s="23"/>
      <c r="E1523" s="23"/>
      <c r="G1523" s="23"/>
      <c r="H1523" s="23"/>
      <c r="J1523" s="23"/>
      <c r="K1523" s="23"/>
      <c r="M1523" s="23"/>
      <c r="N1523" s="23"/>
      <c r="P1523" s="23"/>
    </row>
    <row r="1524" spans="2:16" x14ac:dyDescent="0.25">
      <c r="B1524" s="23"/>
      <c r="E1524" s="23"/>
      <c r="G1524" s="23"/>
      <c r="H1524" s="23"/>
      <c r="J1524" s="23"/>
      <c r="K1524" s="23"/>
      <c r="M1524" s="23"/>
      <c r="N1524" s="23"/>
      <c r="P1524" s="23"/>
    </row>
    <row r="1525" spans="2:16" x14ac:dyDescent="0.25">
      <c r="B1525" s="23"/>
      <c r="E1525" s="23"/>
      <c r="G1525" s="23"/>
      <c r="H1525" s="23"/>
      <c r="J1525" s="23"/>
      <c r="K1525" s="23"/>
      <c r="M1525" s="23"/>
      <c r="N1525" s="23"/>
      <c r="P1525" s="23"/>
    </row>
    <row r="1526" spans="2:16" x14ac:dyDescent="0.25">
      <c r="B1526" s="23"/>
      <c r="E1526" s="23"/>
      <c r="G1526" s="23"/>
      <c r="H1526" s="23"/>
      <c r="J1526" s="23"/>
      <c r="K1526" s="23"/>
      <c r="M1526" s="23"/>
      <c r="N1526" s="23"/>
      <c r="P1526" s="23"/>
    </row>
    <row r="1527" spans="2:16" x14ac:dyDescent="0.25">
      <c r="B1527" s="23"/>
      <c r="E1527" s="23"/>
      <c r="G1527" s="23"/>
      <c r="H1527" s="23"/>
      <c r="J1527" s="23"/>
      <c r="K1527" s="23"/>
      <c r="M1527" s="23"/>
      <c r="N1527" s="23"/>
      <c r="P1527" s="23"/>
    </row>
    <row r="1528" spans="2:16" x14ac:dyDescent="0.25">
      <c r="B1528" s="23"/>
      <c r="E1528" s="23"/>
      <c r="G1528" s="23"/>
      <c r="H1528" s="23"/>
      <c r="J1528" s="23"/>
      <c r="K1528" s="23"/>
      <c r="M1528" s="23"/>
      <c r="N1528" s="23"/>
      <c r="P1528" s="23"/>
    </row>
    <row r="1529" spans="2:16" x14ac:dyDescent="0.25">
      <c r="B1529" s="23"/>
      <c r="E1529" s="23"/>
      <c r="G1529" s="23"/>
      <c r="H1529" s="23"/>
      <c r="J1529" s="23"/>
      <c r="K1529" s="23"/>
      <c r="M1529" s="23"/>
      <c r="N1529" s="23"/>
      <c r="P1529" s="23"/>
    </row>
    <row r="1530" spans="2:16" x14ac:dyDescent="0.25">
      <c r="B1530" s="23"/>
      <c r="E1530" s="23"/>
      <c r="G1530" s="23"/>
      <c r="H1530" s="23"/>
      <c r="J1530" s="23"/>
      <c r="K1530" s="23"/>
      <c r="M1530" s="23"/>
      <c r="N1530" s="23"/>
      <c r="P1530" s="23"/>
    </row>
    <row r="1531" spans="2:16" x14ac:dyDescent="0.25">
      <c r="B1531" s="23"/>
      <c r="E1531" s="23"/>
      <c r="G1531" s="23"/>
      <c r="H1531" s="23"/>
      <c r="J1531" s="23"/>
      <c r="K1531" s="23"/>
      <c r="M1531" s="23"/>
      <c r="N1531" s="23"/>
      <c r="P1531" s="23"/>
    </row>
    <row r="1532" spans="2:16" x14ac:dyDescent="0.25">
      <c r="B1532" s="23"/>
      <c r="E1532" s="23"/>
      <c r="G1532" s="23"/>
      <c r="H1532" s="23"/>
      <c r="J1532" s="23"/>
      <c r="K1532" s="23"/>
      <c r="M1532" s="23"/>
      <c r="N1532" s="23"/>
      <c r="P1532" s="23"/>
    </row>
    <row r="1533" spans="2:16" x14ac:dyDescent="0.25">
      <c r="B1533" s="23"/>
      <c r="E1533" s="23"/>
      <c r="G1533" s="23"/>
      <c r="H1533" s="23"/>
      <c r="J1533" s="23"/>
      <c r="K1533" s="23"/>
      <c r="M1533" s="23"/>
      <c r="N1533" s="23"/>
      <c r="P1533" s="23"/>
    </row>
    <row r="1534" spans="2:16" x14ac:dyDescent="0.25">
      <c r="B1534" s="23"/>
      <c r="E1534" s="23"/>
      <c r="G1534" s="23"/>
      <c r="H1534" s="23"/>
      <c r="J1534" s="23"/>
      <c r="K1534" s="23"/>
      <c r="M1534" s="23"/>
      <c r="N1534" s="23"/>
      <c r="P1534" s="23"/>
    </row>
    <row r="1535" spans="2:16" x14ac:dyDescent="0.25">
      <c r="B1535" s="23"/>
      <c r="E1535" s="23"/>
      <c r="G1535" s="23"/>
      <c r="H1535" s="23"/>
      <c r="J1535" s="23"/>
      <c r="K1535" s="23"/>
      <c r="M1535" s="23"/>
      <c r="N1535" s="23"/>
      <c r="P1535" s="23"/>
    </row>
    <row r="1536" spans="2:16" x14ac:dyDescent="0.25">
      <c r="B1536" s="23"/>
      <c r="E1536" s="23"/>
      <c r="G1536" s="23"/>
      <c r="H1536" s="23"/>
      <c r="J1536" s="23"/>
      <c r="K1536" s="23"/>
      <c r="M1536" s="23"/>
      <c r="N1536" s="23"/>
      <c r="P1536" s="23"/>
    </row>
    <row r="1537" spans="2:16" x14ac:dyDescent="0.25">
      <c r="B1537" s="23"/>
      <c r="E1537" s="23"/>
      <c r="G1537" s="23"/>
      <c r="H1537" s="23"/>
      <c r="J1537" s="23"/>
      <c r="K1537" s="23"/>
      <c r="M1537" s="23"/>
      <c r="N1537" s="23"/>
      <c r="P1537" s="23"/>
    </row>
    <row r="1538" spans="2:16" x14ac:dyDescent="0.25">
      <c r="B1538" s="23"/>
      <c r="E1538" s="23"/>
      <c r="G1538" s="23"/>
      <c r="H1538" s="23"/>
      <c r="J1538" s="23"/>
      <c r="K1538" s="23"/>
      <c r="M1538" s="23"/>
      <c r="N1538" s="23"/>
      <c r="P1538" s="23"/>
    </row>
    <row r="1539" spans="2:16" x14ac:dyDescent="0.25">
      <c r="B1539" s="23"/>
      <c r="E1539" s="23"/>
      <c r="G1539" s="23"/>
      <c r="H1539" s="23"/>
      <c r="J1539" s="23"/>
      <c r="K1539" s="23"/>
      <c r="M1539" s="23"/>
      <c r="N1539" s="23"/>
      <c r="P1539" s="23"/>
    </row>
    <row r="1540" spans="2:16" x14ac:dyDescent="0.25">
      <c r="B1540" s="23"/>
      <c r="E1540" s="23"/>
      <c r="G1540" s="23"/>
      <c r="H1540" s="23"/>
      <c r="J1540" s="23"/>
      <c r="K1540" s="23"/>
      <c r="M1540" s="23"/>
      <c r="N1540" s="23"/>
      <c r="P1540" s="23"/>
    </row>
    <row r="1541" spans="2:16" x14ac:dyDescent="0.25">
      <c r="B1541" s="23"/>
      <c r="E1541" s="23"/>
      <c r="G1541" s="23"/>
      <c r="H1541" s="23"/>
      <c r="J1541" s="23"/>
      <c r="K1541" s="23"/>
      <c r="M1541" s="23"/>
      <c r="N1541" s="23"/>
      <c r="P1541" s="23"/>
    </row>
    <row r="1542" spans="2:16" x14ac:dyDescent="0.25">
      <c r="B1542" s="23"/>
      <c r="E1542" s="23"/>
      <c r="G1542" s="23"/>
      <c r="H1542" s="23"/>
      <c r="J1542" s="23"/>
      <c r="K1542" s="23"/>
      <c r="M1542" s="23"/>
      <c r="N1542" s="23"/>
      <c r="P1542" s="23"/>
    </row>
    <row r="1543" spans="2:16" x14ac:dyDescent="0.25">
      <c r="B1543" s="23"/>
      <c r="E1543" s="23"/>
      <c r="G1543" s="23"/>
      <c r="H1543" s="23"/>
      <c r="J1543" s="23"/>
      <c r="K1543" s="23"/>
      <c r="M1543" s="23"/>
      <c r="N1543" s="23"/>
      <c r="P1543" s="23"/>
    </row>
    <row r="1544" spans="2:16" x14ac:dyDescent="0.25">
      <c r="B1544" s="23"/>
      <c r="E1544" s="23"/>
      <c r="G1544" s="23"/>
      <c r="H1544" s="23"/>
      <c r="J1544" s="23"/>
      <c r="K1544" s="23"/>
      <c r="M1544" s="23"/>
      <c r="N1544" s="23"/>
      <c r="P1544" s="23"/>
    </row>
    <row r="1545" spans="2:16" x14ac:dyDescent="0.25">
      <c r="B1545" s="23"/>
      <c r="E1545" s="23"/>
      <c r="G1545" s="23"/>
      <c r="H1545" s="23"/>
      <c r="J1545" s="23"/>
      <c r="K1545" s="23"/>
      <c r="M1545" s="23"/>
      <c r="N1545" s="23"/>
      <c r="P1545" s="23"/>
    </row>
    <row r="1546" spans="2:16" x14ac:dyDescent="0.25">
      <c r="B1546" s="23"/>
      <c r="E1546" s="23"/>
      <c r="G1546" s="23"/>
      <c r="H1546" s="23"/>
      <c r="J1546" s="23"/>
      <c r="K1546" s="23"/>
      <c r="M1546" s="23"/>
      <c r="N1546" s="23"/>
      <c r="P1546" s="23"/>
    </row>
    <row r="1547" spans="2:16" x14ac:dyDescent="0.25">
      <c r="B1547" s="23"/>
      <c r="E1547" s="23"/>
      <c r="G1547" s="23"/>
      <c r="H1547" s="23"/>
      <c r="J1547" s="23"/>
      <c r="K1547" s="23"/>
      <c r="M1547" s="23"/>
      <c r="N1547" s="23"/>
      <c r="P1547" s="23"/>
    </row>
    <row r="1548" spans="2:16" x14ac:dyDescent="0.25">
      <c r="B1548" s="23"/>
      <c r="E1548" s="23"/>
      <c r="G1548" s="23"/>
      <c r="H1548" s="23"/>
      <c r="J1548" s="23"/>
      <c r="K1548" s="23"/>
      <c r="M1548" s="23"/>
      <c r="N1548" s="23"/>
      <c r="P1548" s="23"/>
    </row>
    <row r="1549" spans="2:16" x14ac:dyDescent="0.25">
      <c r="B1549" s="23"/>
      <c r="E1549" s="23"/>
      <c r="G1549" s="23"/>
      <c r="H1549" s="23"/>
      <c r="J1549" s="23"/>
      <c r="K1549" s="23"/>
      <c r="M1549" s="23"/>
      <c r="N1549" s="23"/>
      <c r="P1549" s="23"/>
    </row>
    <row r="1550" spans="2:16" x14ac:dyDescent="0.25">
      <c r="B1550" s="23"/>
      <c r="E1550" s="23"/>
      <c r="G1550" s="23"/>
      <c r="H1550" s="23"/>
      <c r="J1550" s="23"/>
      <c r="K1550" s="23"/>
      <c r="M1550" s="23"/>
      <c r="N1550" s="23"/>
      <c r="P1550" s="23"/>
    </row>
    <row r="1551" spans="2:16" x14ac:dyDescent="0.25">
      <c r="B1551" s="23"/>
      <c r="E1551" s="23"/>
      <c r="G1551" s="23"/>
      <c r="H1551" s="23"/>
      <c r="J1551" s="23"/>
      <c r="K1551" s="23"/>
      <c r="M1551" s="23"/>
      <c r="N1551" s="23"/>
      <c r="P1551" s="23"/>
    </row>
    <row r="1552" spans="2:16" x14ac:dyDescent="0.25">
      <c r="B1552" s="23"/>
      <c r="E1552" s="23"/>
      <c r="G1552" s="23"/>
      <c r="H1552" s="23"/>
      <c r="J1552" s="23"/>
      <c r="K1552" s="23"/>
      <c r="M1552" s="23"/>
      <c r="N1552" s="23"/>
      <c r="P1552" s="23"/>
    </row>
    <row r="1553" spans="2:16" x14ac:dyDescent="0.25">
      <c r="B1553" s="23"/>
      <c r="E1553" s="23"/>
      <c r="G1553" s="23"/>
      <c r="H1553" s="23"/>
      <c r="J1553" s="23"/>
      <c r="K1553" s="23"/>
      <c r="M1553" s="23"/>
      <c r="N1553" s="23"/>
      <c r="P1553" s="23"/>
    </row>
    <row r="1554" spans="2:16" x14ac:dyDescent="0.25">
      <c r="B1554" s="23"/>
      <c r="E1554" s="23"/>
      <c r="G1554" s="23"/>
      <c r="H1554" s="23"/>
      <c r="J1554" s="23"/>
      <c r="K1554" s="23"/>
      <c r="M1554" s="23"/>
      <c r="N1554" s="23"/>
      <c r="P1554" s="23"/>
    </row>
    <row r="1555" spans="2:16" x14ac:dyDescent="0.25">
      <c r="B1555" s="23"/>
      <c r="E1555" s="23"/>
      <c r="G1555" s="23"/>
      <c r="H1555" s="23"/>
      <c r="J1555" s="23"/>
      <c r="K1555" s="23"/>
      <c r="M1555" s="23"/>
      <c r="N1555" s="23"/>
      <c r="P1555" s="23"/>
    </row>
    <row r="1556" spans="2:16" x14ac:dyDescent="0.25">
      <c r="B1556" s="23"/>
      <c r="E1556" s="23"/>
      <c r="G1556" s="23"/>
      <c r="H1556" s="23"/>
      <c r="J1556" s="23"/>
      <c r="K1556" s="23"/>
      <c r="M1556" s="23"/>
      <c r="N1556" s="23"/>
      <c r="P1556" s="23"/>
    </row>
    <row r="1557" spans="2:16" x14ac:dyDescent="0.25">
      <c r="B1557" s="23"/>
      <c r="E1557" s="23"/>
      <c r="G1557" s="23"/>
      <c r="H1557" s="23"/>
      <c r="J1557" s="23"/>
      <c r="K1557" s="23"/>
      <c r="M1557" s="23"/>
      <c r="N1557" s="23"/>
      <c r="P1557" s="23"/>
    </row>
    <row r="1558" spans="2:16" x14ac:dyDescent="0.25">
      <c r="B1558" s="23"/>
      <c r="E1558" s="23"/>
      <c r="G1558" s="23"/>
      <c r="H1558" s="23"/>
      <c r="J1558" s="23"/>
      <c r="K1558" s="23"/>
      <c r="M1558" s="23"/>
      <c r="N1558" s="23"/>
      <c r="P1558" s="23"/>
    </row>
    <row r="1559" spans="2:16" x14ac:dyDescent="0.25">
      <c r="B1559" s="23"/>
      <c r="E1559" s="23"/>
      <c r="G1559" s="23"/>
      <c r="H1559" s="23"/>
      <c r="J1559" s="23"/>
      <c r="K1559" s="23"/>
      <c r="M1559" s="23"/>
      <c r="N1559" s="23"/>
      <c r="P1559" s="23"/>
    </row>
    <row r="1560" spans="2:16" x14ac:dyDescent="0.25">
      <c r="B1560" s="23"/>
      <c r="E1560" s="23"/>
      <c r="G1560" s="23"/>
      <c r="H1560" s="23"/>
      <c r="J1560" s="23"/>
      <c r="K1560" s="23"/>
      <c r="M1560" s="23"/>
      <c r="N1560" s="23"/>
      <c r="P1560" s="23"/>
    </row>
    <row r="1561" spans="2:16" x14ac:dyDescent="0.25">
      <c r="B1561" s="23"/>
      <c r="E1561" s="23"/>
      <c r="G1561" s="23"/>
      <c r="H1561" s="23"/>
      <c r="J1561" s="23"/>
      <c r="K1561" s="23"/>
      <c r="M1561" s="23"/>
      <c r="N1561" s="23"/>
      <c r="P1561" s="23"/>
    </row>
    <row r="1562" spans="2:16" x14ac:dyDescent="0.25">
      <c r="B1562" s="23"/>
      <c r="E1562" s="23"/>
      <c r="G1562" s="23"/>
      <c r="H1562" s="23"/>
      <c r="J1562" s="23"/>
      <c r="K1562" s="23"/>
      <c r="M1562" s="23"/>
      <c r="N1562" s="23"/>
      <c r="P1562" s="23"/>
    </row>
    <row r="1563" spans="2:16" x14ac:dyDescent="0.25">
      <c r="B1563" s="23"/>
      <c r="E1563" s="23"/>
      <c r="G1563" s="23"/>
      <c r="H1563" s="23"/>
      <c r="J1563" s="23"/>
      <c r="K1563" s="23"/>
      <c r="M1563" s="23"/>
      <c r="N1563" s="23"/>
      <c r="P1563" s="23"/>
    </row>
    <row r="1564" spans="2:16" x14ac:dyDescent="0.25">
      <c r="B1564" s="23"/>
      <c r="E1564" s="23"/>
      <c r="G1564" s="23"/>
      <c r="H1564" s="23"/>
      <c r="J1564" s="23"/>
      <c r="K1564" s="23"/>
      <c r="M1564" s="23"/>
      <c r="N1564" s="23"/>
      <c r="P1564" s="23"/>
    </row>
    <row r="1565" spans="2:16" x14ac:dyDescent="0.25">
      <c r="B1565" s="23"/>
      <c r="E1565" s="23"/>
      <c r="G1565" s="23"/>
      <c r="H1565" s="23"/>
      <c r="J1565" s="23"/>
      <c r="K1565" s="23"/>
      <c r="M1565" s="23"/>
      <c r="N1565" s="23"/>
      <c r="P1565" s="23"/>
    </row>
    <row r="1566" spans="2:16" x14ac:dyDescent="0.25">
      <c r="B1566" s="23"/>
      <c r="E1566" s="23"/>
      <c r="G1566" s="23"/>
      <c r="H1566" s="23"/>
      <c r="J1566" s="23"/>
      <c r="K1566" s="23"/>
      <c r="M1566" s="23"/>
      <c r="N1566" s="23"/>
      <c r="P1566" s="23"/>
    </row>
    <row r="1567" spans="2:16" x14ac:dyDescent="0.25">
      <c r="B1567" s="23"/>
      <c r="E1567" s="23"/>
      <c r="G1567" s="23"/>
      <c r="H1567" s="23"/>
      <c r="J1567" s="23"/>
      <c r="K1567" s="23"/>
      <c r="M1567" s="23"/>
      <c r="N1567" s="23"/>
      <c r="P1567" s="23"/>
    </row>
    <row r="1568" spans="2:16" x14ac:dyDescent="0.25">
      <c r="B1568" s="23"/>
      <c r="E1568" s="23"/>
      <c r="G1568" s="23"/>
      <c r="H1568" s="23"/>
      <c r="J1568" s="23"/>
      <c r="K1568" s="23"/>
      <c r="M1568" s="23"/>
      <c r="N1568" s="23"/>
      <c r="P1568" s="23"/>
    </row>
    <row r="1569" spans="2:16" x14ac:dyDescent="0.25">
      <c r="B1569" s="23"/>
      <c r="E1569" s="23"/>
      <c r="G1569" s="23"/>
      <c r="H1569" s="23"/>
      <c r="J1569" s="23"/>
      <c r="K1569" s="23"/>
      <c r="M1569" s="23"/>
      <c r="N1569" s="23"/>
      <c r="P1569" s="23"/>
    </row>
    <row r="1570" spans="2:16" x14ac:dyDescent="0.25">
      <c r="B1570" s="23"/>
      <c r="E1570" s="23"/>
      <c r="G1570" s="23"/>
      <c r="H1570" s="23"/>
      <c r="J1570" s="23"/>
      <c r="K1570" s="23"/>
      <c r="M1570" s="23"/>
      <c r="N1570" s="23"/>
      <c r="P1570" s="23"/>
    </row>
    <row r="1571" spans="2:16" x14ac:dyDescent="0.25">
      <c r="B1571" s="23"/>
      <c r="E1571" s="23"/>
      <c r="G1571" s="23"/>
      <c r="H1571" s="23"/>
      <c r="J1571" s="23"/>
      <c r="K1571" s="23"/>
      <c r="M1571" s="23"/>
      <c r="N1571" s="23"/>
      <c r="P1571" s="23"/>
    </row>
    <row r="1572" spans="2:16" x14ac:dyDescent="0.25">
      <c r="B1572" s="23"/>
      <c r="E1572" s="23"/>
      <c r="G1572" s="23"/>
      <c r="H1572" s="23"/>
      <c r="J1572" s="23"/>
      <c r="K1572" s="23"/>
      <c r="M1572" s="23"/>
      <c r="N1572" s="23"/>
      <c r="P1572" s="23"/>
    </row>
    <row r="1573" spans="2:16" x14ac:dyDescent="0.25">
      <c r="B1573" s="23"/>
      <c r="E1573" s="23"/>
      <c r="G1573" s="23"/>
      <c r="H1573" s="23"/>
      <c r="J1573" s="23"/>
      <c r="K1573" s="23"/>
      <c r="M1573" s="23"/>
      <c r="N1573" s="23"/>
      <c r="P1573" s="23"/>
    </row>
    <row r="1574" spans="2:16" x14ac:dyDescent="0.25">
      <c r="B1574" s="23"/>
      <c r="E1574" s="23"/>
      <c r="G1574" s="23"/>
      <c r="H1574" s="23"/>
      <c r="J1574" s="23"/>
      <c r="K1574" s="23"/>
      <c r="M1574" s="23"/>
      <c r="N1574" s="23"/>
      <c r="P1574" s="23"/>
    </row>
    <row r="1575" spans="2:16" x14ac:dyDescent="0.25">
      <c r="B1575" s="23"/>
      <c r="E1575" s="23"/>
      <c r="G1575" s="23"/>
      <c r="H1575" s="23"/>
      <c r="J1575" s="23"/>
      <c r="K1575" s="23"/>
      <c r="M1575" s="23"/>
      <c r="N1575" s="23"/>
      <c r="P1575" s="23"/>
    </row>
    <row r="1576" spans="2:16" x14ac:dyDescent="0.25">
      <c r="B1576" s="23"/>
      <c r="E1576" s="23"/>
      <c r="G1576" s="23"/>
      <c r="H1576" s="23"/>
      <c r="J1576" s="23"/>
      <c r="K1576" s="23"/>
      <c r="M1576" s="23"/>
      <c r="N1576" s="23"/>
      <c r="P1576" s="23"/>
    </row>
    <row r="1577" spans="2:16" x14ac:dyDescent="0.25">
      <c r="B1577" s="23"/>
      <c r="E1577" s="23"/>
      <c r="G1577" s="23"/>
      <c r="H1577" s="23"/>
      <c r="J1577" s="23"/>
      <c r="K1577" s="23"/>
      <c r="M1577" s="23"/>
      <c r="N1577" s="23"/>
      <c r="P1577" s="23"/>
    </row>
    <row r="1578" spans="2:16" x14ac:dyDescent="0.25">
      <c r="B1578" s="23"/>
      <c r="E1578" s="23"/>
      <c r="G1578" s="23"/>
      <c r="H1578" s="23"/>
      <c r="J1578" s="23"/>
      <c r="K1578" s="23"/>
      <c r="M1578" s="23"/>
      <c r="N1578" s="23"/>
      <c r="P1578" s="23"/>
    </row>
    <row r="1579" spans="2:16" x14ac:dyDescent="0.25">
      <c r="B1579" s="23"/>
      <c r="E1579" s="23"/>
      <c r="G1579" s="23"/>
      <c r="H1579" s="23"/>
      <c r="J1579" s="23"/>
      <c r="K1579" s="23"/>
      <c r="M1579" s="23"/>
      <c r="N1579" s="23"/>
      <c r="P1579" s="23"/>
    </row>
    <row r="1580" spans="2:16" x14ac:dyDescent="0.25">
      <c r="B1580" s="23"/>
      <c r="E1580" s="23"/>
      <c r="G1580" s="23"/>
      <c r="H1580" s="23"/>
      <c r="J1580" s="23"/>
      <c r="K1580" s="23"/>
      <c r="M1580" s="23"/>
      <c r="N1580" s="23"/>
      <c r="P1580" s="23"/>
    </row>
    <row r="1581" spans="2:16" x14ac:dyDescent="0.25">
      <c r="B1581" s="23"/>
      <c r="E1581" s="23"/>
      <c r="G1581" s="23"/>
      <c r="H1581" s="23"/>
      <c r="J1581" s="23"/>
      <c r="K1581" s="23"/>
      <c r="M1581" s="23"/>
      <c r="N1581" s="23"/>
      <c r="P1581" s="23"/>
    </row>
    <row r="1582" spans="2:16" x14ac:dyDescent="0.25">
      <c r="B1582" s="23"/>
      <c r="E1582" s="23"/>
      <c r="G1582" s="23"/>
      <c r="H1582" s="23"/>
      <c r="J1582" s="23"/>
      <c r="K1582" s="23"/>
      <c r="M1582" s="23"/>
      <c r="N1582" s="23"/>
      <c r="P1582" s="23"/>
    </row>
    <row r="1583" spans="2:16" x14ac:dyDescent="0.25">
      <c r="B1583" s="23"/>
      <c r="E1583" s="23"/>
      <c r="G1583" s="23"/>
      <c r="H1583" s="23"/>
      <c r="J1583" s="23"/>
      <c r="K1583" s="23"/>
      <c r="M1583" s="23"/>
      <c r="N1583" s="23"/>
      <c r="P1583" s="23"/>
    </row>
    <row r="1584" spans="2:16" x14ac:dyDescent="0.25">
      <c r="B1584" s="23"/>
      <c r="E1584" s="23"/>
      <c r="G1584" s="23"/>
      <c r="H1584" s="23"/>
      <c r="J1584" s="23"/>
      <c r="K1584" s="23"/>
      <c r="M1584" s="23"/>
      <c r="N1584" s="23"/>
      <c r="P1584" s="23"/>
    </row>
    <row r="1585" spans="2:16" x14ac:dyDescent="0.25">
      <c r="B1585" s="23"/>
      <c r="E1585" s="23"/>
      <c r="G1585" s="23"/>
      <c r="H1585" s="23"/>
      <c r="J1585" s="23"/>
      <c r="K1585" s="23"/>
      <c r="M1585" s="23"/>
      <c r="N1585" s="23"/>
      <c r="P1585" s="23"/>
    </row>
    <row r="1586" spans="2:16" x14ac:dyDescent="0.25">
      <c r="B1586" s="23"/>
      <c r="E1586" s="23"/>
      <c r="G1586" s="23"/>
      <c r="H1586" s="23"/>
      <c r="J1586" s="23"/>
      <c r="K1586" s="23"/>
      <c r="M1586" s="23"/>
      <c r="N1586" s="23"/>
      <c r="P1586" s="23"/>
    </row>
    <row r="1587" spans="2:16" x14ac:dyDescent="0.25">
      <c r="B1587" s="23"/>
      <c r="E1587" s="23"/>
      <c r="G1587" s="23"/>
      <c r="H1587" s="23"/>
      <c r="J1587" s="23"/>
      <c r="K1587" s="23"/>
      <c r="M1587" s="23"/>
      <c r="N1587" s="23"/>
      <c r="P1587" s="23"/>
    </row>
    <row r="1588" spans="2:16" x14ac:dyDescent="0.25">
      <c r="B1588" s="23"/>
      <c r="E1588" s="23"/>
      <c r="G1588" s="23"/>
      <c r="H1588" s="23"/>
      <c r="J1588" s="23"/>
      <c r="K1588" s="23"/>
      <c r="M1588" s="23"/>
      <c r="N1588" s="23"/>
      <c r="P1588" s="23"/>
    </row>
    <row r="1589" spans="2:16" x14ac:dyDescent="0.25">
      <c r="B1589" s="23"/>
      <c r="E1589" s="23"/>
      <c r="G1589" s="23"/>
      <c r="H1589" s="23"/>
      <c r="J1589" s="23"/>
      <c r="K1589" s="23"/>
      <c r="M1589" s="23"/>
      <c r="N1589" s="23"/>
      <c r="P1589" s="23"/>
    </row>
    <row r="1590" spans="2:16" x14ac:dyDescent="0.25">
      <c r="B1590" s="23"/>
      <c r="E1590" s="23"/>
      <c r="G1590" s="23"/>
      <c r="H1590" s="23"/>
      <c r="J1590" s="23"/>
      <c r="K1590" s="23"/>
      <c r="M1590" s="23"/>
      <c r="N1590" s="23"/>
      <c r="P1590" s="23"/>
    </row>
    <row r="1591" spans="2:16" x14ac:dyDescent="0.25">
      <c r="B1591" s="23"/>
      <c r="E1591" s="23"/>
      <c r="G1591" s="23"/>
      <c r="H1591" s="23"/>
      <c r="J1591" s="23"/>
      <c r="K1591" s="23"/>
      <c r="M1591" s="23"/>
      <c r="N1591" s="23"/>
      <c r="P1591" s="23"/>
    </row>
    <row r="1592" spans="2:16" x14ac:dyDescent="0.25">
      <c r="B1592" s="23"/>
      <c r="E1592" s="23"/>
      <c r="G1592" s="23"/>
      <c r="H1592" s="23"/>
      <c r="J1592" s="23"/>
      <c r="K1592" s="23"/>
      <c r="M1592" s="23"/>
      <c r="N1592" s="23"/>
      <c r="P1592" s="23"/>
    </row>
    <row r="1593" spans="2:16" x14ac:dyDescent="0.25">
      <c r="B1593" s="23"/>
      <c r="E1593" s="23"/>
      <c r="G1593" s="23"/>
      <c r="H1593" s="23"/>
      <c r="J1593" s="23"/>
      <c r="K1593" s="23"/>
      <c r="M1593" s="23"/>
      <c r="N1593" s="23"/>
      <c r="P1593" s="23"/>
    </row>
    <row r="1594" spans="2:16" x14ac:dyDescent="0.25">
      <c r="B1594" s="23"/>
      <c r="E1594" s="23"/>
      <c r="G1594" s="23"/>
      <c r="H1594" s="23"/>
      <c r="J1594" s="23"/>
      <c r="K1594" s="23"/>
      <c r="M1594" s="23"/>
      <c r="N1594" s="23"/>
      <c r="P1594" s="23"/>
    </row>
    <row r="1595" spans="2:16" x14ac:dyDescent="0.25">
      <c r="B1595" s="23"/>
      <c r="E1595" s="23"/>
      <c r="G1595" s="23"/>
      <c r="H1595" s="23"/>
      <c r="J1595" s="23"/>
      <c r="K1595" s="23"/>
      <c r="M1595" s="23"/>
      <c r="N1595" s="23"/>
      <c r="P1595" s="23"/>
    </row>
    <row r="1596" spans="2:16" x14ac:dyDescent="0.25">
      <c r="B1596" s="23"/>
      <c r="E1596" s="23"/>
      <c r="G1596" s="23"/>
      <c r="H1596" s="23"/>
      <c r="J1596" s="23"/>
      <c r="K1596" s="23"/>
      <c r="M1596" s="23"/>
      <c r="N1596" s="23"/>
      <c r="P1596" s="23"/>
    </row>
    <row r="1597" spans="2:16" x14ac:dyDescent="0.25">
      <c r="B1597" s="23"/>
      <c r="E1597" s="23"/>
      <c r="G1597" s="23"/>
      <c r="H1597" s="23"/>
      <c r="J1597" s="23"/>
      <c r="K1597" s="23"/>
      <c r="M1597" s="23"/>
      <c r="N1597" s="23"/>
      <c r="P1597" s="23"/>
    </row>
    <row r="1598" spans="2:16" x14ac:dyDescent="0.25">
      <c r="B1598" s="23"/>
      <c r="E1598" s="23"/>
      <c r="G1598" s="23"/>
      <c r="H1598" s="23"/>
      <c r="J1598" s="23"/>
      <c r="K1598" s="23"/>
      <c r="M1598" s="23"/>
      <c r="N1598" s="23"/>
      <c r="P1598" s="23"/>
    </row>
    <row r="1599" spans="2:16" x14ac:dyDescent="0.25">
      <c r="B1599" s="23"/>
      <c r="E1599" s="23"/>
      <c r="G1599" s="23"/>
      <c r="H1599" s="23"/>
      <c r="J1599" s="23"/>
      <c r="K1599" s="23"/>
      <c r="M1599" s="23"/>
      <c r="N1599" s="23"/>
      <c r="P1599" s="23"/>
    </row>
    <row r="1600" spans="2:16" x14ac:dyDescent="0.25">
      <c r="B1600" s="23"/>
      <c r="E1600" s="23"/>
      <c r="G1600" s="23"/>
      <c r="H1600" s="23"/>
      <c r="J1600" s="23"/>
      <c r="K1600" s="23"/>
      <c r="M1600" s="23"/>
      <c r="N1600" s="23"/>
      <c r="P1600" s="23"/>
    </row>
    <row r="1601" spans="2:16" x14ac:dyDescent="0.25">
      <c r="B1601" s="23"/>
      <c r="E1601" s="23"/>
      <c r="G1601" s="23"/>
      <c r="H1601" s="23"/>
      <c r="J1601" s="23"/>
      <c r="K1601" s="23"/>
      <c r="M1601" s="23"/>
      <c r="N1601" s="23"/>
      <c r="P1601" s="23"/>
    </row>
    <row r="1602" spans="2:16" x14ac:dyDescent="0.25">
      <c r="B1602" s="23"/>
      <c r="E1602" s="23"/>
      <c r="G1602" s="23"/>
      <c r="H1602" s="23"/>
      <c r="J1602" s="23"/>
      <c r="K1602" s="23"/>
      <c r="M1602" s="23"/>
      <c r="N1602" s="23"/>
      <c r="P1602" s="23"/>
    </row>
    <row r="1603" spans="2:16" x14ac:dyDescent="0.25">
      <c r="B1603" s="23"/>
      <c r="E1603" s="23"/>
      <c r="G1603" s="23"/>
      <c r="H1603" s="23"/>
      <c r="J1603" s="23"/>
      <c r="K1603" s="23"/>
      <c r="M1603" s="23"/>
      <c r="N1603" s="23"/>
      <c r="P1603" s="23"/>
    </row>
    <row r="1604" spans="2:16" x14ac:dyDescent="0.25">
      <c r="B1604" s="23"/>
      <c r="E1604" s="23"/>
      <c r="G1604" s="23"/>
      <c r="H1604" s="23"/>
      <c r="J1604" s="23"/>
      <c r="K1604" s="23"/>
      <c r="M1604" s="23"/>
      <c r="N1604" s="23"/>
      <c r="P1604" s="23"/>
    </row>
    <row r="1605" spans="2:16" x14ac:dyDescent="0.25">
      <c r="B1605" s="23"/>
      <c r="E1605" s="23"/>
      <c r="G1605" s="23"/>
      <c r="H1605" s="23"/>
      <c r="J1605" s="23"/>
      <c r="K1605" s="23"/>
      <c r="M1605" s="23"/>
      <c r="N1605" s="23"/>
      <c r="P1605" s="23"/>
    </row>
    <row r="1606" spans="2:16" x14ac:dyDescent="0.25">
      <c r="B1606" s="23"/>
      <c r="E1606" s="23"/>
      <c r="G1606" s="23"/>
      <c r="H1606" s="23"/>
      <c r="J1606" s="23"/>
      <c r="K1606" s="23"/>
      <c r="M1606" s="23"/>
      <c r="N1606" s="23"/>
      <c r="P1606" s="23"/>
    </row>
    <row r="1607" spans="2:16" x14ac:dyDescent="0.25">
      <c r="B1607" s="23"/>
      <c r="E1607" s="23"/>
      <c r="G1607" s="23"/>
      <c r="H1607" s="23"/>
      <c r="J1607" s="23"/>
      <c r="K1607" s="23"/>
      <c r="M1607" s="23"/>
      <c r="N1607" s="23"/>
      <c r="P1607" s="23"/>
    </row>
    <row r="1608" spans="2:16" x14ac:dyDescent="0.25">
      <c r="B1608" s="23"/>
      <c r="E1608" s="23"/>
      <c r="G1608" s="23"/>
      <c r="H1608" s="23"/>
      <c r="J1608" s="23"/>
      <c r="K1608" s="23"/>
      <c r="M1608" s="23"/>
      <c r="N1608" s="23"/>
      <c r="P1608" s="23"/>
    </row>
    <row r="1609" spans="2:16" x14ac:dyDescent="0.25">
      <c r="B1609" s="23"/>
      <c r="E1609" s="23"/>
      <c r="G1609" s="23"/>
      <c r="H1609" s="23"/>
      <c r="J1609" s="23"/>
      <c r="K1609" s="23"/>
      <c r="M1609" s="23"/>
      <c r="N1609" s="23"/>
      <c r="P1609" s="23"/>
    </row>
    <row r="1610" spans="2:16" x14ac:dyDescent="0.25">
      <c r="B1610" s="23"/>
      <c r="E1610" s="23"/>
      <c r="G1610" s="23"/>
      <c r="H1610" s="23"/>
      <c r="J1610" s="23"/>
      <c r="K1610" s="23"/>
      <c r="M1610" s="23"/>
      <c r="N1610" s="23"/>
      <c r="P1610" s="23"/>
    </row>
    <row r="1611" spans="2:16" x14ac:dyDescent="0.25">
      <c r="B1611" s="23"/>
      <c r="E1611" s="23"/>
      <c r="G1611" s="23"/>
      <c r="H1611" s="23"/>
      <c r="J1611" s="23"/>
      <c r="K1611" s="23"/>
      <c r="M1611" s="23"/>
      <c r="N1611" s="23"/>
      <c r="P1611" s="23"/>
    </row>
    <row r="1612" spans="2:16" x14ac:dyDescent="0.25">
      <c r="B1612" s="23"/>
      <c r="E1612" s="23"/>
      <c r="G1612" s="23"/>
      <c r="H1612" s="23"/>
      <c r="J1612" s="23"/>
      <c r="K1612" s="23"/>
      <c r="M1612" s="23"/>
      <c r="N1612" s="23"/>
      <c r="P1612" s="23"/>
    </row>
    <row r="1613" spans="2:16" x14ac:dyDescent="0.25">
      <c r="B1613" s="23"/>
      <c r="E1613" s="23"/>
      <c r="G1613" s="23"/>
      <c r="H1613" s="23"/>
      <c r="J1613" s="23"/>
      <c r="K1613" s="23"/>
      <c r="M1613" s="23"/>
      <c r="N1613" s="23"/>
      <c r="P1613" s="23"/>
    </row>
    <row r="1614" spans="2:16" x14ac:dyDescent="0.25">
      <c r="B1614" s="23"/>
      <c r="E1614" s="23"/>
      <c r="G1614" s="23"/>
      <c r="H1614" s="23"/>
      <c r="J1614" s="23"/>
      <c r="K1614" s="23"/>
      <c r="M1614" s="23"/>
      <c r="N1614" s="23"/>
      <c r="P1614" s="23"/>
    </row>
    <row r="1615" spans="2:16" x14ac:dyDescent="0.25">
      <c r="B1615" s="23"/>
      <c r="E1615" s="23"/>
      <c r="G1615" s="23"/>
      <c r="H1615" s="23"/>
      <c r="J1615" s="23"/>
      <c r="K1615" s="23"/>
      <c r="M1615" s="23"/>
      <c r="N1615" s="23"/>
      <c r="P1615" s="23"/>
    </row>
    <row r="1616" spans="2:16" x14ac:dyDescent="0.25">
      <c r="B1616" s="23"/>
      <c r="E1616" s="23"/>
      <c r="G1616" s="23"/>
      <c r="H1616" s="23"/>
      <c r="J1616" s="23"/>
      <c r="K1616" s="23"/>
      <c r="M1616" s="23"/>
      <c r="N1616" s="23"/>
      <c r="P1616" s="23"/>
    </row>
    <row r="1617" spans="2:16" x14ac:dyDescent="0.25">
      <c r="B1617" s="23"/>
      <c r="E1617" s="23"/>
      <c r="G1617" s="23"/>
      <c r="H1617" s="23"/>
      <c r="J1617" s="23"/>
      <c r="K1617" s="23"/>
      <c r="M1617" s="23"/>
      <c r="N1617" s="23"/>
      <c r="P1617" s="23"/>
    </row>
    <row r="1618" spans="2:16" x14ac:dyDescent="0.25">
      <c r="B1618" s="23"/>
      <c r="E1618" s="23"/>
      <c r="G1618" s="23"/>
      <c r="H1618" s="23"/>
      <c r="J1618" s="23"/>
      <c r="K1618" s="23"/>
      <c r="M1618" s="23"/>
      <c r="N1618" s="23"/>
      <c r="P1618" s="23"/>
    </row>
    <row r="1619" spans="2:16" x14ac:dyDescent="0.25">
      <c r="B1619" s="23"/>
      <c r="E1619" s="23"/>
      <c r="G1619" s="23"/>
      <c r="H1619" s="23"/>
      <c r="J1619" s="23"/>
      <c r="K1619" s="23"/>
      <c r="M1619" s="23"/>
      <c r="N1619" s="23"/>
      <c r="P1619" s="23"/>
    </row>
    <row r="1620" spans="2:16" x14ac:dyDescent="0.25">
      <c r="B1620" s="23"/>
      <c r="E1620" s="23"/>
      <c r="G1620" s="23"/>
      <c r="H1620" s="23"/>
      <c r="J1620" s="23"/>
      <c r="K1620" s="23"/>
      <c r="M1620" s="23"/>
      <c r="N1620" s="23"/>
      <c r="P1620" s="23"/>
    </row>
    <row r="1621" spans="2:16" x14ac:dyDescent="0.25">
      <c r="B1621" s="23"/>
      <c r="E1621" s="23"/>
      <c r="G1621" s="23"/>
      <c r="H1621" s="23"/>
      <c r="J1621" s="23"/>
      <c r="K1621" s="23"/>
      <c r="M1621" s="23"/>
      <c r="N1621" s="23"/>
      <c r="P1621" s="23"/>
    </row>
    <row r="1622" spans="2:16" x14ac:dyDescent="0.25">
      <c r="B1622" s="23"/>
      <c r="E1622" s="23"/>
      <c r="G1622" s="23"/>
      <c r="H1622" s="23"/>
      <c r="J1622" s="23"/>
      <c r="K1622" s="23"/>
      <c r="M1622" s="23"/>
      <c r="N1622" s="23"/>
      <c r="P1622" s="23"/>
    </row>
    <row r="1623" spans="2:16" x14ac:dyDescent="0.25">
      <c r="B1623" s="23"/>
      <c r="E1623" s="23"/>
      <c r="G1623" s="23"/>
      <c r="H1623" s="23"/>
      <c r="J1623" s="23"/>
      <c r="K1623" s="23"/>
      <c r="M1623" s="23"/>
      <c r="N1623" s="23"/>
      <c r="P1623" s="23"/>
    </row>
    <row r="1624" spans="2:16" x14ac:dyDescent="0.25">
      <c r="B1624" s="23"/>
      <c r="E1624" s="23"/>
      <c r="G1624" s="23"/>
      <c r="H1624" s="23"/>
      <c r="J1624" s="23"/>
      <c r="K1624" s="23"/>
      <c r="M1624" s="23"/>
      <c r="N1624" s="23"/>
      <c r="P1624" s="23"/>
    </row>
    <row r="1625" spans="2:16" x14ac:dyDescent="0.25">
      <c r="B1625" s="23"/>
      <c r="E1625" s="23"/>
      <c r="G1625" s="23"/>
      <c r="H1625" s="23"/>
      <c r="J1625" s="23"/>
      <c r="K1625" s="23"/>
      <c r="M1625" s="23"/>
      <c r="N1625" s="23"/>
      <c r="P1625" s="23"/>
    </row>
    <row r="1626" spans="2:16" x14ac:dyDescent="0.25">
      <c r="B1626" s="23"/>
      <c r="E1626" s="23"/>
      <c r="G1626" s="23"/>
      <c r="H1626" s="23"/>
      <c r="J1626" s="23"/>
      <c r="K1626" s="23"/>
      <c r="M1626" s="23"/>
      <c r="N1626" s="23"/>
      <c r="P1626" s="23"/>
    </row>
    <row r="1627" spans="2:16" x14ac:dyDescent="0.25">
      <c r="B1627" s="23"/>
      <c r="E1627" s="23"/>
      <c r="G1627" s="23"/>
      <c r="H1627" s="23"/>
      <c r="J1627" s="23"/>
      <c r="K1627" s="23"/>
      <c r="M1627" s="23"/>
      <c r="N1627" s="23"/>
      <c r="P1627" s="23"/>
    </row>
    <row r="1628" spans="2:16" x14ac:dyDescent="0.25">
      <c r="B1628" s="23"/>
      <c r="E1628" s="23"/>
      <c r="G1628" s="23"/>
      <c r="H1628" s="23"/>
      <c r="J1628" s="23"/>
      <c r="K1628" s="23"/>
      <c r="M1628" s="23"/>
      <c r="N1628" s="23"/>
      <c r="P1628" s="23"/>
    </row>
    <row r="1629" spans="2:16" x14ac:dyDescent="0.25">
      <c r="B1629" s="23"/>
      <c r="E1629" s="23"/>
      <c r="G1629" s="23"/>
      <c r="H1629" s="23"/>
      <c r="J1629" s="23"/>
      <c r="K1629" s="23"/>
      <c r="M1629" s="23"/>
      <c r="N1629" s="23"/>
      <c r="P1629" s="23"/>
    </row>
    <row r="1630" spans="2:16" x14ac:dyDescent="0.25">
      <c r="B1630" s="23"/>
      <c r="E1630" s="23"/>
      <c r="G1630" s="23"/>
      <c r="H1630" s="23"/>
      <c r="J1630" s="23"/>
      <c r="K1630" s="23"/>
      <c r="M1630" s="23"/>
      <c r="N1630" s="23"/>
      <c r="P1630" s="23"/>
    </row>
    <row r="1631" spans="2:16" x14ac:dyDescent="0.25">
      <c r="B1631" s="23"/>
      <c r="E1631" s="23"/>
      <c r="G1631" s="23"/>
      <c r="H1631" s="23"/>
      <c r="J1631" s="23"/>
      <c r="K1631" s="23"/>
      <c r="M1631" s="23"/>
      <c r="N1631" s="23"/>
      <c r="P1631" s="23"/>
    </row>
    <row r="1632" spans="2:16" x14ac:dyDescent="0.25">
      <c r="B1632" s="23"/>
      <c r="E1632" s="23"/>
      <c r="G1632" s="23"/>
      <c r="H1632" s="23"/>
      <c r="J1632" s="23"/>
      <c r="K1632" s="23"/>
      <c r="M1632" s="23"/>
      <c r="N1632" s="23"/>
      <c r="P1632" s="23"/>
    </row>
    <row r="1633" spans="2:16" x14ac:dyDescent="0.25">
      <c r="B1633" s="23"/>
      <c r="E1633" s="23"/>
      <c r="G1633" s="23"/>
      <c r="H1633" s="23"/>
      <c r="J1633" s="23"/>
      <c r="K1633" s="23"/>
      <c r="M1633" s="23"/>
      <c r="N1633" s="23"/>
      <c r="P1633" s="23"/>
    </row>
    <row r="1634" spans="2:16" x14ac:dyDescent="0.25">
      <c r="B1634" s="23"/>
      <c r="E1634" s="23"/>
      <c r="G1634" s="23"/>
      <c r="H1634" s="23"/>
      <c r="J1634" s="23"/>
      <c r="K1634" s="23"/>
      <c r="M1634" s="23"/>
      <c r="N1634" s="23"/>
      <c r="P1634" s="23"/>
    </row>
    <row r="1635" spans="2:16" x14ac:dyDescent="0.25">
      <c r="B1635" s="23"/>
      <c r="E1635" s="23"/>
      <c r="G1635" s="23"/>
      <c r="H1635" s="23"/>
      <c r="J1635" s="23"/>
      <c r="K1635" s="23"/>
      <c r="M1635" s="23"/>
      <c r="N1635" s="23"/>
      <c r="P1635" s="23"/>
    </row>
    <row r="1636" spans="2:16" x14ac:dyDescent="0.25">
      <c r="B1636" s="23"/>
      <c r="E1636" s="23"/>
      <c r="G1636" s="23"/>
      <c r="H1636" s="23"/>
      <c r="J1636" s="23"/>
      <c r="K1636" s="23"/>
      <c r="M1636" s="23"/>
      <c r="N1636" s="23"/>
      <c r="P1636" s="23"/>
    </row>
    <row r="1637" spans="2:16" x14ac:dyDescent="0.25">
      <c r="B1637" s="23"/>
      <c r="E1637" s="23"/>
      <c r="G1637" s="23"/>
      <c r="H1637" s="23"/>
      <c r="J1637" s="23"/>
      <c r="K1637" s="23"/>
      <c r="M1637" s="23"/>
      <c r="N1637" s="23"/>
      <c r="P1637" s="23"/>
    </row>
    <row r="1638" spans="2:16" x14ac:dyDescent="0.25">
      <c r="B1638" s="23"/>
      <c r="E1638" s="23"/>
      <c r="G1638" s="23"/>
      <c r="H1638" s="23"/>
      <c r="J1638" s="23"/>
      <c r="K1638" s="23"/>
      <c r="M1638" s="23"/>
      <c r="N1638" s="23"/>
      <c r="P1638" s="23"/>
    </row>
    <row r="1639" spans="2:16" x14ac:dyDescent="0.25">
      <c r="B1639" s="23"/>
      <c r="E1639" s="23"/>
      <c r="G1639" s="23"/>
      <c r="H1639" s="23"/>
      <c r="J1639" s="23"/>
      <c r="K1639" s="23"/>
      <c r="M1639" s="23"/>
      <c r="N1639" s="23"/>
      <c r="P1639" s="23"/>
    </row>
    <row r="1640" spans="2:16" x14ac:dyDescent="0.25">
      <c r="B1640" s="23"/>
      <c r="E1640" s="23"/>
      <c r="G1640" s="23"/>
      <c r="H1640" s="23"/>
      <c r="J1640" s="23"/>
      <c r="K1640" s="23"/>
      <c r="M1640" s="23"/>
      <c r="N1640" s="23"/>
      <c r="P1640" s="23"/>
    </row>
    <row r="1641" spans="2:16" x14ac:dyDescent="0.25">
      <c r="B1641" s="23"/>
      <c r="E1641" s="23"/>
      <c r="G1641" s="23"/>
      <c r="H1641" s="23"/>
      <c r="J1641" s="23"/>
      <c r="K1641" s="23"/>
      <c r="M1641" s="23"/>
      <c r="N1641" s="23"/>
      <c r="P1641" s="23"/>
    </row>
    <row r="1642" spans="2:16" x14ac:dyDescent="0.25">
      <c r="B1642" s="23"/>
      <c r="E1642" s="23"/>
      <c r="G1642" s="23"/>
      <c r="H1642" s="23"/>
      <c r="J1642" s="23"/>
      <c r="K1642" s="23"/>
      <c r="M1642" s="23"/>
      <c r="N1642" s="23"/>
      <c r="P1642" s="23"/>
    </row>
    <row r="1643" spans="2:16" x14ac:dyDescent="0.25">
      <c r="B1643" s="23"/>
      <c r="E1643" s="23"/>
      <c r="G1643" s="23"/>
      <c r="H1643" s="23"/>
      <c r="J1643" s="23"/>
      <c r="K1643" s="23"/>
      <c r="M1643" s="23"/>
      <c r="N1643" s="23"/>
      <c r="P1643" s="23"/>
    </row>
    <row r="1644" spans="2:16" x14ac:dyDescent="0.25">
      <c r="B1644" s="23"/>
      <c r="E1644" s="23"/>
      <c r="G1644" s="23"/>
      <c r="H1644" s="23"/>
      <c r="J1644" s="23"/>
      <c r="K1644" s="23"/>
      <c r="M1644" s="23"/>
      <c r="N1644" s="23"/>
      <c r="P1644" s="23"/>
    </row>
    <row r="1645" spans="2:16" x14ac:dyDescent="0.25">
      <c r="B1645" s="23"/>
      <c r="E1645" s="23"/>
      <c r="G1645" s="23"/>
      <c r="H1645" s="23"/>
      <c r="J1645" s="23"/>
      <c r="K1645" s="23"/>
      <c r="M1645" s="23"/>
      <c r="N1645" s="23"/>
      <c r="P1645" s="23"/>
    </row>
    <row r="1646" spans="2:16" x14ac:dyDescent="0.25">
      <c r="B1646" s="23"/>
      <c r="E1646" s="23"/>
      <c r="G1646" s="23"/>
      <c r="H1646" s="23"/>
      <c r="J1646" s="23"/>
      <c r="K1646" s="23"/>
      <c r="M1646" s="23"/>
      <c r="N1646" s="23"/>
      <c r="P1646" s="23"/>
    </row>
    <row r="1647" spans="2:16" x14ac:dyDescent="0.25">
      <c r="B1647" s="23"/>
      <c r="E1647" s="23"/>
      <c r="G1647" s="23"/>
      <c r="H1647" s="23"/>
      <c r="J1647" s="23"/>
      <c r="K1647" s="23"/>
      <c r="M1647" s="23"/>
      <c r="N1647" s="23"/>
      <c r="P1647" s="23"/>
    </row>
    <row r="1648" spans="2:16" x14ac:dyDescent="0.25">
      <c r="B1648" s="23"/>
      <c r="E1648" s="23"/>
      <c r="G1648" s="23"/>
      <c r="H1648" s="23"/>
      <c r="J1648" s="23"/>
      <c r="K1648" s="23"/>
      <c r="M1648" s="23"/>
      <c r="N1648" s="23"/>
      <c r="P1648" s="23"/>
    </row>
    <row r="1649" spans="2:16" x14ac:dyDescent="0.25">
      <c r="B1649" s="23"/>
      <c r="E1649" s="23"/>
      <c r="G1649" s="23"/>
      <c r="H1649" s="23"/>
      <c r="J1649" s="23"/>
      <c r="K1649" s="23"/>
      <c r="M1649" s="23"/>
      <c r="N1649" s="23"/>
      <c r="P1649" s="23"/>
    </row>
    <row r="1650" spans="2:16" x14ac:dyDescent="0.25">
      <c r="B1650" s="23"/>
      <c r="E1650" s="23"/>
      <c r="G1650" s="23"/>
      <c r="H1650" s="23"/>
      <c r="J1650" s="23"/>
      <c r="K1650" s="23"/>
      <c r="M1650" s="23"/>
      <c r="N1650" s="23"/>
      <c r="P1650" s="23"/>
    </row>
    <row r="1651" spans="2:16" x14ac:dyDescent="0.25">
      <c r="B1651" s="23"/>
      <c r="E1651" s="23"/>
      <c r="G1651" s="23"/>
      <c r="H1651" s="23"/>
      <c r="J1651" s="23"/>
      <c r="K1651" s="23"/>
      <c r="M1651" s="23"/>
      <c r="N1651" s="23"/>
      <c r="P1651" s="23"/>
    </row>
    <row r="1652" spans="2:16" x14ac:dyDescent="0.25">
      <c r="B1652" s="23"/>
      <c r="E1652" s="23"/>
      <c r="G1652" s="23"/>
      <c r="H1652" s="23"/>
      <c r="J1652" s="23"/>
      <c r="K1652" s="23"/>
      <c r="M1652" s="23"/>
      <c r="N1652" s="23"/>
      <c r="P1652" s="23"/>
    </row>
    <row r="1653" spans="2:16" x14ac:dyDescent="0.25">
      <c r="B1653" s="23"/>
      <c r="E1653" s="23"/>
      <c r="G1653" s="23"/>
      <c r="H1653" s="23"/>
      <c r="J1653" s="23"/>
      <c r="K1653" s="23"/>
      <c r="M1653" s="23"/>
      <c r="N1653" s="23"/>
      <c r="P1653" s="23"/>
    </row>
    <row r="1654" spans="2:16" x14ac:dyDescent="0.25">
      <c r="B1654" s="23"/>
      <c r="E1654" s="23"/>
      <c r="G1654" s="23"/>
      <c r="H1654" s="23"/>
      <c r="J1654" s="23"/>
      <c r="K1654" s="23"/>
      <c r="M1654" s="23"/>
      <c r="N1654" s="23"/>
      <c r="P1654" s="23"/>
    </row>
    <row r="1655" spans="2:16" x14ac:dyDescent="0.25">
      <c r="B1655" s="23"/>
      <c r="E1655" s="23"/>
      <c r="G1655" s="23"/>
      <c r="H1655" s="23"/>
      <c r="J1655" s="23"/>
      <c r="K1655" s="23"/>
      <c r="M1655" s="23"/>
      <c r="N1655" s="23"/>
      <c r="P1655" s="23"/>
    </row>
    <row r="1656" spans="2:16" x14ac:dyDescent="0.25">
      <c r="B1656" s="23"/>
      <c r="E1656" s="23"/>
      <c r="G1656" s="23"/>
      <c r="H1656" s="23"/>
      <c r="J1656" s="23"/>
      <c r="K1656" s="23"/>
      <c r="M1656" s="23"/>
      <c r="N1656" s="23"/>
      <c r="P1656" s="23"/>
    </row>
    <row r="1657" spans="2:16" x14ac:dyDescent="0.25">
      <c r="B1657" s="23"/>
      <c r="E1657" s="23"/>
      <c r="G1657" s="23"/>
      <c r="H1657" s="23"/>
      <c r="J1657" s="23"/>
      <c r="K1657" s="23"/>
      <c r="M1657" s="23"/>
      <c r="N1657" s="23"/>
      <c r="P1657" s="23"/>
    </row>
    <row r="1658" spans="2:16" x14ac:dyDescent="0.25">
      <c r="B1658" s="23"/>
      <c r="E1658" s="23"/>
      <c r="G1658" s="23"/>
      <c r="H1658" s="23"/>
      <c r="J1658" s="23"/>
      <c r="K1658" s="23"/>
      <c r="M1658" s="23"/>
      <c r="N1658" s="23"/>
      <c r="P1658" s="23"/>
    </row>
    <row r="1659" spans="2:16" x14ac:dyDescent="0.25">
      <c r="B1659" s="23"/>
      <c r="E1659" s="23"/>
      <c r="G1659" s="23"/>
      <c r="H1659" s="23"/>
      <c r="J1659" s="23"/>
      <c r="K1659" s="23"/>
      <c r="M1659" s="23"/>
      <c r="N1659" s="23"/>
      <c r="P1659" s="23"/>
    </row>
    <row r="1660" spans="2:16" x14ac:dyDescent="0.25">
      <c r="B1660" s="23"/>
      <c r="E1660" s="23"/>
      <c r="G1660" s="23"/>
      <c r="H1660" s="23"/>
      <c r="J1660" s="23"/>
      <c r="K1660" s="23"/>
      <c r="M1660" s="23"/>
      <c r="N1660" s="23"/>
      <c r="P1660" s="23"/>
    </row>
    <row r="1661" spans="2:16" x14ac:dyDescent="0.25">
      <c r="B1661" s="23"/>
      <c r="E1661" s="23"/>
      <c r="G1661" s="23"/>
      <c r="H1661" s="23"/>
      <c r="J1661" s="23"/>
      <c r="K1661" s="23"/>
      <c r="M1661" s="23"/>
      <c r="N1661" s="23"/>
      <c r="P1661" s="23"/>
    </row>
    <row r="1662" spans="2:16" x14ac:dyDescent="0.25">
      <c r="B1662" s="23"/>
      <c r="E1662" s="23"/>
      <c r="G1662" s="23"/>
      <c r="H1662" s="23"/>
      <c r="J1662" s="23"/>
      <c r="K1662" s="23"/>
      <c r="M1662" s="23"/>
      <c r="N1662" s="23"/>
      <c r="P1662" s="23"/>
    </row>
    <row r="1663" spans="2:16" x14ac:dyDescent="0.25">
      <c r="B1663" s="23"/>
      <c r="E1663" s="23"/>
      <c r="G1663" s="23"/>
      <c r="H1663" s="23"/>
      <c r="J1663" s="23"/>
      <c r="K1663" s="23"/>
      <c r="M1663" s="23"/>
      <c r="N1663" s="23"/>
      <c r="P1663" s="23"/>
    </row>
    <row r="1664" spans="2:16" x14ac:dyDescent="0.25">
      <c r="B1664" s="23"/>
      <c r="E1664" s="23"/>
      <c r="G1664" s="23"/>
      <c r="H1664" s="23"/>
      <c r="J1664" s="23"/>
      <c r="K1664" s="23"/>
      <c r="M1664" s="23"/>
      <c r="N1664" s="23"/>
      <c r="P1664" s="23"/>
    </row>
    <row r="1665" spans="2:16" x14ac:dyDescent="0.25">
      <c r="B1665" s="23"/>
      <c r="E1665" s="23"/>
      <c r="G1665" s="23"/>
      <c r="H1665" s="23"/>
      <c r="J1665" s="23"/>
      <c r="K1665" s="23"/>
      <c r="M1665" s="23"/>
      <c r="N1665" s="23"/>
      <c r="P1665" s="23"/>
    </row>
    <row r="1666" spans="2:16" x14ac:dyDescent="0.25">
      <c r="B1666" s="23"/>
      <c r="E1666" s="23"/>
      <c r="G1666" s="23"/>
      <c r="H1666" s="23"/>
      <c r="J1666" s="23"/>
      <c r="K1666" s="23"/>
      <c r="M1666" s="23"/>
      <c r="N1666" s="23"/>
      <c r="P1666" s="23"/>
    </row>
    <row r="1667" spans="2:16" x14ac:dyDescent="0.25">
      <c r="B1667" s="23"/>
      <c r="E1667" s="23"/>
      <c r="G1667" s="23"/>
      <c r="H1667" s="23"/>
      <c r="J1667" s="23"/>
      <c r="K1667" s="23"/>
      <c r="M1667" s="23"/>
      <c r="N1667" s="23"/>
      <c r="P1667" s="23"/>
    </row>
    <row r="1668" spans="2:16" x14ac:dyDescent="0.25">
      <c r="B1668" s="23"/>
      <c r="E1668" s="23"/>
      <c r="G1668" s="23"/>
      <c r="H1668" s="23"/>
      <c r="J1668" s="23"/>
      <c r="K1668" s="23"/>
      <c r="M1668" s="23"/>
      <c r="N1668" s="23"/>
      <c r="P1668" s="23"/>
    </row>
    <row r="1669" spans="2:16" x14ac:dyDescent="0.25">
      <c r="B1669" s="23"/>
      <c r="E1669" s="23"/>
      <c r="G1669" s="23"/>
      <c r="H1669" s="23"/>
      <c r="J1669" s="23"/>
      <c r="K1669" s="23"/>
      <c r="M1669" s="23"/>
      <c r="N1669" s="23"/>
      <c r="P1669" s="23"/>
    </row>
    <row r="1670" spans="2:16" x14ac:dyDescent="0.25">
      <c r="B1670" s="23"/>
      <c r="E1670" s="23"/>
      <c r="G1670" s="23"/>
      <c r="H1670" s="23"/>
      <c r="J1670" s="23"/>
      <c r="K1670" s="23"/>
      <c r="M1670" s="23"/>
      <c r="N1670" s="23"/>
      <c r="P1670" s="23"/>
    </row>
    <row r="1671" spans="2:16" x14ac:dyDescent="0.25">
      <c r="B1671" s="23"/>
      <c r="E1671" s="23"/>
      <c r="G1671" s="23"/>
      <c r="H1671" s="23"/>
      <c r="J1671" s="23"/>
      <c r="K1671" s="23"/>
      <c r="M1671" s="23"/>
      <c r="N1671" s="23"/>
      <c r="P1671" s="23"/>
    </row>
    <row r="1672" spans="2:16" x14ac:dyDescent="0.25">
      <c r="B1672" s="23"/>
      <c r="E1672" s="23"/>
      <c r="G1672" s="23"/>
      <c r="H1672" s="23"/>
      <c r="J1672" s="23"/>
      <c r="K1672" s="23"/>
      <c r="M1672" s="23"/>
      <c r="N1672" s="23"/>
      <c r="P1672" s="23"/>
    </row>
    <row r="1673" spans="2:16" x14ac:dyDescent="0.25">
      <c r="B1673" s="23"/>
      <c r="E1673" s="23"/>
      <c r="G1673" s="23"/>
      <c r="H1673" s="23"/>
      <c r="J1673" s="23"/>
      <c r="K1673" s="23"/>
      <c r="M1673" s="23"/>
      <c r="N1673" s="23"/>
      <c r="P1673" s="23"/>
    </row>
    <row r="1674" spans="2:16" x14ac:dyDescent="0.25">
      <c r="B1674" s="23"/>
      <c r="E1674" s="23"/>
      <c r="G1674" s="23"/>
      <c r="H1674" s="23"/>
      <c r="J1674" s="23"/>
      <c r="K1674" s="23"/>
      <c r="M1674" s="23"/>
      <c r="N1674" s="23"/>
      <c r="P1674" s="23"/>
    </row>
    <row r="1675" spans="2:16" x14ac:dyDescent="0.25">
      <c r="B1675" s="23"/>
      <c r="E1675" s="23"/>
      <c r="G1675" s="23"/>
      <c r="H1675" s="23"/>
      <c r="J1675" s="23"/>
      <c r="K1675" s="23"/>
      <c r="M1675" s="23"/>
      <c r="N1675" s="23"/>
      <c r="P1675" s="23"/>
    </row>
    <row r="1676" spans="2:16" x14ac:dyDescent="0.25">
      <c r="B1676" s="23"/>
      <c r="E1676" s="23"/>
      <c r="G1676" s="23"/>
      <c r="H1676" s="23"/>
      <c r="J1676" s="23"/>
      <c r="K1676" s="23"/>
      <c r="M1676" s="23"/>
      <c r="N1676" s="23"/>
      <c r="P1676" s="23"/>
    </row>
    <row r="1677" spans="2:16" x14ac:dyDescent="0.25">
      <c r="B1677" s="23"/>
      <c r="E1677" s="23"/>
      <c r="G1677" s="23"/>
      <c r="H1677" s="23"/>
      <c r="J1677" s="23"/>
      <c r="K1677" s="23"/>
      <c r="M1677" s="23"/>
      <c r="N1677" s="23"/>
      <c r="P1677" s="23"/>
    </row>
    <row r="1678" spans="2:16" x14ac:dyDescent="0.25">
      <c r="B1678" s="23"/>
      <c r="E1678" s="23"/>
      <c r="G1678" s="23"/>
      <c r="H1678" s="23"/>
      <c r="J1678" s="23"/>
      <c r="K1678" s="23"/>
      <c r="M1678" s="23"/>
      <c r="N1678" s="23"/>
      <c r="P1678" s="23"/>
    </row>
    <row r="1679" spans="2:16" x14ac:dyDescent="0.25">
      <c r="B1679" s="23"/>
      <c r="E1679" s="23"/>
      <c r="G1679" s="23"/>
      <c r="H1679" s="23"/>
      <c r="J1679" s="23"/>
      <c r="K1679" s="23"/>
      <c r="M1679" s="23"/>
      <c r="N1679" s="23"/>
      <c r="P1679" s="23"/>
    </row>
    <row r="1680" spans="2:16" x14ac:dyDescent="0.25">
      <c r="B1680" s="23"/>
      <c r="E1680" s="23"/>
      <c r="G1680" s="23"/>
      <c r="H1680" s="23"/>
      <c r="J1680" s="23"/>
      <c r="K1680" s="23"/>
      <c r="M1680" s="23"/>
      <c r="N1680" s="23"/>
      <c r="P1680" s="23"/>
    </row>
    <row r="1681" spans="2:16" x14ac:dyDescent="0.25">
      <c r="B1681" s="23"/>
      <c r="E1681" s="23"/>
      <c r="G1681" s="23"/>
      <c r="H1681" s="23"/>
      <c r="J1681" s="23"/>
      <c r="K1681" s="23"/>
      <c r="M1681" s="23"/>
      <c r="N1681" s="23"/>
      <c r="P1681" s="23"/>
    </row>
    <row r="1682" spans="2:16" x14ac:dyDescent="0.25">
      <c r="B1682" s="23"/>
      <c r="E1682" s="23"/>
      <c r="G1682" s="23"/>
      <c r="H1682" s="23"/>
      <c r="J1682" s="23"/>
      <c r="K1682" s="23"/>
      <c r="M1682" s="23"/>
      <c r="N1682" s="23"/>
      <c r="P1682" s="23"/>
    </row>
    <row r="1683" spans="2:16" x14ac:dyDescent="0.25">
      <c r="B1683" s="23"/>
      <c r="E1683" s="23"/>
      <c r="G1683" s="23"/>
      <c r="H1683" s="23"/>
      <c r="J1683" s="23"/>
      <c r="K1683" s="23"/>
      <c r="M1683" s="23"/>
      <c r="N1683" s="23"/>
      <c r="P1683" s="23"/>
    </row>
    <row r="1684" spans="2:16" x14ac:dyDescent="0.25">
      <c r="B1684" s="23"/>
      <c r="E1684" s="23"/>
      <c r="G1684" s="23"/>
      <c r="H1684" s="23"/>
      <c r="J1684" s="23"/>
      <c r="K1684" s="23"/>
      <c r="M1684" s="23"/>
      <c r="N1684" s="23"/>
      <c r="P1684" s="23"/>
    </row>
    <row r="1685" spans="2:16" x14ac:dyDescent="0.25">
      <c r="B1685" s="23"/>
      <c r="E1685" s="23"/>
      <c r="G1685" s="23"/>
      <c r="H1685" s="23"/>
      <c r="J1685" s="23"/>
      <c r="K1685" s="23"/>
      <c r="M1685" s="23"/>
      <c r="N1685" s="23"/>
      <c r="P1685" s="23"/>
    </row>
    <row r="1686" spans="2:16" x14ac:dyDescent="0.25">
      <c r="B1686" s="23"/>
      <c r="E1686" s="23"/>
      <c r="G1686" s="23"/>
      <c r="H1686" s="23"/>
      <c r="J1686" s="23"/>
      <c r="K1686" s="23"/>
      <c r="M1686" s="23"/>
      <c r="N1686" s="23"/>
      <c r="P1686" s="23"/>
    </row>
    <row r="1687" spans="2:16" x14ac:dyDescent="0.25">
      <c r="B1687" s="23"/>
      <c r="E1687" s="23"/>
      <c r="G1687" s="23"/>
      <c r="H1687" s="23"/>
      <c r="J1687" s="23"/>
      <c r="K1687" s="23"/>
      <c r="M1687" s="23"/>
      <c r="N1687" s="23"/>
      <c r="P1687" s="23"/>
    </row>
    <row r="1688" spans="2:16" x14ac:dyDescent="0.25">
      <c r="B1688" s="23"/>
      <c r="E1688" s="23"/>
      <c r="G1688" s="23"/>
      <c r="H1688" s="23"/>
      <c r="J1688" s="23"/>
      <c r="K1688" s="23"/>
      <c r="M1688" s="23"/>
      <c r="N1688" s="23"/>
      <c r="P1688" s="23"/>
    </row>
    <row r="1689" spans="2:16" x14ac:dyDescent="0.25">
      <c r="B1689" s="23"/>
      <c r="E1689" s="23"/>
      <c r="G1689" s="23"/>
      <c r="H1689" s="23"/>
      <c r="J1689" s="23"/>
      <c r="K1689" s="23"/>
      <c r="M1689" s="23"/>
      <c r="N1689" s="23"/>
      <c r="P1689" s="23"/>
    </row>
    <row r="1690" spans="2:16" x14ac:dyDescent="0.25">
      <c r="B1690" s="23"/>
      <c r="E1690" s="23"/>
      <c r="G1690" s="23"/>
      <c r="H1690" s="23"/>
      <c r="J1690" s="23"/>
      <c r="K1690" s="23"/>
      <c r="M1690" s="23"/>
      <c r="N1690" s="23"/>
      <c r="P1690" s="23"/>
    </row>
    <row r="1691" spans="2:16" x14ac:dyDescent="0.25">
      <c r="B1691" s="23"/>
      <c r="E1691" s="23"/>
      <c r="G1691" s="23"/>
      <c r="H1691" s="23"/>
      <c r="J1691" s="23"/>
      <c r="K1691" s="23"/>
      <c r="M1691" s="23"/>
      <c r="N1691" s="23"/>
      <c r="P1691" s="23"/>
    </row>
    <row r="1692" spans="2:16" x14ac:dyDescent="0.25">
      <c r="B1692" s="23"/>
      <c r="E1692" s="23"/>
      <c r="G1692" s="23"/>
      <c r="H1692" s="23"/>
      <c r="J1692" s="23"/>
      <c r="K1692" s="23"/>
      <c r="M1692" s="23"/>
      <c r="N1692" s="23"/>
      <c r="P1692" s="23"/>
    </row>
    <row r="1693" spans="2:16" x14ac:dyDescent="0.25">
      <c r="B1693" s="23"/>
      <c r="E1693" s="23"/>
      <c r="G1693" s="23"/>
      <c r="H1693" s="23"/>
      <c r="J1693" s="23"/>
      <c r="K1693" s="23"/>
      <c r="M1693" s="23"/>
      <c r="N1693" s="23"/>
      <c r="P1693" s="23"/>
    </row>
    <row r="1694" spans="2:16" x14ac:dyDescent="0.25">
      <c r="B1694" s="23"/>
      <c r="E1694" s="23"/>
      <c r="G1694" s="23"/>
      <c r="H1694" s="23"/>
      <c r="J1694" s="23"/>
      <c r="K1694" s="23"/>
      <c r="M1694" s="23"/>
      <c r="N1694" s="23"/>
      <c r="P1694" s="23"/>
    </row>
    <row r="1695" spans="2:16" x14ac:dyDescent="0.25">
      <c r="B1695" s="23"/>
      <c r="E1695" s="23"/>
      <c r="G1695" s="23"/>
      <c r="H1695" s="23"/>
      <c r="J1695" s="23"/>
      <c r="K1695" s="23"/>
      <c r="M1695" s="23"/>
      <c r="N1695" s="23"/>
      <c r="P1695" s="23"/>
    </row>
    <row r="1696" spans="2:16" x14ac:dyDescent="0.25">
      <c r="B1696" s="23"/>
      <c r="E1696" s="23"/>
      <c r="G1696" s="23"/>
      <c r="H1696" s="23"/>
      <c r="J1696" s="23"/>
      <c r="K1696" s="23"/>
      <c r="M1696" s="23"/>
      <c r="N1696" s="23"/>
      <c r="P1696" s="23"/>
    </row>
    <row r="1697" spans="2:16" x14ac:dyDescent="0.25">
      <c r="B1697" s="23"/>
      <c r="E1697" s="23"/>
      <c r="G1697" s="23"/>
      <c r="H1697" s="23"/>
      <c r="J1697" s="23"/>
      <c r="K1697" s="23"/>
      <c r="M1697" s="23"/>
      <c r="N1697" s="23"/>
      <c r="P1697" s="23"/>
    </row>
    <row r="1698" spans="2:16" x14ac:dyDescent="0.25">
      <c r="B1698" s="23"/>
      <c r="E1698" s="23"/>
      <c r="G1698" s="23"/>
      <c r="H1698" s="23"/>
      <c r="J1698" s="23"/>
      <c r="K1698" s="23"/>
      <c r="M1698" s="23"/>
      <c r="N1698" s="23"/>
      <c r="P1698" s="23"/>
    </row>
    <row r="1699" spans="2:16" x14ac:dyDescent="0.25">
      <c r="B1699" s="23"/>
      <c r="E1699" s="23"/>
      <c r="G1699" s="23"/>
      <c r="H1699" s="23"/>
      <c r="J1699" s="23"/>
      <c r="K1699" s="23"/>
      <c r="M1699" s="23"/>
      <c r="N1699" s="23"/>
      <c r="P1699" s="23"/>
    </row>
    <row r="1700" spans="2:16" x14ac:dyDescent="0.25">
      <c r="B1700" s="23"/>
      <c r="E1700" s="23"/>
      <c r="G1700" s="23"/>
      <c r="H1700" s="23"/>
      <c r="J1700" s="23"/>
      <c r="K1700" s="23"/>
      <c r="M1700" s="23"/>
      <c r="N1700" s="23"/>
      <c r="P1700" s="23"/>
    </row>
    <row r="1701" spans="2:16" x14ac:dyDescent="0.25">
      <c r="B1701" s="23"/>
      <c r="E1701" s="23"/>
      <c r="G1701" s="23"/>
      <c r="H1701" s="23"/>
      <c r="J1701" s="23"/>
      <c r="K1701" s="23"/>
      <c r="M1701" s="23"/>
      <c r="N1701" s="23"/>
      <c r="P1701" s="23"/>
    </row>
    <row r="1702" spans="2:16" x14ac:dyDescent="0.25">
      <c r="B1702" s="23"/>
      <c r="E1702" s="23"/>
      <c r="G1702" s="23"/>
      <c r="H1702" s="23"/>
      <c r="J1702" s="23"/>
      <c r="K1702" s="23"/>
      <c r="M1702" s="23"/>
      <c r="N1702" s="23"/>
      <c r="P1702" s="23"/>
    </row>
    <row r="1703" spans="2:16" x14ac:dyDescent="0.25">
      <c r="B1703" s="23"/>
      <c r="E1703" s="23"/>
      <c r="G1703" s="23"/>
      <c r="H1703" s="23"/>
      <c r="J1703" s="23"/>
      <c r="K1703" s="23"/>
      <c r="M1703" s="23"/>
      <c r="N1703" s="23"/>
      <c r="P1703" s="23"/>
    </row>
    <row r="1704" spans="2:16" x14ac:dyDescent="0.25">
      <c r="B1704" s="23"/>
      <c r="E1704" s="23"/>
      <c r="G1704" s="23"/>
      <c r="H1704" s="23"/>
      <c r="J1704" s="23"/>
      <c r="K1704" s="23"/>
      <c r="M1704" s="23"/>
      <c r="N1704" s="23"/>
      <c r="P1704" s="23"/>
    </row>
    <row r="1705" spans="2:16" x14ac:dyDescent="0.25">
      <c r="B1705" s="23"/>
      <c r="E1705" s="23"/>
      <c r="G1705" s="23"/>
      <c r="H1705" s="23"/>
      <c r="J1705" s="23"/>
      <c r="K1705" s="23"/>
      <c r="M1705" s="23"/>
      <c r="N1705" s="23"/>
      <c r="P1705" s="23"/>
    </row>
    <row r="1706" spans="2:16" x14ac:dyDescent="0.25">
      <c r="B1706" s="23"/>
      <c r="E1706" s="23"/>
      <c r="G1706" s="23"/>
      <c r="H1706" s="23"/>
      <c r="J1706" s="23"/>
      <c r="K1706" s="23"/>
      <c r="M1706" s="23"/>
      <c r="N1706" s="23"/>
      <c r="P1706" s="23"/>
    </row>
    <row r="1707" spans="2:16" x14ac:dyDescent="0.25">
      <c r="B1707" s="23"/>
      <c r="E1707" s="23"/>
      <c r="G1707" s="23"/>
      <c r="H1707" s="23"/>
      <c r="J1707" s="23"/>
      <c r="K1707" s="23"/>
      <c r="M1707" s="23"/>
      <c r="N1707" s="23"/>
      <c r="P1707" s="23"/>
    </row>
    <row r="1708" spans="2:16" x14ac:dyDescent="0.25">
      <c r="B1708" s="23"/>
      <c r="E1708" s="23"/>
      <c r="G1708" s="23"/>
      <c r="H1708" s="23"/>
      <c r="J1708" s="23"/>
      <c r="K1708" s="23"/>
      <c r="M1708" s="23"/>
      <c r="N1708" s="23"/>
      <c r="P1708" s="23"/>
    </row>
    <row r="1709" spans="2:16" x14ac:dyDescent="0.25">
      <c r="B1709" s="23"/>
      <c r="E1709" s="23"/>
      <c r="G1709" s="23"/>
      <c r="H1709" s="23"/>
      <c r="J1709" s="23"/>
      <c r="K1709" s="23"/>
      <c r="M1709" s="23"/>
      <c r="N1709" s="23"/>
      <c r="P1709" s="23"/>
    </row>
    <row r="1710" spans="2:16" x14ac:dyDescent="0.25">
      <c r="B1710" s="23"/>
      <c r="E1710" s="23"/>
      <c r="G1710" s="23"/>
      <c r="H1710" s="23"/>
      <c r="J1710" s="23"/>
      <c r="K1710" s="23"/>
      <c r="M1710" s="23"/>
      <c r="N1710" s="23"/>
      <c r="P1710" s="23"/>
    </row>
    <row r="1711" spans="2:16" x14ac:dyDescent="0.25">
      <c r="B1711" s="23"/>
      <c r="E1711" s="23"/>
      <c r="G1711" s="23"/>
      <c r="H1711" s="23"/>
      <c r="J1711" s="23"/>
      <c r="K1711" s="23"/>
      <c r="M1711" s="23"/>
      <c r="N1711" s="23"/>
      <c r="P1711" s="23"/>
    </row>
    <row r="1712" spans="2:16" x14ac:dyDescent="0.25">
      <c r="B1712" s="23"/>
      <c r="E1712" s="23"/>
      <c r="G1712" s="23"/>
      <c r="H1712" s="23"/>
      <c r="J1712" s="23"/>
      <c r="K1712" s="23"/>
      <c r="M1712" s="23"/>
      <c r="N1712" s="23"/>
      <c r="P1712" s="23"/>
    </row>
    <row r="1713" spans="2:16" x14ac:dyDescent="0.25">
      <c r="B1713" s="23"/>
      <c r="E1713" s="23"/>
      <c r="G1713" s="23"/>
      <c r="H1713" s="23"/>
      <c r="J1713" s="23"/>
      <c r="K1713" s="23"/>
      <c r="M1713" s="23"/>
      <c r="N1713" s="23"/>
      <c r="P1713" s="23"/>
    </row>
    <row r="1714" spans="2:16" x14ac:dyDescent="0.25">
      <c r="B1714" s="23"/>
      <c r="E1714" s="23"/>
      <c r="G1714" s="23"/>
      <c r="H1714" s="23"/>
      <c r="J1714" s="23"/>
      <c r="K1714" s="23"/>
      <c r="M1714" s="23"/>
      <c r="N1714" s="23"/>
      <c r="P1714" s="23"/>
    </row>
    <row r="1715" spans="2:16" x14ac:dyDescent="0.25">
      <c r="B1715" s="23"/>
      <c r="E1715" s="23"/>
      <c r="G1715" s="23"/>
      <c r="H1715" s="23"/>
      <c r="J1715" s="23"/>
      <c r="K1715" s="23"/>
      <c r="M1715" s="23"/>
      <c r="N1715" s="23"/>
      <c r="P1715" s="23"/>
    </row>
    <row r="1716" spans="2:16" x14ac:dyDescent="0.25">
      <c r="B1716" s="23"/>
      <c r="E1716" s="23"/>
      <c r="G1716" s="23"/>
      <c r="H1716" s="23"/>
      <c r="J1716" s="23"/>
      <c r="K1716" s="23"/>
      <c r="M1716" s="23"/>
      <c r="N1716" s="23"/>
      <c r="P1716" s="23"/>
    </row>
    <row r="1717" spans="2:16" x14ac:dyDescent="0.25">
      <c r="B1717" s="23"/>
      <c r="E1717" s="23"/>
      <c r="G1717" s="23"/>
      <c r="H1717" s="23"/>
      <c r="J1717" s="23"/>
      <c r="K1717" s="23"/>
      <c r="M1717" s="23"/>
      <c r="N1717" s="23"/>
      <c r="P1717" s="23"/>
    </row>
    <row r="1718" spans="2:16" x14ac:dyDescent="0.25">
      <c r="B1718" s="23"/>
      <c r="E1718" s="23"/>
      <c r="G1718" s="23"/>
      <c r="H1718" s="23"/>
      <c r="J1718" s="23"/>
      <c r="K1718" s="23"/>
      <c r="M1718" s="23"/>
      <c r="N1718" s="23"/>
      <c r="P1718" s="23"/>
    </row>
    <row r="1719" spans="2:16" x14ac:dyDescent="0.25">
      <c r="B1719" s="23"/>
      <c r="E1719" s="23"/>
      <c r="G1719" s="23"/>
      <c r="H1719" s="23"/>
      <c r="J1719" s="23"/>
      <c r="K1719" s="23"/>
      <c r="M1719" s="23"/>
      <c r="N1719" s="23"/>
      <c r="P1719" s="23"/>
    </row>
    <row r="1720" spans="2:16" x14ac:dyDescent="0.25">
      <c r="B1720" s="23"/>
      <c r="E1720" s="23"/>
      <c r="G1720" s="23"/>
      <c r="H1720" s="23"/>
      <c r="J1720" s="23"/>
      <c r="K1720" s="23"/>
      <c r="M1720" s="23"/>
      <c r="N1720" s="23"/>
      <c r="P1720" s="23"/>
    </row>
    <row r="1721" spans="2:16" x14ac:dyDescent="0.25">
      <c r="B1721" s="23"/>
      <c r="E1721" s="23"/>
      <c r="G1721" s="23"/>
      <c r="H1721" s="23"/>
      <c r="J1721" s="23"/>
      <c r="K1721" s="23"/>
      <c r="M1721" s="23"/>
      <c r="N1721" s="23"/>
      <c r="P1721" s="23"/>
    </row>
    <row r="1722" spans="2:16" x14ac:dyDescent="0.25">
      <c r="B1722" s="23"/>
      <c r="E1722" s="23"/>
      <c r="G1722" s="23"/>
      <c r="H1722" s="23"/>
      <c r="J1722" s="23"/>
      <c r="K1722" s="23"/>
      <c r="M1722" s="23"/>
      <c r="N1722" s="23"/>
      <c r="P1722" s="23"/>
    </row>
    <row r="1723" spans="2:16" x14ac:dyDescent="0.25">
      <c r="B1723" s="23"/>
      <c r="E1723" s="23"/>
      <c r="G1723" s="23"/>
      <c r="H1723" s="23"/>
      <c r="J1723" s="23"/>
      <c r="K1723" s="23"/>
      <c r="M1723" s="23"/>
      <c r="N1723" s="23"/>
      <c r="P1723" s="23"/>
    </row>
    <row r="1724" spans="2:16" x14ac:dyDescent="0.25">
      <c r="B1724" s="23"/>
      <c r="E1724" s="23"/>
      <c r="G1724" s="23"/>
      <c r="H1724" s="23"/>
      <c r="J1724" s="23"/>
      <c r="K1724" s="23"/>
      <c r="M1724" s="23"/>
      <c r="N1724" s="23"/>
      <c r="P1724" s="23"/>
    </row>
    <row r="1725" spans="2:16" x14ac:dyDescent="0.25">
      <c r="B1725" s="23"/>
      <c r="E1725" s="23"/>
      <c r="G1725" s="23"/>
      <c r="H1725" s="23"/>
      <c r="J1725" s="23"/>
      <c r="K1725" s="23"/>
      <c r="M1725" s="23"/>
      <c r="N1725" s="23"/>
      <c r="P1725" s="23"/>
    </row>
    <row r="1726" spans="2:16" x14ac:dyDescent="0.25">
      <c r="B1726" s="23"/>
      <c r="E1726" s="23"/>
      <c r="G1726" s="23"/>
      <c r="H1726" s="23"/>
      <c r="J1726" s="23"/>
      <c r="K1726" s="23"/>
      <c r="M1726" s="23"/>
      <c r="N1726" s="23"/>
      <c r="P1726" s="23"/>
    </row>
    <row r="1727" spans="2:16" x14ac:dyDescent="0.25">
      <c r="B1727" s="23"/>
      <c r="E1727" s="23"/>
      <c r="G1727" s="23"/>
      <c r="H1727" s="23"/>
      <c r="J1727" s="23"/>
      <c r="K1727" s="23"/>
      <c r="M1727" s="23"/>
      <c r="N1727" s="23"/>
      <c r="P1727" s="23"/>
    </row>
    <row r="1728" spans="2:16" x14ac:dyDescent="0.25">
      <c r="B1728" s="23"/>
      <c r="E1728" s="23"/>
      <c r="G1728" s="23"/>
      <c r="H1728" s="23"/>
      <c r="J1728" s="23"/>
      <c r="K1728" s="23"/>
      <c r="M1728" s="23"/>
      <c r="N1728" s="23"/>
      <c r="P1728" s="23"/>
    </row>
    <row r="1729" spans="2:16" x14ac:dyDescent="0.25">
      <c r="B1729" s="23"/>
      <c r="E1729" s="23"/>
      <c r="G1729" s="23"/>
      <c r="H1729" s="23"/>
      <c r="J1729" s="23"/>
      <c r="K1729" s="23"/>
      <c r="M1729" s="23"/>
      <c r="N1729" s="23"/>
      <c r="P1729" s="23"/>
    </row>
    <row r="1730" spans="2:16" x14ac:dyDescent="0.25">
      <c r="B1730" s="23"/>
      <c r="E1730" s="23"/>
      <c r="G1730" s="23"/>
      <c r="H1730" s="23"/>
      <c r="J1730" s="23"/>
      <c r="K1730" s="23"/>
      <c r="M1730" s="23"/>
      <c r="N1730" s="23"/>
      <c r="P1730" s="23"/>
    </row>
    <row r="1731" spans="2:16" x14ac:dyDescent="0.25">
      <c r="B1731" s="23"/>
      <c r="E1731" s="23"/>
      <c r="G1731" s="23"/>
      <c r="H1731" s="23"/>
      <c r="J1731" s="23"/>
      <c r="K1731" s="23"/>
      <c r="M1731" s="23"/>
      <c r="N1731" s="23"/>
      <c r="P1731" s="23"/>
    </row>
    <row r="1732" spans="2:16" x14ac:dyDescent="0.25">
      <c r="B1732" s="23"/>
      <c r="E1732" s="23"/>
      <c r="G1732" s="23"/>
      <c r="H1732" s="23"/>
      <c r="J1732" s="23"/>
      <c r="K1732" s="23"/>
      <c r="M1732" s="23"/>
      <c r="N1732" s="23"/>
      <c r="P1732" s="23"/>
    </row>
    <row r="1733" spans="2:16" x14ac:dyDescent="0.25">
      <c r="B1733" s="23"/>
      <c r="E1733" s="23"/>
      <c r="G1733" s="23"/>
      <c r="H1733" s="23"/>
      <c r="J1733" s="23"/>
      <c r="K1733" s="23"/>
      <c r="M1733" s="23"/>
      <c r="N1733" s="23"/>
      <c r="P1733" s="23"/>
    </row>
    <row r="1734" spans="2:16" x14ac:dyDescent="0.25">
      <c r="B1734" s="23"/>
      <c r="E1734" s="23"/>
      <c r="G1734" s="23"/>
      <c r="H1734" s="23"/>
      <c r="J1734" s="23"/>
      <c r="K1734" s="23"/>
      <c r="M1734" s="23"/>
      <c r="N1734" s="23"/>
      <c r="P1734" s="23"/>
    </row>
    <row r="1735" spans="2:16" x14ac:dyDescent="0.25">
      <c r="B1735" s="23"/>
      <c r="E1735" s="23"/>
      <c r="G1735" s="23"/>
      <c r="H1735" s="23"/>
      <c r="J1735" s="23"/>
      <c r="K1735" s="23"/>
      <c r="M1735" s="23"/>
      <c r="N1735" s="23"/>
      <c r="P1735" s="23"/>
    </row>
    <row r="1736" spans="2:16" x14ac:dyDescent="0.25">
      <c r="B1736" s="23"/>
      <c r="E1736" s="23"/>
      <c r="G1736" s="23"/>
      <c r="H1736" s="23"/>
      <c r="J1736" s="23"/>
      <c r="K1736" s="23"/>
      <c r="M1736" s="23"/>
      <c r="N1736" s="23"/>
      <c r="P1736" s="23"/>
    </row>
    <row r="1737" spans="2:16" x14ac:dyDescent="0.25">
      <c r="B1737" s="23"/>
      <c r="E1737" s="23"/>
      <c r="G1737" s="23"/>
      <c r="H1737" s="23"/>
      <c r="J1737" s="23"/>
      <c r="K1737" s="23"/>
      <c r="M1737" s="23"/>
      <c r="N1737" s="23"/>
      <c r="P1737" s="23"/>
    </row>
    <row r="1738" spans="2:16" x14ac:dyDescent="0.25">
      <c r="B1738" s="23"/>
      <c r="E1738" s="23"/>
      <c r="G1738" s="23"/>
      <c r="H1738" s="23"/>
      <c r="J1738" s="23"/>
      <c r="K1738" s="23"/>
      <c r="M1738" s="23"/>
      <c r="N1738" s="23"/>
      <c r="P1738" s="23"/>
    </row>
    <row r="1739" spans="2:16" x14ac:dyDescent="0.25">
      <c r="B1739" s="23"/>
      <c r="E1739" s="23"/>
      <c r="G1739" s="23"/>
      <c r="H1739" s="23"/>
      <c r="J1739" s="23"/>
      <c r="K1739" s="23"/>
      <c r="M1739" s="23"/>
      <c r="N1739" s="23"/>
      <c r="P1739" s="23"/>
    </row>
    <row r="1740" spans="2:16" x14ac:dyDescent="0.25">
      <c r="B1740" s="23"/>
      <c r="E1740" s="23"/>
      <c r="G1740" s="23"/>
      <c r="H1740" s="23"/>
      <c r="J1740" s="23"/>
      <c r="K1740" s="23"/>
      <c r="M1740" s="23"/>
      <c r="N1740" s="23"/>
      <c r="P1740" s="23"/>
    </row>
    <row r="1741" spans="2:16" x14ac:dyDescent="0.25">
      <c r="B1741" s="23"/>
      <c r="E1741" s="23"/>
      <c r="G1741" s="23"/>
      <c r="H1741" s="23"/>
      <c r="J1741" s="23"/>
      <c r="K1741" s="23"/>
      <c r="M1741" s="23"/>
      <c r="N1741" s="23"/>
      <c r="P1741" s="23"/>
    </row>
    <row r="1742" spans="2:16" x14ac:dyDescent="0.25">
      <c r="B1742" s="23"/>
      <c r="E1742" s="23"/>
      <c r="G1742" s="23"/>
      <c r="H1742" s="23"/>
      <c r="J1742" s="23"/>
      <c r="K1742" s="23"/>
      <c r="M1742" s="23"/>
      <c r="N1742" s="23"/>
      <c r="P1742" s="23"/>
    </row>
    <row r="1743" spans="2:16" x14ac:dyDescent="0.25">
      <c r="B1743" s="23"/>
      <c r="E1743" s="23"/>
      <c r="G1743" s="23"/>
      <c r="H1743" s="23"/>
      <c r="J1743" s="23"/>
      <c r="K1743" s="23"/>
      <c r="M1743" s="23"/>
      <c r="N1743" s="23"/>
      <c r="P1743" s="23"/>
    </row>
    <row r="1744" spans="2:16" x14ac:dyDescent="0.25">
      <c r="B1744" s="23"/>
      <c r="E1744" s="23"/>
      <c r="G1744" s="23"/>
      <c r="H1744" s="23"/>
      <c r="J1744" s="23"/>
      <c r="K1744" s="23"/>
      <c r="M1744" s="23"/>
      <c r="N1744" s="23"/>
      <c r="P1744" s="23"/>
    </row>
    <row r="1745" spans="2:16" x14ac:dyDescent="0.25">
      <c r="B1745" s="23"/>
      <c r="E1745" s="23"/>
      <c r="G1745" s="23"/>
      <c r="H1745" s="23"/>
      <c r="J1745" s="23"/>
      <c r="K1745" s="23"/>
      <c r="M1745" s="23"/>
      <c r="N1745" s="23"/>
      <c r="P1745" s="23"/>
    </row>
    <row r="1746" spans="2:16" x14ac:dyDescent="0.25">
      <c r="B1746" s="23"/>
      <c r="E1746" s="23"/>
      <c r="G1746" s="23"/>
      <c r="H1746" s="23"/>
      <c r="J1746" s="23"/>
      <c r="K1746" s="23"/>
      <c r="M1746" s="23"/>
      <c r="N1746" s="23"/>
      <c r="P1746" s="23"/>
    </row>
    <row r="1747" spans="2:16" x14ac:dyDescent="0.25">
      <c r="B1747" s="23"/>
      <c r="E1747" s="23"/>
      <c r="G1747" s="23"/>
      <c r="H1747" s="23"/>
      <c r="J1747" s="23"/>
      <c r="K1747" s="23"/>
      <c r="M1747" s="23"/>
      <c r="N1747" s="23"/>
      <c r="P1747" s="23"/>
    </row>
    <row r="1748" spans="2:16" x14ac:dyDescent="0.25">
      <c r="B1748" s="23"/>
      <c r="E1748" s="23"/>
      <c r="G1748" s="23"/>
      <c r="H1748" s="23"/>
      <c r="J1748" s="23"/>
      <c r="K1748" s="23"/>
      <c r="M1748" s="23"/>
      <c r="N1748" s="23"/>
      <c r="P1748" s="23"/>
    </row>
    <row r="1749" spans="2:16" x14ac:dyDescent="0.25">
      <c r="B1749" s="23"/>
      <c r="E1749" s="23"/>
      <c r="G1749" s="23"/>
      <c r="H1749" s="23"/>
      <c r="J1749" s="23"/>
      <c r="K1749" s="23"/>
      <c r="M1749" s="23"/>
      <c r="N1749" s="23"/>
      <c r="P1749" s="23"/>
    </row>
    <row r="1750" spans="2:16" x14ac:dyDescent="0.25">
      <c r="B1750" s="23"/>
      <c r="E1750" s="23"/>
      <c r="G1750" s="23"/>
      <c r="H1750" s="23"/>
      <c r="J1750" s="23"/>
      <c r="K1750" s="23"/>
      <c r="M1750" s="23"/>
      <c r="N1750" s="23"/>
      <c r="P1750" s="23"/>
    </row>
    <row r="1751" spans="2:16" x14ac:dyDescent="0.25">
      <c r="B1751" s="23"/>
      <c r="E1751" s="23"/>
      <c r="G1751" s="23"/>
      <c r="H1751" s="23"/>
      <c r="J1751" s="23"/>
      <c r="K1751" s="23"/>
      <c r="M1751" s="23"/>
      <c r="N1751" s="23"/>
      <c r="P1751" s="23"/>
    </row>
    <row r="1752" spans="2:16" x14ac:dyDescent="0.25">
      <c r="B1752" s="23"/>
      <c r="E1752" s="23"/>
      <c r="G1752" s="23"/>
      <c r="H1752" s="23"/>
      <c r="J1752" s="23"/>
      <c r="K1752" s="23"/>
      <c r="M1752" s="23"/>
      <c r="N1752" s="23"/>
      <c r="P1752" s="23"/>
    </row>
    <row r="1753" spans="2:16" x14ac:dyDescent="0.25">
      <c r="B1753" s="23"/>
      <c r="E1753" s="23"/>
      <c r="G1753" s="23"/>
      <c r="H1753" s="23"/>
      <c r="J1753" s="23"/>
      <c r="K1753" s="23"/>
      <c r="M1753" s="23"/>
      <c r="N1753" s="23"/>
      <c r="P1753" s="23"/>
    </row>
    <row r="1754" spans="2:16" x14ac:dyDescent="0.25">
      <c r="B1754" s="23"/>
      <c r="E1754" s="23"/>
      <c r="G1754" s="23"/>
      <c r="H1754" s="23"/>
      <c r="J1754" s="23"/>
      <c r="K1754" s="23"/>
      <c r="M1754" s="23"/>
      <c r="N1754" s="23"/>
      <c r="P1754" s="23"/>
    </row>
    <row r="1755" spans="2:16" x14ac:dyDescent="0.25">
      <c r="B1755" s="23"/>
      <c r="E1755" s="23"/>
      <c r="G1755" s="23"/>
      <c r="H1755" s="23"/>
      <c r="J1755" s="23"/>
      <c r="K1755" s="23"/>
      <c r="M1755" s="23"/>
      <c r="N1755" s="23"/>
      <c r="P1755" s="23"/>
    </row>
    <row r="1756" spans="2:16" x14ac:dyDescent="0.25">
      <c r="B1756" s="23"/>
      <c r="E1756" s="23"/>
      <c r="G1756" s="23"/>
      <c r="H1756" s="23"/>
      <c r="J1756" s="23"/>
      <c r="K1756" s="23"/>
      <c r="M1756" s="23"/>
      <c r="N1756" s="23"/>
      <c r="P1756" s="23"/>
    </row>
    <row r="1757" spans="2:16" x14ac:dyDescent="0.25">
      <c r="B1757" s="23"/>
      <c r="E1757" s="23"/>
      <c r="G1757" s="23"/>
      <c r="H1757" s="23"/>
      <c r="J1757" s="23"/>
      <c r="K1757" s="23"/>
      <c r="M1757" s="23"/>
      <c r="N1757" s="23"/>
      <c r="P1757" s="23"/>
    </row>
    <row r="1758" spans="2:16" x14ac:dyDescent="0.25">
      <c r="B1758" s="23"/>
      <c r="E1758" s="23"/>
      <c r="G1758" s="23"/>
      <c r="H1758" s="23"/>
      <c r="J1758" s="23"/>
      <c r="K1758" s="23"/>
      <c r="M1758" s="23"/>
      <c r="N1758" s="23"/>
      <c r="P1758" s="23"/>
    </row>
    <row r="1759" spans="2:16" x14ac:dyDescent="0.25">
      <c r="B1759" s="23"/>
      <c r="E1759" s="23"/>
      <c r="G1759" s="23"/>
      <c r="H1759" s="23"/>
      <c r="J1759" s="23"/>
      <c r="K1759" s="23"/>
      <c r="M1759" s="23"/>
      <c r="N1759" s="23"/>
      <c r="P1759" s="23"/>
    </row>
    <row r="1760" spans="2:16" x14ac:dyDescent="0.25">
      <c r="B1760" s="23"/>
      <c r="E1760" s="23"/>
      <c r="G1760" s="23"/>
      <c r="H1760" s="23"/>
      <c r="J1760" s="23"/>
      <c r="K1760" s="23"/>
      <c r="M1760" s="23"/>
      <c r="N1760" s="23"/>
      <c r="P1760" s="23"/>
    </row>
    <row r="1761" spans="2:16" x14ac:dyDescent="0.25">
      <c r="B1761" s="23"/>
      <c r="E1761" s="23"/>
      <c r="G1761" s="23"/>
      <c r="H1761" s="23"/>
      <c r="J1761" s="23"/>
      <c r="K1761" s="23"/>
      <c r="M1761" s="23"/>
      <c r="N1761" s="23"/>
      <c r="P1761" s="23"/>
    </row>
    <row r="1762" spans="2:16" x14ac:dyDescent="0.25">
      <c r="B1762" s="23"/>
      <c r="E1762" s="23"/>
      <c r="G1762" s="23"/>
      <c r="H1762" s="23"/>
      <c r="J1762" s="23"/>
      <c r="K1762" s="23"/>
      <c r="M1762" s="23"/>
      <c r="N1762" s="23"/>
      <c r="P1762" s="23"/>
    </row>
    <row r="1763" spans="2:16" x14ac:dyDescent="0.25">
      <c r="B1763" s="23"/>
      <c r="E1763" s="23"/>
      <c r="G1763" s="23"/>
      <c r="H1763" s="23"/>
      <c r="J1763" s="23"/>
      <c r="K1763" s="23"/>
      <c r="M1763" s="23"/>
      <c r="N1763" s="23"/>
      <c r="P1763" s="23"/>
    </row>
    <row r="1764" spans="2:16" x14ac:dyDescent="0.25">
      <c r="B1764" s="23"/>
      <c r="E1764" s="23"/>
      <c r="G1764" s="23"/>
      <c r="H1764" s="23"/>
      <c r="J1764" s="23"/>
      <c r="K1764" s="23"/>
      <c r="M1764" s="23"/>
      <c r="N1764" s="23"/>
      <c r="P1764" s="23"/>
    </row>
    <row r="1765" spans="2:16" x14ac:dyDescent="0.25">
      <c r="B1765" s="23"/>
      <c r="E1765" s="23"/>
      <c r="G1765" s="23"/>
      <c r="H1765" s="23"/>
      <c r="J1765" s="23"/>
      <c r="K1765" s="23"/>
      <c r="M1765" s="23"/>
      <c r="N1765" s="23"/>
      <c r="P1765" s="23"/>
    </row>
    <row r="1766" spans="2:16" x14ac:dyDescent="0.25">
      <c r="B1766" s="23"/>
      <c r="E1766" s="23"/>
      <c r="G1766" s="23"/>
      <c r="H1766" s="23"/>
      <c r="J1766" s="23"/>
      <c r="K1766" s="23"/>
      <c r="M1766" s="23"/>
      <c r="N1766" s="23"/>
      <c r="P1766" s="23"/>
    </row>
    <row r="1767" spans="2:16" x14ac:dyDescent="0.25">
      <c r="B1767" s="23"/>
      <c r="E1767" s="23"/>
      <c r="G1767" s="23"/>
      <c r="H1767" s="23"/>
      <c r="J1767" s="23"/>
      <c r="K1767" s="23"/>
      <c r="M1767" s="23"/>
      <c r="N1767" s="23"/>
      <c r="P1767" s="23"/>
    </row>
    <row r="1768" spans="2:16" x14ac:dyDescent="0.25">
      <c r="B1768" s="23"/>
      <c r="E1768" s="23"/>
      <c r="G1768" s="23"/>
      <c r="H1768" s="23"/>
      <c r="J1768" s="23"/>
      <c r="K1768" s="23"/>
      <c r="M1768" s="23"/>
      <c r="N1768" s="23"/>
      <c r="P1768" s="23"/>
    </row>
    <row r="1769" spans="2:16" x14ac:dyDescent="0.25">
      <c r="B1769" s="23"/>
      <c r="E1769" s="23"/>
      <c r="G1769" s="23"/>
      <c r="H1769" s="23"/>
      <c r="J1769" s="23"/>
      <c r="K1769" s="23"/>
      <c r="M1769" s="23"/>
      <c r="N1769" s="23"/>
      <c r="P1769" s="23"/>
    </row>
    <row r="1770" spans="2:16" x14ac:dyDescent="0.25">
      <c r="B1770" s="23"/>
      <c r="E1770" s="23"/>
      <c r="G1770" s="23"/>
      <c r="H1770" s="23"/>
      <c r="J1770" s="23"/>
      <c r="K1770" s="23"/>
      <c r="M1770" s="23"/>
      <c r="N1770" s="23"/>
      <c r="P1770" s="23"/>
    </row>
    <row r="1771" spans="2:16" x14ac:dyDescent="0.25">
      <c r="B1771" s="23"/>
      <c r="E1771" s="23"/>
      <c r="G1771" s="23"/>
      <c r="H1771" s="23"/>
      <c r="J1771" s="23"/>
      <c r="K1771" s="23"/>
      <c r="M1771" s="23"/>
      <c r="N1771" s="23"/>
      <c r="P1771" s="23"/>
    </row>
    <row r="1772" spans="2:16" x14ac:dyDescent="0.25">
      <c r="B1772" s="23"/>
      <c r="E1772" s="23"/>
      <c r="G1772" s="23"/>
      <c r="H1772" s="23"/>
      <c r="J1772" s="23"/>
      <c r="K1772" s="23"/>
      <c r="M1772" s="23"/>
      <c r="N1772" s="23"/>
      <c r="P1772" s="23"/>
    </row>
    <row r="1773" spans="2:16" x14ac:dyDescent="0.25">
      <c r="B1773" s="23"/>
      <c r="E1773" s="23"/>
      <c r="G1773" s="23"/>
      <c r="H1773" s="23"/>
      <c r="J1773" s="23"/>
      <c r="K1773" s="23"/>
      <c r="M1773" s="23"/>
      <c r="N1773" s="23"/>
      <c r="P1773" s="23"/>
    </row>
    <row r="1774" spans="2:16" x14ac:dyDescent="0.25">
      <c r="B1774" s="23"/>
      <c r="E1774" s="23"/>
      <c r="G1774" s="23"/>
      <c r="H1774" s="23"/>
      <c r="J1774" s="23"/>
      <c r="K1774" s="23"/>
      <c r="M1774" s="23"/>
      <c r="N1774" s="23"/>
      <c r="P1774" s="23"/>
    </row>
    <row r="1775" spans="2:16" x14ac:dyDescent="0.25">
      <c r="B1775" s="23"/>
      <c r="E1775" s="23"/>
      <c r="G1775" s="23"/>
      <c r="H1775" s="23"/>
      <c r="J1775" s="23"/>
      <c r="K1775" s="23"/>
      <c r="M1775" s="23"/>
      <c r="N1775" s="23"/>
      <c r="P1775" s="23"/>
    </row>
    <row r="1776" spans="2:16" x14ac:dyDescent="0.25">
      <c r="B1776" s="23"/>
      <c r="E1776" s="23"/>
      <c r="G1776" s="23"/>
      <c r="H1776" s="23"/>
      <c r="J1776" s="23"/>
      <c r="K1776" s="23"/>
      <c r="M1776" s="23"/>
      <c r="N1776" s="23"/>
      <c r="P1776" s="23"/>
    </row>
    <row r="1777" spans="2:16" x14ac:dyDescent="0.25">
      <c r="B1777" s="23"/>
      <c r="E1777" s="23"/>
      <c r="G1777" s="23"/>
      <c r="H1777" s="23"/>
      <c r="J1777" s="23"/>
      <c r="K1777" s="23"/>
      <c r="M1777" s="23"/>
      <c r="N1777" s="23"/>
      <c r="P1777" s="23"/>
    </row>
    <row r="1778" spans="2:16" x14ac:dyDescent="0.25">
      <c r="B1778" s="23"/>
      <c r="E1778" s="23"/>
      <c r="G1778" s="23"/>
      <c r="H1778" s="23"/>
      <c r="J1778" s="23"/>
      <c r="K1778" s="23"/>
      <c r="M1778" s="23"/>
      <c r="N1778" s="23"/>
      <c r="P1778" s="23"/>
    </row>
    <row r="1779" spans="2:16" x14ac:dyDescent="0.25">
      <c r="B1779" s="23"/>
      <c r="E1779" s="23"/>
      <c r="G1779" s="23"/>
      <c r="H1779" s="23"/>
      <c r="J1779" s="23"/>
      <c r="K1779" s="23"/>
      <c r="M1779" s="23"/>
      <c r="N1779" s="23"/>
      <c r="P1779" s="23"/>
    </row>
    <row r="1780" spans="2:16" x14ac:dyDescent="0.25">
      <c r="B1780" s="23"/>
      <c r="E1780" s="23"/>
      <c r="G1780" s="23"/>
      <c r="H1780" s="23"/>
      <c r="J1780" s="23"/>
      <c r="K1780" s="23"/>
      <c r="M1780" s="23"/>
      <c r="N1780" s="23"/>
      <c r="P1780" s="23"/>
    </row>
    <row r="1781" spans="2:16" x14ac:dyDescent="0.25">
      <c r="B1781" s="23"/>
      <c r="E1781" s="23"/>
      <c r="G1781" s="23"/>
      <c r="H1781" s="23"/>
      <c r="J1781" s="23"/>
      <c r="K1781" s="23"/>
      <c r="M1781" s="23"/>
      <c r="N1781" s="23"/>
      <c r="P1781" s="23"/>
    </row>
    <row r="1782" spans="2:16" x14ac:dyDescent="0.25">
      <c r="B1782" s="23"/>
      <c r="E1782" s="23"/>
      <c r="G1782" s="23"/>
      <c r="H1782" s="23"/>
      <c r="J1782" s="23"/>
      <c r="K1782" s="23"/>
      <c r="M1782" s="23"/>
      <c r="N1782" s="23"/>
      <c r="P1782" s="23"/>
    </row>
    <row r="1783" spans="2:16" x14ac:dyDescent="0.25">
      <c r="B1783" s="23"/>
      <c r="E1783" s="23"/>
      <c r="G1783" s="23"/>
      <c r="H1783" s="23"/>
      <c r="J1783" s="23"/>
      <c r="K1783" s="23"/>
      <c r="M1783" s="23"/>
      <c r="N1783" s="23"/>
      <c r="P1783" s="23"/>
    </row>
    <row r="1784" spans="2:16" x14ac:dyDescent="0.25">
      <c r="B1784" s="23"/>
      <c r="E1784" s="23"/>
      <c r="G1784" s="23"/>
      <c r="H1784" s="23"/>
      <c r="J1784" s="23"/>
      <c r="K1784" s="23"/>
      <c r="M1784" s="23"/>
      <c r="N1784" s="23"/>
      <c r="P1784" s="23"/>
    </row>
    <row r="1785" spans="2:16" x14ac:dyDescent="0.25">
      <c r="B1785" s="23"/>
      <c r="E1785" s="23"/>
      <c r="G1785" s="23"/>
      <c r="H1785" s="23"/>
      <c r="J1785" s="23"/>
      <c r="K1785" s="23"/>
      <c r="M1785" s="23"/>
      <c r="N1785" s="23"/>
      <c r="P1785" s="23"/>
    </row>
    <row r="1786" spans="2:16" x14ac:dyDescent="0.25">
      <c r="B1786" s="23"/>
      <c r="E1786" s="23"/>
      <c r="G1786" s="23"/>
      <c r="H1786" s="23"/>
      <c r="J1786" s="23"/>
      <c r="K1786" s="23"/>
      <c r="M1786" s="23"/>
      <c r="N1786" s="23"/>
      <c r="P1786" s="23"/>
    </row>
    <row r="1787" spans="2:16" x14ac:dyDescent="0.25">
      <c r="B1787" s="23"/>
      <c r="E1787" s="23"/>
      <c r="G1787" s="23"/>
      <c r="H1787" s="23"/>
      <c r="J1787" s="23"/>
      <c r="K1787" s="23"/>
      <c r="M1787" s="23"/>
      <c r="N1787" s="23"/>
      <c r="P1787" s="23"/>
    </row>
    <row r="1788" spans="2:16" x14ac:dyDescent="0.25">
      <c r="B1788" s="23"/>
      <c r="E1788" s="23"/>
      <c r="G1788" s="23"/>
      <c r="H1788" s="23"/>
      <c r="J1788" s="23"/>
      <c r="K1788" s="23"/>
      <c r="M1788" s="23"/>
      <c r="N1788" s="23"/>
      <c r="P1788" s="23"/>
    </row>
    <row r="1789" spans="2:16" x14ac:dyDescent="0.25">
      <c r="B1789" s="23"/>
      <c r="E1789" s="23"/>
      <c r="G1789" s="23"/>
      <c r="H1789" s="23"/>
      <c r="J1789" s="23"/>
      <c r="K1789" s="23"/>
      <c r="M1789" s="23"/>
      <c r="N1789" s="23"/>
      <c r="P1789" s="23"/>
    </row>
    <row r="1790" spans="2:16" x14ac:dyDescent="0.25">
      <c r="B1790" s="23"/>
      <c r="E1790" s="23"/>
      <c r="G1790" s="23"/>
      <c r="H1790" s="23"/>
      <c r="J1790" s="23"/>
      <c r="K1790" s="23"/>
      <c r="M1790" s="23"/>
      <c r="N1790" s="23"/>
      <c r="P1790" s="23"/>
    </row>
    <row r="1791" spans="2:16" x14ac:dyDescent="0.25">
      <c r="B1791" s="23"/>
      <c r="E1791" s="23"/>
      <c r="G1791" s="23"/>
      <c r="H1791" s="23"/>
      <c r="J1791" s="23"/>
      <c r="K1791" s="23"/>
      <c r="M1791" s="23"/>
      <c r="N1791" s="23"/>
      <c r="P1791" s="23"/>
    </row>
    <row r="1792" spans="2:16" x14ac:dyDescent="0.25">
      <c r="B1792" s="23"/>
      <c r="E1792" s="23"/>
      <c r="G1792" s="23"/>
      <c r="H1792" s="23"/>
      <c r="J1792" s="23"/>
      <c r="K1792" s="23"/>
      <c r="M1792" s="23"/>
      <c r="N1792" s="23"/>
      <c r="P1792" s="23"/>
    </row>
    <row r="1793" spans="2:16" x14ac:dyDescent="0.25">
      <c r="B1793" s="23"/>
      <c r="E1793" s="23"/>
      <c r="G1793" s="23"/>
      <c r="H1793" s="23"/>
      <c r="J1793" s="23"/>
      <c r="K1793" s="23"/>
      <c r="M1793" s="23"/>
      <c r="N1793" s="23"/>
      <c r="P1793" s="23"/>
    </row>
    <row r="1794" spans="2:16" x14ac:dyDescent="0.25">
      <c r="B1794" s="23"/>
      <c r="E1794" s="23"/>
      <c r="G1794" s="23"/>
      <c r="H1794" s="23"/>
      <c r="J1794" s="23"/>
      <c r="K1794" s="23"/>
      <c r="M1794" s="23"/>
      <c r="N1794" s="23"/>
      <c r="P1794" s="23"/>
    </row>
    <row r="1795" spans="2:16" x14ac:dyDescent="0.25">
      <c r="B1795" s="23"/>
      <c r="E1795" s="23"/>
      <c r="G1795" s="23"/>
      <c r="H1795" s="23"/>
      <c r="J1795" s="23"/>
      <c r="K1795" s="23"/>
      <c r="M1795" s="23"/>
      <c r="N1795" s="23"/>
      <c r="P1795" s="23"/>
    </row>
    <row r="1796" spans="2:16" x14ac:dyDescent="0.25">
      <c r="B1796" s="23"/>
      <c r="E1796" s="23"/>
      <c r="G1796" s="23"/>
      <c r="H1796" s="23"/>
      <c r="J1796" s="23"/>
      <c r="K1796" s="23"/>
      <c r="M1796" s="23"/>
      <c r="N1796" s="23"/>
      <c r="P1796" s="23"/>
    </row>
    <row r="1797" spans="2:16" x14ac:dyDescent="0.25">
      <c r="B1797" s="23"/>
      <c r="E1797" s="23"/>
      <c r="G1797" s="23"/>
      <c r="H1797" s="23"/>
      <c r="J1797" s="23"/>
      <c r="K1797" s="23"/>
      <c r="M1797" s="23"/>
      <c r="N1797" s="23"/>
      <c r="P1797" s="23"/>
    </row>
    <row r="1798" spans="2:16" x14ac:dyDescent="0.25">
      <c r="B1798" s="23"/>
      <c r="E1798" s="23"/>
      <c r="G1798" s="23"/>
      <c r="H1798" s="23"/>
      <c r="J1798" s="23"/>
      <c r="K1798" s="23"/>
      <c r="M1798" s="23"/>
      <c r="N1798" s="23"/>
      <c r="P1798" s="23"/>
    </row>
    <row r="1799" spans="2:16" x14ac:dyDescent="0.25">
      <c r="B1799" s="23"/>
      <c r="E1799" s="23"/>
      <c r="G1799" s="23"/>
      <c r="H1799" s="23"/>
      <c r="J1799" s="23"/>
      <c r="K1799" s="23"/>
      <c r="M1799" s="23"/>
      <c r="N1799" s="23"/>
      <c r="P1799" s="23"/>
    </row>
    <row r="1800" spans="2:16" x14ac:dyDescent="0.25">
      <c r="B1800" s="23"/>
      <c r="E1800" s="23"/>
      <c r="G1800" s="23"/>
      <c r="H1800" s="23"/>
      <c r="J1800" s="23"/>
      <c r="K1800" s="23"/>
      <c r="M1800" s="23"/>
      <c r="N1800" s="23"/>
      <c r="P1800" s="23"/>
    </row>
    <row r="1801" spans="2:16" x14ac:dyDescent="0.25">
      <c r="B1801" s="23"/>
      <c r="E1801" s="23"/>
      <c r="G1801" s="23"/>
      <c r="H1801" s="23"/>
      <c r="J1801" s="23"/>
      <c r="K1801" s="23"/>
      <c r="M1801" s="23"/>
      <c r="N1801" s="23"/>
      <c r="P1801" s="23"/>
    </row>
    <row r="1802" spans="2:16" x14ac:dyDescent="0.25">
      <c r="B1802" s="23"/>
      <c r="E1802" s="23"/>
      <c r="G1802" s="23"/>
      <c r="H1802" s="23"/>
      <c r="J1802" s="23"/>
      <c r="K1802" s="23"/>
      <c r="M1802" s="23"/>
      <c r="N1802" s="23"/>
      <c r="P1802" s="23"/>
    </row>
    <row r="1803" spans="2:16" x14ac:dyDescent="0.25">
      <c r="B1803" s="23"/>
      <c r="E1803" s="23"/>
      <c r="G1803" s="23"/>
      <c r="H1803" s="23"/>
      <c r="J1803" s="23"/>
      <c r="K1803" s="23"/>
      <c r="M1803" s="23"/>
      <c r="N1803" s="23"/>
      <c r="P1803" s="23"/>
    </row>
    <row r="1804" spans="2:16" x14ac:dyDescent="0.25">
      <c r="B1804" s="23"/>
      <c r="E1804" s="23"/>
      <c r="G1804" s="23"/>
      <c r="H1804" s="23"/>
      <c r="J1804" s="23"/>
      <c r="K1804" s="23"/>
      <c r="M1804" s="23"/>
      <c r="N1804" s="23"/>
      <c r="P1804" s="23"/>
    </row>
    <row r="1805" spans="2:16" x14ac:dyDescent="0.25">
      <c r="B1805" s="23"/>
      <c r="E1805" s="23"/>
      <c r="G1805" s="23"/>
      <c r="H1805" s="23"/>
      <c r="J1805" s="23"/>
      <c r="K1805" s="23"/>
      <c r="M1805" s="23"/>
      <c r="N1805" s="23"/>
      <c r="P1805" s="23"/>
    </row>
    <row r="1806" spans="2:16" x14ac:dyDescent="0.25">
      <c r="B1806" s="23"/>
      <c r="E1806" s="23"/>
      <c r="G1806" s="23"/>
      <c r="H1806" s="23"/>
      <c r="J1806" s="23"/>
      <c r="K1806" s="23"/>
      <c r="M1806" s="23"/>
      <c r="N1806" s="23"/>
      <c r="P1806" s="23"/>
    </row>
    <row r="1807" spans="2:16" x14ac:dyDescent="0.25">
      <c r="B1807" s="23"/>
      <c r="E1807" s="23"/>
      <c r="G1807" s="23"/>
      <c r="H1807" s="23"/>
      <c r="J1807" s="23"/>
      <c r="K1807" s="23"/>
      <c r="M1807" s="23"/>
      <c r="N1807" s="23"/>
      <c r="P1807" s="23"/>
    </row>
    <row r="1808" spans="2:16" x14ac:dyDescent="0.25">
      <c r="B1808" s="23"/>
      <c r="E1808" s="23"/>
      <c r="G1808" s="23"/>
      <c r="H1808" s="23"/>
      <c r="J1808" s="23"/>
      <c r="K1808" s="23"/>
      <c r="M1808" s="23"/>
      <c r="N1808" s="23"/>
      <c r="P1808" s="23"/>
    </row>
    <row r="1809" spans="2:16" x14ac:dyDescent="0.25">
      <c r="B1809" s="23"/>
      <c r="E1809" s="23"/>
      <c r="G1809" s="23"/>
      <c r="H1809" s="23"/>
      <c r="J1809" s="23"/>
      <c r="K1809" s="23"/>
      <c r="M1809" s="23"/>
      <c r="N1809" s="23"/>
      <c r="P1809" s="23"/>
    </row>
    <row r="1810" spans="2:16" x14ac:dyDescent="0.25">
      <c r="B1810" s="23"/>
      <c r="E1810" s="23"/>
      <c r="G1810" s="23"/>
      <c r="H1810" s="23"/>
      <c r="J1810" s="23"/>
      <c r="K1810" s="23"/>
      <c r="M1810" s="23"/>
      <c r="N1810" s="23"/>
      <c r="P1810" s="23"/>
    </row>
    <row r="1811" spans="2:16" x14ac:dyDescent="0.25">
      <c r="B1811" s="23"/>
      <c r="E1811" s="23"/>
      <c r="G1811" s="23"/>
      <c r="H1811" s="23"/>
      <c r="J1811" s="23"/>
      <c r="K1811" s="23"/>
      <c r="M1811" s="23"/>
      <c r="N1811" s="23"/>
      <c r="P1811" s="23"/>
    </row>
    <row r="1812" spans="2:16" x14ac:dyDescent="0.25">
      <c r="B1812" s="23"/>
      <c r="E1812" s="23"/>
      <c r="G1812" s="23"/>
      <c r="H1812" s="23"/>
      <c r="J1812" s="23"/>
      <c r="K1812" s="23"/>
      <c r="M1812" s="23"/>
      <c r="N1812" s="23"/>
      <c r="P1812" s="23"/>
    </row>
    <row r="1813" spans="2:16" x14ac:dyDescent="0.25">
      <c r="B1813" s="23"/>
      <c r="E1813" s="23"/>
      <c r="G1813" s="23"/>
      <c r="H1813" s="23"/>
      <c r="J1813" s="23"/>
      <c r="K1813" s="23"/>
      <c r="M1813" s="23"/>
      <c r="N1813" s="23"/>
      <c r="P1813" s="23"/>
    </row>
    <row r="1814" spans="2:16" x14ac:dyDescent="0.25">
      <c r="B1814" s="23"/>
      <c r="E1814" s="23"/>
      <c r="G1814" s="23"/>
      <c r="H1814" s="23"/>
      <c r="J1814" s="23"/>
      <c r="K1814" s="23"/>
      <c r="M1814" s="23"/>
      <c r="N1814" s="23"/>
      <c r="P1814" s="23"/>
    </row>
    <row r="1815" spans="2:16" x14ac:dyDescent="0.25">
      <c r="B1815" s="23"/>
      <c r="E1815" s="23"/>
      <c r="G1815" s="23"/>
      <c r="H1815" s="23"/>
      <c r="J1815" s="23"/>
      <c r="K1815" s="23"/>
      <c r="M1815" s="23"/>
      <c r="N1815" s="23"/>
      <c r="P1815" s="23"/>
    </row>
    <row r="1816" spans="2:16" x14ac:dyDescent="0.25">
      <c r="B1816" s="23"/>
      <c r="E1816" s="23"/>
      <c r="G1816" s="23"/>
      <c r="H1816" s="23"/>
      <c r="J1816" s="23"/>
      <c r="K1816" s="23"/>
      <c r="M1816" s="23"/>
      <c r="N1816" s="23"/>
      <c r="P1816" s="23"/>
    </row>
    <row r="1817" spans="2:16" x14ac:dyDescent="0.25">
      <c r="B1817" s="23"/>
      <c r="E1817" s="23"/>
      <c r="G1817" s="23"/>
      <c r="H1817" s="23"/>
      <c r="J1817" s="23"/>
      <c r="K1817" s="23"/>
      <c r="M1817" s="23"/>
      <c r="N1817" s="23"/>
      <c r="P1817" s="23"/>
    </row>
    <row r="1818" spans="2:16" x14ac:dyDescent="0.25">
      <c r="B1818" s="23"/>
      <c r="E1818" s="23"/>
      <c r="G1818" s="23"/>
      <c r="H1818" s="23"/>
      <c r="J1818" s="23"/>
      <c r="K1818" s="23"/>
      <c r="M1818" s="23"/>
      <c r="N1818" s="23"/>
      <c r="P1818" s="23"/>
    </row>
    <row r="1819" spans="2:16" x14ac:dyDescent="0.25">
      <c r="B1819" s="23"/>
      <c r="E1819" s="23"/>
      <c r="G1819" s="23"/>
      <c r="H1819" s="23"/>
      <c r="J1819" s="23"/>
      <c r="K1819" s="23"/>
      <c r="M1819" s="23"/>
      <c r="N1819" s="23"/>
      <c r="P1819" s="23"/>
    </row>
    <row r="1820" spans="2:16" x14ac:dyDescent="0.25">
      <c r="B1820" s="23"/>
      <c r="E1820" s="23"/>
      <c r="G1820" s="23"/>
      <c r="H1820" s="23"/>
      <c r="J1820" s="23"/>
      <c r="K1820" s="23"/>
      <c r="M1820" s="23"/>
      <c r="N1820" s="23"/>
      <c r="P1820" s="23"/>
    </row>
    <row r="1821" spans="2:16" x14ac:dyDescent="0.25">
      <c r="B1821" s="23"/>
      <c r="E1821" s="23"/>
      <c r="G1821" s="23"/>
      <c r="H1821" s="23"/>
      <c r="J1821" s="23"/>
      <c r="K1821" s="23"/>
      <c r="M1821" s="23"/>
      <c r="N1821" s="23"/>
      <c r="P1821" s="23"/>
    </row>
    <row r="1822" spans="2:16" x14ac:dyDescent="0.25">
      <c r="B1822" s="23"/>
      <c r="E1822" s="23"/>
      <c r="G1822" s="23"/>
      <c r="H1822" s="23"/>
      <c r="J1822" s="23"/>
      <c r="K1822" s="23"/>
      <c r="M1822" s="23"/>
      <c r="N1822" s="23"/>
      <c r="P1822" s="23"/>
    </row>
    <row r="1823" spans="2:16" x14ac:dyDescent="0.25">
      <c r="B1823" s="23"/>
      <c r="E1823" s="23"/>
      <c r="G1823" s="23"/>
      <c r="H1823" s="23"/>
      <c r="J1823" s="23"/>
      <c r="K1823" s="23"/>
      <c r="M1823" s="23"/>
      <c r="N1823" s="23"/>
      <c r="P1823" s="23"/>
    </row>
    <row r="1824" spans="2:16" x14ac:dyDescent="0.25">
      <c r="B1824" s="23"/>
      <c r="E1824" s="23"/>
      <c r="G1824" s="23"/>
      <c r="H1824" s="23"/>
      <c r="J1824" s="23"/>
      <c r="K1824" s="23"/>
      <c r="M1824" s="23"/>
      <c r="N1824" s="23"/>
      <c r="P1824" s="23"/>
    </row>
    <row r="1825" spans="2:16" x14ac:dyDescent="0.25">
      <c r="B1825" s="23"/>
      <c r="E1825" s="23"/>
      <c r="G1825" s="23"/>
      <c r="H1825" s="23"/>
      <c r="J1825" s="23"/>
      <c r="K1825" s="23"/>
      <c r="M1825" s="23"/>
      <c r="N1825" s="23"/>
      <c r="P1825" s="23"/>
    </row>
    <row r="1826" spans="2:16" x14ac:dyDescent="0.25">
      <c r="B1826" s="23"/>
      <c r="E1826" s="23"/>
      <c r="G1826" s="23"/>
      <c r="H1826" s="23"/>
      <c r="J1826" s="23"/>
      <c r="K1826" s="23"/>
      <c r="M1826" s="23"/>
      <c r="N1826" s="23"/>
      <c r="P1826" s="23"/>
    </row>
    <row r="1827" spans="2:16" x14ac:dyDescent="0.25">
      <c r="B1827" s="23"/>
      <c r="E1827" s="23"/>
      <c r="G1827" s="23"/>
      <c r="H1827" s="23"/>
      <c r="J1827" s="23"/>
      <c r="K1827" s="23"/>
      <c r="M1827" s="23"/>
      <c r="N1827" s="23"/>
      <c r="P1827" s="23"/>
    </row>
    <row r="1828" spans="2:16" x14ac:dyDescent="0.25">
      <c r="B1828" s="23"/>
      <c r="E1828" s="23"/>
      <c r="G1828" s="23"/>
      <c r="H1828" s="23"/>
      <c r="J1828" s="23"/>
      <c r="K1828" s="23"/>
      <c r="M1828" s="23"/>
      <c r="N1828" s="23"/>
      <c r="P1828" s="23"/>
    </row>
    <row r="1829" spans="2:16" x14ac:dyDescent="0.25">
      <c r="B1829" s="23"/>
      <c r="E1829" s="23"/>
      <c r="G1829" s="23"/>
      <c r="H1829" s="23"/>
      <c r="J1829" s="23"/>
      <c r="K1829" s="23"/>
      <c r="M1829" s="23"/>
      <c r="N1829" s="23"/>
      <c r="P1829" s="23"/>
    </row>
    <row r="1830" spans="2:16" x14ac:dyDescent="0.25">
      <c r="B1830" s="23"/>
      <c r="E1830" s="23"/>
      <c r="G1830" s="23"/>
      <c r="H1830" s="23"/>
      <c r="J1830" s="23"/>
      <c r="K1830" s="23"/>
      <c r="M1830" s="23"/>
      <c r="N1830" s="23"/>
      <c r="P1830" s="23"/>
    </row>
    <row r="1831" spans="2:16" x14ac:dyDescent="0.25">
      <c r="B1831" s="23"/>
      <c r="E1831" s="23"/>
      <c r="G1831" s="23"/>
      <c r="H1831" s="23"/>
      <c r="J1831" s="23"/>
      <c r="K1831" s="23"/>
      <c r="M1831" s="23"/>
      <c r="N1831" s="23"/>
      <c r="P1831" s="23"/>
    </row>
    <row r="1832" spans="2:16" x14ac:dyDescent="0.25">
      <c r="B1832" s="23"/>
      <c r="E1832" s="23"/>
      <c r="G1832" s="23"/>
      <c r="H1832" s="23"/>
      <c r="J1832" s="23"/>
      <c r="K1832" s="23"/>
      <c r="M1832" s="23"/>
      <c r="N1832" s="23"/>
      <c r="P1832" s="23"/>
    </row>
    <row r="1833" spans="2:16" x14ac:dyDescent="0.25">
      <c r="B1833" s="23"/>
      <c r="E1833" s="23"/>
      <c r="G1833" s="23"/>
      <c r="H1833" s="23"/>
      <c r="J1833" s="23"/>
      <c r="K1833" s="23"/>
      <c r="M1833" s="23"/>
      <c r="N1833" s="23"/>
      <c r="P1833" s="23"/>
    </row>
    <row r="1834" spans="2:16" x14ac:dyDescent="0.25">
      <c r="B1834" s="23"/>
      <c r="E1834" s="23"/>
      <c r="G1834" s="23"/>
      <c r="H1834" s="23"/>
      <c r="J1834" s="23"/>
      <c r="K1834" s="23"/>
      <c r="M1834" s="23"/>
      <c r="N1834" s="23"/>
      <c r="P1834" s="23"/>
    </row>
    <row r="1835" spans="2:16" x14ac:dyDescent="0.25">
      <c r="B1835" s="23"/>
      <c r="E1835" s="23"/>
      <c r="G1835" s="23"/>
      <c r="H1835" s="23"/>
      <c r="J1835" s="23"/>
      <c r="K1835" s="23"/>
      <c r="M1835" s="23"/>
      <c r="N1835" s="23"/>
      <c r="P1835" s="23"/>
    </row>
    <row r="1836" spans="2:16" x14ac:dyDescent="0.25">
      <c r="B1836" s="23"/>
      <c r="E1836" s="23"/>
      <c r="G1836" s="23"/>
      <c r="H1836" s="23"/>
      <c r="J1836" s="23"/>
      <c r="K1836" s="23"/>
      <c r="M1836" s="23"/>
      <c r="N1836" s="23"/>
      <c r="P1836" s="23"/>
    </row>
    <row r="1837" spans="2:16" x14ac:dyDescent="0.25">
      <c r="B1837" s="23"/>
      <c r="E1837" s="23"/>
      <c r="G1837" s="23"/>
      <c r="H1837" s="23"/>
      <c r="J1837" s="23"/>
      <c r="K1837" s="23"/>
      <c r="M1837" s="23"/>
      <c r="N1837" s="23"/>
      <c r="P1837" s="23"/>
    </row>
    <row r="1838" spans="2:16" x14ac:dyDescent="0.25">
      <c r="B1838" s="23"/>
      <c r="E1838" s="23"/>
      <c r="G1838" s="23"/>
      <c r="H1838" s="23"/>
      <c r="J1838" s="23"/>
      <c r="K1838" s="23"/>
      <c r="M1838" s="23"/>
      <c r="N1838" s="23"/>
      <c r="P1838" s="23"/>
    </row>
    <row r="1839" spans="2:16" x14ac:dyDescent="0.25">
      <c r="B1839" s="23"/>
      <c r="E1839" s="23"/>
      <c r="G1839" s="23"/>
      <c r="H1839" s="23"/>
      <c r="J1839" s="23"/>
      <c r="K1839" s="23"/>
      <c r="M1839" s="23"/>
      <c r="N1839" s="23"/>
      <c r="P1839" s="23"/>
    </row>
    <row r="1840" spans="2:16" x14ac:dyDescent="0.25">
      <c r="B1840" s="23"/>
      <c r="E1840" s="23"/>
      <c r="G1840" s="23"/>
      <c r="H1840" s="23"/>
      <c r="J1840" s="23"/>
      <c r="K1840" s="23"/>
      <c r="M1840" s="23"/>
      <c r="N1840" s="23"/>
      <c r="P1840" s="23"/>
    </row>
    <row r="1841" spans="2:16" x14ac:dyDescent="0.25">
      <c r="B1841" s="23"/>
      <c r="E1841" s="23"/>
      <c r="G1841" s="23"/>
      <c r="H1841" s="23"/>
      <c r="J1841" s="23"/>
      <c r="K1841" s="23"/>
      <c r="M1841" s="23"/>
      <c r="N1841" s="23"/>
      <c r="P1841" s="23"/>
    </row>
    <row r="1842" spans="2:16" x14ac:dyDescent="0.25">
      <c r="B1842" s="23"/>
      <c r="E1842" s="23"/>
      <c r="G1842" s="23"/>
      <c r="H1842" s="23"/>
      <c r="J1842" s="23"/>
      <c r="K1842" s="23"/>
      <c r="M1842" s="23"/>
      <c r="N1842" s="23"/>
      <c r="P1842" s="23"/>
    </row>
    <row r="1843" spans="2:16" x14ac:dyDescent="0.25">
      <c r="B1843" s="23"/>
      <c r="E1843" s="23"/>
      <c r="G1843" s="23"/>
      <c r="H1843" s="23"/>
      <c r="J1843" s="23"/>
      <c r="K1843" s="23"/>
      <c r="M1843" s="23"/>
      <c r="N1843" s="23"/>
      <c r="P1843" s="23"/>
    </row>
    <row r="1844" spans="2:16" x14ac:dyDescent="0.25">
      <c r="B1844" s="23"/>
      <c r="E1844" s="23"/>
      <c r="G1844" s="23"/>
      <c r="H1844" s="23"/>
      <c r="J1844" s="23"/>
      <c r="K1844" s="23"/>
      <c r="M1844" s="23"/>
      <c r="N1844" s="23"/>
      <c r="P1844" s="23"/>
    </row>
    <row r="1845" spans="2:16" x14ac:dyDescent="0.25">
      <c r="B1845" s="23"/>
      <c r="E1845" s="23"/>
      <c r="G1845" s="23"/>
      <c r="H1845" s="23"/>
      <c r="J1845" s="23"/>
      <c r="K1845" s="23"/>
      <c r="M1845" s="23"/>
      <c r="N1845" s="23"/>
      <c r="P1845" s="23"/>
    </row>
    <row r="1846" spans="2:16" x14ac:dyDescent="0.25">
      <c r="B1846" s="23"/>
      <c r="E1846" s="23"/>
      <c r="G1846" s="23"/>
      <c r="H1846" s="23"/>
      <c r="J1846" s="23"/>
      <c r="K1846" s="23"/>
      <c r="M1846" s="23"/>
      <c r="N1846" s="23"/>
      <c r="P1846" s="23"/>
    </row>
    <row r="1847" spans="2:16" x14ac:dyDescent="0.25">
      <c r="B1847" s="23"/>
      <c r="E1847" s="23"/>
      <c r="G1847" s="23"/>
      <c r="H1847" s="23"/>
      <c r="J1847" s="23"/>
      <c r="K1847" s="23"/>
      <c r="M1847" s="23"/>
      <c r="N1847" s="23"/>
      <c r="P1847" s="23"/>
    </row>
    <row r="1848" spans="2:16" x14ac:dyDescent="0.25">
      <c r="B1848" s="23"/>
      <c r="E1848" s="23"/>
      <c r="G1848" s="23"/>
      <c r="H1848" s="23"/>
      <c r="J1848" s="23"/>
      <c r="K1848" s="23"/>
      <c r="M1848" s="23"/>
      <c r="N1848" s="23"/>
      <c r="P1848" s="23"/>
    </row>
    <row r="1849" spans="2:16" x14ac:dyDescent="0.25">
      <c r="B1849" s="23"/>
      <c r="E1849" s="23"/>
      <c r="G1849" s="23"/>
      <c r="H1849" s="23"/>
      <c r="J1849" s="23"/>
      <c r="K1849" s="23"/>
      <c r="M1849" s="23"/>
      <c r="N1849" s="23"/>
      <c r="P1849" s="23"/>
    </row>
    <row r="1850" spans="2:16" x14ac:dyDescent="0.25">
      <c r="B1850" s="23"/>
      <c r="E1850" s="23"/>
      <c r="G1850" s="23"/>
      <c r="H1850" s="23"/>
      <c r="J1850" s="23"/>
      <c r="K1850" s="23"/>
      <c r="M1850" s="23"/>
      <c r="N1850" s="23"/>
      <c r="P1850" s="23"/>
    </row>
    <row r="1851" spans="2:16" x14ac:dyDescent="0.25">
      <c r="B1851" s="23"/>
      <c r="E1851" s="23"/>
      <c r="G1851" s="23"/>
      <c r="H1851" s="23"/>
      <c r="J1851" s="23"/>
      <c r="K1851" s="23"/>
      <c r="M1851" s="23"/>
      <c r="N1851" s="23"/>
      <c r="P1851" s="23"/>
    </row>
    <row r="1852" spans="2:16" x14ac:dyDescent="0.25">
      <c r="B1852" s="23"/>
      <c r="E1852" s="23"/>
      <c r="G1852" s="23"/>
      <c r="H1852" s="23"/>
      <c r="J1852" s="23"/>
      <c r="K1852" s="23"/>
      <c r="M1852" s="23"/>
      <c r="N1852" s="23"/>
      <c r="P1852" s="23"/>
    </row>
    <row r="1853" spans="2:16" x14ac:dyDescent="0.25">
      <c r="B1853" s="23"/>
      <c r="E1853" s="23"/>
      <c r="G1853" s="23"/>
      <c r="H1853" s="23"/>
      <c r="J1853" s="23"/>
      <c r="K1853" s="23"/>
      <c r="M1853" s="23"/>
      <c r="N1853" s="23"/>
      <c r="P1853" s="23"/>
    </row>
    <row r="1854" spans="2:16" x14ac:dyDescent="0.25">
      <c r="B1854" s="23"/>
      <c r="E1854" s="23"/>
      <c r="G1854" s="23"/>
      <c r="H1854" s="23"/>
      <c r="J1854" s="23"/>
      <c r="K1854" s="23"/>
      <c r="M1854" s="23"/>
      <c r="N1854" s="23"/>
      <c r="P1854" s="23"/>
    </row>
    <row r="1855" spans="2:16" x14ac:dyDescent="0.25">
      <c r="B1855" s="23"/>
      <c r="E1855" s="23"/>
      <c r="G1855" s="23"/>
      <c r="H1855" s="23"/>
      <c r="J1855" s="23"/>
      <c r="K1855" s="23"/>
      <c r="M1855" s="23"/>
      <c r="N1855" s="23"/>
      <c r="P1855" s="23"/>
    </row>
    <row r="1856" spans="2:16" x14ac:dyDescent="0.25">
      <c r="B1856" s="23"/>
      <c r="E1856" s="23"/>
      <c r="G1856" s="23"/>
      <c r="H1856" s="23"/>
      <c r="J1856" s="23"/>
      <c r="K1856" s="23"/>
      <c r="M1856" s="23"/>
      <c r="N1856" s="23"/>
      <c r="P1856" s="23"/>
    </row>
    <row r="1857" spans="2:16" x14ac:dyDescent="0.25">
      <c r="B1857" s="23"/>
      <c r="E1857" s="23"/>
      <c r="G1857" s="23"/>
      <c r="H1857" s="23"/>
      <c r="J1857" s="23"/>
      <c r="K1857" s="23"/>
      <c r="M1857" s="23"/>
      <c r="N1857" s="23"/>
      <c r="P1857" s="23"/>
    </row>
    <row r="1858" spans="2:16" x14ac:dyDescent="0.25">
      <c r="B1858" s="23"/>
      <c r="E1858" s="23"/>
      <c r="G1858" s="23"/>
      <c r="H1858" s="23"/>
      <c r="J1858" s="23"/>
      <c r="K1858" s="23"/>
      <c r="M1858" s="23"/>
      <c r="N1858" s="23"/>
      <c r="P1858" s="23"/>
    </row>
    <row r="1859" spans="2:16" x14ac:dyDescent="0.25">
      <c r="B1859" s="23"/>
      <c r="E1859" s="23"/>
      <c r="G1859" s="23"/>
      <c r="H1859" s="23"/>
      <c r="J1859" s="23"/>
      <c r="K1859" s="23"/>
      <c r="M1859" s="23"/>
      <c r="N1859" s="23"/>
      <c r="P1859" s="23"/>
    </row>
    <row r="1860" spans="2:16" x14ac:dyDescent="0.25">
      <c r="B1860" s="23"/>
      <c r="E1860" s="23"/>
      <c r="G1860" s="23"/>
      <c r="H1860" s="23"/>
      <c r="J1860" s="23"/>
      <c r="K1860" s="23"/>
      <c r="M1860" s="23"/>
      <c r="N1860" s="23"/>
      <c r="P1860" s="23"/>
    </row>
    <row r="1861" spans="2:16" x14ac:dyDescent="0.25">
      <c r="B1861" s="23"/>
      <c r="E1861" s="23"/>
      <c r="G1861" s="23"/>
      <c r="H1861" s="23"/>
      <c r="J1861" s="23"/>
      <c r="K1861" s="23"/>
      <c r="M1861" s="23"/>
      <c r="N1861" s="23"/>
      <c r="P1861" s="23"/>
    </row>
    <row r="1862" spans="2:16" x14ac:dyDescent="0.25">
      <c r="B1862" s="23"/>
      <c r="E1862" s="23"/>
      <c r="G1862" s="23"/>
      <c r="H1862" s="23"/>
      <c r="J1862" s="23"/>
      <c r="K1862" s="23"/>
      <c r="M1862" s="23"/>
      <c r="N1862" s="23"/>
      <c r="P1862" s="23"/>
    </row>
    <row r="1863" spans="2:16" x14ac:dyDescent="0.25">
      <c r="B1863" s="23"/>
      <c r="E1863" s="23"/>
      <c r="G1863" s="23"/>
      <c r="H1863" s="23"/>
      <c r="J1863" s="23"/>
      <c r="K1863" s="23"/>
      <c r="M1863" s="23"/>
      <c r="N1863" s="23"/>
      <c r="P1863" s="23"/>
    </row>
    <row r="1864" spans="2:16" x14ac:dyDescent="0.25">
      <c r="B1864" s="23"/>
      <c r="E1864" s="23"/>
      <c r="G1864" s="23"/>
      <c r="H1864" s="23"/>
      <c r="J1864" s="23"/>
      <c r="K1864" s="23"/>
      <c r="M1864" s="23"/>
      <c r="N1864" s="23"/>
      <c r="P1864" s="23"/>
    </row>
    <row r="1865" spans="2:16" x14ac:dyDescent="0.25">
      <c r="B1865" s="23"/>
      <c r="E1865" s="23"/>
      <c r="G1865" s="23"/>
      <c r="H1865" s="23"/>
      <c r="J1865" s="23"/>
      <c r="K1865" s="23"/>
      <c r="M1865" s="23"/>
      <c r="N1865" s="23"/>
      <c r="P1865" s="23"/>
    </row>
    <row r="1866" spans="2:16" x14ac:dyDescent="0.25">
      <c r="B1866" s="23"/>
      <c r="E1866" s="23"/>
      <c r="G1866" s="23"/>
      <c r="H1866" s="23"/>
      <c r="J1866" s="23"/>
      <c r="K1866" s="23"/>
      <c r="M1866" s="23"/>
      <c r="N1866" s="23"/>
      <c r="P1866" s="23"/>
    </row>
    <row r="1867" spans="2:16" x14ac:dyDescent="0.25">
      <c r="B1867" s="23"/>
      <c r="E1867" s="23"/>
      <c r="G1867" s="23"/>
      <c r="H1867" s="23"/>
      <c r="J1867" s="23"/>
      <c r="K1867" s="23"/>
      <c r="M1867" s="23"/>
      <c r="N1867" s="23"/>
      <c r="P1867" s="23"/>
    </row>
    <row r="1868" spans="2:16" x14ac:dyDescent="0.25">
      <c r="B1868" s="23"/>
      <c r="E1868" s="23"/>
      <c r="G1868" s="23"/>
      <c r="H1868" s="23"/>
      <c r="J1868" s="23"/>
      <c r="K1868" s="23"/>
      <c r="M1868" s="23"/>
      <c r="N1868" s="23"/>
      <c r="P1868" s="23"/>
    </row>
    <row r="1869" spans="2:16" x14ac:dyDescent="0.25">
      <c r="B1869" s="23"/>
      <c r="E1869" s="23"/>
      <c r="G1869" s="23"/>
      <c r="H1869" s="23"/>
      <c r="J1869" s="23"/>
      <c r="K1869" s="23"/>
      <c r="M1869" s="23"/>
      <c r="N1869" s="23"/>
      <c r="P1869" s="23"/>
    </row>
    <row r="1870" spans="2:16" x14ac:dyDescent="0.25">
      <c r="B1870" s="23"/>
      <c r="E1870" s="23"/>
      <c r="G1870" s="23"/>
      <c r="H1870" s="23"/>
      <c r="J1870" s="23"/>
      <c r="K1870" s="23"/>
      <c r="M1870" s="23"/>
      <c r="N1870" s="23"/>
      <c r="P1870" s="23"/>
    </row>
    <row r="1871" spans="2:16" x14ac:dyDescent="0.25">
      <c r="B1871" s="23"/>
      <c r="E1871" s="23"/>
      <c r="G1871" s="23"/>
      <c r="H1871" s="23"/>
      <c r="J1871" s="23"/>
      <c r="K1871" s="23"/>
      <c r="M1871" s="23"/>
      <c r="N1871" s="23"/>
      <c r="P1871" s="23"/>
    </row>
    <row r="1872" spans="2:16" x14ac:dyDescent="0.25">
      <c r="B1872" s="23"/>
      <c r="E1872" s="23"/>
      <c r="G1872" s="23"/>
      <c r="H1872" s="23"/>
      <c r="J1872" s="23"/>
      <c r="K1872" s="23"/>
      <c r="M1872" s="23"/>
      <c r="N1872" s="23"/>
      <c r="P1872" s="23"/>
    </row>
    <row r="1873" spans="2:16" x14ac:dyDescent="0.25">
      <c r="B1873" s="23"/>
      <c r="E1873" s="23"/>
      <c r="G1873" s="23"/>
      <c r="H1873" s="23"/>
      <c r="J1873" s="23"/>
      <c r="K1873" s="23"/>
      <c r="M1873" s="23"/>
      <c r="N1873" s="23"/>
      <c r="P1873" s="23"/>
    </row>
    <row r="1874" spans="2:16" x14ac:dyDescent="0.25">
      <c r="B1874" s="23"/>
      <c r="E1874" s="23"/>
      <c r="G1874" s="23"/>
      <c r="H1874" s="23"/>
      <c r="J1874" s="23"/>
      <c r="K1874" s="23"/>
      <c r="M1874" s="23"/>
      <c r="N1874" s="23"/>
      <c r="P1874" s="23"/>
    </row>
    <row r="1875" spans="2:16" x14ac:dyDescent="0.25">
      <c r="B1875" s="23"/>
      <c r="E1875" s="23"/>
      <c r="G1875" s="23"/>
      <c r="H1875" s="23"/>
      <c r="J1875" s="23"/>
      <c r="K1875" s="23"/>
      <c r="M1875" s="23"/>
      <c r="N1875" s="23"/>
      <c r="P1875" s="23"/>
    </row>
    <row r="1876" spans="2:16" x14ac:dyDescent="0.25">
      <c r="B1876" s="23"/>
      <c r="E1876" s="23"/>
      <c r="G1876" s="23"/>
      <c r="H1876" s="23"/>
      <c r="J1876" s="23"/>
      <c r="K1876" s="23"/>
      <c r="M1876" s="23"/>
      <c r="N1876" s="23"/>
      <c r="P1876" s="23"/>
    </row>
    <row r="1877" spans="2:16" x14ac:dyDescent="0.25">
      <c r="B1877" s="23"/>
      <c r="E1877" s="23"/>
      <c r="G1877" s="23"/>
      <c r="H1877" s="23"/>
      <c r="J1877" s="23"/>
      <c r="K1877" s="23"/>
      <c r="M1877" s="23"/>
      <c r="N1877" s="23"/>
      <c r="P1877" s="23"/>
    </row>
    <row r="1878" spans="2:16" x14ac:dyDescent="0.25">
      <c r="B1878" s="23"/>
      <c r="E1878" s="23"/>
      <c r="G1878" s="23"/>
      <c r="H1878" s="23"/>
      <c r="J1878" s="23"/>
      <c r="K1878" s="23"/>
      <c r="M1878" s="23"/>
      <c r="N1878" s="23"/>
      <c r="P1878" s="23"/>
    </row>
    <row r="1879" spans="2:16" x14ac:dyDescent="0.25">
      <c r="B1879" s="23"/>
      <c r="E1879" s="23"/>
      <c r="G1879" s="23"/>
      <c r="H1879" s="23"/>
      <c r="J1879" s="23"/>
      <c r="K1879" s="23"/>
      <c r="M1879" s="23"/>
      <c r="N1879" s="23"/>
      <c r="P1879" s="23"/>
    </row>
    <row r="1880" spans="2:16" x14ac:dyDescent="0.25">
      <c r="B1880" s="23"/>
      <c r="E1880" s="23"/>
      <c r="G1880" s="23"/>
      <c r="H1880" s="23"/>
      <c r="J1880" s="23"/>
      <c r="K1880" s="23"/>
      <c r="M1880" s="23"/>
      <c r="N1880" s="23"/>
      <c r="P1880" s="23"/>
    </row>
    <row r="1881" spans="2:16" x14ac:dyDescent="0.25">
      <c r="B1881" s="23"/>
      <c r="E1881" s="23"/>
      <c r="G1881" s="23"/>
      <c r="H1881" s="23"/>
      <c r="J1881" s="23"/>
      <c r="K1881" s="23"/>
      <c r="M1881" s="23"/>
      <c r="N1881" s="23"/>
      <c r="P1881" s="23"/>
    </row>
    <row r="1882" spans="2:16" x14ac:dyDescent="0.25">
      <c r="B1882" s="23"/>
      <c r="E1882" s="23"/>
      <c r="G1882" s="23"/>
      <c r="H1882" s="23"/>
      <c r="J1882" s="23"/>
      <c r="K1882" s="23"/>
      <c r="M1882" s="23"/>
      <c r="N1882" s="23"/>
      <c r="P1882" s="23"/>
    </row>
    <row r="1883" spans="2:16" x14ac:dyDescent="0.25">
      <c r="B1883" s="23"/>
      <c r="E1883" s="23"/>
      <c r="G1883" s="23"/>
      <c r="H1883" s="23"/>
      <c r="J1883" s="23"/>
      <c r="K1883" s="23"/>
      <c r="M1883" s="23"/>
      <c r="N1883" s="23"/>
      <c r="P1883" s="23"/>
    </row>
    <row r="1884" spans="2:16" x14ac:dyDescent="0.25">
      <c r="B1884" s="23"/>
      <c r="E1884" s="23"/>
      <c r="G1884" s="23"/>
      <c r="H1884" s="23"/>
      <c r="J1884" s="23"/>
      <c r="K1884" s="23"/>
      <c r="M1884" s="23"/>
      <c r="N1884" s="23"/>
      <c r="P1884" s="23"/>
    </row>
    <row r="1885" spans="2:16" x14ac:dyDescent="0.25">
      <c r="B1885" s="23"/>
      <c r="E1885" s="23"/>
      <c r="G1885" s="23"/>
      <c r="H1885" s="23"/>
      <c r="J1885" s="23"/>
      <c r="K1885" s="23"/>
      <c r="M1885" s="23"/>
      <c r="N1885" s="23"/>
      <c r="P1885" s="23"/>
    </row>
    <row r="1886" spans="2:16" x14ac:dyDescent="0.25">
      <c r="B1886" s="23"/>
      <c r="E1886" s="23"/>
      <c r="G1886" s="23"/>
      <c r="H1886" s="23"/>
      <c r="J1886" s="23"/>
      <c r="K1886" s="23"/>
      <c r="M1886" s="23"/>
      <c r="N1886" s="23"/>
      <c r="P1886" s="23"/>
    </row>
    <row r="1887" spans="2:16" x14ac:dyDescent="0.25">
      <c r="B1887" s="23"/>
      <c r="E1887" s="23"/>
      <c r="G1887" s="23"/>
      <c r="H1887" s="23"/>
      <c r="J1887" s="23"/>
      <c r="K1887" s="23"/>
      <c r="M1887" s="23"/>
      <c r="N1887" s="23"/>
      <c r="P1887" s="23"/>
    </row>
    <row r="1888" spans="2:16" x14ac:dyDescent="0.25">
      <c r="B1888" s="23"/>
      <c r="E1888" s="23"/>
      <c r="G1888" s="23"/>
      <c r="H1888" s="23"/>
      <c r="J1888" s="23"/>
      <c r="K1888" s="23"/>
      <c r="M1888" s="23"/>
      <c r="N1888" s="23"/>
      <c r="P1888" s="23"/>
    </row>
    <row r="1889" spans="2:16" x14ac:dyDescent="0.25">
      <c r="B1889" s="23"/>
      <c r="E1889" s="23"/>
      <c r="G1889" s="23"/>
      <c r="H1889" s="23"/>
      <c r="J1889" s="23"/>
      <c r="K1889" s="23"/>
      <c r="M1889" s="23"/>
      <c r="N1889" s="23"/>
      <c r="P1889" s="23"/>
    </row>
    <row r="1890" spans="2:16" x14ac:dyDescent="0.25">
      <c r="B1890" s="23"/>
      <c r="E1890" s="23"/>
      <c r="G1890" s="23"/>
      <c r="H1890" s="23"/>
      <c r="J1890" s="23"/>
      <c r="K1890" s="23"/>
      <c r="M1890" s="23"/>
      <c r="N1890" s="23"/>
      <c r="P1890" s="23"/>
    </row>
    <row r="1891" spans="2:16" x14ac:dyDescent="0.25">
      <c r="B1891" s="23"/>
      <c r="E1891" s="23"/>
      <c r="G1891" s="23"/>
      <c r="H1891" s="23"/>
      <c r="J1891" s="23"/>
      <c r="K1891" s="23"/>
      <c r="M1891" s="23"/>
      <c r="N1891" s="23"/>
      <c r="P1891" s="23"/>
    </row>
    <row r="1892" spans="2:16" x14ac:dyDescent="0.25">
      <c r="B1892" s="23"/>
      <c r="E1892" s="23"/>
      <c r="G1892" s="23"/>
      <c r="H1892" s="23"/>
      <c r="J1892" s="23"/>
      <c r="K1892" s="23"/>
      <c r="M1892" s="23"/>
      <c r="N1892" s="23"/>
      <c r="P1892" s="23"/>
    </row>
    <row r="1893" spans="2:16" x14ac:dyDescent="0.25">
      <c r="B1893" s="23"/>
      <c r="E1893" s="23"/>
      <c r="G1893" s="23"/>
      <c r="H1893" s="23"/>
      <c r="J1893" s="23"/>
      <c r="K1893" s="23"/>
      <c r="M1893" s="23"/>
      <c r="N1893" s="23"/>
      <c r="P1893" s="23"/>
    </row>
    <row r="1894" spans="2:16" x14ac:dyDescent="0.25">
      <c r="B1894" s="23"/>
      <c r="E1894" s="23"/>
      <c r="G1894" s="23"/>
      <c r="H1894" s="23"/>
      <c r="J1894" s="23"/>
      <c r="K1894" s="23"/>
      <c r="M1894" s="23"/>
      <c r="N1894" s="23"/>
      <c r="P1894" s="23"/>
    </row>
    <row r="1895" spans="2:16" x14ac:dyDescent="0.25">
      <c r="B1895" s="23"/>
      <c r="E1895" s="23"/>
      <c r="G1895" s="23"/>
      <c r="H1895" s="23"/>
      <c r="J1895" s="23"/>
      <c r="K1895" s="23"/>
      <c r="M1895" s="23"/>
      <c r="N1895" s="23"/>
      <c r="P1895" s="23"/>
    </row>
    <row r="1896" spans="2:16" x14ac:dyDescent="0.25">
      <c r="B1896" s="23"/>
      <c r="E1896" s="23"/>
      <c r="G1896" s="23"/>
      <c r="H1896" s="23"/>
      <c r="J1896" s="23"/>
      <c r="K1896" s="23"/>
      <c r="M1896" s="23"/>
      <c r="N1896" s="23"/>
      <c r="P1896" s="23"/>
    </row>
    <row r="1897" spans="2:16" x14ac:dyDescent="0.25">
      <c r="B1897" s="23"/>
      <c r="E1897" s="23"/>
      <c r="G1897" s="23"/>
      <c r="H1897" s="23"/>
      <c r="J1897" s="23"/>
      <c r="K1897" s="23"/>
      <c r="M1897" s="23"/>
      <c r="N1897" s="23"/>
      <c r="P1897" s="23"/>
    </row>
    <row r="1898" spans="2:16" x14ac:dyDescent="0.25">
      <c r="B1898" s="23"/>
      <c r="E1898" s="23"/>
      <c r="G1898" s="23"/>
      <c r="H1898" s="23"/>
      <c r="J1898" s="23"/>
      <c r="K1898" s="23"/>
      <c r="M1898" s="23"/>
      <c r="N1898" s="23"/>
      <c r="P1898" s="23"/>
    </row>
    <row r="1899" spans="2:16" x14ac:dyDescent="0.25">
      <c r="B1899" s="23"/>
      <c r="E1899" s="23"/>
      <c r="G1899" s="23"/>
      <c r="H1899" s="23"/>
      <c r="J1899" s="23"/>
      <c r="K1899" s="23"/>
      <c r="M1899" s="23"/>
      <c r="N1899" s="23"/>
      <c r="P1899" s="23"/>
    </row>
    <row r="1900" spans="2:16" x14ac:dyDescent="0.25">
      <c r="B1900" s="23"/>
      <c r="E1900" s="23"/>
      <c r="G1900" s="23"/>
      <c r="H1900" s="23"/>
      <c r="J1900" s="23"/>
      <c r="K1900" s="23"/>
      <c r="M1900" s="23"/>
      <c r="N1900" s="23"/>
      <c r="P1900" s="23"/>
    </row>
    <row r="1901" spans="2:16" x14ac:dyDescent="0.25">
      <c r="B1901" s="23"/>
      <c r="E1901" s="23"/>
      <c r="G1901" s="23"/>
      <c r="H1901" s="23"/>
      <c r="J1901" s="23"/>
      <c r="K1901" s="23"/>
      <c r="M1901" s="23"/>
      <c r="N1901" s="23"/>
      <c r="P1901" s="23"/>
    </row>
    <row r="1902" spans="2:16" x14ac:dyDescent="0.25">
      <c r="B1902" s="23"/>
      <c r="E1902" s="23"/>
      <c r="G1902" s="23"/>
      <c r="H1902" s="23"/>
      <c r="J1902" s="23"/>
      <c r="K1902" s="23"/>
      <c r="M1902" s="23"/>
      <c r="N1902" s="23"/>
      <c r="P1902" s="23"/>
    </row>
    <row r="1903" spans="2:16" x14ac:dyDescent="0.25">
      <c r="B1903" s="23"/>
      <c r="E1903" s="23"/>
      <c r="G1903" s="23"/>
      <c r="H1903" s="23"/>
      <c r="J1903" s="23"/>
      <c r="K1903" s="23"/>
      <c r="M1903" s="23"/>
      <c r="N1903" s="23"/>
      <c r="P1903" s="23"/>
    </row>
    <row r="1904" spans="2:16" x14ac:dyDescent="0.25">
      <c r="B1904" s="23"/>
      <c r="E1904" s="23"/>
      <c r="G1904" s="23"/>
      <c r="H1904" s="23"/>
      <c r="J1904" s="23"/>
      <c r="K1904" s="23"/>
      <c r="M1904" s="23"/>
      <c r="N1904" s="23"/>
      <c r="P1904" s="23"/>
    </row>
    <row r="1905" spans="2:16" x14ac:dyDescent="0.25">
      <c r="B1905" s="23"/>
      <c r="E1905" s="23"/>
      <c r="G1905" s="23"/>
      <c r="H1905" s="23"/>
      <c r="J1905" s="23"/>
      <c r="K1905" s="23"/>
      <c r="M1905" s="23"/>
      <c r="N1905" s="23"/>
      <c r="P1905" s="23"/>
    </row>
    <row r="1906" spans="2:16" x14ac:dyDescent="0.25">
      <c r="B1906" s="23"/>
      <c r="E1906" s="23"/>
      <c r="G1906" s="23"/>
      <c r="H1906" s="23"/>
      <c r="J1906" s="23"/>
      <c r="K1906" s="23"/>
      <c r="M1906" s="23"/>
      <c r="N1906" s="23"/>
      <c r="P1906" s="23"/>
    </row>
    <row r="1907" spans="2:16" x14ac:dyDescent="0.25">
      <c r="B1907" s="23"/>
      <c r="E1907" s="23"/>
      <c r="G1907" s="23"/>
      <c r="H1907" s="23"/>
      <c r="J1907" s="23"/>
      <c r="K1907" s="23"/>
      <c r="M1907" s="23"/>
      <c r="N1907" s="23"/>
      <c r="P1907" s="23"/>
    </row>
    <row r="1908" spans="2:16" x14ac:dyDescent="0.25">
      <c r="B1908" s="23"/>
      <c r="E1908" s="23"/>
      <c r="G1908" s="23"/>
      <c r="H1908" s="23"/>
      <c r="J1908" s="23"/>
      <c r="K1908" s="23"/>
      <c r="M1908" s="23"/>
      <c r="N1908" s="23"/>
      <c r="P1908" s="23"/>
    </row>
    <row r="1909" spans="2:16" x14ac:dyDescent="0.25">
      <c r="B1909" s="23"/>
      <c r="E1909" s="23"/>
      <c r="G1909" s="23"/>
      <c r="H1909" s="23"/>
      <c r="J1909" s="23"/>
      <c r="K1909" s="23"/>
      <c r="M1909" s="23"/>
      <c r="N1909" s="23"/>
      <c r="P1909" s="23"/>
    </row>
    <row r="1910" spans="2:16" x14ac:dyDescent="0.25">
      <c r="B1910" s="23"/>
      <c r="E1910" s="23"/>
      <c r="G1910" s="23"/>
      <c r="H1910" s="23"/>
      <c r="J1910" s="23"/>
      <c r="K1910" s="23"/>
      <c r="M1910" s="23"/>
      <c r="N1910" s="23"/>
      <c r="P1910" s="23"/>
    </row>
    <row r="1911" spans="2:16" x14ac:dyDescent="0.25">
      <c r="B1911" s="23"/>
      <c r="E1911" s="23"/>
      <c r="G1911" s="23"/>
      <c r="H1911" s="23"/>
      <c r="J1911" s="23"/>
      <c r="K1911" s="23"/>
      <c r="M1911" s="23"/>
      <c r="N1911" s="23"/>
      <c r="P1911" s="23"/>
    </row>
    <row r="1912" spans="2:16" x14ac:dyDescent="0.25">
      <c r="B1912" s="23"/>
      <c r="E1912" s="23"/>
      <c r="G1912" s="23"/>
      <c r="H1912" s="23"/>
      <c r="J1912" s="23"/>
      <c r="K1912" s="23"/>
      <c r="M1912" s="23"/>
      <c r="N1912" s="23"/>
      <c r="P1912" s="23"/>
    </row>
    <row r="1913" spans="2:16" x14ac:dyDescent="0.25">
      <c r="B1913" s="23"/>
      <c r="E1913" s="23"/>
      <c r="G1913" s="23"/>
      <c r="H1913" s="23"/>
      <c r="J1913" s="23"/>
      <c r="K1913" s="23"/>
      <c r="M1913" s="23"/>
      <c r="N1913" s="23"/>
      <c r="P1913" s="23"/>
    </row>
    <row r="1914" spans="2:16" x14ac:dyDescent="0.25">
      <c r="B1914" s="23"/>
      <c r="E1914" s="23"/>
      <c r="G1914" s="23"/>
      <c r="H1914" s="23"/>
      <c r="J1914" s="23"/>
      <c r="K1914" s="23"/>
      <c r="M1914" s="23"/>
      <c r="N1914" s="23"/>
      <c r="P1914" s="23"/>
    </row>
    <row r="1915" spans="2:16" x14ac:dyDescent="0.25">
      <c r="B1915" s="23"/>
      <c r="E1915" s="23"/>
      <c r="G1915" s="23"/>
      <c r="H1915" s="23"/>
      <c r="J1915" s="23"/>
      <c r="K1915" s="23"/>
      <c r="M1915" s="23"/>
      <c r="N1915" s="23"/>
      <c r="P1915" s="23"/>
    </row>
    <row r="1916" spans="2:16" x14ac:dyDescent="0.25">
      <c r="B1916" s="23"/>
      <c r="E1916" s="23"/>
      <c r="G1916" s="23"/>
      <c r="H1916" s="23"/>
      <c r="J1916" s="23"/>
      <c r="K1916" s="23"/>
      <c r="M1916" s="23"/>
      <c r="N1916" s="23"/>
      <c r="P1916" s="23"/>
    </row>
    <row r="1917" spans="2:16" x14ac:dyDescent="0.25">
      <c r="B1917" s="23"/>
      <c r="E1917" s="23"/>
      <c r="G1917" s="23"/>
      <c r="H1917" s="23"/>
      <c r="J1917" s="23"/>
      <c r="K1917" s="23"/>
      <c r="M1917" s="23"/>
      <c r="N1917" s="23"/>
      <c r="P1917" s="23"/>
    </row>
    <row r="1918" spans="2:16" x14ac:dyDescent="0.25">
      <c r="B1918" s="23"/>
      <c r="E1918" s="23"/>
      <c r="G1918" s="23"/>
      <c r="H1918" s="23"/>
      <c r="J1918" s="23"/>
      <c r="K1918" s="23"/>
      <c r="M1918" s="23"/>
      <c r="N1918" s="23"/>
      <c r="P1918" s="23"/>
    </row>
    <row r="1919" spans="2:16" x14ac:dyDescent="0.25">
      <c r="B1919" s="23"/>
      <c r="E1919" s="23"/>
      <c r="G1919" s="23"/>
      <c r="H1919" s="23"/>
      <c r="J1919" s="23"/>
      <c r="K1919" s="23"/>
      <c r="M1919" s="23"/>
      <c r="N1919" s="23"/>
      <c r="P1919" s="23"/>
    </row>
    <row r="1920" spans="2:16" x14ac:dyDescent="0.25">
      <c r="B1920" s="23"/>
      <c r="E1920" s="23"/>
      <c r="G1920" s="23"/>
      <c r="H1920" s="23"/>
      <c r="J1920" s="23"/>
      <c r="K1920" s="23"/>
      <c r="M1920" s="23"/>
      <c r="N1920" s="23"/>
      <c r="P1920" s="23"/>
    </row>
    <row r="1921" spans="2:16" x14ac:dyDescent="0.25">
      <c r="B1921" s="23"/>
      <c r="E1921" s="23"/>
      <c r="G1921" s="23"/>
      <c r="H1921" s="23"/>
      <c r="J1921" s="23"/>
      <c r="K1921" s="23"/>
      <c r="M1921" s="23"/>
      <c r="N1921" s="23"/>
      <c r="P1921" s="23"/>
    </row>
    <row r="1922" spans="2:16" x14ac:dyDescent="0.25">
      <c r="B1922" s="23"/>
      <c r="E1922" s="23"/>
      <c r="G1922" s="23"/>
      <c r="H1922" s="23"/>
      <c r="J1922" s="23"/>
      <c r="K1922" s="23"/>
      <c r="M1922" s="23"/>
      <c r="N1922" s="23"/>
      <c r="P1922" s="23"/>
    </row>
    <row r="1923" spans="2:16" x14ac:dyDescent="0.25">
      <c r="B1923" s="23"/>
      <c r="E1923" s="23"/>
      <c r="G1923" s="23"/>
      <c r="H1923" s="23"/>
      <c r="J1923" s="23"/>
      <c r="K1923" s="23"/>
      <c r="M1923" s="23"/>
      <c r="N1923" s="23"/>
      <c r="P1923" s="23"/>
    </row>
    <row r="1924" spans="2:16" x14ac:dyDescent="0.25">
      <c r="B1924" s="23"/>
      <c r="E1924" s="23"/>
      <c r="G1924" s="23"/>
      <c r="H1924" s="23"/>
      <c r="J1924" s="23"/>
      <c r="K1924" s="23"/>
      <c r="M1924" s="23"/>
      <c r="N1924" s="23"/>
      <c r="P1924" s="23"/>
    </row>
    <row r="1925" spans="2:16" x14ac:dyDescent="0.25">
      <c r="B1925" s="23"/>
      <c r="E1925" s="23"/>
      <c r="G1925" s="23"/>
      <c r="H1925" s="23"/>
      <c r="J1925" s="23"/>
      <c r="K1925" s="23"/>
      <c r="M1925" s="23"/>
      <c r="N1925" s="23"/>
      <c r="P1925" s="23"/>
    </row>
    <row r="1926" spans="2:16" x14ac:dyDescent="0.25">
      <c r="B1926" s="23"/>
      <c r="E1926" s="23"/>
      <c r="G1926" s="23"/>
      <c r="H1926" s="23"/>
      <c r="J1926" s="23"/>
      <c r="K1926" s="23"/>
      <c r="M1926" s="23"/>
      <c r="N1926" s="23"/>
      <c r="P1926" s="23"/>
    </row>
    <row r="1927" spans="2:16" x14ac:dyDescent="0.25">
      <c r="B1927" s="23"/>
      <c r="E1927" s="23"/>
      <c r="G1927" s="23"/>
      <c r="H1927" s="23"/>
      <c r="J1927" s="23"/>
      <c r="K1927" s="23"/>
      <c r="M1927" s="23"/>
      <c r="N1927" s="23"/>
      <c r="P1927" s="23"/>
    </row>
    <row r="1928" spans="2:16" x14ac:dyDescent="0.25">
      <c r="B1928" s="23"/>
      <c r="E1928" s="23"/>
      <c r="G1928" s="23"/>
      <c r="H1928" s="23"/>
      <c r="J1928" s="23"/>
      <c r="K1928" s="23"/>
      <c r="M1928" s="23"/>
      <c r="N1928" s="23"/>
      <c r="P1928" s="23"/>
    </row>
    <row r="1929" spans="2:16" x14ac:dyDescent="0.25">
      <c r="B1929" s="23"/>
      <c r="E1929" s="23"/>
      <c r="G1929" s="23"/>
      <c r="H1929" s="23"/>
      <c r="J1929" s="23"/>
      <c r="K1929" s="23"/>
      <c r="M1929" s="23"/>
      <c r="N1929" s="23"/>
      <c r="P1929" s="23"/>
    </row>
    <row r="1930" spans="2:16" x14ac:dyDescent="0.25">
      <c r="B1930" s="23"/>
      <c r="E1930" s="23"/>
      <c r="G1930" s="23"/>
      <c r="H1930" s="23"/>
      <c r="J1930" s="23"/>
      <c r="K1930" s="23"/>
      <c r="M1930" s="23"/>
      <c r="N1930" s="23"/>
      <c r="P1930" s="23"/>
    </row>
    <row r="1931" spans="2:16" x14ac:dyDescent="0.25">
      <c r="B1931" s="23"/>
      <c r="E1931" s="23"/>
      <c r="G1931" s="23"/>
      <c r="H1931" s="23"/>
      <c r="J1931" s="23"/>
      <c r="K1931" s="23"/>
      <c r="M1931" s="23"/>
      <c r="N1931" s="23"/>
      <c r="P1931" s="23"/>
    </row>
    <row r="1932" spans="2:16" x14ac:dyDescent="0.25">
      <c r="B1932" s="23"/>
      <c r="E1932" s="23"/>
      <c r="G1932" s="23"/>
      <c r="H1932" s="23"/>
      <c r="J1932" s="23"/>
      <c r="K1932" s="23"/>
      <c r="M1932" s="23"/>
      <c r="N1932" s="23"/>
      <c r="P1932" s="23"/>
    </row>
    <row r="1933" spans="2:16" x14ac:dyDescent="0.25">
      <c r="B1933" s="23"/>
      <c r="E1933" s="23"/>
      <c r="G1933" s="23"/>
      <c r="H1933" s="23"/>
      <c r="J1933" s="23"/>
      <c r="K1933" s="23"/>
      <c r="M1933" s="23"/>
      <c r="N1933" s="23"/>
      <c r="P1933" s="23"/>
    </row>
    <row r="1934" spans="2:16" x14ac:dyDescent="0.25">
      <c r="B1934" s="23"/>
      <c r="E1934" s="23"/>
      <c r="G1934" s="23"/>
      <c r="H1934" s="23"/>
      <c r="J1934" s="23"/>
      <c r="K1934" s="23"/>
      <c r="M1934" s="23"/>
      <c r="N1934" s="23"/>
      <c r="P1934" s="23"/>
    </row>
    <row r="1935" spans="2:16" x14ac:dyDescent="0.25">
      <c r="B1935" s="23"/>
      <c r="E1935" s="23"/>
      <c r="G1935" s="23"/>
      <c r="H1935" s="23"/>
      <c r="J1935" s="23"/>
      <c r="K1935" s="23"/>
      <c r="M1935" s="23"/>
      <c r="N1935" s="23"/>
      <c r="P1935" s="23"/>
    </row>
    <row r="1936" spans="2:16" x14ac:dyDescent="0.25">
      <c r="B1936" s="23"/>
      <c r="E1936" s="23"/>
      <c r="G1936" s="23"/>
      <c r="H1936" s="23"/>
      <c r="J1936" s="23"/>
      <c r="K1936" s="23"/>
      <c r="M1936" s="23"/>
      <c r="N1936" s="23"/>
      <c r="P1936" s="23"/>
    </row>
    <row r="1937" spans="2:16" x14ac:dyDescent="0.25">
      <c r="B1937" s="23"/>
      <c r="E1937" s="23"/>
      <c r="G1937" s="23"/>
      <c r="H1937" s="23"/>
      <c r="J1937" s="23"/>
      <c r="K1937" s="23"/>
      <c r="M1937" s="23"/>
      <c r="N1937" s="23"/>
      <c r="P1937" s="23"/>
    </row>
    <row r="1938" spans="2:16" x14ac:dyDescent="0.25">
      <c r="B1938" s="23"/>
      <c r="E1938" s="23"/>
      <c r="G1938" s="23"/>
      <c r="H1938" s="23"/>
      <c r="J1938" s="23"/>
      <c r="K1938" s="23"/>
      <c r="M1938" s="23"/>
      <c r="N1938" s="23"/>
      <c r="P1938" s="23"/>
    </row>
    <row r="1939" spans="2:16" x14ac:dyDescent="0.25">
      <c r="B1939" s="23"/>
      <c r="E1939" s="23"/>
      <c r="G1939" s="23"/>
      <c r="H1939" s="23"/>
      <c r="J1939" s="23"/>
      <c r="K1939" s="23"/>
      <c r="M1939" s="23"/>
      <c r="N1939" s="23"/>
      <c r="P1939" s="23"/>
    </row>
    <row r="1940" spans="2:16" x14ac:dyDescent="0.25">
      <c r="B1940" s="23"/>
      <c r="E1940" s="23"/>
      <c r="G1940" s="23"/>
      <c r="H1940" s="23"/>
      <c r="J1940" s="23"/>
      <c r="K1940" s="23"/>
      <c r="M1940" s="23"/>
      <c r="N1940" s="23"/>
      <c r="P1940" s="23"/>
    </row>
    <row r="1941" spans="2:16" x14ac:dyDescent="0.25">
      <c r="B1941" s="23"/>
      <c r="E1941" s="23"/>
      <c r="G1941" s="23"/>
      <c r="H1941" s="23"/>
      <c r="J1941" s="23"/>
      <c r="K1941" s="23"/>
      <c r="M1941" s="23"/>
      <c r="N1941" s="23"/>
      <c r="P1941" s="23"/>
    </row>
    <row r="1942" spans="2:16" x14ac:dyDescent="0.25">
      <c r="B1942" s="23"/>
      <c r="E1942" s="23"/>
      <c r="G1942" s="23"/>
      <c r="H1942" s="23"/>
      <c r="J1942" s="23"/>
      <c r="K1942" s="23"/>
      <c r="M1942" s="23"/>
      <c r="N1942" s="23"/>
      <c r="P1942" s="23"/>
    </row>
    <row r="1943" spans="2:16" x14ac:dyDescent="0.25">
      <c r="B1943" s="23"/>
      <c r="E1943" s="23"/>
      <c r="G1943" s="23"/>
      <c r="H1943" s="23"/>
      <c r="J1943" s="23"/>
      <c r="K1943" s="23"/>
      <c r="M1943" s="23"/>
      <c r="N1943" s="23"/>
      <c r="P1943" s="23"/>
    </row>
    <row r="1944" spans="2:16" x14ac:dyDescent="0.25">
      <c r="B1944" s="23"/>
      <c r="E1944" s="23"/>
      <c r="G1944" s="23"/>
      <c r="H1944" s="23"/>
      <c r="J1944" s="23"/>
      <c r="K1944" s="23"/>
      <c r="M1944" s="23"/>
      <c r="N1944" s="23"/>
      <c r="P1944" s="23"/>
    </row>
    <row r="1945" spans="2:16" x14ac:dyDescent="0.25">
      <c r="B1945" s="23"/>
      <c r="E1945" s="23"/>
      <c r="G1945" s="23"/>
      <c r="H1945" s="23"/>
      <c r="J1945" s="23"/>
      <c r="K1945" s="23"/>
      <c r="M1945" s="23"/>
      <c r="N1945" s="23"/>
      <c r="P1945" s="23"/>
    </row>
    <row r="1946" spans="2:16" x14ac:dyDescent="0.25">
      <c r="B1946" s="23"/>
      <c r="E1946" s="23"/>
      <c r="G1946" s="23"/>
      <c r="H1946" s="23"/>
      <c r="J1946" s="23"/>
      <c r="K1946" s="23"/>
      <c r="M1946" s="23"/>
      <c r="N1946" s="23"/>
      <c r="P1946" s="23"/>
    </row>
    <row r="1947" spans="2:16" x14ac:dyDescent="0.25">
      <c r="B1947" s="23"/>
      <c r="E1947" s="23"/>
      <c r="G1947" s="23"/>
      <c r="H1947" s="23"/>
      <c r="J1947" s="23"/>
      <c r="K1947" s="23"/>
      <c r="M1947" s="23"/>
      <c r="N1947" s="23"/>
      <c r="P1947" s="23"/>
    </row>
    <row r="1948" spans="2:16" x14ac:dyDescent="0.25">
      <c r="B1948" s="23"/>
      <c r="E1948" s="23"/>
      <c r="G1948" s="23"/>
      <c r="H1948" s="23"/>
      <c r="J1948" s="23"/>
      <c r="K1948" s="23"/>
      <c r="M1948" s="23"/>
      <c r="N1948" s="23"/>
      <c r="P1948" s="23"/>
    </row>
    <row r="1949" spans="2:16" x14ac:dyDescent="0.25">
      <c r="B1949" s="23"/>
      <c r="E1949" s="23"/>
      <c r="G1949" s="23"/>
      <c r="H1949" s="23"/>
      <c r="J1949" s="23"/>
      <c r="K1949" s="23"/>
      <c r="M1949" s="23"/>
      <c r="N1949" s="23"/>
      <c r="P1949" s="23"/>
    </row>
    <row r="1950" spans="2:16" x14ac:dyDescent="0.25">
      <c r="B1950" s="23"/>
      <c r="E1950" s="23"/>
      <c r="G1950" s="23"/>
      <c r="H1950" s="23"/>
      <c r="J1950" s="23"/>
      <c r="K1950" s="23"/>
      <c r="M1950" s="23"/>
      <c r="N1950" s="23"/>
      <c r="P1950" s="23"/>
    </row>
    <row r="1951" spans="2:16" x14ac:dyDescent="0.25">
      <c r="B1951" s="23"/>
      <c r="E1951" s="23"/>
      <c r="G1951" s="23"/>
      <c r="H1951" s="23"/>
      <c r="J1951" s="23"/>
      <c r="K1951" s="23"/>
      <c r="M1951" s="23"/>
      <c r="N1951" s="23"/>
      <c r="P1951" s="23"/>
    </row>
    <row r="1952" spans="2:16" x14ac:dyDescent="0.25">
      <c r="B1952" s="23"/>
      <c r="E1952" s="23"/>
      <c r="G1952" s="23"/>
      <c r="H1952" s="23"/>
      <c r="J1952" s="23"/>
      <c r="K1952" s="23"/>
      <c r="M1952" s="23"/>
      <c r="N1952" s="23"/>
      <c r="P1952" s="23"/>
    </row>
    <row r="1953" spans="2:16" x14ac:dyDescent="0.25">
      <c r="B1953" s="23"/>
      <c r="E1953" s="23"/>
      <c r="G1953" s="23"/>
      <c r="H1953" s="23"/>
      <c r="J1953" s="23"/>
      <c r="K1953" s="23"/>
      <c r="M1953" s="23"/>
      <c r="N1953" s="23"/>
      <c r="P1953" s="23"/>
    </row>
    <row r="1954" spans="2:16" x14ac:dyDescent="0.25">
      <c r="B1954" s="23"/>
      <c r="E1954" s="23"/>
      <c r="G1954" s="23"/>
      <c r="H1954" s="23"/>
      <c r="J1954" s="23"/>
      <c r="K1954" s="23"/>
      <c r="M1954" s="23"/>
      <c r="N1954" s="23"/>
      <c r="P1954" s="23"/>
    </row>
    <row r="1955" spans="2:16" x14ac:dyDescent="0.25">
      <c r="B1955" s="23"/>
      <c r="E1955" s="23"/>
      <c r="G1955" s="23"/>
      <c r="H1955" s="23"/>
      <c r="J1955" s="23"/>
      <c r="K1955" s="23"/>
      <c r="M1955" s="23"/>
      <c r="N1955" s="23"/>
      <c r="P1955" s="23"/>
    </row>
    <row r="1956" spans="2:16" x14ac:dyDescent="0.25">
      <c r="B1956" s="23"/>
      <c r="E1956" s="23"/>
      <c r="G1956" s="23"/>
      <c r="H1956" s="23"/>
      <c r="J1956" s="23"/>
      <c r="K1956" s="23"/>
      <c r="M1956" s="23"/>
      <c r="N1956" s="23"/>
      <c r="P1956" s="23"/>
    </row>
    <row r="1957" spans="2:16" x14ac:dyDescent="0.25">
      <c r="B1957" s="23"/>
      <c r="E1957" s="23"/>
      <c r="G1957" s="23"/>
      <c r="H1957" s="23"/>
      <c r="J1957" s="23"/>
      <c r="K1957" s="23"/>
      <c r="M1957" s="23"/>
      <c r="N1957" s="23"/>
      <c r="P1957" s="23"/>
    </row>
    <row r="1958" spans="2:16" x14ac:dyDescent="0.25">
      <c r="B1958" s="23"/>
      <c r="E1958" s="23"/>
      <c r="G1958" s="23"/>
      <c r="H1958" s="23"/>
      <c r="J1958" s="23"/>
      <c r="K1958" s="23"/>
      <c r="M1958" s="23"/>
      <c r="N1958" s="23"/>
      <c r="P1958" s="23"/>
    </row>
    <row r="1959" spans="2:16" x14ac:dyDescent="0.25">
      <c r="B1959" s="23"/>
      <c r="E1959" s="23"/>
      <c r="G1959" s="23"/>
      <c r="H1959" s="23"/>
      <c r="J1959" s="23"/>
      <c r="K1959" s="23"/>
      <c r="M1959" s="23"/>
      <c r="N1959" s="23"/>
      <c r="P1959" s="23"/>
    </row>
    <row r="1960" spans="2:16" x14ac:dyDescent="0.25">
      <c r="B1960" s="23"/>
      <c r="E1960" s="23"/>
      <c r="G1960" s="23"/>
      <c r="H1960" s="23"/>
      <c r="J1960" s="23"/>
      <c r="K1960" s="23"/>
      <c r="M1960" s="23"/>
      <c r="N1960" s="23"/>
      <c r="P1960" s="23"/>
    </row>
    <row r="1961" spans="2:16" x14ac:dyDescent="0.25">
      <c r="B1961" s="23"/>
      <c r="E1961" s="23"/>
      <c r="G1961" s="23"/>
      <c r="H1961" s="23"/>
      <c r="J1961" s="23"/>
      <c r="K1961" s="23"/>
      <c r="M1961" s="23"/>
      <c r="N1961" s="23"/>
      <c r="P1961" s="23"/>
    </row>
    <row r="1962" spans="2:16" x14ac:dyDescent="0.25">
      <c r="B1962" s="23"/>
      <c r="E1962" s="23"/>
      <c r="G1962" s="23"/>
      <c r="H1962" s="23"/>
      <c r="J1962" s="23"/>
      <c r="K1962" s="23"/>
      <c r="M1962" s="23"/>
      <c r="N1962" s="23"/>
      <c r="P1962" s="23"/>
    </row>
    <row r="1963" spans="2:16" x14ac:dyDescent="0.25">
      <c r="B1963" s="23"/>
      <c r="E1963" s="23"/>
      <c r="G1963" s="23"/>
      <c r="H1963" s="23"/>
      <c r="J1963" s="23"/>
      <c r="K1963" s="23"/>
      <c r="M1963" s="23"/>
      <c r="N1963" s="23"/>
      <c r="P1963" s="23"/>
    </row>
    <row r="1964" spans="2:16" x14ac:dyDescent="0.25">
      <c r="B1964" s="23"/>
      <c r="E1964" s="23"/>
      <c r="G1964" s="23"/>
      <c r="H1964" s="23"/>
      <c r="J1964" s="23"/>
      <c r="K1964" s="23"/>
      <c r="M1964" s="23"/>
      <c r="N1964" s="23"/>
      <c r="P1964" s="23"/>
    </row>
    <row r="1965" spans="2:16" x14ac:dyDescent="0.25">
      <c r="B1965" s="23"/>
      <c r="E1965" s="23"/>
      <c r="G1965" s="23"/>
      <c r="H1965" s="23"/>
      <c r="J1965" s="23"/>
      <c r="K1965" s="23"/>
      <c r="M1965" s="23"/>
      <c r="N1965" s="23"/>
      <c r="P1965" s="23"/>
    </row>
    <row r="1966" spans="2:16" x14ac:dyDescent="0.25">
      <c r="B1966" s="23"/>
      <c r="E1966" s="23"/>
      <c r="G1966" s="23"/>
      <c r="H1966" s="23"/>
      <c r="J1966" s="23"/>
      <c r="K1966" s="23"/>
      <c r="M1966" s="23"/>
      <c r="N1966" s="23"/>
      <c r="P1966" s="23"/>
    </row>
    <row r="1967" spans="2:16" x14ac:dyDescent="0.25">
      <c r="B1967" s="23"/>
      <c r="E1967" s="23"/>
      <c r="G1967" s="23"/>
      <c r="H1967" s="23"/>
      <c r="J1967" s="23"/>
      <c r="K1967" s="23"/>
      <c r="M1967" s="23"/>
      <c r="N1967" s="23"/>
      <c r="P1967" s="23"/>
    </row>
    <row r="1968" spans="2:16" x14ac:dyDescent="0.25">
      <c r="B1968" s="23"/>
      <c r="E1968" s="23"/>
      <c r="G1968" s="23"/>
      <c r="H1968" s="23"/>
      <c r="J1968" s="23"/>
      <c r="K1968" s="23"/>
      <c r="M1968" s="23"/>
      <c r="N1968" s="23"/>
      <c r="P1968" s="23"/>
    </row>
    <row r="1969" spans="2:16" x14ac:dyDescent="0.25">
      <c r="B1969" s="23"/>
      <c r="E1969" s="23"/>
      <c r="G1969" s="23"/>
      <c r="H1969" s="23"/>
      <c r="J1969" s="23"/>
      <c r="K1969" s="23"/>
      <c r="M1969" s="23"/>
      <c r="N1969" s="23"/>
      <c r="P1969" s="23"/>
    </row>
    <row r="1970" spans="2:16" x14ac:dyDescent="0.25">
      <c r="B1970" s="23"/>
      <c r="E1970" s="23"/>
      <c r="G1970" s="23"/>
      <c r="H1970" s="23"/>
      <c r="J1970" s="23"/>
      <c r="K1970" s="23"/>
      <c r="M1970" s="23"/>
      <c r="N1970" s="23"/>
      <c r="P1970" s="23"/>
    </row>
    <row r="1971" spans="2:16" x14ac:dyDescent="0.25">
      <c r="B1971" s="23"/>
      <c r="E1971" s="23"/>
      <c r="G1971" s="23"/>
      <c r="H1971" s="23"/>
      <c r="J1971" s="23"/>
      <c r="K1971" s="23"/>
      <c r="M1971" s="23"/>
      <c r="N1971" s="23"/>
      <c r="P1971" s="23"/>
    </row>
    <row r="1972" spans="2:16" x14ac:dyDescent="0.25">
      <c r="B1972" s="23"/>
      <c r="E1972" s="23"/>
      <c r="G1972" s="23"/>
      <c r="H1972" s="23"/>
      <c r="J1972" s="23"/>
      <c r="K1972" s="23"/>
      <c r="M1972" s="23"/>
      <c r="N1972" s="23"/>
      <c r="P1972" s="23"/>
    </row>
    <row r="1973" spans="2:16" x14ac:dyDescent="0.25">
      <c r="B1973" s="23"/>
      <c r="E1973" s="23"/>
      <c r="G1973" s="23"/>
      <c r="H1973" s="23"/>
      <c r="J1973" s="23"/>
      <c r="K1973" s="23"/>
      <c r="M1973" s="23"/>
      <c r="N1973" s="23"/>
      <c r="P1973" s="23"/>
    </row>
    <row r="1974" spans="2:16" x14ac:dyDescent="0.25">
      <c r="B1974" s="23"/>
      <c r="E1974" s="23"/>
      <c r="G1974" s="23"/>
      <c r="H1974" s="23"/>
      <c r="J1974" s="23"/>
      <c r="K1974" s="23"/>
      <c r="M1974" s="23"/>
      <c r="N1974" s="23"/>
      <c r="P1974" s="23"/>
    </row>
    <row r="1975" spans="2:16" x14ac:dyDescent="0.25">
      <c r="B1975" s="23"/>
      <c r="E1975" s="23"/>
      <c r="G1975" s="23"/>
      <c r="H1975" s="23"/>
      <c r="J1975" s="23"/>
      <c r="K1975" s="23"/>
      <c r="M1975" s="23"/>
      <c r="N1975" s="23"/>
      <c r="P1975" s="23"/>
    </row>
    <row r="1976" spans="2:16" x14ac:dyDescent="0.25">
      <c r="B1976" s="23"/>
      <c r="E1976" s="23"/>
      <c r="G1976" s="23"/>
      <c r="H1976" s="23"/>
      <c r="J1976" s="23"/>
      <c r="K1976" s="23"/>
      <c r="M1976" s="23"/>
      <c r="N1976" s="23"/>
      <c r="P1976" s="23"/>
    </row>
    <row r="1977" spans="2:16" x14ac:dyDescent="0.25">
      <c r="B1977" s="23"/>
      <c r="E1977" s="23"/>
      <c r="G1977" s="23"/>
      <c r="H1977" s="23"/>
      <c r="J1977" s="23"/>
      <c r="K1977" s="23"/>
      <c r="M1977" s="23"/>
      <c r="N1977" s="23"/>
      <c r="P1977" s="23"/>
    </row>
    <row r="1978" spans="2:16" x14ac:dyDescent="0.25">
      <c r="B1978" s="23"/>
      <c r="E1978" s="23"/>
      <c r="G1978" s="23"/>
      <c r="H1978" s="23"/>
      <c r="J1978" s="23"/>
      <c r="K1978" s="23"/>
      <c r="M1978" s="23"/>
      <c r="N1978" s="23"/>
      <c r="P1978" s="23"/>
    </row>
    <row r="1979" spans="2:16" x14ac:dyDescent="0.25">
      <c r="B1979" s="23"/>
      <c r="E1979" s="23"/>
      <c r="G1979" s="23"/>
      <c r="H1979" s="23"/>
      <c r="J1979" s="23"/>
      <c r="K1979" s="23"/>
      <c r="M1979" s="23"/>
      <c r="N1979" s="23"/>
      <c r="P1979" s="23"/>
    </row>
    <row r="1980" spans="2:16" x14ac:dyDescent="0.25">
      <c r="B1980" s="23"/>
      <c r="E1980" s="23"/>
      <c r="G1980" s="23"/>
      <c r="H1980" s="23"/>
      <c r="J1980" s="23"/>
      <c r="K1980" s="23"/>
      <c r="M1980" s="23"/>
      <c r="N1980" s="23"/>
      <c r="P1980" s="23"/>
    </row>
    <row r="1981" spans="2:16" x14ac:dyDescent="0.25">
      <c r="B1981" s="23"/>
      <c r="E1981" s="23"/>
      <c r="G1981" s="23"/>
      <c r="H1981" s="23"/>
      <c r="J1981" s="23"/>
      <c r="K1981" s="23"/>
      <c r="M1981" s="23"/>
      <c r="N1981" s="23"/>
      <c r="P1981" s="23"/>
    </row>
    <row r="1982" spans="2:16" x14ac:dyDescent="0.25">
      <c r="B1982" s="23"/>
      <c r="E1982" s="23"/>
      <c r="G1982" s="23"/>
      <c r="H1982" s="23"/>
      <c r="J1982" s="23"/>
      <c r="K1982" s="23"/>
      <c r="M1982" s="23"/>
      <c r="N1982" s="23"/>
      <c r="P1982" s="23"/>
    </row>
    <row r="1983" spans="2:16" x14ac:dyDescent="0.25">
      <c r="B1983" s="23"/>
      <c r="E1983" s="23"/>
      <c r="G1983" s="23"/>
      <c r="H1983" s="23"/>
      <c r="J1983" s="23"/>
      <c r="K1983" s="23"/>
      <c r="M1983" s="23"/>
      <c r="N1983" s="23"/>
      <c r="P1983" s="23"/>
    </row>
    <row r="1984" spans="2:16" x14ac:dyDescent="0.25">
      <c r="B1984" s="23"/>
      <c r="E1984" s="23"/>
      <c r="G1984" s="23"/>
      <c r="H1984" s="23"/>
      <c r="J1984" s="23"/>
      <c r="K1984" s="23"/>
      <c r="M1984" s="23"/>
      <c r="N1984" s="23"/>
      <c r="P1984" s="23"/>
    </row>
    <row r="1985" spans="2:16" x14ac:dyDescent="0.25">
      <c r="B1985" s="23"/>
      <c r="E1985" s="23"/>
      <c r="G1985" s="23"/>
      <c r="H1985" s="23"/>
      <c r="J1985" s="23"/>
      <c r="K1985" s="23"/>
      <c r="M1985" s="23"/>
      <c r="N1985" s="23"/>
      <c r="P1985" s="23"/>
    </row>
    <row r="1986" spans="2:16" x14ac:dyDescent="0.25">
      <c r="B1986" s="23"/>
      <c r="E1986" s="23"/>
      <c r="G1986" s="23"/>
      <c r="H1986" s="23"/>
      <c r="J1986" s="23"/>
      <c r="K1986" s="23"/>
      <c r="M1986" s="23"/>
      <c r="N1986" s="23"/>
      <c r="P1986" s="23"/>
    </row>
    <row r="1987" spans="2:16" x14ac:dyDescent="0.25">
      <c r="B1987" s="23"/>
      <c r="E1987" s="23"/>
      <c r="G1987" s="23"/>
      <c r="H1987" s="23"/>
      <c r="J1987" s="23"/>
      <c r="K1987" s="23"/>
      <c r="M1987" s="23"/>
      <c r="N1987" s="23"/>
      <c r="P1987" s="23"/>
    </row>
    <row r="1988" spans="2:16" x14ac:dyDescent="0.25">
      <c r="B1988" s="23"/>
      <c r="E1988" s="23"/>
      <c r="G1988" s="23"/>
      <c r="H1988" s="23"/>
      <c r="J1988" s="23"/>
      <c r="K1988" s="23"/>
      <c r="M1988" s="23"/>
      <c r="N1988" s="23"/>
      <c r="P1988" s="23"/>
    </row>
    <row r="1989" spans="2:16" x14ac:dyDescent="0.25">
      <c r="B1989" s="23"/>
      <c r="E1989" s="23"/>
      <c r="G1989" s="23"/>
      <c r="H1989" s="23"/>
      <c r="J1989" s="23"/>
      <c r="K1989" s="23"/>
      <c r="M1989" s="23"/>
      <c r="N1989" s="23"/>
      <c r="P1989" s="23"/>
    </row>
    <row r="1990" spans="2:16" x14ac:dyDescent="0.25">
      <c r="B1990" s="23"/>
      <c r="E1990" s="23"/>
      <c r="G1990" s="23"/>
      <c r="H1990" s="23"/>
      <c r="J1990" s="23"/>
      <c r="K1990" s="23"/>
      <c r="M1990" s="23"/>
      <c r="N1990" s="23"/>
      <c r="P1990" s="23"/>
    </row>
    <row r="1991" spans="2:16" x14ac:dyDescent="0.25">
      <c r="B1991" s="23"/>
      <c r="E1991" s="23"/>
      <c r="G1991" s="23"/>
      <c r="H1991" s="23"/>
      <c r="J1991" s="23"/>
      <c r="K1991" s="23"/>
      <c r="M1991" s="23"/>
      <c r="N1991" s="23"/>
      <c r="P1991" s="23"/>
    </row>
    <row r="1992" spans="2:16" x14ac:dyDescent="0.25">
      <c r="B1992" s="23"/>
      <c r="E1992" s="23"/>
      <c r="G1992" s="23"/>
      <c r="H1992" s="23"/>
      <c r="J1992" s="23"/>
      <c r="K1992" s="23"/>
      <c r="M1992" s="23"/>
      <c r="N1992" s="23"/>
      <c r="P1992" s="23"/>
    </row>
    <row r="1993" spans="2:16" x14ac:dyDescent="0.25">
      <c r="B1993" s="23"/>
      <c r="E1993" s="23"/>
      <c r="G1993" s="23"/>
      <c r="H1993" s="23"/>
      <c r="J1993" s="23"/>
      <c r="K1993" s="23"/>
      <c r="M1993" s="23"/>
      <c r="N1993" s="23"/>
      <c r="P1993" s="23"/>
    </row>
    <row r="1994" spans="2:16" x14ac:dyDescent="0.25">
      <c r="B1994" s="23"/>
      <c r="E1994" s="23"/>
      <c r="G1994" s="23"/>
      <c r="H1994" s="23"/>
      <c r="J1994" s="23"/>
      <c r="K1994" s="23"/>
      <c r="M1994" s="23"/>
      <c r="N1994" s="23"/>
      <c r="P1994" s="23"/>
    </row>
    <row r="1995" spans="2:16" x14ac:dyDescent="0.25">
      <c r="B1995" s="23"/>
      <c r="E1995" s="23"/>
      <c r="G1995" s="23"/>
      <c r="H1995" s="23"/>
      <c r="J1995" s="23"/>
      <c r="K1995" s="23"/>
      <c r="M1995" s="23"/>
      <c r="N1995" s="23"/>
      <c r="P1995" s="23"/>
    </row>
    <row r="1996" spans="2:16" x14ac:dyDescent="0.25">
      <c r="B1996" s="23"/>
      <c r="E1996" s="23"/>
      <c r="G1996" s="23"/>
      <c r="H1996" s="23"/>
      <c r="J1996" s="23"/>
      <c r="K1996" s="23"/>
      <c r="M1996" s="23"/>
      <c r="N1996" s="23"/>
      <c r="P1996" s="23"/>
    </row>
    <row r="1997" spans="2:16" x14ac:dyDescent="0.25">
      <c r="B1997" s="23"/>
      <c r="E1997" s="23"/>
      <c r="G1997" s="23"/>
      <c r="H1997" s="23"/>
      <c r="J1997" s="23"/>
      <c r="K1997" s="23"/>
      <c r="M1997" s="23"/>
      <c r="N1997" s="23"/>
      <c r="P1997" s="23"/>
    </row>
    <row r="1998" spans="2:16" x14ac:dyDescent="0.25">
      <c r="B1998" s="23"/>
      <c r="E1998" s="23"/>
      <c r="G1998" s="23"/>
      <c r="H1998" s="23"/>
      <c r="J1998" s="23"/>
      <c r="K1998" s="23"/>
      <c r="M1998" s="23"/>
      <c r="N1998" s="23"/>
      <c r="P1998" s="23"/>
    </row>
    <row r="1999" spans="2:16" x14ac:dyDescent="0.25">
      <c r="B1999" s="23"/>
      <c r="E1999" s="23"/>
      <c r="G1999" s="23"/>
      <c r="H1999" s="23"/>
      <c r="J1999" s="23"/>
      <c r="K1999" s="23"/>
      <c r="M1999" s="23"/>
      <c r="N1999" s="23"/>
      <c r="P1999" s="23"/>
    </row>
    <row r="2000" spans="2:16" x14ac:dyDescent="0.25">
      <c r="B2000" s="23"/>
      <c r="E2000" s="23"/>
      <c r="G2000" s="23"/>
      <c r="H2000" s="23"/>
      <c r="J2000" s="23"/>
      <c r="K2000" s="23"/>
      <c r="M2000" s="23"/>
      <c r="N2000" s="23"/>
      <c r="P2000" s="23"/>
    </row>
    <row r="2001" spans="2:16" x14ac:dyDescent="0.25">
      <c r="B2001" s="23"/>
      <c r="E2001" s="23"/>
      <c r="G2001" s="23"/>
      <c r="H2001" s="23"/>
      <c r="J2001" s="23"/>
      <c r="K2001" s="23"/>
      <c r="M2001" s="23"/>
      <c r="N2001" s="23"/>
      <c r="P2001" s="23"/>
    </row>
    <row r="2002" spans="2:16" x14ac:dyDescent="0.25">
      <c r="B2002" s="23"/>
      <c r="E2002" s="23"/>
      <c r="G2002" s="23"/>
      <c r="H2002" s="23"/>
      <c r="J2002" s="23"/>
      <c r="K2002" s="23"/>
      <c r="M2002" s="23"/>
      <c r="N2002" s="23"/>
      <c r="P2002" s="23"/>
    </row>
    <row r="2003" spans="2:16" x14ac:dyDescent="0.25">
      <c r="B2003" s="23"/>
      <c r="E2003" s="23"/>
      <c r="G2003" s="23"/>
      <c r="H2003" s="23"/>
      <c r="J2003" s="23"/>
      <c r="K2003" s="23"/>
      <c r="M2003" s="23"/>
      <c r="N2003" s="23"/>
      <c r="P2003" s="23"/>
    </row>
    <row r="2004" spans="2:16" x14ac:dyDescent="0.25">
      <c r="B2004" s="23"/>
      <c r="E2004" s="23"/>
      <c r="G2004" s="23"/>
      <c r="H2004" s="23"/>
      <c r="J2004" s="23"/>
      <c r="K2004" s="23"/>
      <c r="M2004" s="23"/>
      <c r="N2004" s="23"/>
      <c r="P2004" s="23"/>
    </row>
    <row r="2005" spans="2:16" x14ac:dyDescent="0.25">
      <c r="B2005" s="23"/>
      <c r="E2005" s="23"/>
      <c r="G2005" s="23"/>
      <c r="H2005" s="23"/>
      <c r="J2005" s="23"/>
      <c r="K2005" s="23"/>
      <c r="M2005" s="23"/>
      <c r="N2005" s="23"/>
      <c r="P2005" s="23"/>
    </row>
    <row r="2006" spans="2:16" x14ac:dyDescent="0.25">
      <c r="B2006" s="23"/>
      <c r="E2006" s="23"/>
      <c r="G2006" s="23"/>
      <c r="H2006" s="23"/>
      <c r="J2006" s="23"/>
      <c r="K2006" s="23"/>
      <c r="M2006" s="23"/>
      <c r="N2006" s="23"/>
      <c r="P2006" s="23"/>
    </row>
    <row r="2007" spans="2:16" x14ac:dyDescent="0.25">
      <c r="B2007" s="23"/>
      <c r="E2007" s="23"/>
      <c r="G2007" s="23"/>
      <c r="H2007" s="23"/>
      <c r="J2007" s="23"/>
      <c r="K2007" s="23"/>
      <c r="M2007" s="23"/>
      <c r="N2007" s="23"/>
      <c r="P2007" s="23"/>
    </row>
    <row r="2008" spans="2:16" x14ac:dyDescent="0.25">
      <c r="B2008" s="23"/>
      <c r="E2008" s="23"/>
      <c r="G2008" s="23"/>
      <c r="H2008" s="23"/>
      <c r="J2008" s="23"/>
      <c r="K2008" s="23"/>
      <c r="M2008" s="23"/>
      <c r="N2008" s="23"/>
      <c r="P2008" s="23"/>
    </row>
    <row r="2009" spans="2:16" x14ac:dyDescent="0.25">
      <c r="B2009" s="23"/>
      <c r="E2009" s="23"/>
      <c r="G2009" s="23"/>
      <c r="H2009" s="23"/>
      <c r="J2009" s="23"/>
      <c r="K2009" s="23"/>
      <c r="M2009" s="23"/>
      <c r="N2009" s="23"/>
      <c r="P2009" s="23"/>
    </row>
    <row r="2010" spans="2:16" x14ac:dyDescent="0.25">
      <c r="B2010" s="23"/>
      <c r="E2010" s="23"/>
      <c r="G2010" s="23"/>
      <c r="H2010" s="23"/>
      <c r="J2010" s="23"/>
      <c r="K2010" s="23"/>
      <c r="M2010" s="23"/>
      <c r="N2010" s="23"/>
      <c r="P2010" s="23"/>
    </row>
    <row r="2011" spans="2:16" x14ac:dyDescent="0.25">
      <c r="B2011" s="23"/>
      <c r="E2011" s="23"/>
      <c r="G2011" s="23"/>
      <c r="H2011" s="23"/>
      <c r="J2011" s="23"/>
      <c r="K2011" s="23"/>
      <c r="M2011" s="23"/>
      <c r="N2011" s="23"/>
      <c r="P2011" s="23"/>
    </row>
    <row r="2012" spans="2:16" x14ac:dyDescent="0.25">
      <c r="B2012" s="23"/>
      <c r="E2012" s="23"/>
      <c r="G2012" s="23"/>
      <c r="H2012" s="23"/>
      <c r="J2012" s="23"/>
      <c r="K2012" s="23"/>
      <c r="M2012" s="23"/>
      <c r="N2012" s="23"/>
      <c r="P2012" s="23"/>
    </row>
    <row r="2013" spans="2:16" x14ac:dyDescent="0.25">
      <c r="B2013" s="23"/>
      <c r="E2013" s="23"/>
      <c r="G2013" s="23"/>
      <c r="H2013" s="23"/>
      <c r="J2013" s="23"/>
      <c r="K2013" s="23"/>
      <c r="M2013" s="23"/>
      <c r="N2013" s="23"/>
      <c r="P2013" s="23"/>
    </row>
    <row r="2014" spans="2:16" x14ac:dyDescent="0.25">
      <c r="B2014" s="23"/>
      <c r="E2014" s="23"/>
      <c r="G2014" s="23"/>
      <c r="H2014" s="23"/>
      <c r="J2014" s="23"/>
      <c r="K2014" s="23"/>
      <c r="M2014" s="23"/>
      <c r="N2014" s="23"/>
      <c r="P2014" s="23"/>
    </row>
    <row r="2015" spans="2:16" x14ac:dyDescent="0.25">
      <c r="B2015" s="23"/>
      <c r="E2015" s="23"/>
      <c r="G2015" s="23"/>
      <c r="H2015" s="23"/>
      <c r="J2015" s="23"/>
      <c r="K2015" s="23"/>
      <c r="M2015" s="23"/>
      <c r="N2015" s="23"/>
      <c r="P2015" s="23"/>
    </row>
    <row r="2016" spans="2:16" x14ac:dyDescent="0.25">
      <c r="B2016" s="23"/>
      <c r="E2016" s="23"/>
      <c r="G2016" s="23"/>
      <c r="H2016" s="23"/>
      <c r="J2016" s="23"/>
      <c r="K2016" s="23"/>
      <c r="M2016" s="23"/>
      <c r="N2016" s="23"/>
      <c r="P2016" s="23"/>
    </row>
    <row r="2017" spans="2:16" x14ac:dyDescent="0.25">
      <c r="B2017" s="23"/>
      <c r="E2017" s="23"/>
      <c r="G2017" s="23"/>
      <c r="H2017" s="23"/>
      <c r="J2017" s="23"/>
      <c r="K2017" s="23"/>
      <c r="M2017" s="23"/>
      <c r="N2017" s="23"/>
      <c r="P2017" s="23"/>
    </row>
    <row r="2018" spans="2:16" x14ac:dyDescent="0.25">
      <c r="B2018" s="23"/>
      <c r="E2018" s="23"/>
      <c r="G2018" s="23"/>
      <c r="H2018" s="23"/>
      <c r="J2018" s="23"/>
      <c r="K2018" s="23"/>
      <c r="M2018" s="23"/>
      <c r="N2018" s="23"/>
      <c r="P2018" s="23"/>
    </row>
    <row r="2019" spans="2:16" x14ac:dyDescent="0.25">
      <c r="B2019" s="23"/>
      <c r="E2019" s="23"/>
      <c r="G2019" s="23"/>
      <c r="H2019" s="23"/>
      <c r="J2019" s="23"/>
      <c r="K2019" s="23"/>
      <c r="M2019" s="23"/>
      <c r="N2019" s="23"/>
      <c r="P2019" s="23"/>
    </row>
    <row r="2020" spans="2:16" x14ac:dyDescent="0.25">
      <c r="B2020" s="23"/>
      <c r="E2020" s="23"/>
      <c r="G2020" s="23"/>
      <c r="H2020" s="23"/>
      <c r="J2020" s="23"/>
      <c r="K2020" s="23"/>
      <c r="M2020" s="23"/>
      <c r="N2020" s="23"/>
      <c r="P2020" s="23"/>
    </row>
    <row r="2021" spans="2:16" x14ac:dyDescent="0.25">
      <c r="B2021" s="23"/>
      <c r="E2021" s="23"/>
      <c r="G2021" s="23"/>
      <c r="H2021" s="23"/>
      <c r="J2021" s="23"/>
      <c r="K2021" s="23"/>
      <c r="M2021" s="23"/>
      <c r="N2021" s="23"/>
      <c r="P2021" s="23"/>
    </row>
    <row r="2022" spans="2:16" x14ac:dyDescent="0.25">
      <c r="B2022" s="23"/>
      <c r="E2022" s="23"/>
      <c r="G2022" s="23"/>
      <c r="H2022" s="23"/>
      <c r="J2022" s="23"/>
      <c r="K2022" s="23"/>
      <c r="M2022" s="23"/>
      <c r="N2022" s="23"/>
      <c r="P2022" s="23"/>
    </row>
    <row r="2023" spans="2:16" x14ac:dyDescent="0.25">
      <c r="B2023" s="23"/>
      <c r="E2023" s="23"/>
      <c r="G2023" s="23"/>
      <c r="H2023" s="23"/>
      <c r="J2023" s="23"/>
      <c r="K2023" s="23"/>
      <c r="M2023" s="23"/>
      <c r="N2023" s="23"/>
      <c r="P2023" s="23"/>
    </row>
    <row r="2024" spans="2:16" x14ac:dyDescent="0.25">
      <c r="B2024" s="23"/>
      <c r="E2024" s="23"/>
      <c r="G2024" s="23"/>
      <c r="H2024" s="23"/>
      <c r="J2024" s="23"/>
      <c r="K2024" s="23"/>
      <c r="M2024" s="23"/>
      <c r="N2024" s="23"/>
      <c r="P2024" s="23"/>
    </row>
    <row r="2025" spans="2:16" x14ac:dyDescent="0.25">
      <c r="B2025" s="23"/>
      <c r="E2025" s="23"/>
      <c r="G2025" s="23"/>
      <c r="H2025" s="23"/>
      <c r="J2025" s="23"/>
      <c r="K2025" s="23"/>
      <c r="M2025" s="23"/>
      <c r="N2025" s="23"/>
      <c r="P2025" s="23"/>
    </row>
    <row r="2026" spans="2:16" x14ac:dyDescent="0.25">
      <c r="B2026" s="23"/>
      <c r="E2026" s="23"/>
      <c r="G2026" s="23"/>
      <c r="H2026" s="23"/>
      <c r="J2026" s="23"/>
      <c r="K2026" s="23"/>
      <c r="M2026" s="23"/>
      <c r="N2026" s="23"/>
      <c r="P2026" s="23"/>
    </row>
    <row r="2027" spans="2:16" x14ac:dyDescent="0.25">
      <c r="B2027" s="23"/>
      <c r="E2027" s="23"/>
      <c r="G2027" s="23"/>
      <c r="H2027" s="23"/>
      <c r="J2027" s="23"/>
      <c r="K2027" s="23"/>
      <c r="M2027" s="23"/>
      <c r="N2027" s="23"/>
      <c r="P2027" s="23"/>
    </row>
    <row r="2028" spans="2:16" x14ac:dyDescent="0.25">
      <c r="B2028" s="23"/>
      <c r="E2028" s="23"/>
      <c r="G2028" s="23"/>
      <c r="H2028" s="23"/>
      <c r="J2028" s="23"/>
      <c r="K2028" s="23"/>
      <c r="M2028" s="23"/>
      <c r="N2028" s="23"/>
      <c r="P2028" s="23"/>
    </row>
    <row r="2029" spans="2:16" x14ac:dyDescent="0.25">
      <c r="B2029" s="23"/>
      <c r="E2029" s="23"/>
      <c r="G2029" s="23"/>
      <c r="H2029" s="23"/>
      <c r="J2029" s="23"/>
      <c r="K2029" s="23"/>
      <c r="M2029" s="23"/>
      <c r="N2029" s="23"/>
      <c r="P2029" s="23"/>
    </row>
    <row r="2030" spans="2:16" x14ac:dyDescent="0.25">
      <c r="B2030" s="23"/>
      <c r="E2030" s="23"/>
      <c r="G2030" s="23"/>
      <c r="H2030" s="23"/>
      <c r="J2030" s="23"/>
      <c r="K2030" s="23"/>
      <c r="M2030" s="23"/>
      <c r="N2030" s="23"/>
      <c r="P2030" s="23"/>
    </row>
    <row r="2031" spans="2:16" x14ac:dyDescent="0.25">
      <c r="B2031" s="23"/>
      <c r="E2031" s="23"/>
      <c r="G2031" s="23"/>
      <c r="H2031" s="23"/>
      <c r="J2031" s="23"/>
      <c r="K2031" s="23"/>
      <c r="M2031" s="23"/>
      <c r="N2031" s="23"/>
      <c r="P2031" s="23"/>
    </row>
    <row r="2032" spans="2:16" x14ac:dyDescent="0.25">
      <c r="B2032" s="23"/>
      <c r="E2032" s="23"/>
      <c r="G2032" s="23"/>
      <c r="H2032" s="23"/>
      <c r="J2032" s="23"/>
      <c r="K2032" s="23"/>
      <c r="M2032" s="23"/>
      <c r="N2032" s="23"/>
      <c r="P2032" s="23"/>
    </row>
    <row r="2033" spans="2:16" x14ac:dyDescent="0.25">
      <c r="B2033" s="23"/>
      <c r="E2033" s="23"/>
      <c r="G2033" s="23"/>
      <c r="H2033" s="23"/>
      <c r="J2033" s="23"/>
      <c r="K2033" s="23"/>
      <c r="M2033" s="23"/>
      <c r="N2033" s="23"/>
      <c r="P2033" s="23"/>
    </row>
    <row r="2034" spans="2:16" x14ac:dyDescent="0.25">
      <c r="B2034" s="23"/>
      <c r="E2034" s="23"/>
      <c r="G2034" s="23"/>
      <c r="H2034" s="23"/>
      <c r="J2034" s="23"/>
      <c r="K2034" s="23"/>
      <c r="M2034" s="23"/>
      <c r="N2034" s="23"/>
      <c r="P2034" s="23"/>
    </row>
    <row r="2035" spans="2:16" x14ac:dyDescent="0.25">
      <c r="B2035" s="23"/>
      <c r="E2035" s="23"/>
      <c r="G2035" s="23"/>
      <c r="H2035" s="23"/>
      <c r="J2035" s="23"/>
      <c r="K2035" s="23"/>
      <c r="M2035" s="23"/>
      <c r="N2035" s="23"/>
      <c r="P2035" s="23"/>
    </row>
    <row r="2036" spans="2:16" x14ac:dyDescent="0.25">
      <c r="B2036" s="23"/>
      <c r="E2036" s="23"/>
      <c r="G2036" s="23"/>
      <c r="H2036" s="23"/>
      <c r="J2036" s="23"/>
      <c r="K2036" s="23"/>
      <c r="M2036" s="23"/>
      <c r="N2036" s="23"/>
      <c r="P2036" s="23"/>
    </row>
    <row r="2037" spans="2:16" x14ac:dyDescent="0.25">
      <c r="B2037" s="23"/>
      <c r="E2037" s="23"/>
      <c r="G2037" s="23"/>
      <c r="H2037" s="23"/>
      <c r="J2037" s="23"/>
      <c r="K2037" s="23"/>
      <c r="M2037" s="23"/>
      <c r="N2037" s="23"/>
      <c r="P2037" s="23"/>
    </row>
    <row r="2038" spans="2:16" x14ac:dyDescent="0.25">
      <c r="B2038" s="23"/>
      <c r="E2038" s="23"/>
      <c r="G2038" s="23"/>
      <c r="H2038" s="23"/>
      <c r="J2038" s="23"/>
      <c r="K2038" s="23"/>
      <c r="M2038" s="23"/>
      <c r="N2038" s="23"/>
      <c r="P2038" s="23"/>
    </row>
    <row r="2039" spans="2:16" x14ac:dyDescent="0.25">
      <c r="B2039" s="23"/>
      <c r="E2039" s="23"/>
      <c r="G2039" s="23"/>
      <c r="H2039" s="23"/>
      <c r="J2039" s="23"/>
      <c r="K2039" s="23"/>
      <c r="M2039" s="23"/>
      <c r="N2039" s="23"/>
      <c r="P2039" s="23"/>
    </row>
    <row r="2040" spans="2:16" x14ac:dyDescent="0.25">
      <c r="B2040" s="23"/>
      <c r="E2040" s="23"/>
      <c r="G2040" s="23"/>
      <c r="H2040" s="23"/>
      <c r="J2040" s="23"/>
      <c r="K2040" s="23"/>
      <c r="M2040" s="23"/>
      <c r="N2040" s="23"/>
      <c r="P2040" s="23"/>
    </row>
    <row r="2041" spans="2:16" x14ac:dyDescent="0.25">
      <c r="B2041" s="23"/>
      <c r="E2041" s="23"/>
      <c r="G2041" s="23"/>
      <c r="H2041" s="23"/>
      <c r="J2041" s="23"/>
      <c r="K2041" s="23"/>
      <c r="M2041" s="23"/>
      <c r="N2041" s="23"/>
      <c r="P2041" s="23"/>
    </row>
    <row r="2042" spans="2:16" x14ac:dyDescent="0.25">
      <c r="B2042" s="23"/>
      <c r="E2042" s="23"/>
      <c r="G2042" s="23"/>
      <c r="H2042" s="23"/>
      <c r="J2042" s="23"/>
      <c r="K2042" s="23"/>
      <c r="M2042" s="23"/>
      <c r="N2042" s="23"/>
      <c r="P2042" s="23"/>
    </row>
    <row r="2043" spans="2:16" x14ac:dyDescent="0.25">
      <c r="B2043" s="23"/>
      <c r="E2043" s="23"/>
      <c r="G2043" s="23"/>
      <c r="H2043" s="23"/>
      <c r="J2043" s="23"/>
      <c r="K2043" s="23"/>
      <c r="M2043" s="23"/>
      <c r="N2043" s="23"/>
      <c r="P2043" s="23"/>
    </row>
    <row r="2044" spans="2:16" x14ac:dyDescent="0.25">
      <c r="B2044" s="23"/>
      <c r="E2044" s="23"/>
      <c r="G2044" s="23"/>
      <c r="H2044" s="23"/>
      <c r="J2044" s="23"/>
      <c r="K2044" s="23"/>
      <c r="M2044" s="23"/>
      <c r="N2044" s="23"/>
      <c r="P2044" s="23"/>
    </row>
    <row r="2045" spans="2:16" x14ac:dyDescent="0.25">
      <c r="B2045" s="23"/>
      <c r="E2045" s="23"/>
      <c r="G2045" s="23"/>
      <c r="H2045" s="23"/>
      <c r="J2045" s="23"/>
      <c r="K2045" s="23"/>
      <c r="M2045" s="23"/>
      <c r="N2045" s="23"/>
      <c r="P2045" s="23"/>
    </row>
    <row r="2046" spans="2:16" x14ac:dyDescent="0.25">
      <c r="B2046" s="23"/>
      <c r="E2046" s="23"/>
      <c r="G2046" s="23"/>
      <c r="H2046" s="23"/>
      <c r="J2046" s="23"/>
      <c r="K2046" s="23"/>
      <c r="M2046" s="23"/>
      <c r="N2046" s="23"/>
      <c r="P2046" s="23"/>
    </row>
    <row r="2047" spans="2:16" x14ac:dyDescent="0.25">
      <c r="B2047" s="23"/>
      <c r="E2047" s="23"/>
      <c r="G2047" s="23"/>
      <c r="H2047" s="23"/>
      <c r="J2047" s="23"/>
      <c r="K2047" s="23"/>
      <c r="M2047" s="23"/>
      <c r="N2047" s="23"/>
      <c r="P2047" s="23"/>
    </row>
    <row r="2048" spans="2:16" x14ac:dyDescent="0.25">
      <c r="B2048" s="23"/>
      <c r="E2048" s="23"/>
      <c r="G2048" s="23"/>
      <c r="H2048" s="23"/>
      <c r="J2048" s="23"/>
      <c r="K2048" s="23"/>
      <c r="M2048" s="23"/>
      <c r="N2048" s="23"/>
      <c r="P2048" s="23"/>
    </row>
    <row r="2049" spans="2:16" x14ac:dyDescent="0.25">
      <c r="B2049" s="23"/>
      <c r="E2049" s="23"/>
      <c r="G2049" s="23"/>
      <c r="H2049" s="23"/>
      <c r="J2049" s="23"/>
      <c r="K2049" s="23"/>
      <c r="M2049" s="23"/>
      <c r="N2049" s="23"/>
      <c r="P2049" s="23"/>
    </row>
    <row r="2050" spans="2:16" x14ac:dyDescent="0.25">
      <c r="B2050" s="23"/>
      <c r="E2050" s="23"/>
      <c r="G2050" s="23"/>
      <c r="H2050" s="23"/>
      <c r="J2050" s="23"/>
      <c r="K2050" s="23"/>
      <c r="M2050" s="23"/>
      <c r="N2050" s="23"/>
      <c r="P2050" s="23"/>
    </row>
    <row r="2051" spans="2:16" x14ac:dyDescent="0.25">
      <c r="B2051" s="23"/>
      <c r="E2051" s="23"/>
      <c r="G2051" s="23"/>
      <c r="H2051" s="23"/>
      <c r="J2051" s="23"/>
      <c r="K2051" s="23"/>
      <c r="M2051" s="23"/>
      <c r="N2051" s="23"/>
      <c r="P2051" s="23"/>
    </row>
    <row r="2052" spans="2:16" x14ac:dyDescent="0.25">
      <c r="B2052" s="23"/>
      <c r="E2052" s="23"/>
      <c r="G2052" s="23"/>
      <c r="H2052" s="23"/>
      <c r="J2052" s="23"/>
      <c r="K2052" s="23"/>
      <c r="M2052" s="23"/>
      <c r="N2052" s="23"/>
      <c r="P2052" s="23"/>
    </row>
    <row r="2053" spans="2:16" x14ac:dyDescent="0.25">
      <c r="B2053" s="23"/>
      <c r="E2053" s="23"/>
      <c r="G2053" s="23"/>
      <c r="H2053" s="23"/>
      <c r="J2053" s="23"/>
      <c r="K2053" s="23"/>
      <c r="M2053" s="23"/>
      <c r="N2053" s="23"/>
      <c r="P2053" s="23"/>
    </row>
    <row r="2054" spans="2:16" x14ac:dyDescent="0.25">
      <c r="B2054" s="23"/>
      <c r="E2054" s="23"/>
      <c r="G2054" s="23"/>
      <c r="H2054" s="23"/>
      <c r="J2054" s="23"/>
      <c r="K2054" s="23"/>
      <c r="M2054" s="23"/>
      <c r="N2054" s="23"/>
      <c r="P2054" s="23"/>
    </row>
    <row r="2055" spans="2:16" x14ac:dyDescent="0.25">
      <c r="B2055" s="23"/>
      <c r="E2055" s="23"/>
      <c r="G2055" s="23"/>
      <c r="H2055" s="23"/>
      <c r="J2055" s="23"/>
      <c r="K2055" s="23"/>
      <c r="M2055" s="23"/>
      <c r="N2055" s="23"/>
      <c r="P2055" s="23"/>
    </row>
    <row r="2056" spans="2:16" x14ac:dyDescent="0.25">
      <c r="B2056" s="23"/>
      <c r="E2056" s="23"/>
      <c r="G2056" s="23"/>
      <c r="H2056" s="23"/>
      <c r="J2056" s="23"/>
      <c r="K2056" s="23"/>
      <c r="M2056" s="23"/>
      <c r="N2056" s="23"/>
      <c r="P2056" s="23"/>
    </row>
    <row r="2057" spans="2:16" x14ac:dyDescent="0.25">
      <c r="B2057" s="23"/>
      <c r="E2057" s="23"/>
      <c r="G2057" s="23"/>
      <c r="H2057" s="23"/>
      <c r="J2057" s="23"/>
      <c r="K2057" s="23"/>
      <c r="M2057" s="23"/>
      <c r="N2057" s="23"/>
      <c r="P2057" s="23"/>
    </row>
    <row r="2058" spans="2:16" x14ac:dyDescent="0.25">
      <c r="B2058" s="23"/>
      <c r="E2058" s="23"/>
      <c r="G2058" s="23"/>
      <c r="H2058" s="23"/>
      <c r="J2058" s="23"/>
      <c r="K2058" s="23"/>
      <c r="M2058" s="23"/>
      <c r="N2058" s="23"/>
      <c r="P2058" s="23"/>
    </row>
    <row r="2059" spans="2:16" x14ac:dyDescent="0.25">
      <c r="B2059" s="23"/>
      <c r="E2059" s="23"/>
      <c r="G2059" s="23"/>
      <c r="H2059" s="23"/>
      <c r="J2059" s="23"/>
      <c r="K2059" s="23"/>
      <c r="M2059" s="23"/>
      <c r="N2059" s="23"/>
      <c r="P2059" s="23"/>
    </row>
    <row r="2060" spans="2:16" x14ac:dyDescent="0.25">
      <c r="B2060" s="23"/>
      <c r="E2060" s="23"/>
      <c r="G2060" s="23"/>
      <c r="H2060" s="23"/>
      <c r="J2060" s="23"/>
      <c r="K2060" s="23"/>
      <c r="M2060" s="23"/>
      <c r="N2060" s="23"/>
      <c r="P2060" s="23"/>
    </row>
    <row r="2061" spans="2:16" x14ac:dyDescent="0.25">
      <c r="B2061" s="23"/>
      <c r="E2061" s="23"/>
      <c r="G2061" s="23"/>
      <c r="H2061" s="23"/>
      <c r="J2061" s="23"/>
      <c r="K2061" s="23"/>
      <c r="M2061" s="23"/>
      <c r="N2061" s="23"/>
      <c r="P2061" s="23"/>
    </row>
    <row r="2062" spans="2:16" x14ac:dyDescent="0.25">
      <c r="B2062" s="23"/>
      <c r="E2062" s="23"/>
      <c r="G2062" s="23"/>
      <c r="H2062" s="23"/>
      <c r="J2062" s="23"/>
      <c r="K2062" s="23"/>
      <c r="M2062" s="23"/>
      <c r="N2062" s="23"/>
      <c r="P2062" s="23"/>
    </row>
    <row r="2063" spans="2:16" x14ac:dyDescent="0.25">
      <c r="B2063" s="23"/>
      <c r="E2063" s="23"/>
      <c r="G2063" s="23"/>
      <c r="H2063" s="23"/>
      <c r="J2063" s="23"/>
      <c r="K2063" s="23"/>
      <c r="M2063" s="23"/>
      <c r="N2063" s="23"/>
      <c r="P2063" s="23"/>
    </row>
    <row r="2064" spans="2:16" x14ac:dyDescent="0.25">
      <c r="B2064" s="23"/>
      <c r="E2064" s="23"/>
      <c r="G2064" s="23"/>
      <c r="H2064" s="23"/>
      <c r="J2064" s="23"/>
      <c r="K2064" s="23"/>
      <c r="M2064" s="23"/>
      <c r="N2064" s="23"/>
      <c r="P2064" s="23"/>
    </row>
    <row r="2065" spans="2:16" x14ac:dyDescent="0.25">
      <c r="B2065" s="23"/>
      <c r="E2065" s="23"/>
      <c r="G2065" s="23"/>
      <c r="H2065" s="23"/>
      <c r="J2065" s="23"/>
      <c r="K2065" s="23"/>
      <c r="M2065" s="23"/>
      <c r="N2065" s="23"/>
      <c r="P2065" s="23"/>
    </row>
    <row r="2066" spans="2:16" x14ac:dyDescent="0.25">
      <c r="B2066" s="23"/>
      <c r="E2066" s="23"/>
      <c r="G2066" s="23"/>
      <c r="H2066" s="23"/>
      <c r="J2066" s="23"/>
      <c r="K2066" s="23"/>
      <c r="M2066" s="23"/>
      <c r="N2066" s="23"/>
      <c r="P2066" s="23"/>
    </row>
    <row r="2067" spans="2:16" x14ac:dyDescent="0.25">
      <c r="B2067" s="23"/>
      <c r="E2067" s="23"/>
      <c r="G2067" s="23"/>
      <c r="H2067" s="23"/>
      <c r="J2067" s="23"/>
      <c r="K2067" s="23"/>
      <c r="M2067" s="23"/>
      <c r="N2067" s="23"/>
      <c r="P2067" s="23"/>
    </row>
    <row r="2068" spans="2:16" x14ac:dyDescent="0.25">
      <c r="B2068" s="23"/>
      <c r="E2068" s="23"/>
      <c r="G2068" s="23"/>
      <c r="H2068" s="23"/>
      <c r="J2068" s="23"/>
      <c r="K2068" s="23"/>
      <c r="M2068" s="23"/>
      <c r="N2068" s="23"/>
      <c r="P2068" s="23"/>
    </row>
    <row r="2069" spans="2:16" x14ac:dyDescent="0.25">
      <c r="B2069" s="23"/>
      <c r="E2069" s="23"/>
      <c r="G2069" s="23"/>
      <c r="H2069" s="23"/>
      <c r="J2069" s="23"/>
      <c r="K2069" s="23"/>
      <c r="M2069" s="23"/>
      <c r="N2069" s="23"/>
      <c r="P2069" s="23"/>
    </row>
    <row r="2070" spans="2:16" x14ac:dyDescent="0.25">
      <c r="B2070" s="23"/>
      <c r="E2070" s="23"/>
      <c r="G2070" s="23"/>
      <c r="H2070" s="23"/>
      <c r="J2070" s="23"/>
      <c r="K2070" s="23"/>
      <c r="M2070" s="23"/>
      <c r="N2070" s="23"/>
      <c r="P2070" s="23"/>
    </row>
    <row r="2071" spans="2:16" x14ac:dyDescent="0.25">
      <c r="B2071" s="23"/>
      <c r="E2071" s="23"/>
      <c r="G2071" s="23"/>
      <c r="H2071" s="23"/>
      <c r="J2071" s="23"/>
      <c r="K2071" s="23"/>
      <c r="M2071" s="23"/>
      <c r="N2071" s="23"/>
      <c r="P2071" s="23"/>
    </row>
    <row r="2072" spans="2:16" x14ac:dyDescent="0.25">
      <c r="B2072" s="23"/>
      <c r="E2072" s="23"/>
      <c r="G2072" s="23"/>
      <c r="H2072" s="23"/>
      <c r="J2072" s="23"/>
      <c r="K2072" s="23"/>
      <c r="M2072" s="23"/>
      <c r="N2072" s="23"/>
      <c r="P2072" s="23"/>
    </row>
    <row r="2073" spans="2:16" x14ac:dyDescent="0.25">
      <c r="B2073" s="23"/>
      <c r="E2073" s="23"/>
      <c r="G2073" s="23"/>
      <c r="H2073" s="23"/>
      <c r="J2073" s="23"/>
      <c r="K2073" s="23"/>
      <c r="M2073" s="23"/>
      <c r="N2073" s="23"/>
      <c r="P2073" s="23"/>
    </row>
    <row r="2074" spans="2:16" x14ac:dyDescent="0.25">
      <c r="B2074" s="23"/>
      <c r="E2074" s="23"/>
      <c r="G2074" s="23"/>
      <c r="H2074" s="23"/>
      <c r="J2074" s="23"/>
      <c r="K2074" s="23"/>
      <c r="M2074" s="23"/>
      <c r="N2074" s="23"/>
      <c r="P2074" s="23"/>
    </row>
    <row r="2075" spans="2:16" x14ac:dyDescent="0.25">
      <c r="B2075" s="23"/>
      <c r="E2075" s="23"/>
      <c r="G2075" s="23"/>
      <c r="H2075" s="23"/>
      <c r="J2075" s="23"/>
      <c r="K2075" s="23"/>
      <c r="M2075" s="23"/>
      <c r="N2075" s="23"/>
      <c r="P2075" s="23"/>
    </row>
    <row r="2076" spans="2:16" x14ac:dyDescent="0.25">
      <c r="B2076" s="23"/>
      <c r="E2076" s="23"/>
      <c r="G2076" s="23"/>
      <c r="H2076" s="23"/>
      <c r="J2076" s="23"/>
      <c r="K2076" s="23"/>
      <c r="M2076" s="23"/>
      <c r="N2076" s="23"/>
      <c r="P2076" s="23"/>
    </row>
    <row r="2077" spans="2:16" x14ac:dyDescent="0.25">
      <c r="B2077" s="23"/>
      <c r="E2077" s="23"/>
      <c r="G2077" s="23"/>
      <c r="H2077" s="23"/>
      <c r="J2077" s="23"/>
      <c r="K2077" s="23"/>
      <c r="M2077" s="23"/>
      <c r="N2077" s="23"/>
      <c r="P2077" s="23"/>
    </row>
    <row r="2078" spans="2:16" x14ac:dyDescent="0.25">
      <c r="B2078" s="23"/>
      <c r="E2078" s="23"/>
      <c r="G2078" s="23"/>
      <c r="H2078" s="23"/>
      <c r="J2078" s="23"/>
      <c r="K2078" s="23"/>
      <c r="M2078" s="23"/>
      <c r="N2078" s="23"/>
      <c r="P2078" s="23"/>
    </row>
    <row r="2079" spans="2:16" x14ac:dyDescent="0.25">
      <c r="B2079" s="23"/>
      <c r="E2079" s="23"/>
      <c r="G2079" s="23"/>
      <c r="H2079" s="23"/>
      <c r="J2079" s="23"/>
      <c r="K2079" s="23"/>
      <c r="M2079" s="23"/>
      <c r="N2079" s="23"/>
      <c r="P2079" s="23"/>
    </row>
    <row r="2080" spans="2:16" x14ac:dyDescent="0.25">
      <c r="B2080" s="23"/>
      <c r="E2080" s="23"/>
      <c r="G2080" s="23"/>
      <c r="H2080" s="23"/>
      <c r="J2080" s="23"/>
      <c r="K2080" s="23"/>
      <c r="M2080" s="23"/>
      <c r="N2080" s="23"/>
      <c r="P2080" s="23"/>
    </row>
    <row r="2081" spans="2:16" x14ac:dyDescent="0.25">
      <c r="B2081" s="23"/>
      <c r="E2081" s="23"/>
      <c r="G2081" s="23"/>
      <c r="H2081" s="23"/>
      <c r="J2081" s="23"/>
      <c r="K2081" s="23"/>
      <c r="M2081" s="23"/>
      <c r="N2081" s="23"/>
      <c r="P2081" s="23"/>
    </row>
    <row r="2082" spans="2:16" x14ac:dyDescent="0.25">
      <c r="B2082" s="23"/>
      <c r="E2082" s="23"/>
      <c r="G2082" s="23"/>
      <c r="H2082" s="23"/>
      <c r="J2082" s="23"/>
      <c r="K2082" s="23"/>
      <c r="M2082" s="23"/>
      <c r="N2082" s="23"/>
      <c r="P2082" s="23"/>
    </row>
    <row r="2083" spans="2:16" x14ac:dyDescent="0.25">
      <c r="B2083" s="23"/>
      <c r="E2083" s="23"/>
      <c r="G2083" s="23"/>
      <c r="H2083" s="23"/>
      <c r="J2083" s="23"/>
      <c r="K2083" s="23"/>
      <c r="M2083" s="23"/>
      <c r="N2083" s="23"/>
      <c r="P2083" s="23"/>
    </row>
    <row r="2084" spans="2:16" x14ac:dyDescent="0.25">
      <c r="B2084" s="23"/>
      <c r="E2084" s="23"/>
      <c r="G2084" s="23"/>
      <c r="H2084" s="23"/>
      <c r="J2084" s="23"/>
      <c r="K2084" s="23"/>
      <c r="M2084" s="23"/>
      <c r="N2084" s="23"/>
      <c r="P2084" s="23"/>
    </row>
    <row r="2085" spans="2:16" x14ac:dyDescent="0.25">
      <c r="B2085" s="23"/>
      <c r="E2085" s="23"/>
      <c r="G2085" s="23"/>
      <c r="H2085" s="23"/>
      <c r="J2085" s="23"/>
      <c r="K2085" s="23"/>
      <c r="M2085" s="23"/>
      <c r="N2085" s="23"/>
      <c r="P2085" s="23"/>
    </row>
    <row r="2086" spans="2:16" x14ac:dyDescent="0.25">
      <c r="B2086" s="23"/>
      <c r="E2086" s="23"/>
      <c r="G2086" s="23"/>
      <c r="H2086" s="23"/>
      <c r="J2086" s="23"/>
      <c r="K2086" s="23"/>
      <c r="M2086" s="23"/>
      <c r="N2086" s="23"/>
      <c r="P2086" s="23"/>
    </row>
    <row r="2087" spans="2:16" x14ac:dyDescent="0.25">
      <c r="B2087" s="23"/>
      <c r="E2087" s="23"/>
      <c r="G2087" s="23"/>
      <c r="H2087" s="23"/>
      <c r="J2087" s="23"/>
      <c r="K2087" s="23"/>
      <c r="M2087" s="23"/>
      <c r="N2087" s="23"/>
      <c r="P2087" s="23"/>
    </row>
    <row r="2088" spans="2:16" x14ac:dyDescent="0.25">
      <c r="B2088" s="23"/>
      <c r="E2088" s="23"/>
      <c r="G2088" s="23"/>
      <c r="H2088" s="23"/>
      <c r="J2088" s="23"/>
      <c r="K2088" s="23"/>
      <c r="M2088" s="23"/>
      <c r="N2088" s="23"/>
      <c r="P2088" s="23"/>
    </row>
    <row r="2089" spans="2:16" x14ac:dyDescent="0.25">
      <c r="B2089" s="23"/>
      <c r="E2089" s="23"/>
      <c r="G2089" s="23"/>
      <c r="H2089" s="23"/>
      <c r="J2089" s="23"/>
      <c r="K2089" s="23"/>
      <c r="M2089" s="23"/>
      <c r="N2089" s="23"/>
      <c r="P2089" s="23"/>
    </row>
    <row r="2090" spans="2:16" x14ac:dyDescent="0.25">
      <c r="B2090" s="23"/>
      <c r="E2090" s="23"/>
      <c r="G2090" s="23"/>
      <c r="H2090" s="23"/>
      <c r="J2090" s="23"/>
      <c r="K2090" s="23"/>
      <c r="M2090" s="23"/>
      <c r="N2090" s="23"/>
      <c r="P2090" s="23"/>
    </row>
    <row r="2091" spans="2:16" x14ac:dyDescent="0.25">
      <c r="B2091" s="23"/>
      <c r="E2091" s="23"/>
      <c r="G2091" s="23"/>
      <c r="H2091" s="23"/>
      <c r="J2091" s="23"/>
      <c r="K2091" s="23"/>
      <c r="M2091" s="23"/>
      <c r="N2091" s="23"/>
      <c r="P2091" s="23"/>
    </row>
    <row r="2092" spans="2:16" x14ac:dyDescent="0.25">
      <c r="B2092" s="23"/>
      <c r="E2092" s="23"/>
      <c r="G2092" s="23"/>
      <c r="H2092" s="23"/>
      <c r="J2092" s="23"/>
      <c r="K2092" s="23"/>
      <c r="M2092" s="23"/>
      <c r="N2092" s="23"/>
      <c r="P2092" s="23"/>
    </row>
    <row r="2093" spans="2:16" x14ac:dyDescent="0.25">
      <c r="B2093" s="23"/>
      <c r="E2093" s="23"/>
      <c r="G2093" s="23"/>
      <c r="H2093" s="23"/>
      <c r="J2093" s="23"/>
      <c r="K2093" s="23"/>
      <c r="M2093" s="23"/>
      <c r="N2093" s="23"/>
      <c r="P2093" s="23"/>
    </row>
    <row r="2094" spans="2:16" x14ac:dyDescent="0.25">
      <c r="B2094" s="23"/>
      <c r="E2094" s="23"/>
      <c r="G2094" s="23"/>
      <c r="H2094" s="23"/>
      <c r="J2094" s="23"/>
      <c r="K2094" s="23"/>
      <c r="M2094" s="23"/>
      <c r="N2094" s="23"/>
      <c r="P2094" s="23"/>
    </row>
    <row r="2095" spans="2:16" x14ac:dyDescent="0.25">
      <c r="B2095" s="23"/>
      <c r="E2095" s="23"/>
      <c r="G2095" s="23"/>
      <c r="H2095" s="23"/>
      <c r="J2095" s="23"/>
      <c r="K2095" s="23"/>
      <c r="M2095" s="23"/>
      <c r="N2095" s="23"/>
      <c r="P2095" s="23"/>
    </row>
    <row r="2096" spans="2:16" x14ac:dyDescent="0.25">
      <c r="B2096" s="23"/>
      <c r="E2096" s="23"/>
      <c r="G2096" s="23"/>
      <c r="H2096" s="23"/>
      <c r="J2096" s="23"/>
      <c r="K2096" s="23"/>
      <c r="M2096" s="23"/>
      <c r="N2096" s="23"/>
      <c r="P2096" s="23"/>
    </row>
    <row r="2097" spans="2:16" x14ac:dyDescent="0.25">
      <c r="B2097" s="23"/>
      <c r="E2097" s="23"/>
      <c r="G2097" s="23"/>
      <c r="H2097" s="23"/>
      <c r="J2097" s="23"/>
      <c r="K2097" s="23"/>
      <c r="M2097" s="23"/>
      <c r="N2097" s="23"/>
      <c r="P2097" s="23"/>
    </row>
    <row r="2098" spans="2:16" x14ac:dyDescent="0.25">
      <c r="B2098" s="23"/>
      <c r="E2098" s="23"/>
      <c r="G2098" s="23"/>
      <c r="H2098" s="23"/>
      <c r="J2098" s="23"/>
      <c r="K2098" s="23"/>
      <c r="M2098" s="23"/>
      <c r="N2098" s="23"/>
      <c r="P2098" s="23"/>
    </row>
    <row r="2099" spans="2:16" x14ac:dyDescent="0.25">
      <c r="B2099" s="23"/>
      <c r="E2099" s="23"/>
      <c r="G2099" s="23"/>
      <c r="H2099" s="23"/>
      <c r="J2099" s="23"/>
      <c r="K2099" s="23"/>
      <c r="M2099" s="23"/>
      <c r="N2099" s="23"/>
      <c r="P2099" s="23"/>
    </row>
    <row r="2100" spans="2:16" x14ac:dyDescent="0.25">
      <c r="B2100" s="23"/>
      <c r="E2100" s="23"/>
      <c r="G2100" s="23"/>
      <c r="H2100" s="23"/>
      <c r="J2100" s="23"/>
      <c r="K2100" s="23"/>
      <c r="M2100" s="23"/>
      <c r="N2100" s="23"/>
      <c r="P2100" s="23"/>
    </row>
    <row r="2101" spans="2:16" x14ac:dyDescent="0.25">
      <c r="B2101" s="23"/>
      <c r="E2101" s="23"/>
      <c r="G2101" s="23"/>
      <c r="H2101" s="23"/>
      <c r="J2101" s="23"/>
      <c r="K2101" s="23"/>
      <c r="M2101" s="23"/>
      <c r="N2101" s="23"/>
      <c r="P2101" s="23"/>
    </row>
    <row r="2102" spans="2:16" x14ac:dyDescent="0.25">
      <c r="B2102" s="23"/>
      <c r="E2102" s="23"/>
      <c r="G2102" s="23"/>
      <c r="H2102" s="23"/>
      <c r="J2102" s="23"/>
      <c r="K2102" s="23"/>
      <c r="M2102" s="23"/>
      <c r="N2102" s="23"/>
      <c r="P2102" s="23"/>
    </row>
    <row r="2103" spans="2:16" x14ac:dyDescent="0.25">
      <c r="B2103" s="23"/>
      <c r="E2103" s="23"/>
      <c r="G2103" s="23"/>
      <c r="H2103" s="23"/>
      <c r="J2103" s="23"/>
      <c r="K2103" s="23"/>
      <c r="M2103" s="23"/>
      <c r="N2103" s="23"/>
      <c r="P2103" s="23"/>
    </row>
    <row r="2104" spans="2:16" x14ac:dyDescent="0.25">
      <c r="B2104" s="23"/>
      <c r="E2104" s="23"/>
      <c r="G2104" s="23"/>
      <c r="H2104" s="23"/>
      <c r="J2104" s="23"/>
      <c r="K2104" s="23"/>
      <c r="M2104" s="23"/>
      <c r="N2104" s="23"/>
      <c r="P2104" s="23"/>
    </row>
    <row r="2105" spans="2:16" x14ac:dyDescent="0.25">
      <c r="B2105" s="23"/>
      <c r="E2105" s="23"/>
      <c r="G2105" s="23"/>
      <c r="H2105" s="23"/>
      <c r="J2105" s="23"/>
      <c r="K2105" s="23"/>
      <c r="M2105" s="23"/>
      <c r="N2105" s="23"/>
      <c r="P2105" s="23"/>
    </row>
    <row r="2106" spans="2:16" x14ac:dyDescent="0.25">
      <c r="B2106" s="23"/>
      <c r="E2106" s="23"/>
      <c r="G2106" s="23"/>
      <c r="H2106" s="23"/>
      <c r="J2106" s="23"/>
      <c r="K2106" s="23"/>
      <c r="M2106" s="23"/>
      <c r="N2106" s="23"/>
      <c r="P2106" s="23"/>
    </row>
    <row r="2107" spans="2:16" x14ac:dyDescent="0.25">
      <c r="B2107" s="23"/>
      <c r="E2107" s="23"/>
      <c r="G2107" s="23"/>
      <c r="H2107" s="23"/>
      <c r="J2107" s="23"/>
      <c r="K2107" s="23"/>
      <c r="M2107" s="23"/>
      <c r="N2107" s="23"/>
      <c r="P2107" s="23"/>
    </row>
    <row r="2108" spans="2:16" x14ac:dyDescent="0.25">
      <c r="B2108" s="23"/>
      <c r="E2108" s="23"/>
      <c r="G2108" s="23"/>
      <c r="H2108" s="23"/>
      <c r="J2108" s="23"/>
      <c r="K2108" s="23"/>
      <c r="M2108" s="23"/>
      <c r="N2108" s="23"/>
      <c r="P2108" s="23"/>
    </row>
    <row r="2109" spans="2:16" x14ac:dyDescent="0.25">
      <c r="B2109" s="23"/>
      <c r="E2109" s="23"/>
      <c r="G2109" s="23"/>
      <c r="H2109" s="23"/>
      <c r="J2109" s="23"/>
      <c r="K2109" s="23"/>
      <c r="M2109" s="23"/>
      <c r="N2109" s="23"/>
      <c r="P2109" s="23"/>
    </row>
    <row r="2110" spans="2:16" x14ac:dyDescent="0.25">
      <c r="B2110" s="23"/>
      <c r="E2110" s="23"/>
      <c r="G2110" s="23"/>
      <c r="H2110" s="23"/>
      <c r="J2110" s="23"/>
      <c r="K2110" s="23"/>
      <c r="M2110" s="23"/>
      <c r="N2110" s="23"/>
      <c r="P2110" s="23"/>
    </row>
    <row r="2111" spans="2:16" x14ac:dyDescent="0.25">
      <c r="B2111" s="23"/>
      <c r="E2111" s="23"/>
      <c r="G2111" s="23"/>
      <c r="H2111" s="23"/>
      <c r="J2111" s="23"/>
      <c r="K2111" s="23"/>
      <c r="M2111" s="23"/>
      <c r="N2111" s="23"/>
      <c r="P2111" s="23"/>
    </row>
    <row r="2112" spans="2:16" x14ac:dyDescent="0.25">
      <c r="B2112" s="23"/>
      <c r="E2112" s="23"/>
      <c r="G2112" s="23"/>
      <c r="H2112" s="23"/>
      <c r="J2112" s="23"/>
      <c r="K2112" s="23"/>
      <c r="M2112" s="23"/>
      <c r="N2112" s="23"/>
      <c r="P2112" s="23"/>
    </row>
    <row r="2113" spans="2:16" x14ac:dyDescent="0.25">
      <c r="B2113" s="23"/>
      <c r="E2113" s="23"/>
      <c r="G2113" s="23"/>
      <c r="H2113" s="23"/>
      <c r="J2113" s="23"/>
      <c r="K2113" s="23"/>
      <c r="M2113" s="23"/>
      <c r="N2113" s="23"/>
      <c r="P2113" s="23"/>
    </row>
    <row r="2114" spans="2:16" x14ac:dyDescent="0.25">
      <c r="B2114" s="23"/>
      <c r="E2114" s="23"/>
      <c r="G2114" s="23"/>
      <c r="H2114" s="23"/>
      <c r="J2114" s="23"/>
      <c r="K2114" s="23"/>
      <c r="M2114" s="23"/>
      <c r="N2114" s="23"/>
      <c r="P2114" s="23"/>
    </row>
    <row r="2115" spans="2:16" x14ac:dyDescent="0.25">
      <c r="B2115" s="23"/>
      <c r="E2115" s="23"/>
      <c r="G2115" s="23"/>
      <c r="H2115" s="23"/>
      <c r="J2115" s="23"/>
      <c r="K2115" s="23"/>
      <c r="M2115" s="23"/>
      <c r="N2115" s="23"/>
      <c r="P2115" s="23"/>
    </row>
    <row r="2116" spans="2:16" x14ac:dyDescent="0.25">
      <c r="B2116" s="23"/>
      <c r="E2116" s="23"/>
      <c r="G2116" s="23"/>
      <c r="H2116" s="23"/>
      <c r="J2116" s="23"/>
      <c r="K2116" s="23"/>
      <c r="M2116" s="23"/>
      <c r="N2116" s="23"/>
      <c r="P2116" s="23"/>
    </row>
    <row r="2117" spans="2:16" x14ac:dyDescent="0.25">
      <c r="B2117" s="23"/>
      <c r="E2117" s="23"/>
      <c r="G2117" s="23"/>
      <c r="H2117" s="23"/>
      <c r="J2117" s="23"/>
      <c r="K2117" s="23"/>
      <c r="M2117" s="23"/>
      <c r="N2117" s="23"/>
      <c r="P2117" s="23"/>
    </row>
    <row r="2118" spans="2:16" x14ac:dyDescent="0.25">
      <c r="B2118" s="23"/>
      <c r="E2118" s="23"/>
      <c r="G2118" s="23"/>
      <c r="H2118" s="23"/>
      <c r="J2118" s="23"/>
      <c r="K2118" s="23"/>
      <c r="M2118" s="23"/>
      <c r="N2118" s="23"/>
      <c r="P2118" s="23"/>
    </row>
    <row r="2119" spans="2:16" x14ac:dyDescent="0.25">
      <c r="B2119" s="23"/>
      <c r="E2119" s="23"/>
      <c r="G2119" s="23"/>
      <c r="H2119" s="23"/>
      <c r="J2119" s="23"/>
      <c r="K2119" s="23"/>
      <c r="M2119" s="23"/>
      <c r="N2119" s="23"/>
      <c r="P2119" s="23"/>
    </row>
    <row r="2120" spans="2:16" x14ac:dyDescent="0.25">
      <c r="B2120" s="23"/>
      <c r="E2120" s="23"/>
      <c r="G2120" s="23"/>
      <c r="H2120" s="23"/>
      <c r="J2120" s="23"/>
      <c r="K2120" s="23"/>
      <c r="M2120" s="23"/>
      <c r="N2120" s="23"/>
      <c r="P2120" s="23"/>
    </row>
    <row r="2121" spans="2:16" x14ac:dyDescent="0.25">
      <c r="B2121" s="23"/>
      <c r="E2121" s="23"/>
      <c r="G2121" s="23"/>
      <c r="H2121" s="23"/>
      <c r="J2121" s="23"/>
      <c r="K2121" s="23"/>
      <c r="M2121" s="23"/>
      <c r="N2121" s="23"/>
      <c r="P2121" s="23"/>
    </row>
    <row r="2122" spans="2:16" x14ac:dyDescent="0.25">
      <c r="B2122" s="23"/>
      <c r="E2122" s="23"/>
      <c r="G2122" s="23"/>
      <c r="H2122" s="23"/>
      <c r="J2122" s="23"/>
      <c r="K2122" s="23"/>
      <c r="M2122" s="23"/>
      <c r="N2122" s="23"/>
      <c r="P2122" s="23"/>
    </row>
    <row r="2123" spans="2:16" x14ac:dyDescent="0.25">
      <c r="B2123" s="23"/>
      <c r="E2123" s="23"/>
      <c r="G2123" s="23"/>
      <c r="H2123" s="23"/>
      <c r="J2123" s="23"/>
      <c r="K2123" s="23"/>
      <c r="M2123" s="23"/>
      <c r="N2123" s="23"/>
      <c r="P2123" s="23"/>
    </row>
    <row r="2124" spans="2:16" x14ac:dyDescent="0.25">
      <c r="B2124" s="23"/>
      <c r="E2124" s="23"/>
      <c r="G2124" s="23"/>
      <c r="H2124" s="23"/>
      <c r="J2124" s="23"/>
      <c r="K2124" s="23"/>
      <c r="M2124" s="23"/>
      <c r="N2124" s="23"/>
      <c r="P2124" s="23"/>
    </row>
    <row r="2125" spans="2:16" x14ac:dyDescent="0.25">
      <c r="B2125" s="23"/>
      <c r="E2125" s="23"/>
      <c r="G2125" s="23"/>
      <c r="H2125" s="23"/>
      <c r="J2125" s="23"/>
      <c r="K2125" s="23"/>
      <c r="M2125" s="23"/>
      <c r="N2125" s="23"/>
      <c r="P2125" s="23"/>
    </row>
    <row r="2126" spans="2:16" x14ac:dyDescent="0.25">
      <c r="B2126" s="23"/>
      <c r="E2126" s="23"/>
      <c r="G2126" s="23"/>
      <c r="H2126" s="23"/>
      <c r="J2126" s="23"/>
      <c r="K2126" s="23"/>
      <c r="M2126" s="23"/>
      <c r="N2126" s="23"/>
      <c r="P2126" s="23"/>
    </row>
    <row r="2127" spans="2:16" x14ac:dyDescent="0.25">
      <c r="B2127" s="23"/>
      <c r="E2127" s="23"/>
      <c r="G2127" s="23"/>
      <c r="H2127" s="23"/>
      <c r="J2127" s="23"/>
      <c r="K2127" s="23"/>
      <c r="M2127" s="23"/>
      <c r="N2127" s="23"/>
      <c r="P2127" s="23"/>
    </row>
    <row r="2128" spans="2:16" x14ac:dyDescent="0.25">
      <c r="B2128" s="23"/>
      <c r="E2128" s="23"/>
      <c r="G2128" s="23"/>
      <c r="H2128" s="23"/>
      <c r="J2128" s="23"/>
      <c r="K2128" s="23"/>
      <c r="M2128" s="23"/>
      <c r="N2128" s="23"/>
      <c r="P2128" s="23"/>
    </row>
    <row r="2129" spans="2:16" x14ac:dyDescent="0.25">
      <c r="B2129" s="23"/>
      <c r="E2129" s="23"/>
      <c r="G2129" s="23"/>
      <c r="H2129" s="23"/>
      <c r="J2129" s="23"/>
      <c r="K2129" s="23"/>
      <c r="M2129" s="23"/>
      <c r="N2129" s="23"/>
      <c r="P2129" s="23"/>
    </row>
    <row r="2130" spans="2:16" x14ac:dyDescent="0.25">
      <c r="B2130" s="23"/>
      <c r="E2130" s="23"/>
      <c r="G2130" s="23"/>
      <c r="H2130" s="23"/>
      <c r="J2130" s="23"/>
      <c r="K2130" s="23"/>
      <c r="M2130" s="23"/>
      <c r="N2130" s="23"/>
      <c r="P2130" s="23"/>
    </row>
    <row r="2131" spans="2:16" x14ac:dyDescent="0.25">
      <c r="B2131" s="23"/>
      <c r="E2131" s="23"/>
      <c r="G2131" s="23"/>
      <c r="H2131" s="23"/>
      <c r="J2131" s="23"/>
      <c r="K2131" s="23"/>
      <c r="M2131" s="23"/>
      <c r="N2131" s="23"/>
      <c r="P2131" s="23"/>
    </row>
    <row r="2132" spans="2:16" x14ac:dyDescent="0.25">
      <c r="B2132" s="23"/>
      <c r="E2132" s="23"/>
      <c r="G2132" s="23"/>
      <c r="H2132" s="23"/>
      <c r="J2132" s="23"/>
      <c r="K2132" s="23"/>
      <c r="M2132" s="23"/>
      <c r="N2132" s="23"/>
      <c r="P2132" s="23"/>
    </row>
    <row r="2133" spans="2:16" x14ac:dyDescent="0.25">
      <c r="B2133" s="23"/>
      <c r="E2133" s="23"/>
      <c r="G2133" s="23"/>
      <c r="H2133" s="23"/>
      <c r="J2133" s="23"/>
      <c r="K2133" s="23"/>
      <c r="M2133" s="23"/>
      <c r="N2133" s="23"/>
      <c r="P2133" s="23"/>
    </row>
    <row r="2134" spans="2:16" x14ac:dyDescent="0.25">
      <c r="B2134" s="23"/>
      <c r="E2134" s="23"/>
      <c r="G2134" s="23"/>
      <c r="H2134" s="23"/>
      <c r="J2134" s="23"/>
      <c r="K2134" s="23"/>
      <c r="M2134" s="23"/>
      <c r="N2134" s="23"/>
      <c r="P2134" s="23"/>
    </row>
    <row r="2135" spans="2:16" x14ac:dyDescent="0.25">
      <c r="B2135" s="23"/>
      <c r="E2135" s="23"/>
      <c r="G2135" s="23"/>
      <c r="H2135" s="23"/>
      <c r="J2135" s="23"/>
      <c r="K2135" s="23"/>
      <c r="M2135" s="23"/>
      <c r="N2135" s="23"/>
      <c r="P2135" s="23"/>
    </row>
    <row r="2136" spans="2:16" x14ac:dyDescent="0.25">
      <c r="B2136" s="23"/>
      <c r="E2136" s="23"/>
      <c r="G2136" s="23"/>
      <c r="H2136" s="23"/>
      <c r="J2136" s="23"/>
      <c r="K2136" s="23"/>
      <c r="M2136" s="23"/>
      <c r="N2136" s="23"/>
      <c r="P2136" s="23"/>
    </row>
    <row r="2137" spans="2:16" x14ac:dyDescent="0.25">
      <c r="B2137" s="23"/>
      <c r="E2137" s="23"/>
      <c r="G2137" s="23"/>
      <c r="H2137" s="23"/>
      <c r="J2137" s="23"/>
      <c r="K2137" s="23"/>
      <c r="M2137" s="23"/>
      <c r="N2137" s="23"/>
      <c r="P2137" s="23"/>
    </row>
    <row r="2138" spans="2:16" x14ac:dyDescent="0.25">
      <c r="B2138" s="23"/>
      <c r="E2138" s="23"/>
      <c r="G2138" s="23"/>
      <c r="H2138" s="23"/>
      <c r="J2138" s="23"/>
      <c r="K2138" s="23"/>
      <c r="M2138" s="23"/>
      <c r="N2138" s="23"/>
      <c r="P2138" s="23"/>
    </row>
    <row r="2139" spans="2:16" x14ac:dyDescent="0.25">
      <c r="B2139" s="23"/>
      <c r="E2139" s="23"/>
      <c r="G2139" s="23"/>
      <c r="H2139" s="23"/>
      <c r="J2139" s="23"/>
      <c r="K2139" s="23"/>
      <c r="M2139" s="23"/>
      <c r="N2139" s="23"/>
      <c r="P2139" s="23"/>
    </row>
    <row r="2140" spans="2:16" x14ac:dyDescent="0.25">
      <c r="B2140" s="23"/>
      <c r="E2140" s="23"/>
      <c r="G2140" s="23"/>
      <c r="H2140" s="23"/>
      <c r="J2140" s="23"/>
      <c r="K2140" s="23"/>
      <c r="M2140" s="23"/>
      <c r="N2140" s="23"/>
      <c r="P2140" s="23"/>
    </row>
    <row r="2141" spans="2:16" x14ac:dyDescent="0.25">
      <c r="B2141" s="23"/>
      <c r="E2141" s="23"/>
      <c r="G2141" s="23"/>
      <c r="H2141" s="23"/>
      <c r="J2141" s="23"/>
      <c r="K2141" s="23"/>
      <c r="M2141" s="23"/>
      <c r="N2141" s="23"/>
      <c r="P2141" s="23"/>
    </row>
    <row r="2142" spans="2:16" x14ac:dyDescent="0.25">
      <c r="B2142" s="23"/>
      <c r="E2142" s="23"/>
      <c r="G2142" s="23"/>
      <c r="H2142" s="23"/>
      <c r="J2142" s="23"/>
      <c r="K2142" s="23"/>
      <c r="M2142" s="23"/>
      <c r="N2142" s="23"/>
      <c r="P2142" s="23"/>
    </row>
    <row r="2143" spans="2:16" x14ac:dyDescent="0.25">
      <c r="B2143" s="23"/>
      <c r="E2143" s="23"/>
      <c r="G2143" s="23"/>
      <c r="H2143" s="23"/>
      <c r="J2143" s="23"/>
      <c r="K2143" s="23"/>
      <c r="M2143" s="23"/>
      <c r="N2143" s="23"/>
      <c r="P2143" s="23"/>
    </row>
    <row r="2144" spans="2:16" x14ac:dyDescent="0.25">
      <c r="B2144" s="23"/>
      <c r="E2144" s="23"/>
      <c r="G2144" s="23"/>
      <c r="H2144" s="23"/>
      <c r="J2144" s="23"/>
      <c r="K2144" s="23"/>
      <c r="M2144" s="23"/>
      <c r="N2144" s="23"/>
      <c r="P2144" s="23"/>
    </row>
    <row r="2145" spans="2:16" x14ac:dyDescent="0.25">
      <c r="B2145" s="23"/>
      <c r="E2145" s="23"/>
      <c r="G2145" s="23"/>
      <c r="H2145" s="23"/>
      <c r="J2145" s="23"/>
      <c r="K2145" s="23"/>
      <c r="M2145" s="23"/>
      <c r="N2145" s="23"/>
      <c r="P2145" s="23"/>
    </row>
    <row r="2146" spans="2:16" x14ac:dyDescent="0.25">
      <c r="B2146" s="23"/>
      <c r="E2146" s="23"/>
      <c r="G2146" s="23"/>
      <c r="H2146" s="23"/>
      <c r="J2146" s="23"/>
      <c r="K2146" s="23"/>
      <c r="M2146" s="23"/>
      <c r="N2146" s="23"/>
      <c r="P2146" s="23"/>
    </row>
    <row r="2147" spans="2:16" x14ac:dyDescent="0.25">
      <c r="B2147" s="23"/>
      <c r="E2147" s="23"/>
      <c r="G2147" s="23"/>
      <c r="H2147" s="23"/>
      <c r="J2147" s="23"/>
      <c r="K2147" s="23"/>
      <c r="M2147" s="23"/>
      <c r="N2147" s="23"/>
      <c r="P2147" s="23"/>
    </row>
    <row r="2148" spans="2:16" x14ac:dyDescent="0.25">
      <c r="B2148" s="23"/>
      <c r="E2148" s="23"/>
      <c r="G2148" s="23"/>
      <c r="H2148" s="23"/>
      <c r="J2148" s="23"/>
      <c r="K2148" s="23"/>
      <c r="M2148" s="23"/>
      <c r="N2148" s="23"/>
      <c r="P2148" s="23"/>
    </row>
    <row r="2149" spans="2:16" x14ac:dyDescent="0.25">
      <c r="B2149" s="23"/>
      <c r="E2149" s="23"/>
      <c r="G2149" s="23"/>
      <c r="H2149" s="23"/>
      <c r="J2149" s="23"/>
      <c r="K2149" s="23"/>
      <c r="M2149" s="23"/>
      <c r="N2149" s="23"/>
      <c r="P2149" s="23"/>
    </row>
    <row r="2150" spans="2:16" x14ac:dyDescent="0.25">
      <c r="B2150" s="23"/>
      <c r="E2150" s="23"/>
      <c r="G2150" s="23"/>
      <c r="H2150" s="23"/>
      <c r="J2150" s="23"/>
      <c r="K2150" s="23"/>
      <c r="M2150" s="23"/>
      <c r="N2150" s="23"/>
      <c r="P2150" s="23"/>
    </row>
    <row r="2151" spans="2:16" x14ac:dyDescent="0.25">
      <c r="B2151" s="23"/>
      <c r="E2151" s="23"/>
      <c r="G2151" s="23"/>
      <c r="H2151" s="23"/>
      <c r="J2151" s="23"/>
      <c r="K2151" s="23"/>
      <c r="M2151" s="23"/>
      <c r="N2151" s="23"/>
      <c r="P2151" s="23"/>
    </row>
    <row r="2152" spans="2:16" x14ac:dyDescent="0.25">
      <c r="B2152" s="23"/>
      <c r="E2152" s="23"/>
      <c r="G2152" s="23"/>
      <c r="H2152" s="23"/>
      <c r="J2152" s="23"/>
      <c r="K2152" s="23"/>
      <c r="M2152" s="23"/>
      <c r="N2152" s="23"/>
      <c r="P2152" s="23"/>
    </row>
    <row r="2153" spans="2:16" x14ac:dyDescent="0.25">
      <c r="B2153" s="23"/>
      <c r="E2153" s="23"/>
      <c r="G2153" s="23"/>
      <c r="H2153" s="23"/>
      <c r="J2153" s="23"/>
      <c r="K2153" s="23"/>
      <c r="M2153" s="23"/>
      <c r="N2153" s="23"/>
      <c r="P2153" s="23"/>
    </row>
    <row r="2154" spans="2:16" x14ac:dyDescent="0.25">
      <c r="B2154" s="23"/>
      <c r="E2154" s="23"/>
      <c r="G2154" s="23"/>
      <c r="H2154" s="23"/>
      <c r="J2154" s="23"/>
      <c r="K2154" s="23"/>
      <c r="M2154" s="23"/>
      <c r="N2154" s="23"/>
      <c r="P2154" s="23"/>
    </row>
    <row r="2155" spans="2:16" x14ac:dyDescent="0.25">
      <c r="B2155" s="23"/>
      <c r="E2155" s="23"/>
      <c r="G2155" s="23"/>
      <c r="H2155" s="23"/>
      <c r="J2155" s="23"/>
      <c r="K2155" s="23"/>
      <c r="M2155" s="23"/>
      <c r="N2155" s="23"/>
      <c r="P2155" s="23"/>
    </row>
    <row r="2156" spans="2:16" x14ac:dyDescent="0.25">
      <c r="B2156" s="23"/>
      <c r="E2156" s="23"/>
      <c r="G2156" s="23"/>
      <c r="H2156" s="23"/>
      <c r="J2156" s="23"/>
      <c r="K2156" s="23"/>
      <c r="M2156" s="23"/>
      <c r="N2156" s="23"/>
      <c r="P2156" s="23"/>
    </row>
    <row r="2157" spans="2:16" x14ac:dyDescent="0.25">
      <c r="B2157" s="23"/>
      <c r="E2157" s="23"/>
      <c r="G2157" s="23"/>
      <c r="H2157" s="23"/>
      <c r="J2157" s="23"/>
      <c r="K2157" s="23"/>
      <c r="M2157" s="23"/>
      <c r="N2157" s="23"/>
      <c r="P2157" s="23"/>
    </row>
    <row r="2158" spans="2:16" x14ac:dyDescent="0.25">
      <c r="B2158" s="23"/>
      <c r="E2158" s="23"/>
      <c r="G2158" s="23"/>
      <c r="H2158" s="23"/>
      <c r="J2158" s="23"/>
      <c r="K2158" s="23"/>
      <c r="M2158" s="23"/>
      <c r="N2158" s="23"/>
      <c r="P2158" s="23"/>
    </row>
    <row r="2159" spans="2:16" x14ac:dyDescent="0.25">
      <c r="B2159" s="23"/>
      <c r="E2159" s="23"/>
      <c r="G2159" s="23"/>
      <c r="H2159" s="23"/>
      <c r="J2159" s="23"/>
      <c r="K2159" s="23"/>
      <c r="M2159" s="23"/>
      <c r="N2159" s="23"/>
      <c r="P2159" s="23"/>
    </row>
    <row r="2160" spans="2:16" x14ac:dyDescent="0.25">
      <c r="B2160" s="23"/>
      <c r="E2160" s="23"/>
      <c r="G2160" s="23"/>
      <c r="H2160" s="23"/>
      <c r="J2160" s="23"/>
      <c r="K2160" s="23"/>
      <c r="M2160" s="23"/>
      <c r="N2160" s="23"/>
      <c r="P2160" s="23"/>
    </row>
    <row r="2161" spans="2:16" x14ac:dyDescent="0.25">
      <c r="B2161" s="23"/>
      <c r="E2161" s="23"/>
      <c r="G2161" s="23"/>
      <c r="H2161" s="23"/>
      <c r="J2161" s="23"/>
      <c r="K2161" s="23"/>
      <c r="M2161" s="23"/>
      <c r="N2161" s="23"/>
      <c r="P2161" s="23"/>
    </row>
    <row r="2162" spans="2:16" x14ac:dyDescent="0.25">
      <c r="B2162" s="23"/>
      <c r="E2162" s="23"/>
      <c r="G2162" s="23"/>
      <c r="H2162" s="23"/>
      <c r="J2162" s="23"/>
      <c r="K2162" s="23"/>
      <c r="M2162" s="23"/>
      <c r="N2162" s="23"/>
      <c r="P2162" s="23"/>
    </row>
    <row r="2163" spans="2:16" x14ac:dyDescent="0.25">
      <c r="B2163" s="23"/>
      <c r="E2163" s="23"/>
      <c r="G2163" s="23"/>
      <c r="H2163" s="23"/>
      <c r="J2163" s="23"/>
      <c r="K2163" s="23"/>
      <c r="M2163" s="23"/>
      <c r="N2163" s="23"/>
      <c r="P2163" s="23"/>
    </row>
    <row r="2164" spans="2:16" x14ac:dyDescent="0.25">
      <c r="B2164" s="23"/>
      <c r="E2164" s="23"/>
      <c r="G2164" s="23"/>
      <c r="H2164" s="23"/>
      <c r="J2164" s="23"/>
      <c r="K2164" s="23"/>
      <c r="M2164" s="23"/>
      <c r="N2164" s="23"/>
      <c r="P2164" s="23"/>
    </row>
    <row r="2165" spans="2:16" x14ac:dyDescent="0.25">
      <c r="B2165" s="23"/>
      <c r="E2165" s="23"/>
      <c r="G2165" s="23"/>
      <c r="H2165" s="23"/>
      <c r="J2165" s="23"/>
      <c r="K2165" s="23"/>
      <c r="M2165" s="23"/>
      <c r="N2165" s="23"/>
      <c r="P2165" s="23"/>
    </row>
    <row r="2166" spans="2:16" x14ac:dyDescent="0.25">
      <c r="B2166" s="23"/>
      <c r="E2166" s="23"/>
      <c r="G2166" s="23"/>
      <c r="H2166" s="23"/>
      <c r="J2166" s="23"/>
      <c r="K2166" s="23"/>
      <c r="M2166" s="23"/>
      <c r="N2166" s="23"/>
      <c r="P2166" s="23"/>
    </row>
    <row r="2167" spans="2:16" x14ac:dyDescent="0.25">
      <c r="B2167" s="23"/>
      <c r="E2167" s="23"/>
      <c r="G2167" s="23"/>
      <c r="H2167" s="23"/>
      <c r="J2167" s="23"/>
      <c r="K2167" s="23"/>
      <c r="M2167" s="23"/>
      <c r="N2167" s="23"/>
      <c r="P2167" s="23"/>
    </row>
    <row r="2168" spans="2:16" x14ac:dyDescent="0.25">
      <c r="B2168" s="23"/>
      <c r="E2168" s="23"/>
      <c r="G2168" s="23"/>
      <c r="H2168" s="23"/>
      <c r="J2168" s="23"/>
      <c r="K2168" s="23"/>
      <c r="M2168" s="23"/>
      <c r="N2168" s="23"/>
      <c r="P2168" s="23"/>
    </row>
    <row r="2169" spans="2:16" x14ac:dyDescent="0.25">
      <c r="B2169" s="23"/>
      <c r="E2169" s="23"/>
      <c r="G2169" s="23"/>
      <c r="H2169" s="23"/>
      <c r="J2169" s="23"/>
      <c r="K2169" s="23"/>
      <c r="M2169" s="23"/>
      <c r="N2169" s="23"/>
      <c r="P2169" s="23"/>
    </row>
    <row r="2170" spans="2:16" x14ac:dyDescent="0.25">
      <c r="B2170" s="23"/>
      <c r="E2170" s="23"/>
      <c r="G2170" s="23"/>
      <c r="H2170" s="23"/>
      <c r="J2170" s="23"/>
      <c r="K2170" s="23"/>
      <c r="M2170" s="23"/>
      <c r="N2170" s="23"/>
      <c r="P2170" s="23"/>
    </row>
    <row r="2171" spans="2:16" x14ac:dyDescent="0.25">
      <c r="B2171" s="23"/>
      <c r="E2171" s="23"/>
      <c r="G2171" s="23"/>
      <c r="H2171" s="23"/>
      <c r="J2171" s="23"/>
      <c r="K2171" s="23"/>
      <c r="M2171" s="23"/>
      <c r="N2171" s="23"/>
      <c r="P2171" s="23"/>
    </row>
    <row r="2172" spans="2:16" x14ac:dyDescent="0.25">
      <c r="B2172" s="23"/>
      <c r="E2172" s="23"/>
      <c r="G2172" s="23"/>
      <c r="H2172" s="23"/>
      <c r="J2172" s="23"/>
      <c r="K2172" s="23"/>
      <c r="M2172" s="23"/>
      <c r="N2172" s="23"/>
      <c r="P2172" s="23"/>
    </row>
    <row r="2173" spans="2:16" x14ac:dyDescent="0.25">
      <c r="B2173" s="23"/>
      <c r="E2173" s="23"/>
      <c r="G2173" s="23"/>
      <c r="H2173" s="23"/>
      <c r="J2173" s="23"/>
      <c r="K2173" s="23"/>
      <c r="M2173" s="23"/>
      <c r="N2173" s="23"/>
      <c r="P2173" s="23"/>
    </row>
    <row r="2174" spans="2:16" x14ac:dyDescent="0.25">
      <c r="B2174" s="23"/>
      <c r="E2174" s="23"/>
      <c r="G2174" s="23"/>
      <c r="H2174" s="23"/>
      <c r="J2174" s="23"/>
      <c r="K2174" s="23"/>
      <c r="M2174" s="23"/>
      <c r="N2174" s="23"/>
      <c r="P2174" s="23"/>
    </row>
    <row r="2175" spans="2:16" x14ac:dyDescent="0.25">
      <c r="B2175" s="23"/>
      <c r="E2175" s="23"/>
      <c r="G2175" s="23"/>
      <c r="H2175" s="23"/>
      <c r="J2175" s="23"/>
      <c r="K2175" s="23"/>
      <c r="M2175" s="23"/>
      <c r="N2175" s="23"/>
      <c r="P2175" s="23"/>
    </row>
    <row r="2176" spans="2:16" x14ac:dyDescent="0.25">
      <c r="B2176" s="23"/>
      <c r="E2176" s="23"/>
      <c r="G2176" s="23"/>
      <c r="H2176" s="23"/>
      <c r="J2176" s="23"/>
      <c r="K2176" s="23"/>
      <c r="M2176" s="23"/>
      <c r="N2176" s="23"/>
      <c r="P2176" s="23"/>
    </row>
    <row r="2177" spans="2:16" x14ac:dyDescent="0.25">
      <c r="B2177" s="23"/>
      <c r="E2177" s="23"/>
      <c r="G2177" s="23"/>
      <c r="H2177" s="23"/>
      <c r="J2177" s="23"/>
      <c r="K2177" s="23"/>
      <c r="M2177" s="23"/>
      <c r="N2177" s="23"/>
      <c r="P2177" s="23"/>
    </row>
    <row r="2178" spans="2:16" x14ac:dyDescent="0.25">
      <c r="B2178" s="23"/>
      <c r="E2178" s="23"/>
      <c r="G2178" s="23"/>
      <c r="H2178" s="23"/>
      <c r="J2178" s="23"/>
      <c r="K2178" s="23"/>
      <c r="M2178" s="23"/>
      <c r="N2178" s="23"/>
      <c r="P2178" s="23"/>
    </row>
    <row r="2179" spans="2:16" x14ac:dyDescent="0.25">
      <c r="B2179" s="23"/>
      <c r="E2179" s="23"/>
      <c r="G2179" s="23"/>
      <c r="H2179" s="23"/>
      <c r="J2179" s="23"/>
      <c r="K2179" s="23"/>
      <c r="M2179" s="23"/>
      <c r="N2179" s="23"/>
      <c r="P2179" s="23"/>
    </row>
    <row r="2180" spans="2:16" x14ac:dyDescent="0.25">
      <c r="B2180" s="23"/>
      <c r="E2180" s="23"/>
      <c r="G2180" s="23"/>
      <c r="H2180" s="23"/>
      <c r="J2180" s="23"/>
      <c r="K2180" s="23"/>
      <c r="M2180" s="23"/>
      <c r="N2180" s="23"/>
      <c r="P2180" s="23"/>
    </row>
    <row r="2181" spans="2:16" x14ac:dyDescent="0.25">
      <c r="B2181" s="23"/>
      <c r="E2181" s="23"/>
      <c r="G2181" s="23"/>
      <c r="H2181" s="23"/>
      <c r="J2181" s="23"/>
      <c r="K2181" s="23"/>
      <c r="M2181" s="23"/>
      <c r="N2181" s="23"/>
      <c r="P2181" s="23"/>
    </row>
    <row r="2182" spans="2:16" x14ac:dyDescent="0.25">
      <c r="B2182" s="23"/>
      <c r="E2182" s="23"/>
      <c r="G2182" s="23"/>
      <c r="H2182" s="23"/>
      <c r="J2182" s="23"/>
      <c r="K2182" s="23"/>
      <c r="M2182" s="23"/>
      <c r="N2182" s="23"/>
      <c r="P2182" s="23"/>
    </row>
    <row r="2183" spans="2:16" x14ac:dyDescent="0.25">
      <c r="B2183" s="23"/>
      <c r="E2183" s="23"/>
      <c r="G2183" s="23"/>
      <c r="H2183" s="23"/>
      <c r="J2183" s="23"/>
      <c r="K2183" s="23"/>
      <c r="M2183" s="23"/>
      <c r="N2183" s="23"/>
      <c r="P2183" s="23"/>
    </row>
    <row r="2184" spans="2:16" x14ac:dyDescent="0.25">
      <c r="B2184" s="23"/>
      <c r="E2184" s="23"/>
      <c r="G2184" s="23"/>
      <c r="H2184" s="23"/>
      <c r="J2184" s="23"/>
      <c r="K2184" s="23"/>
      <c r="M2184" s="23"/>
      <c r="N2184" s="23"/>
      <c r="P2184" s="23"/>
    </row>
    <row r="2185" spans="2:16" x14ac:dyDescent="0.25">
      <c r="B2185" s="23"/>
      <c r="E2185" s="23"/>
      <c r="G2185" s="23"/>
      <c r="H2185" s="23"/>
      <c r="J2185" s="23"/>
      <c r="K2185" s="23"/>
      <c r="M2185" s="23"/>
      <c r="N2185" s="23"/>
      <c r="P2185" s="23"/>
    </row>
    <row r="2186" spans="2:16" x14ac:dyDescent="0.25">
      <c r="B2186" s="23"/>
      <c r="E2186" s="23"/>
      <c r="G2186" s="23"/>
      <c r="H2186" s="23"/>
      <c r="J2186" s="23"/>
      <c r="K2186" s="23"/>
      <c r="M2186" s="23"/>
      <c r="N2186" s="23"/>
      <c r="P2186" s="23"/>
    </row>
    <row r="2187" spans="2:16" x14ac:dyDescent="0.25">
      <c r="B2187" s="23"/>
      <c r="E2187" s="23"/>
      <c r="G2187" s="23"/>
      <c r="H2187" s="23"/>
      <c r="J2187" s="23"/>
      <c r="K2187" s="23"/>
      <c r="M2187" s="23"/>
      <c r="N2187" s="23"/>
      <c r="P2187" s="23"/>
    </row>
    <row r="2188" spans="2:16" x14ac:dyDescent="0.25">
      <c r="B2188" s="23"/>
      <c r="E2188" s="23"/>
      <c r="G2188" s="23"/>
      <c r="H2188" s="23"/>
      <c r="J2188" s="23"/>
      <c r="K2188" s="23"/>
      <c r="M2188" s="23"/>
      <c r="N2188" s="23"/>
      <c r="P2188" s="23"/>
    </row>
    <row r="2189" spans="2:16" x14ac:dyDescent="0.25">
      <c r="B2189" s="23"/>
      <c r="E2189" s="23"/>
      <c r="G2189" s="23"/>
      <c r="H2189" s="23"/>
      <c r="J2189" s="23"/>
      <c r="K2189" s="23"/>
      <c r="M2189" s="23"/>
      <c r="N2189" s="23"/>
      <c r="P2189" s="23"/>
    </row>
    <row r="2190" spans="2:16" x14ac:dyDescent="0.25">
      <c r="B2190" s="23"/>
      <c r="E2190" s="23"/>
      <c r="G2190" s="23"/>
      <c r="H2190" s="23"/>
      <c r="J2190" s="23"/>
      <c r="K2190" s="23"/>
      <c r="M2190" s="23"/>
      <c r="N2190" s="23"/>
      <c r="P2190" s="23"/>
    </row>
    <row r="2191" spans="2:16" x14ac:dyDescent="0.25">
      <c r="B2191" s="23"/>
      <c r="E2191" s="23"/>
      <c r="G2191" s="23"/>
      <c r="H2191" s="23"/>
      <c r="J2191" s="23"/>
      <c r="K2191" s="23"/>
      <c r="M2191" s="23"/>
      <c r="N2191" s="23"/>
      <c r="P2191" s="23"/>
    </row>
    <row r="2192" spans="2:16" x14ac:dyDescent="0.25">
      <c r="B2192" s="23"/>
      <c r="E2192" s="23"/>
      <c r="G2192" s="23"/>
      <c r="H2192" s="23"/>
      <c r="J2192" s="23"/>
      <c r="K2192" s="23"/>
      <c r="M2192" s="23"/>
      <c r="N2192" s="23"/>
      <c r="P2192" s="23"/>
    </row>
    <row r="2193" spans="2:16" x14ac:dyDescent="0.25">
      <c r="B2193" s="23"/>
      <c r="E2193" s="23"/>
      <c r="G2193" s="23"/>
      <c r="H2193" s="23"/>
      <c r="J2193" s="23"/>
      <c r="K2193" s="23"/>
      <c r="M2193" s="23"/>
      <c r="N2193" s="23"/>
      <c r="P2193" s="23"/>
    </row>
    <row r="2194" spans="2:16" x14ac:dyDescent="0.25">
      <c r="B2194" s="23"/>
      <c r="E2194" s="23"/>
      <c r="G2194" s="23"/>
      <c r="H2194" s="23"/>
      <c r="J2194" s="23"/>
      <c r="K2194" s="23"/>
      <c r="M2194" s="23"/>
      <c r="N2194" s="23"/>
      <c r="P2194" s="23"/>
    </row>
    <row r="2195" spans="2:16" x14ac:dyDescent="0.25">
      <c r="B2195" s="23"/>
      <c r="E2195" s="23"/>
      <c r="G2195" s="23"/>
      <c r="H2195" s="23"/>
      <c r="J2195" s="23"/>
      <c r="K2195" s="23"/>
      <c r="M2195" s="23"/>
      <c r="N2195" s="23"/>
      <c r="P2195" s="23"/>
    </row>
    <row r="2196" spans="2:16" x14ac:dyDescent="0.25">
      <c r="B2196" s="23"/>
      <c r="E2196" s="23"/>
      <c r="G2196" s="23"/>
      <c r="H2196" s="23"/>
      <c r="J2196" s="23"/>
      <c r="K2196" s="23"/>
      <c r="M2196" s="23"/>
      <c r="N2196" s="23"/>
      <c r="P2196" s="23"/>
    </row>
    <row r="2197" spans="2:16" x14ac:dyDescent="0.25">
      <c r="B2197" s="23"/>
      <c r="E2197" s="23"/>
      <c r="G2197" s="23"/>
      <c r="H2197" s="23"/>
      <c r="J2197" s="23"/>
      <c r="K2197" s="23"/>
      <c r="M2197" s="23"/>
      <c r="N2197" s="23"/>
      <c r="P2197" s="23"/>
    </row>
    <row r="2198" spans="2:16" x14ac:dyDescent="0.25">
      <c r="B2198" s="23"/>
      <c r="E2198" s="23"/>
      <c r="G2198" s="23"/>
      <c r="H2198" s="23"/>
      <c r="J2198" s="23"/>
      <c r="K2198" s="23"/>
      <c r="M2198" s="23"/>
      <c r="N2198" s="23"/>
      <c r="P2198" s="23"/>
    </row>
    <row r="2199" spans="2:16" x14ac:dyDescent="0.25">
      <c r="B2199" s="23"/>
      <c r="E2199" s="23"/>
      <c r="G2199" s="23"/>
      <c r="H2199" s="23"/>
      <c r="J2199" s="23"/>
      <c r="K2199" s="23"/>
      <c r="M2199" s="23"/>
      <c r="N2199" s="23"/>
      <c r="P2199" s="23"/>
    </row>
    <row r="2200" spans="2:16" x14ac:dyDescent="0.25">
      <c r="B2200" s="23"/>
      <c r="E2200" s="23"/>
      <c r="G2200" s="23"/>
      <c r="H2200" s="23"/>
      <c r="J2200" s="23"/>
      <c r="K2200" s="23"/>
      <c r="M2200" s="23"/>
      <c r="N2200" s="23"/>
      <c r="P2200" s="23"/>
    </row>
    <row r="2201" spans="2:16" x14ac:dyDescent="0.25">
      <c r="B2201" s="23"/>
      <c r="E2201" s="23"/>
      <c r="G2201" s="23"/>
      <c r="H2201" s="23"/>
      <c r="J2201" s="23"/>
      <c r="K2201" s="23"/>
      <c r="M2201" s="23"/>
      <c r="N2201" s="23"/>
      <c r="P2201" s="23"/>
    </row>
    <row r="2202" spans="2:16" x14ac:dyDescent="0.25">
      <c r="B2202" s="23"/>
      <c r="E2202" s="23"/>
      <c r="G2202" s="23"/>
      <c r="H2202" s="23"/>
      <c r="J2202" s="23"/>
      <c r="K2202" s="23"/>
      <c r="M2202" s="23"/>
      <c r="N2202" s="23"/>
      <c r="P2202" s="23"/>
    </row>
    <row r="2203" spans="2:16" x14ac:dyDescent="0.25">
      <c r="B2203" s="23"/>
      <c r="E2203" s="23"/>
      <c r="G2203" s="23"/>
      <c r="H2203" s="23"/>
      <c r="J2203" s="23"/>
      <c r="K2203" s="23"/>
      <c r="M2203" s="23"/>
      <c r="N2203" s="23"/>
      <c r="P2203" s="23"/>
    </row>
    <row r="2204" spans="2:16" x14ac:dyDescent="0.25">
      <c r="B2204" s="23"/>
      <c r="E2204" s="23"/>
      <c r="G2204" s="23"/>
      <c r="H2204" s="23"/>
      <c r="J2204" s="23"/>
      <c r="K2204" s="23"/>
      <c r="M2204" s="23"/>
      <c r="N2204" s="23"/>
      <c r="P2204" s="23"/>
    </row>
    <row r="2205" spans="2:16" x14ac:dyDescent="0.25">
      <c r="B2205" s="23"/>
      <c r="E2205" s="23"/>
      <c r="G2205" s="23"/>
      <c r="H2205" s="23"/>
      <c r="J2205" s="23"/>
      <c r="K2205" s="23"/>
      <c r="M2205" s="23"/>
      <c r="N2205" s="23"/>
      <c r="P2205" s="23"/>
    </row>
    <row r="2206" spans="2:16" x14ac:dyDescent="0.25">
      <c r="B2206" s="23"/>
      <c r="E2206" s="23"/>
      <c r="G2206" s="23"/>
      <c r="H2206" s="23"/>
      <c r="J2206" s="23"/>
      <c r="K2206" s="23"/>
      <c r="M2206" s="23"/>
      <c r="N2206" s="23"/>
      <c r="P2206" s="23"/>
    </row>
    <row r="2207" spans="2:16" x14ac:dyDescent="0.25">
      <c r="B2207" s="23"/>
      <c r="E2207" s="23"/>
      <c r="G2207" s="23"/>
      <c r="H2207" s="23"/>
      <c r="J2207" s="23"/>
      <c r="K2207" s="23"/>
      <c r="M2207" s="23"/>
      <c r="N2207" s="23"/>
      <c r="P2207" s="23"/>
    </row>
    <row r="2208" spans="2:16" x14ac:dyDescent="0.25">
      <c r="B2208" s="23"/>
      <c r="E2208" s="23"/>
      <c r="G2208" s="23"/>
      <c r="H2208" s="23"/>
      <c r="J2208" s="23"/>
      <c r="K2208" s="23"/>
      <c r="M2208" s="23"/>
      <c r="N2208" s="23"/>
      <c r="P2208" s="23"/>
    </row>
    <row r="2209" spans="2:16" x14ac:dyDescent="0.25">
      <c r="B2209" s="23"/>
      <c r="E2209" s="23"/>
      <c r="G2209" s="23"/>
      <c r="H2209" s="23"/>
      <c r="J2209" s="23"/>
      <c r="K2209" s="23"/>
      <c r="M2209" s="23"/>
      <c r="N2209" s="23"/>
      <c r="P2209" s="23"/>
    </row>
    <row r="2210" spans="2:16" x14ac:dyDescent="0.25">
      <c r="B2210" s="23"/>
      <c r="E2210" s="23"/>
      <c r="G2210" s="23"/>
      <c r="H2210" s="23"/>
      <c r="J2210" s="23"/>
      <c r="K2210" s="23"/>
      <c r="M2210" s="23"/>
      <c r="N2210" s="23"/>
      <c r="P2210" s="23"/>
    </row>
    <row r="2211" spans="2:16" x14ac:dyDescent="0.25">
      <c r="B2211" s="23"/>
      <c r="E2211" s="23"/>
      <c r="G2211" s="23"/>
      <c r="H2211" s="23"/>
      <c r="J2211" s="23"/>
      <c r="K2211" s="23"/>
      <c r="M2211" s="23"/>
      <c r="N2211" s="23"/>
      <c r="P2211" s="23"/>
    </row>
    <row r="2212" spans="2:16" x14ac:dyDescent="0.25">
      <c r="B2212" s="23"/>
      <c r="E2212" s="23"/>
      <c r="G2212" s="23"/>
      <c r="H2212" s="23"/>
      <c r="J2212" s="23"/>
      <c r="K2212" s="23"/>
      <c r="M2212" s="23"/>
      <c r="N2212" s="23"/>
      <c r="P2212" s="23"/>
    </row>
    <row r="2213" spans="2:16" x14ac:dyDescent="0.25">
      <c r="B2213" s="23"/>
      <c r="E2213" s="23"/>
      <c r="G2213" s="23"/>
      <c r="H2213" s="23"/>
      <c r="J2213" s="23"/>
      <c r="K2213" s="23"/>
      <c r="M2213" s="23"/>
      <c r="N2213" s="23"/>
      <c r="P2213" s="23"/>
    </row>
    <row r="2214" spans="2:16" x14ac:dyDescent="0.25">
      <c r="B2214" s="23"/>
      <c r="E2214" s="23"/>
      <c r="G2214" s="23"/>
      <c r="H2214" s="23"/>
      <c r="J2214" s="23"/>
      <c r="K2214" s="23"/>
      <c r="M2214" s="23"/>
      <c r="N2214" s="23"/>
      <c r="P2214" s="23"/>
    </row>
    <row r="2215" spans="2:16" x14ac:dyDescent="0.25">
      <c r="B2215" s="23"/>
      <c r="E2215" s="23"/>
      <c r="G2215" s="23"/>
      <c r="H2215" s="23"/>
      <c r="J2215" s="23"/>
      <c r="K2215" s="23"/>
      <c r="M2215" s="23"/>
      <c r="N2215" s="23"/>
      <c r="P2215" s="23"/>
    </row>
    <row r="2216" spans="2:16" x14ac:dyDescent="0.25">
      <c r="B2216" s="23"/>
      <c r="E2216" s="23"/>
      <c r="G2216" s="23"/>
      <c r="H2216" s="23"/>
      <c r="J2216" s="23"/>
      <c r="K2216" s="23"/>
      <c r="M2216" s="23"/>
      <c r="N2216" s="23"/>
      <c r="P2216" s="23"/>
    </row>
    <row r="2217" spans="2:16" x14ac:dyDescent="0.25">
      <c r="B2217" s="23"/>
      <c r="E2217" s="23"/>
      <c r="G2217" s="23"/>
      <c r="H2217" s="23"/>
      <c r="J2217" s="23"/>
      <c r="K2217" s="23"/>
      <c r="M2217" s="23"/>
      <c r="N2217" s="23"/>
      <c r="P2217" s="23"/>
    </row>
    <row r="2218" spans="2:16" x14ac:dyDescent="0.25">
      <c r="B2218" s="23"/>
      <c r="E2218" s="23"/>
      <c r="G2218" s="23"/>
      <c r="H2218" s="23"/>
      <c r="J2218" s="23"/>
      <c r="K2218" s="23"/>
      <c r="M2218" s="23"/>
      <c r="N2218" s="23"/>
      <c r="P2218" s="23"/>
    </row>
    <row r="2219" spans="2:16" x14ac:dyDescent="0.25">
      <c r="B2219" s="23"/>
      <c r="E2219" s="23"/>
      <c r="G2219" s="23"/>
      <c r="H2219" s="23"/>
      <c r="J2219" s="23"/>
      <c r="K2219" s="23"/>
      <c r="M2219" s="23"/>
      <c r="N2219" s="23"/>
      <c r="P2219" s="23"/>
    </row>
    <row r="2220" spans="2:16" x14ac:dyDescent="0.25">
      <c r="B2220" s="23"/>
      <c r="E2220" s="23"/>
      <c r="G2220" s="23"/>
      <c r="H2220" s="23"/>
      <c r="J2220" s="23"/>
      <c r="K2220" s="23"/>
      <c r="M2220" s="23"/>
      <c r="N2220" s="23"/>
      <c r="P2220" s="23"/>
    </row>
    <row r="2221" spans="2:16" x14ac:dyDescent="0.25">
      <c r="B2221" s="23"/>
      <c r="E2221" s="23"/>
      <c r="G2221" s="23"/>
      <c r="H2221" s="23"/>
      <c r="J2221" s="23"/>
      <c r="K2221" s="23"/>
      <c r="M2221" s="23"/>
      <c r="N2221" s="23"/>
      <c r="P2221" s="23"/>
    </row>
    <row r="2222" spans="2:16" x14ac:dyDescent="0.25">
      <c r="B2222" s="23"/>
      <c r="E2222" s="23"/>
      <c r="G2222" s="23"/>
      <c r="H2222" s="23"/>
      <c r="J2222" s="23"/>
      <c r="K2222" s="23"/>
      <c r="M2222" s="23"/>
      <c r="N2222" s="23"/>
      <c r="P2222" s="23"/>
    </row>
    <row r="2223" spans="2:16" x14ac:dyDescent="0.25">
      <c r="B2223" s="23"/>
      <c r="E2223" s="23"/>
      <c r="G2223" s="23"/>
      <c r="H2223" s="23"/>
      <c r="J2223" s="23"/>
      <c r="K2223" s="23"/>
      <c r="M2223" s="23"/>
      <c r="N2223" s="23"/>
      <c r="P2223" s="23"/>
    </row>
    <row r="2224" spans="2:16" x14ac:dyDescent="0.25">
      <c r="B2224" s="23"/>
      <c r="E2224" s="23"/>
      <c r="G2224" s="23"/>
      <c r="H2224" s="23"/>
      <c r="J2224" s="23"/>
      <c r="K2224" s="23"/>
      <c r="M2224" s="23"/>
      <c r="N2224" s="23"/>
      <c r="P2224" s="23"/>
    </row>
    <row r="2225" spans="2:16" x14ac:dyDescent="0.25">
      <c r="B2225" s="23"/>
      <c r="E2225" s="23"/>
      <c r="G2225" s="23"/>
      <c r="H2225" s="23"/>
      <c r="J2225" s="23"/>
      <c r="K2225" s="23"/>
      <c r="M2225" s="23"/>
      <c r="N2225" s="23"/>
      <c r="P2225" s="23"/>
    </row>
    <row r="2226" spans="2:16" x14ac:dyDescent="0.25">
      <c r="B2226" s="23"/>
      <c r="E2226" s="23"/>
      <c r="G2226" s="23"/>
      <c r="H2226" s="23"/>
      <c r="J2226" s="23"/>
      <c r="K2226" s="23"/>
      <c r="M2226" s="23"/>
      <c r="N2226" s="23"/>
      <c r="P2226" s="23"/>
    </row>
    <row r="2227" spans="2:16" x14ac:dyDescent="0.25">
      <c r="B2227" s="23"/>
      <c r="E2227" s="23"/>
      <c r="G2227" s="23"/>
      <c r="H2227" s="23"/>
      <c r="J2227" s="23"/>
      <c r="K2227" s="23"/>
      <c r="M2227" s="23"/>
      <c r="N2227" s="23"/>
      <c r="P2227" s="23"/>
    </row>
    <row r="2228" spans="2:16" x14ac:dyDescent="0.25">
      <c r="B2228" s="23"/>
      <c r="E2228" s="23"/>
      <c r="G2228" s="23"/>
      <c r="H2228" s="23"/>
      <c r="J2228" s="23"/>
      <c r="K2228" s="23"/>
      <c r="M2228" s="23"/>
      <c r="N2228" s="23"/>
      <c r="P2228" s="23"/>
    </row>
    <row r="2229" spans="2:16" x14ac:dyDescent="0.25">
      <c r="B2229" s="23"/>
      <c r="E2229" s="23"/>
      <c r="G2229" s="23"/>
      <c r="H2229" s="23"/>
      <c r="J2229" s="23"/>
      <c r="K2229" s="23"/>
      <c r="M2229" s="23"/>
      <c r="N2229" s="23"/>
      <c r="P2229" s="23"/>
    </row>
    <row r="2230" spans="2:16" x14ac:dyDescent="0.25">
      <c r="B2230" s="23"/>
      <c r="E2230" s="23"/>
      <c r="G2230" s="23"/>
      <c r="H2230" s="23"/>
      <c r="J2230" s="23"/>
      <c r="K2230" s="23"/>
      <c r="M2230" s="23"/>
      <c r="N2230" s="23"/>
      <c r="P2230" s="23"/>
    </row>
    <row r="2231" spans="2:16" x14ac:dyDescent="0.25">
      <c r="B2231" s="23"/>
      <c r="E2231" s="23"/>
      <c r="G2231" s="23"/>
      <c r="H2231" s="23"/>
      <c r="J2231" s="23"/>
      <c r="K2231" s="23"/>
      <c r="M2231" s="23"/>
      <c r="N2231" s="23"/>
      <c r="P2231" s="23"/>
    </row>
    <row r="2232" spans="2:16" x14ac:dyDescent="0.25">
      <c r="B2232" s="23"/>
      <c r="E2232" s="23"/>
      <c r="G2232" s="23"/>
      <c r="H2232" s="23"/>
      <c r="J2232" s="23"/>
      <c r="K2232" s="23"/>
      <c r="M2232" s="23"/>
      <c r="N2232" s="23"/>
      <c r="P2232" s="23"/>
    </row>
    <row r="2233" spans="2:16" x14ac:dyDescent="0.25">
      <c r="B2233" s="23"/>
      <c r="E2233" s="23"/>
      <c r="G2233" s="23"/>
      <c r="H2233" s="23"/>
      <c r="J2233" s="23"/>
      <c r="K2233" s="23"/>
      <c r="M2233" s="23"/>
      <c r="N2233" s="23"/>
      <c r="P2233" s="23"/>
    </row>
    <row r="2234" spans="2:16" x14ac:dyDescent="0.25">
      <c r="B2234" s="23"/>
      <c r="E2234" s="23"/>
      <c r="G2234" s="23"/>
      <c r="H2234" s="23"/>
      <c r="J2234" s="23"/>
      <c r="K2234" s="23"/>
      <c r="M2234" s="23"/>
      <c r="N2234" s="23"/>
      <c r="P2234" s="23"/>
    </row>
    <row r="2235" spans="2:16" x14ac:dyDescent="0.25">
      <c r="B2235" s="23"/>
      <c r="E2235" s="23"/>
      <c r="G2235" s="23"/>
      <c r="H2235" s="23"/>
      <c r="J2235" s="23"/>
      <c r="K2235" s="23"/>
      <c r="M2235" s="23"/>
      <c r="N2235" s="23"/>
      <c r="P2235" s="23"/>
    </row>
    <row r="2236" spans="2:16" x14ac:dyDescent="0.25">
      <c r="B2236" s="23"/>
      <c r="E2236" s="23"/>
      <c r="G2236" s="23"/>
      <c r="H2236" s="23"/>
      <c r="J2236" s="23"/>
      <c r="K2236" s="23"/>
      <c r="M2236" s="23"/>
      <c r="N2236" s="23"/>
      <c r="P2236" s="23"/>
    </row>
    <row r="2237" spans="2:16" x14ac:dyDescent="0.25">
      <c r="B2237" s="23"/>
      <c r="E2237" s="23"/>
      <c r="G2237" s="23"/>
      <c r="H2237" s="23"/>
      <c r="J2237" s="23"/>
      <c r="K2237" s="23"/>
      <c r="M2237" s="23"/>
      <c r="N2237" s="23"/>
      <c r="P2237" s="23"/>
    </row>
    <row r="2238" spans="2:16" x14ac:dyDescent="0.25">
      <c r="B2238" s="23"/>
      <c r="E2238" s="23"/>
      <c r="G2238" s="23"/>
      <c r="H2238" s="23"/>
      <c r="J2238" s="23"/>
      <c r="K2238" s="23"/>
      <c r="M2238" s="23"/>
      <c r="N2238" s="23"/>
      <c r="P2238" s="23"/>
    </row>
    <row r="2239" spans="2:16" x14ac:dyDescent="0.25">
      <c r="B2239" s="23"/>
      <c r="E2239" s="23"/>
      <c r="G2239" s="23"/>
      <c r="H2239" s="23"/>
      <c r="J2239" s="23"/>
      <c r="K2239" s="23"/>
      <c r="M2239" s="23"/>
      <c r="N2239" s="23"/>
      <c r="P2239" s="23"/>
    </row>
    <row r="2240" spans="2:16" x14ac:dyDescent="0.25">
      <c r="B2240" s="23"/>
      <c r="E2240" s="23"/>
      <c r="G2240" s="23"/>
      <c r="H2240" s="23"/>
      <c r="J2240" s="23"/>
      <c r="K2240" s="23"/>
      <c r="M2240" s="23"/>
      <c r="N2240" s="23"/>
      <c r="P2240" s="23"/>
    </row>
    <row r="2241" spans="2:16" x14ac:dyDescent="0.25">
      <c r="B2241" s="23"/>
      <c r="E2241" s="23"/>
      <c r="G2241" s="23"/>
      <c r="H2241" s="23"/>
      <c r="J2241" s="23"/>
      <c r="K2241" s="23"/>
      <c r="M2241" s="23"/>
      <c r="N2241" s="23"/>
      <c r="P2241" s="23"/>
    </row>
    <row r="2242" spans="2:16" x14ac:dyDescent="0.25">
      <c r="B2242" s="23"/>
      <c r="E2242" s="23"/>
      <c r="G2242" s="23"/>
      <c r="H2242" s="23"/>
      <c r="J2242" s="23"/>
      <c r="K2242" s="23"/>
      <c r="M2242" s="23"/>
      <c r="N2242" s="23"/>
      <c r="P2242" s="23"/>
    </row>
    <row r="2243" spans="2:16" x14ac:dyDescent="0.25">
      <c r="B2243" s="23"/>
      <c r="E2243" s="23"/>
      <c r="G2243" s="23"/>
      <c r="H2243" s="23"/>
      <c r="J2243" s="23"/>
      <c r="K2243" s="23"/>
      <c r="M2243" s="23"/>
      <c r="N2243" s="23"/>
      <c r="P2243" s="23"/>
    </row>
    <row r="2244" spans="2:16" x14ac:dyDescent="0.25">
      <c r="B2244" s="23"/>
      <c r="E2244" s="23"/>
      <c r="G2244" s="23"/>
      <c r="H2244" s="23"/>
      <c r="J2244" s="23"/>
      <c r="K2244" s="23"/>
      <c r="M2244" s="23"/>
      <c r="N2244" s="23"/>
      <c r="P2244" s="23"/>
    </row>
    <row r="2245" spans="2:16" x14ac:dyDescent="0.25">
      <c r="B2245" s="23"/>
      <c r="E2245" s="23"/>
      <c r="G2245" s="23"/>
      <c r="H2245" s="23"/>
      <c r="J2245" s="23"/>
      <c r="K2245" s="23"/>
      <c r="M2245" s="23"/>
      <c r="N2245" s="23"/>
      <c r="P2245" s="23"/>
    </row>
    <row r="2246" spans="2:16" x14ac:dyDescent="0.25">
      <c r="B2246" s="23"/>
      <c r="E2246" s="23"/>
      <c r="G2246" s="23"/>
      <c r="H2246" s="23"/>
      <c r="J2246" s="23"/>
      <c r="K2246" s="23"/>
      <c r="M2246" s="23"/>
      <c r="N2246" s="23"/>
      <c r="P2246" s="23"/>
    </row>
    <row r="2247" spans="2:16" x14ac:dyDescent="0.25">
      <c r="B2247" s="23"/>
      <c r="E2247" s="23"/>
      <c r="G2247" s="23"/>
      <c r="H2247" s="23"/>
      <c r="J2247" s="23"/>
      <c r="K2247" s="23"/>
      <c r="M2247" s="23"/>
      <c r="N2247" s="23"/>
      <c r="P2247" s="23"/>
    </row>
    <row r="2248" spans="2:16" x14ac:dyDescent="0.25">
      <c r="B2248" s="23"/>
      <c r="E2248" s="23"/>
      <c r="G2248" s="23"/>
      <c r="H2248" s="23"/>
      <c r="J2248" s="23"/>
      <c r="K2248" s="23"/>
      <c r="M2248" s="23"/>
      <c r="N2248" s="23"/>
      <c r="P2248" s="23"/>
    </row>
    <row r="2249" spans="2:16" x14ac:dyDescent="0.25">
      <c r="B2249" s="23"/>
      <c r="E2249" s="23"/>
      <c r="G2249" s="23"/>
      <c r="H2249" s="23"/>
      <c r="J2249" s="23"/>
      <c r="K2249" s="23"/>
      <c r="M2249" s="23"/>
      <c r="N2249" s="23"/>
      <c r="P2249" s="23"/>
    </row>
    <row r="2250" spans="2:16" x14ac:dyDescent="0.25">
      <c r="B2250" s="23"/>
      <c r="E2250" s="23"/>
      <c r="G2250" s="23"/>
      <c r="H2250" s="23"/>
      <c r="J2250" s="23"/>
      <c r="K2250" s="23"/>
      <c r="M2250" s="23"/>
      <c r="N2250" s="23"/>
      <c r="P2250" s="23"/>
    </row>
    <row r="2251" spans="2:16" x14ac:dyDescent="0.25">
      <c r="B2251" s="23"/>
      <c r="E2251" s="23"/>
      <c r="G2251" s="23"/>
      <c r="H2251" s="23"/>
      <c r="J2251" s="23"/>
      <c r="K2251" s="23"/>
      <c r="M2251" s="23"/>
      <c r="N2251" s="23"/>
      <c r="P2251" s="23"/>
    </row>
    <row r="2252" spans="2:16" x14ac:dyDescent="0.25">
      <c r="B2252" s="23"/>
      <c r="E2252" s="23"/>
      <c r="G2252" s="23"/>
      <c r="H2252" s="23"/>
      <c r="J2252" s="23"/>
      <c r="K2252" s="23"/>
      <c r="M2252" s="23"/>
      <c r="N2252" s="23"/>
      <c r="P2252" s="23"/>
    </row>
    <row r="2253" spans="2:16" x14ac:dyDescent="0.25">
      <c r="B2253" s="23"/>
      <c r="E2253" s="23"/>
      <c r="G2253" s="23"/>
      <c r="H2253" s="23"/>
      <c r="J2253" s="23"/>
      <c r="K2253" s="23"/>
      <c r="M2253" s="23"/>
      <c r="N2253" s="23"/>
      <c r="P2253" s="23"/>
    </row>
    <row r="2254" spans="2:16" x14ac:dyDescent="0.25">
      <c r="B2254" s="23"/>
      <c r="E2254" s="23"/>
      <c r="G2254" s="23"/>
      <c r="H2254" s="23"/>
      <c r="J2254" s="23"/>
      <c r="K2254" s="23"/>
      <c r="M2254" s="23"/>
      <c r="N2254" s="23"/>
      <c r="P2254" s="23"/>
    </row>
    <row r="2255" spans="2:16" x14ac:dyDescent="0.25">
      <c r="B2255" s="23"/>
      <c r="E2255" s="23"/>
      <c r="G2255" s="23"/>
      <c r="H2255" s="23"/>
      <c r="J2255" s="23"/>
      <c r="K2255" s="23"/>
      <c r="M2255" s="23"/>
      <c r="N2255" s="23"/>
      <c r="P2255" s="23"/>
    </row>
    <row r="2256" spans="2:16" x14ac:dyDescent="0.25">
      <c r="B2256" s="23"/>
      <c r="E2256" s="23"/>
      <c r="G2256" s="23"/>
      <c r="H2256" s="23"/>
      <c r="J2256" s="23"/>
      <c r="K2256" s="23"/>
      <c r="M2256" s="23"/>
      <c r="N2256" s="23"/>
      <c r="P2256" s="23"/>
    </row>
    <row r="2257" spans="2:16" x14ac:dyDescent="0.25">
      <c r="B2257" s="23"/>
      <c r="E2257" s="23"/>
      <c r="G2257" s="23"/>
      <c r="H2257" s="23"/>
      <c r="J2257" s="23"/>
      <c r="K2257" s="23"/>
      <c r="M2257" s="23"/>
      <c r="N2257" s="23"/>
      <c r="P2257" s="23"/>
    </row>
    <row r="2258" spans="2:16" x14ac:dyDescent="0.25">
      <c r="B2258" s="23"/>
      <c r="E2258" s="23"/>
      <c r="G2258" s="23"/>
      <c r="H2258" s="23"/>
      <c r="J2258" s="23"/>
      <c r="K2258" s="23"/>
      <c r="M2258" s="23"/>
      <c r="N2258" s="23"/>
      <c r="P2258" s="23"/>
    </row>
    <row r="2259" spans="2:16" x14ac:dyDescent="0.25">
      <c r="B2259" s="23"/>
      <c r="E2259" s="23"/>
      <c r="G2259" s="23"/>
      <c r="H2259" s="23"/>
      <c r="J2259" s="23"/>
      <c r="K2259" s="23"/>
      <c r="M2259" s="23"/>
      <c r="N2259" s="23"/>
      <c r="P2259" s="23"/>
    </row>
    <row r="2260" spans="2:16" x14ac:dyDescent="0.25">
      <c r="B2260" s="23"/>
      <c r="E2260" s="23"/>
      <c r="G2260" s="23"/>
      <c r="H2260" s="23"/>
      <c r="J2260" s="23"/>
      <c r="K2260" s="23"/>
      <c r="M2260" s="23"/>
      <c r="N2260" s="23"/>
      <c r="P2260" s="23"/>
    </row>
    <row r="2261" spans="2:16" x14ac:dyDescent="0.25">
      <c r="B2261" s="23"/>
      <c r="E2261" s="23"/>
      <c r="G2261" s="23"/>
      <c r="H2261" s="23"/>
      <c r="J2261" s="23"/>
      <c r="K2261" s="23"/>
      <c r="M2261" s="23"/>
      <c r="N2261" s="23"/>
      <c r="P2261" s="23"/>
    </row>
    <row r="2262" spans="2:16" x14ac:dyDescent="0.25">
      <c r="B2262" s="23"/>
      <c r="E2262" s="23"/>
      <c r="G2262" s="23"/>
      <c r="H2262" s="23"/>
      <c r="J2262" s="23"/>
      <c r="K2262" s="23"/>
      <c r="M2262" s="23"/>
      <c r="N2262" s="23"/>
      <c r="P2262" s="23"/>
    </row>
    <row r="2263" spans="2:16" x14ac:dyDescent="0.25">
      <c r="B2263" s="23"/>
      <c r="E2263" s="23"/>
      <c r="G2263" s="23"/>
      <c r="H2263" s="23"/>
      <c r="J2263" s="23"/>
      <c r="K2263" s="23"/>
      <c r="M2263" s="23"/>
      <c r="N2263" s="23"/>
      <c r="P2263" s="23"/>
    </row>
    <row r="2264" spans="2:16" x14ac:dyDescent="0.25">
      <c r="B2264" s="23"/>
      <c r="E2264" s="23"/>
      <c r="G2264" s="23"/>
      <c r="H2264" s="23"/>
      <c r="J2264" s="23"/>
      <c r="K2264" s="23"/>
      <c r="M2264" s="23"/>
      <c r="N2264" s="23"/>
      <c r="P2264" s="23"/>
    </row>
    <row r="2265" spans="2:16" x14ac:dyDescent="0.25">
      <c r="B2265" s="23"/>
      <c r="E2265" s="23"/>
      <c r="G2265" s="23"/>
      <c r="H2265" s="23"/>
      <c r="J2265" s="23"/>
      <c r="K2265" s="23"/>
      <c r="M2265" s="23"/>
      <c r="N2265" s="23"/>
      <c r="P2265" s="23"/>
    </row>
    <row r="2266" spans="2:16" x14ac:dyDescent="0.25">
      <c r="B2266" s="23"/>
      <c r="E2266" s="23"/>
      <c r="G2266" s="23"/>
      <c r="H2266" s="23"/>
      <c r="J2266" s="23"/>
      <c r="K2266" s="23"/>
      <c r="M2266" s="23"/>
      <c r="N2266" s="23"/>
      <c r="P2266" s="23"/>
    </row>
    <row r="2267" spans="2:16" x14ac:dyDescent="0.25">
      <c r="B2267" s="23"/>
      <c r="E2267" s="23"/>
      <c r="G2267" s="23"/>
      <c r="H2267" s="23"/>
      <c r="J2267" s="23"/>
      <c r="K2267" s="23"/>
      <c r="M2267" s="23"/>
      <c r="N2267" s="23"/>
      <c r="P2267" s="23"/>
    </row>
    <row r="2268" spans="2:16" x14ac:dyDescent="0.25">
      <c r="B2268" s="23"/>
      <c r="E2268" s="23"/>
      <c r="G2268" s="23"/>
      <c r="H2268" s="23"/>
      <c r="J2268" s="23"/>
      <c r="K2268" s="23"/>
      <c r="M2268" s="23"/>
      <c r="N2268" s="23"/>
      <c r="P2268" s="23"/>
    </row>
    <row r="2269" spans="2:16" x14ac:dyDescent="0.25">
      <c r="B2269" s="23"/>
      <c r="E2269" s="23"/>
      <c r="G2269" s="23"/>
      <c r="H2269" s="23"/>
      <c r="J2269" s="23"/>
      <c r="K2269" s="23"/>
      <c r="M2269" s="23"/>
      <c r="N2269" s="23"/>
      <c r="P2269" s="23"/>
    </row>
    <row r="2270" spans="2:16" x14ac:dyDescent="0.25">
      <c r="B2270" s="23"/>
      <c r="E2270" s="23"/>
      <c r="G2270" s="23"/>
      <c r="H2270" s="23"/>
      <c r="J2270" s="23"/>
      <c r="K2270" s="23"/>
      <c r="M2270" s="23"/>
      <c r="N2270" s="23"/>
      <c r="P2270" s="23"/>
    </row>
    <row r="2271" spans="2:16" x14ac:dyDescent="0.25">
      <c r="B2271" s="23"/>
      <c r="E2271" s="23"/>
      <c r="G2271" s="23"/>
      <c r="H2271" s="23"/>
      <c r="J2271" s="23"/>
      <c r="K2271" s="23"/>
      <c r="M2271" s="23"/>
      <c r="N2271" s="23"/>
      <c r="P2271" s="23"/>
    </row>
    <row r="2272" spans="2:16" x14ac:dyDescent="0.25">
      <c r="B2272" s="23"/>
      <c r="E2272" s="23"/>
      <c r="G2272" s="23"/>
      <c r="H2272" s="23"/>
      <c r="J2272" s="23"/>
      <c r="K2272" s="23"/>
      <c r="M2272" s="23"/>
      <c r="N2272" s="23"/>
      <c r="P2272" s="23"/>
    </row>
    <row r="2273" spans="2:16" x14ac:dyDescent="0.25">
      <c r="B2273" s="23"/>
      <c r="E2273" s="23"/>
      <c r="G2273" s="23"/>
      <c r="H2273" s="23"/>
      <c r="J2273" s="23"/>
      <c r="K2273" s="23"/>
      <c r="M2273" s="23"/>
      <c r="N2273" s="23"/>
      <c r="P2273" s="23"/>
    </row>
    <row r="2274" spans="2:16" x14ac:dyDescent="0.25">
      <c r="B2274" s="23"/>
      <c r="E2274" s="23"/>
      <c r="G2274" s="23"/>
      <c r="H2274" s="23"/>
      <c r="J2274" s="23"/>
      <c r="K2274" s="23"/>
      <c r="M2274" s="23"/>
      <c r="N2274" s="23"/>
      <c r="P2274" s="23"/>
    </row>
    <row r="2275" spans="2:16" x14ac:dyDescent="0.25">
      <c r="B2275" s="23"/>
      <c r="E2275" s="23"/>
      <c r="G2275" s="23"/>
      <c r="H2275" s="23"/>
      <c r="J2275" s="23"/>
      <c r="K2275" s="23"/>
      <c r="M2275" s="23"/>
      <c r="N2275" s="23"/>
      <c r="P2275" s="23"/>
    </row>
    <row r="2276" spans="2:16" x14ac:dyDescent="0.25">
      <c r="B2276" s="23"/>
      <c r="E2276" s="23"/>
      <c r="G2276" s="23"/>
      <c r="H2276" s="23"/>
      <c r="J2276" s="23"/>
      <c r="K2276" s="23"/>
      <c r="M2276" s="23"/>
      <c r="N2276" s="23"/>
      <c r="P2276" s="23"/>
    </row>
    <row r="2277" spans="2:16" x14ac:dyDescent="0.25">
      <c r="B2277" s="23"/>
      <c r="E2277" s="23"/>
      <c r="G2277" s="23"/>
      <c r="H2277" s="23"/>
      <c r="J2277" s="23"/>
      <c r="K2277" s="23"/>
      <c r="M2277" s="23"/>
      <c r="N2277" s="23"/>
      <c r="P2277" s="23"/>
    </row>
    <row r="2278" spans="2:16" x14ac:dyDescent="0.25">
      <c r="B2278" s="23"/>
      <c r="E2278" s="23"/>
      <c r="G2278" s="23"/>
      <c r="H2278" s="23"/>
      <c r="J2278" s="23"/>
      <c r="K2278" s="23"/>
      <c r="M2278" s="23"/>
      <c r="N2278" s="23"/>
      <c r="P2278" s="23"/>
    </row>
    <row r="2279" spans="2:16" x14ac:dyDescent="0.25">
      <c r="B2279" s="23"/>
      <c r="E2279" s="23"/>
      <c r="G2279" s="23"/>
      <c r="H2279" s="23"/>
      <c r="J2279" s="23"/>
      <c r="K2279" s="23"/>
      <c r="M2279" s="23"/>
      <c r="N2279" s="23"/>
      <c r="P2279" s="23"/>
    </row>
    <row r="2280" spans="2:16" x14ac:dyDescent="0.25">
      <c r="B2280" s="23"/>
      <c r="E2280" s="23"/>
      <c r="G2280" s="23"/>
      <c r="H2280" s="23"/>
      <c r="J2280" s="23"/>
      <c r="K2280" s="23"/>
      <c r="M2280" s="23"/>
      <c r="N2280" s="23"/>
      <c r="P2280" s="23"/>
    </row>
    <row r="2281" spans="2:16" x14ac:dyDescent="0.25">
      <c r="B2281" s="23"/>
      <c r="E2281" s="23"/>
      <c r="G2281" s="23"/>
      <c r="H2281" s="23"/>
      <c r="J2281" s="23"/>
      <c r="K2281" s="23"/>
      <c r="M2281" s="23"/>
      <c r="N2281" s="23"/>
      <c r="P2281" s="23"/>
    </row>
    <row r="2282" spans="2:16" x14ac:dyDescent="0.25">
      <c r="B2282" s="23"/>
      <c r="E2282" s="23"/>
      <c r="G2282" s="23"/>
      <c r="H2282" s="23"/>
      <c r="J2282" s="23"/>
      <c r="K2282" s="23"/>
      <c r="M2282" s="23"/>
      <c r="N2282" s="23"/>
      <c r="P2282" s="23"/>
    </row>
    <row r="2283" spans="2:16" x14ac:dyDescent="0.25">
      <c r="B2283" s="23"/>
      <c r="E2283" s="23"/>
      <c r="G2283" s="23"/>
      <c r="H2283" s="23"/>
      <c r="J2283" s="23"/>
      <c r="K2283" s="23"/>
      <c r="M2283" s="23"/>
      <c r="N2283" s="23"/>
      <c r="P2283" s="23"/>
    </row>
    <row r="2284" spans="2:16" x14ac:dyDescent="0.25">
      <c r="B2284" s="23"/>
      <c r="E2284" s="23"/>
      <c r="G2284" s="23"/>
      <c r="H2284" s="23"/>
      <c r="J2284" s="23"/>
      <c r="K2284" s="23"/>
      <c r="M2284" s="23"/>
      <c r="N2284" s="23"/>
      <c r="P2284" s="23"/>
    </row>
    <row r="2285" spans="2:16" x14ac:dyDescent="0.25">
      <c r="B2285" s="23"/>
      <c r="E2285" s="23"/>
      <c r="G2285" s="23"/>
      <c r="H2285" s="23"/>
      <c r="J2285" s="23"/>
      <c r="K2285" s="23"/>
      <c r="M2285" s="23"/>
      <c r="N2285" s="23"/>
      <c r="P2285" s="23"/>
    </row>
    <row r="2286" spans="2:16" x14ac:dyDescent="0.25">
      <c r="B2286" s="23"/>
      <c r="E2286" s="23"/>
      <c r="G2286" s="23"/>
      <c r="H2286" s="23"/>
      <c r="J2286" s="23"/>
      <c r="K2286" s="23"/>
      <c r="M2286" s="23"/>
      <c r="N2286" s="23"/>
      <c r="P2286" s="23"/>
    </row>
    <row r="2287" spans="2:16" x14ac:dyDescent="0.25">
      <c r="B2287" s="23"/>
      <c r="E2287" s="23"/>
      <c r="G2287" s="23"/>
      <c r="H2287" s="23"/>
      <c r="J2287" s="23"/>
      <c r="K2287" s="23"/>
      <c r="M2287" s="23"/>
      <c r="N2287" s="23"/>
      <c r="P2287" s="23"/>
    </row>
    <row r="2288" spans="2:16" x14ac:dyDescent="0.25">
      <c r="B2288" s="23"/>
      <c r="E2288" s="23"/>
      <c r="G2288" s="23"/>
      <c r="H2288" s="23"/>
      <c r="J2288" s="23"/>
      <c r="K2288" s="23"/>
      <c r="M2288" s="23"/>
      <c r="N2288" s="23"/>
      <c r="P2288" s="23"/>
    </row>
    <row r="2289" spans="2:16" x14ac:dyDescent="0.25">
      <c r="B2289" s="23"/>
      <c r="E2289" s="23"/>
      <c r="G2289" s="23"/>
      <c r="H2289" s="23"/>
      <c r="J2289" s="23"/>
      <c r="K2289" s="23"/>
      <c r="M2289" s="23"/>
      <c r="N2289" s="23"/>
      <c r="P2289" s="23"/>
    </row>
    <row r="2290" spans="2:16" x14ac:dyDescent="0.25">
      <c r="B2290" s="23"/>
      <c r="E2290" s="23"/>
      <c r="G2290" s="23"/>
      <c r="H2290" s="23"/>
      <c r="J2290" s="23"/>
      <c r="K2290" s="23"/>
      <c r="M2290" s="23"/>
      <c r="N2290" s="23"/>
      <c r="P2290" s="23"/>
    </row>
    <row r="2291" spans="2:16" x14ac:dyDescent="0.25">
      <c r="B2291" s="23"/>
      <c r="E2291" s="23"/>
      <c r="G2291" s="23"/>
      <c r="H2291" s="23"/>
      <c r="J2291" s="23"/>
      <c r="K2291" s="23"/>
      <c r="M2291" s="23"/>
      <c r="N2291" s="23"/>
      <c r="P2291" s="23"/>
    </row>
    <row r="2292" spans="2:16" x14ac:dyDescent="0.25">
      <c r="B2292" s="23"/>
      <c r="E2292" s="23"/>
      <c r="G2292" s="23"/>
      <c r="H2292" s="23"/>
      <c r="J2292" s="23"/>
      <c r="K2292" s="23"/>
      <c r="M2292" s="23"/>
      <c r="N2292" s="23"/>
      <c r="P2292" s="23"/>
    </row>
    <row r="2293" spans="2:16" x14ac:dyDescent="0.25">
      <c r="B2293" s="23"/>
      <c r="E2293" s="23"/>
      <c r="G2293" s="23"/>
      <c r="H2293" s="23"/>
      <c r="J2293" s="23"/>
      <c r="K2293" s="23"/>
      <c r="M2293" s="23"/>
      <c r="N2293" s="23"/>
      <c r="P2293" s="23"/>
    </row>
    <row r="2294" spans="2:16" x14ac:dyDescent="0.25">
      <c r="B2294" s="23"/>
      <c r="E2294" s="23"/>
      <c r="G2294" s="23"/>
      <c r="H2294" s="23"/>
      <c r="J2294" s="23"/>
      <c r="K2294" s="23"/>
      <c r="M2294" s="23"/>
      <c r="N2294" s="23"/>
      <c r="P2294" s="23"/>
    </row>
    <row r="2295" spans="2:16" x14ac:dyDescent="0.25">
      <c r="B2295" s="23"/>
      <c r="E2295" s="23"/>
      <c r="G2295" s="23"/>
      <c r="H2295" s="23"/>
      <c r="J2295" s="23"/>
      <c r="K2295" s="23"/>
      <c r="M2295" s="23"/>
      <c r="N2295" s="23"/>
      <c r="P2295" s="23"/>
    </row>
    <row r="2296" spans="2:16" x14ac:dyDescent="0.25">
      <c r="B2296" s="23"/>
      <c r="E2296" s="23"/>
      <c r="G2296" s="23"/>
      <c r="H2296" s="23"/>
      <c r="J2296" s="23"/>
      <c r="K2296" s="23"/>
      <c r="M2296" s="23"/>
      <c r="N2296" s="23"/>
      <c r="P2296" s="23"/>
    </row>
    <row r="2297" spans="2:16" x14ac:dyDescent="0.25">
      <c r="B2297" s="23"/>
      <c r="E2297" s="23"/>
      <c r="G2297" s="23"/>
      <c r="H2297" s="23"/>
      <c r="J2297" s="23"/>
      <c r="K2297" s="23"/>
      <c r="M2297" s="23"/>
      <c r="N2297" s="23"/>
      <c r="P2297" s="23"/>
    </row>
    <row r="2298" spans="2:16" x14ac:dyDescent="0.25">
      <c r="B2298" s="23"/>
      <c r="E2298" s="23"/>
      <c r="G2298" s="23"/>
      <c r="H2298" s="23"/>
      <c r="J2298" s="23"/>
      <c r="K2298" s="23"/>
      <c r="M2298" s="23"/>
      <c r="N2298" s="23"/>
      <c r="P2298" s="23"/>
    </row>
    <row r="2299" spans="2:16" x14ac:dyDescent="0.25">
      <c r="B2299" s="23"/>
      <c r="E2299" s="23"/>
      <c r="G2299" s="23"/>
      <c r="H2299" s="23"/>
      <c r="J2299" s="23"/>
      <c r="K2299" s="23"/>
      <c r="M2299" s="23"/>
      <c r="N2299" s="23"/>
      <c r="P2299" s="23"/>
    </row>
    <row r="2300" spans="2:16" x14ac:dyDescent="0.25">
      <c r="B2300" s="23"/>
      <c r="E2300" s="23"/>
      <c r="G2300" s="23"/>
      <c r="H2300" s="23"/>
      <c r="J2300" s="23"/>
      <c r="K2300" s="23"/>
      <c r="M2300" s="23"/>
      <c r="N2300" s="23"/>
      <c r="P2300" s="23"/>
    </row>
    <row r="2301" spans="2:16" x14ac:dyDescent="0.25">
      <c r="B2301" s="23"/>
      <c r="E2301" s="23"/>
      <c r="G2301" s="23"/>
      <c r="H2301" s="23"/>
      <c r="J2301" s="23"/>
      <c r="K2301" s="23"/>
      <c r="M2301" s="23"/>
      <c r="N2301" s="23"/>
      <c r="P2301" s="23"/>
    </row>
    <row r="2302" spans="2:16" x14ac:dyDescent="0.25">
      <c r="B2302" s="23"/>
      <c r="E2302" s="23"/>
      <c r="G2302" s="23"/>
      <c r="H2302" s="23"/>
      <c r="J2302" s="23"/>
      <c r="K2302" s="23"/>
      <c r="M2302" s="23"/>
      <c r="N2302" s="23"/>
      <c r="P2302" s="23"/>
    </row>
    <row r="2303" spans="2:16" x14ac:dyDescent="0.25">
      <c r="B2303" s="23"/>
      <c r="E2303" s="23"/>
      <c r="G2303" s="23"/>
      <c r="H2303" s="23"/>
      <c r="J2303" s="23"/>
      <c r="K2303" s="23"/>
      <c r="M2303" s="23"/>
      <c r="N2303" s="23"/>
      <c r="P2303" s="23"/>
    </row>
    <row r="2304" spans="2:16" x14ac:dyDescent="0.25">
      <c r="B2304" s="23"/>
      <c r="E2304" s="23"/>
      <c r="G2304" s="23"/>
      <c r="H2304" s="23"/>
      <c r="J2304" s="23"/>
      <c r="K2304" s="23"/>
      <c r="M2304" s="23"/>
      <c r="N2304" s="23"/>
      <c r="P2304" s="23"/>
    </row>
    <row r="2305" spans="2:16" x14ac:dyDescent="0.25">
      <c r="B2305" s="23"/>
      <c r="E2305" s="23"/>
      <c r="G2305" s="23"/>
      <c r="H2305" s="23"/>
      <c r="J2305" s="23"/>
      <c r="K2305" s="23"/>
      <c r="M2305" s="23"/>
      <c r="N2305" s="23"/>
      <c r="P2305" s="23"/>
    </row>
    <row r="2306" spans="2:16" x14ac:dyDescent="0.25">
      <c r="B2306" s="23"/>
      <c r="E2306" s="23"/>
      <c r="G2306" s="23"/>
      <c r="H2306" s="23"/>
      <c r="J2306" s="23"/>
      <c r="K2306" s="23"/>
      <c r="M2306" s="23"/>
      <c r="N2306" s="23"/>
      <c r="P2306" s="23"/>
    </row>
    <row r="2307" spans="2:16" x14ac:dyDescent="0.25">
      <c r="B2307" s="23"/>
      <c r="E2307" s="23"/>
      <c r="G2307" s="23"/>
      <c r="H2307" s="23"/>
      <c r="J2307" s="23"/>
      <c r="K2307" s="23"/>
      <c r="M2307" s="23"/>
      <c r="N2307" s="23"/>
      <c r="P2307" s="23"/>
    </row>
    <row r="2308" spans="2:16" x14ac:dyDescent="0.25">
      <c r="B2308" s="23"/>
      <c r="E2308" s="23"/>
      <c r="G2308" s="23"/>
      <c r="H2308" s="23"/>
      <c r="J2308" s="23"/>
      <c r="K2308" s="23"/>
      <c r="M2308" s="23"/>
      <c r="N2308" s="23"/>
      <c r="P2308" s="23"/>
    </row>
    <row r="2309" spans="2:16" x14ac:dyDescent="0.25">
      <c r="B2309" s="23"/>
      <c r="E2309" s="23"/>
      <c r="G2309" s="23"/>
      <c r="H2309" s="23"/>
      <c r="J2309" s="23"/>
      <c r="K2309" s="23"/>
      <c r="M2309" s="23"/>
      <c r="N2309" s="23"/>
      <c r="P2309" s="23"/>
    </row>
    <row r="2310" spans="2:16" x14ac:dyDescent="0.25">
      <c r="B2310" s="23"/>
      <c r="E2310" s="23"/>
      <c r="G2310" s="23"/>
      <c r="H2310" s="23"/>
      <c r="J2310" s="23"/>
      <c r="K2310" s="23"/>
      <c r="M2310" s="23"/>
      <c r="N2310" s="23"/>
      <c r="P2310" s="23"/>
    </row>
    <row r="2311" spans="2:16" x14ac:dyDescent="0.25">
      <c r="B2311" s="23"/>
      <c r="E2311" s="23"/>
      <c r="G2311" s="23"/>
      <c r="H2311" s="23"/>
      <c r="J2311" s="23"/>
      <c r="K2311" s="23"/>
      <c r="M2311" s="23"/>
      <c r="N2311" s="23"/>
      <c r="P2311" s="23"/>
    </row>
    <row r="2312" spans="2:16" x14ac:dyDescent="0.25">
      <c r="B2312" s="23"/>
      <c r="E2312" s="23"/>
      <c r="G2312" s="23"/>
      <c r="H2312" s="23"/>
      <c r="J2312" s="23"/>
      <c r="K2312" s="23"/>
      <c r="M2312" s="23"/>
      <c r="N2312" s="23"/>
      <c r="P2312" s="23"/>
    </row>
    <row r="2313" spans="2:16" x14ac:dyDescent="0.25">
      <c r="B2313" s="23"/>
      <c r="E2313" s="23"/>
      <c r="G2313" s="23"/>
      <c r="H2313" s="23"/>
      <c r="J2313" s="23"/>
      <c r="K2313" s="23"/>
      <c r="M2313" s="23"/>
      <c r="N2313" s="23"/>
      <c r="P2313" s="23"/>
    </row>
    <row r="2314" spans="2:16" x14ac:dyDescent="0.25">
      <c r="B2314" s="23"/>
      <c r="E2314" s="23"/>
      <c r="G2314" s="23"/>
      <c r="H2314" s="23"/>
      <c r="J2314" s="23"/>
      <c r="K2314" s="23"/>
      <c r="M2314" s="23"/>
      <c r="N2314" s="23"/>
      <c r="P2314" s="23"/>
    </row>
    <row r="2315" spans="2:16" x14ac:dyDescent="0.25">
      <c r="B2315" s="23"/>
      <c r="E2315" s="23"/>
      <c r="G2315" s="23"/>
      <c r="H2315" s="23"/>
      <c r="J2315" s="23"/>
      <c r="K2315" s="23"/>
      <c r="M2315" s="23"/>
      <c r="N2315" s="23"/>
      <c r="P2315" s="23"/>
    </row>
    <row r="2316" spans="2:16" x14ac:dyDescent="0.25">
      <c r="B2316" s="23"/>
      <c r="E2316" s="23"/>
      <c r="G2316" s="23"/>
      <c r="H2316" s="23"/>
      <c r="J2316" s="23"/>
      <c r="K2316" s="23"/>
      <c r="M2316" s="23"/>
      <c r="N2316" s="23"/>
      <c r="P2316" s="23"/>
    </row>
    <row r="2317" spans="2:16" x14ac:dyDescent="0.25">
      <c r="B2317" s="23"/>
      <c r="E2317" s="23"/>
      <c r="G2317" s="23"/>
      <c r="H2317" s="23"/>
      <c r="J2317" s="23"/>
      <c r="K2317" s="23"/>
      <c r="M2317" s="23"/>
      <c r="N2317" s="23"/>
      <c r="P2317" s="23"/>
    </row>
    <row r="2318" spans="2:16" x14ac:dyDescent="0.25">
      <c r="B2318" s="23"/>
      <c r="E2318" s="23"/>
      <c r="G2318" s="23"/>
      <c r="H2318" s="23"/>
      <c r="J2318" s="23"/>
      <c r="K2318" s="23"/>
      <c r="M2318" s="23"/>
      <c r="N2318" s="23"/>
      <c r="P2318" s="23"/>
    </row>
    <row r="2319" spans="2:16" x14ac:dyDescent="0.25">
      <c r="B2319" s="23"/>
      <c r="E2319" s="23"/>
      <c r="G2319" s="23"/>
      <c r="H2319" s="23"/>
      <c r="J2319" s="23"/>
      <c r="K2319" s="23"/>
      <c r="M2319" s="23"/>
      <c r="N2319" s="23"/>
      <c r="P2319" s="23"/>
    </row>
    <row r="2320" spans="2:16" x14ac:dyDescent="0.25">
      <c r="B2320" s="23"/>
      <c r="E2320" s="23"/>
      <c r="G2320" s="23"/>
      <c r="H2320" s="23"/>
      <c r="J2320" s="23"/>
      <c r="K2320" s="23"/>
      <c r="M2320" s="23"/>
      <c r="N2320" s="23"/>
      <c r="P2320" s="23"/>
    </row>
    <row r="2321" spans="2:16" x14ac:dyDescent="0.25">
      <c r="B2321" s="23"/>
      <c r="E2321" s="23"/>
      <c r="G2321" s="23"/>
      <c r="H2321" s="23"/>
      <c r="J2321" s="23"/>
      <c r="K2321" s="23"/>
      <c r="M2321" s="23"/>
      <c r="N2321" s="23"/>
      <c r="P2321" s="23"/>
    </row>
    <row r="2322" spans="2:16" x14ac:dyDescent="0.25">
      <c r="B2322" s="23"/>
      <c r="E2322" s="23"/>
      <c r="G2322" s="23"/>
      <c r="H2322" s="23"/>
      <c r="J2322" s="23"/>
      <c r="K2322" s="23"/>
      <c r="M2322" s="23"/>
      <c r="N2322" s="23"/>
      <c r="P2322" s="23"/>
    </row>
    <row r="2323" spans="2:16" x14ac:dyDescent="0.25">
      <c r="B2323" s="23"/>
      <c r="E2323" s="23"/>
      <c r="G2323" s="23"/>
      <c r="H2323" s="23"/>
      <c r="J2323" s="23"/>
      <c r="K2323" s="23"/>
      <c r="M2323" s="23"/>
      <c r="N2323" s="23"/>
      <c r="P2323" s="23"/>
    </row>
    <row r="2324" spans="2:16" x14ac:dyDescent="0.25">
      <c r="B2324" s="23"/>
      <c r="E2324" s="23"/>
      <c r="G2324" s="23"/>
      <c r="H2324" s="23"/>
      <c r="J2324" s="23"/>
      <c r="K2324" s="23"/>
      <c r="M2324" s="23"/>
      <c r="N2324" s="23"/>
      <c r="P2324" s="23"/>
    </row>
    <row r="2325" spans="2:16" x14ac:dyDescent="0.25">
      <c r="B2325" s="23"/>
      <c r="E2325" s="23"/>
      <c r="G2325" s="23"/>
      <c r="H2325" s="23"/>
      <c r="J2325" s="23"/>
      <c r="K2325" s="23"/>
      <c r="M2325" s="23"/>
      <c r="N2325" s="23"/>
      <c r="P2325" s="23"/>
    </row>
    <row r="2326" spans="2:16" x14ac:dyDescent="0.25">
      <c r="B2326" s="23"/>
      <c r="E2326" s="23"/>
      <c r="G2326" s="23"/>
      <c r="H2326" s="23"/>
      <c r="J2326" s="23"/>
      <c r="K2326" s="23"/>
      <c r="M2326" s="23"/>
      <c r="N2326" s="23"/>
      <c r="P2326" s="23"/>
    </row>
    <row r="2327" spans="2:16" x14ac:dyDescent="0.25">
      <c r="B2327" s="23"/>
      <c r="E2327" s="23"/>
      <c r="G2327" s="23"/>
      <c r="H2327" s="23"/>
      <c r="J2327" s="23"/>
      <c r="K2327" s="23"/>
      <c r="M2327" s="23"/>
      <c r="N2327" s="23"/>
      <c r="P2327" s="23"/>
    </row>
    <row r="2328" spans="2:16" x14ac:dyDescent="0.25">
      <c r="B2328" s="23"/>
      <c r="E2328" s="23"/>
      <c r="G2328" s="23"/>
      <c r="H2328" s="23"/>
      <c r="J2328" s="23"/>
      <c r="K2328" s="23"/>
      <c r="M2328" s="23"/>
      <c r="N2328" s="23"/>
      <c r="P2328" s="23"/>
    </row>
    <row r="2329" spans="2:16" x14ac:dyDescent="0.25">
      <c r="B2329" s="23"/>
      <c r="E2329" s="23"/>
      <c r="G2329" s="23"/>
      <c r="H2329" s="23"/>
      <c r="J2329" s="23"/>
      <c r="K2329" s="23"/>
      <c r="M2329" s="23"/>
      <c r="N2329" s="23"/>
      <c r="P2329" s="23"/>
    </row>
    <row r="2330" spans="2:16" x14ac:dyDescent="0.25">
      <c r="B2330" s="23"/>
      <c r="E2330" s="23"/>
      <c r="G2330" s="23"/>
      <c r="H2330" s="23"/>
      <c r="J2330" s="23"/>
      <c r="K2330" s="23"/>
      <c r="M2330" s="23"/>
      <c r="N2330" s="23"/>
      <c r="P2330" s="23"/>
    </row>
    <row r="2331" spans="2:16" x14ac:dyDescent="0.25">
      <c r="B2331" s="23"/>
      <c r="E2331" s="23"/>
      <c r="G2331" s="23"/>
      <c r="H2331" s="23"/>
      <c r="J2331" s="23"/>
      <c r="K2331" s="23"/>
      <c r="M2331" s="23"/>
      <c r="N2331" s="23"/>
      <c r="P2331" s="23"/>
    </row>
    <row r="2332" spans="2:16" x14ac:dyDescent="0.25">
      <c r="B2332" s="23"/>
      <c r="E2332" s="23"/>
      <c r="G2332" s="23"/>
      <c r="H2332" s="23"/>
      <c r="J2332" s="23"/>
      <c r="K2332" s="23"/>
      <c r="M2332" s="23"/>
      <c r="N2332" s="23"/>
      <c r="P2332" s="23"/>
    </row>
    <row r="2333" spans="2:16" x14ac:dyDescent="0.25">
      <c r="B2333" s="23"/>
      <c r="E2333" s="23"/>
      <c r="G2333" s="23"/>
      <c r="H2333" s="23"/>
      <c r="J2333" s="23"/>
      <c r="K2333" s="23"/>
      <c r="M2333" s="23"/>
      <c r="N2333" s="23"/>
      <c r="P2333" s="23"/>
    </row>
    <row r="2334" spans="2:16" x14ac:dyDescent="0.25">
      <c r="B2334" s="23"/>
      <c r="E2334" s="23"/>
      <c r="G2334" s="23"/>
      <c r="H2334" s="23"/>
      <c r="J2334" s="23"/>
      <c r="K2334" s="23"/>
      <c r="M2334" s="23"/>
      <c r="N2334" s="23"/>
      <c r="P2334" s="23"/>
    </row>
    <row r="2335" spans="2:16" x14ac:dyDescent="0.25">
      <c r="B2335" s="23"/>
      <c r="E2335" s="23"/>
      <c r="G2335" s="23"/>
      <c r="H2335" s="23"/>
      <c r="J2335" s="23"/>
      <c r="K2335" s="23"/>
      <c r="M2335" s="23"/>
      <c r="N2335" s="23"/>
      <c r="P2335" s="23"/>
    </row>
    <row r="2336" spans="2:16" x14ac:dyDescent="0.25">
      <c r="B2336" s="23"/>
      <c r="E2336" s="23"/>
      <c r="G2336" s="23"/>
      <c r="H2336" s="23"/>
      <c r="J2336" s="23"/>
      <c r="K2336" s="23"/>
      <c r="M2336" s="23"/>
      <c r="N2336" s="23"/>
      <c r="P2336" s="23"/>
    </row>
    <row r="2337" spans="2:16" x14ac:dyDescent="0.25">
      <c r="B2337" s="23"/>
      <c r="E2337" s="23"/>
      <c r="G2337" s="23"/>
      <c r="H2337" s="23"/>
      <c r="J2337" s="23"/>
      <c r="K2337" s="23"/>
      <c r="M2337" s="23"/>
      <c r="N2337" s="23"/>
      <c r="P2337" s="23"/>
    </row>
    <row r="2338" spans="2:16" x14ac:dyDescent="0.25">
      <c r="B2338" s="23"/>
      <c r="E2338" s="23"/>
      <c r="G2338" s="23"/>
      <c r="H2338" s="23"/>
      <c r="J2338" s="23"/>
      <c r="K2338" s="23"/>
      <c r="M2338" s="23"/>
      <c r="N2338" s="23"/>
      <c r="P2338" s="23"/>
    </row>
    <row r="2339" spans="2:16" x14ac:dyDescent="0.25">
      <c r="B2339" s="23"/>
      <c r="E2339" s="23"/>
      <c r="G2339" s="23"/>
      <c r="H2339" s="23"/>
      <c r="J2339" s="23"/>
      <c r="K2339" s="23"/>
      <c r="M2339" s="23"/>
      <c r="N2339" s="23"/>
      <c r="P2339" s="23"/>
    </row>
    <row r="2340" spans="2:16" x14ac:dyDescent="0.25">
      <c r="B2340" s="23"/>
      <c r="E2340" s="23"/>
      <c r="G2340" s="23"/>
      <c r="H2340" s="23"/>
      <c r="J2340" s="23"/>
      <c r="K2340" s="23"/>
      <c r="M2340" s="23"/>
      <c r="N2340" s="23"/>
      <c r="P2340" s="23"/>
    </row>
    <row r="2341" spans="2:16" x14ac:dyDescent="0.25">
      <c r="B2341" s="23"/>
      <c r="E2341" s="23"/>
      <c r="G2341" s="23"/>
      <c r="H2341" s="23"/>
      <c r="J2341" s="23"/>
      <c r="K2341" s="23"/>
      <c r="M2341" s="23"/>
      <c r="N2341" s="23"/>
      <c r="P2341" s="23"/>
    </row>
    <row r="2342" spans="2:16" x14ac:dyDescent="0.25">
      <c r="B2342" s="23"/>
      <c r="E2342" s="23"/>
      <c r="G2342" s="23"/>
      <c r="H2342" s="23"/>
      <c r="J2342" s="23"/>
      <c r="K2342" s="23"/>
      <c r="M2342" s="23"/>
      <c r="N2342" s="23"/>
      <c r="P2342" s="23"/>
    </row>
    <row r="2343" spans="2:16" x14ac:dyDescent="0.25">
      <c r="B2343" s="23"/>
      <c r="E2343" s="23"/>
      <c r="G2343" s="23"/>
      <c r="H2343" s="23"/>
      <c r="J2343" s="23"/>
      <c r="K2343" s="23"/>
      <c r="M2343" s="23"/>
      <c r="N2343" s="23"/>
      <c r="P2343" s="23"/>
    </row>
    <row r="2344" spans="2:16" x14ac:dyDescent="0.25">
      <c r="B2344" s="23"/>
      <c r="E2344" s="23"/>
      <c r="G2344" s="23"/>
      <c r="H2344" s="23"/>
      <c r="J2344" s="23"/>
      <c r="K2344" s="23"/>
      <c r="M2344" s="23"/>
      <c r="N2344" s="23"/>
      <c r="P2344" s="23"/>
    </row>
    <row r="2345" spans="2:16" x14ac:dyDescent="0.25">
      <c r="B2345" s="23"/>
      <c r="E2345" s="23"/>
      <c r="G2345" s="23"/>
      <c r="H2345" s="23"/>
      <c r="J2345" s="23"/>
      <c r="K2345" s="23"/>
      <c r="M2345" s="23"/>
      <c r="N2345" s="23"/>
      <c r="P2345" s="23"/>
    </row>
    <row r="2346" spans="2:16" x14ac:dyDescent="0.25">
      <c r="B2346" s="23"/>
      <c r="E2346" s="23"/>
      <c r="G2346" s="23"/>
      <c r="H2346" s="23"/>
      <c r="J2346" s="23"/>
      <c r="K2346" s="23"/>
      <c r="M2346" s="23"/>
      <c r="N2346" s="23"/>
      <c r="P2346" s="23"/>
    </row>
    <row r="2347" spans="2:16" x14ac:dyDescent="0.25">
      <c r="B2347" s="23"/>
      <c r="E2347" s="23"/>
      <c r="G2347" s="23"/>
      <c r="H2347" s="23"/>
      <c r="J2347" s="23"/>
      <c r="K2347" s="23"/>
      <c r="M2347" s="23"/>
      <c r="N2347" s="23"/>
      <c r="P2347" s="23"/>
    </row>
    <row r="2348" spans="2:16" x14ac:dyDescent="0.25">
      <c r="B2348" s="23"/>
      <c r="E2348" s="23"/>
      <c r="G2348" s="23"/>
      <c r="H2348" s="23"/>
      <c r="J2348" s="23"/>
      <c r="K2348" s="23"/>
      <c r="M2348" s="23"/>
      <c r="N2348" s="23"/>
      <c r="P2348" s="23"/>
    </row>
    <row r="2349" spans="2:16" x14ac:dyDescent="0.25">
      <c r="B2349" s="23"/>
      <c r="E2349" s="23"/>
      <c r="G2349" s="23"/>
      <c r="H2349" s="23"/>
      <c r="J2349" s="23"/>
      <c r="K2349" s="23"/>
      <c r="M2349" s="23"/>
      <c r="N2349" s="23"/>
      <c r="P2349" s="23"/>
    </row>
    <row r="2350" spans="2:16" x14ac:dyDescent="0.25">
      <c r="B2350" s="23"/>
      <c r="E2350" s="23"/>
      <c r="G2350" s="23"/>
      <c r="H2350" s="23"/>
      <c r="J2350" s="23"/>
      <c r="K2350" s="23"/>
      <c r="M2350" s="23"/>
      <c r="N2350" s="23"/>
      <c r="P2350" s="23"/>
    </row>
    <row r="2351" spans="2:16" x14ac:dyDescent="0.25">
      <c r="B2351" s="23"/>
      <c r="E2351" s="23"/>
      <c r="G2351" s="23"/>
      <c r="H2351" s="23"/>
      <c r="J2351" s="23"/>
      <c r="K2351" s="23"/>
      <c r="M2351" s="23"/>
      <c r="N2351" s="23"/>
      <c r="P2351" s="23"/>
    </row>
    <row r="2352" spans="2:16" x14ac:dyDescent="0.25">
      <c r="B2352" s="23"/>
      <c r="E2352" s="23"/>
      <c r="G2352" s="23"/>
      <c r="H2352" s="23"/>
      <c r="J2352" s="23"/>
      <c r="K2352" s="23"/>
      <c r="M2352" s="23"/>
      <c r="N2352" s="23"/>
      <c r="P2352" s="23"/>
    </row>
    <row r="2353" spans="2:16" x14ac:dyDescent="0.25">
      <c r="B2353" s="23"/>
      <c r="E2353" s="23"/>
      <c r="G2353" s="23"/>
      <c r="H2353" s="23"/>
      <c r="J2353" s="23"/>
      <c r="K2353" s="23"/>
      <c r="M2353" s="23"/>
      <c r="N2353" s="23"/>
      <c r="P2353" s="23"/>
    </row>
    <row r="2354" spans="2:16" x14ac:dyDescent="0.25">
      <c r="B2354" s="23"/>
      <c r="E2354" s="23"/>
      <c r="G2354" s="23"/>
      <c r="H2354" s="23"/>
      <c r="J2354" s="23"/>
      <c r="K2354" s="23"/>
      <c r="M2354" s="23"/>
      <c r="N2354" s="23"/>
      <c r="P2354" s="23"/>
    </row>
    <row r="2355" spans="2:16" x14ac:dyDescent="0.25">
      <c r="B2355" s="23"/>
      <c r="E2355" s="23"/>
      <c r="G2355" s="23"/>
      <c r="H2355" s="23"/>
      <c r="J2355" s="23"/>
      <c r="K2355" s="23"/>
      <c r="M2355" s="23"/>
      <c r="N2355" s="23"/>
      <c r="P2355" s="23"/>
    </row>
    <row r="2356" spans="2:16" x14ac:dyDescent="0.25">
      <c r="B2356" s="23"/>
      <c r="E2356" s="23"/>
      <c r="G2356" s="23"/>
      <c r="H2356" s="23"/>
      <c r="J2356" s="23"/>
      <c r="K2356" s="23"/>
      <c r="M2356" s="23"/>
      <c r="N2356" s="23"/>
      <c r="P2356" s="23"/>
    </row>
    <row r="2357" spans="2:16" x14ac:dyDescent="0.25">
      <c r="B2357" s="23"/>
      <c r="E2357" s="23"/>
      <c r="G2357" s="23"/>
      <c r="H2357" s="23"/>
      <c r="J2357" s="23"/>
      <c r="K2357" s="23"/>
      <c r="M2357" s="23"/>
      <c r="N2357" s="23"/>
      <c r="P2357" s="23"/>
    </row>
    <row r="2358" spans="2:16" x14ac:dyDescent="0.25">
      <c r="B2358" s="23"/>
      <c r="E2358" s="23"/>
      <c r="G2358" s="23"/>
      <c r="H2358" s="23"/>
      <c r="J2358" s="23"/>
      <c r="K2358" s="23"/>
      <c r="M2358" s="23"/>
      <c r="N2358" s="23"/>
      <c r="P2358" s="23"/>
    </row>
    <row r="2359" spans="2:16" x14ac:dyDescent="0.25">
      <c r="B2359" s="23"/>
      <c r="E2359" s="23"/>
      <c r="G2359" s="23"/>
      <c r="H2359" s="23"/>
      <c r="J2359" s="23"/>
      <c r="K2359" s="23"/>
      <c r="M2359" s="23"/>
      <c r="N2359" s="23"/>
      <c r="P2359" s="23"/>
    </row>
    <row r="2360" spans="2:16" x14ac:dyDescent="0.25">
      <c r="B2360" s="23"/>
      <c r="E2360" s="23"/>
      <c r="G2360" s="23"/>
      <c r="H2360" s="23"/>
      <c r="J2360" s="23"/>
      <c r="K2360" s="23"/>
      <c r="M2360" s="23"/>
      <c r="N2360" s="23"/>
      <c r="P2360" s="23"/>
    </row>
    <row r="2361" spans="2:16" x14ac:dyDescent="0.25">
      <c r="B2361" s="23"/>
      <c r="E2361" s="23"/>
      <c r="G2361" s="23"/>
      <c r="H2361" s="23"/>
      <c r="J2361" s="23"/>
      <c r="K2361" s="23"/>
      <c r="M2361" s="23"/>
      <c r="N2361" s="23"/>
      <c r="P2361" s="23"/>
    </row>
    <row r="2362" spans="2:16" x14ac:dyDescent="0.25">
      <c r="B2362" s="23"/>
      <c r="E2362" s="23"/>
      <c r="G2362" s="23"/>
      <c r="H2362" s="23"/>
      <c r="J2362" s="23"/>
      <c r="K2362" s="23"/>
      <c r="M2362" s="23"/>
      <c r="N2362" s="23"/>
      <c r="P2362" s="23"/>
    </row>
    <row r="2363" spans="2:16" x14ac:dyDescent="0.25">
      <c r="B2363" s="23"/>
      <c r="E2363" s="23"/>
      <c r="G2363" s="23"/>
      <c r="H2363" s="23"/>
      <c r="J2363" s="23"/>
      <c r="K2363" s="23"/>
      <c r="M2363" s="23"/>
      <c r="N2363" s="23"/>
      <c r="P2363" s="23"/>
    </row>
    <row r="2364" spans="2:16" x14ac:dyDescent="0.25">
      <c r="B2364" s="23"/>
      <c r="E2364" s="23"/>
      <c r="G2364" s="23"/>
      <c r="H2364" s="23"/>
      <c r="J2364" s="23"/>
      <c r="K2364" s="23"/>
      <c r="M2364" s="23"/>
      <c r="N2364" s="23"/>
      <c r="P2364" s="23"/>
    </row>
    <row r="2365" spans="2:16" x14ac:dyDescent="0.25">
      <c r="B2365" s="23"/>
      <c r="E2365" s="23"/>
      <c r="G2365" s="23"/>
      <c r="H2365" s="23"/>
      <c r="J2365" s="23"/>
      <c r="K2365" s="23"/>
      <c r="M2365" s="23"/>
      <c r="N2365" s="23"/>
      <c r="P2365" s="23"/>
    </row>
    <row r="2366" spans="2:16" x14ac:dyDescent="0.25">
      <c r="B2366" s="23"/>
      <c r="E2366" s="23"/>
      <c r="G2366" s="23"/>
      <c r="H2366" s="23"/>
      <c r="J2366" s="23"/>
      <c r="K2366" s="23"/>
      <c r="M2366" s="23"/>
      <c r="N2366" s="23"/>
      <c r="P2366" s="23"/>
    </row>
    <row r="2367" spans="2:16" x14ac:dyDescent="0.25">
      <c r="B2367" s="23"/>
      <c r="E2367" s="23"/>
      <c r="G2367" s="23"/>
      <c r="H2367" s="23"/>
      <c r="J2367" s="23"/>
      <c r="K2367" s="23"/>
      <c r="M2367" s="23"/>
      <c r="N2367" s="23"/>
      <c r="P2367" s="23"/>
    </row>
    <row r="2368" spans="2:16" x14ac:dyDescent="0.25">
      <c r="B2368" s="23"/>
      <c r="E2368" s="23"/>
      <c r="G2368" s="23"/>
      <c r="H2368" s="23"/>
      <c r="J2368" s="23"/>
      <c r="K2368" s="23"/>
      <c r="M2368" s="23"/>
      <c r="N2368" s="23"/>
      <c r="P2368" s="23"/>
    </row>
    <row r="2369" spans="2:16" x14ac:dyDescent="0.25">
      <c r="B2369" s="23"/>
      <c r="E2369" s="23"/>
      <c r="G2369" s="23"/>
      <c r="H2369" s="23"/>
      <c r="J2369" s="23"/>
      <c r="K2369" s="23"/>
      <c r="M2369" s="23"/>
      <c r="N2369" s="23"/>
      <c r="P2369" s="23"/>
    </row>
    <row r="2370" spans="2:16" x14ac:dyDescent="0.25">
      <c r="B2370" s="23"/>
      <c r="E2370" s="23"/>
      <c r="G2370" s="23"/>
      <c r="H2370" s="23"/>
      <c r="J2370" s="23"/>
      <c r="K2370" s="23"/>
      <c r="M2370" s="23"/>
      <c r="N2370" s="23"/>
      <c r="P2370" s="23"/>
    </row>
    <row r="2371" spans="2:16" x14ac:dyDescent="0.25">
      <c r="B2371" s="23"/>
      <c r="E2371" s="23"/>
      <c r="G2371" s="23"/>
      <c r="H2371" s="23"/>
      <c r="J2371" s="23"/>
      <c r="K2371" s="23"/>
      <c r="M2371" s="23"/>
      <c r="N2371" s="23"/>
      <c r="P2371" s="23"/>
    </row>
    <row r="2372" spans="2:16" x14ac:dyDescent="0.25">
      <c r="B2372" s="23"/>
      <c r="E2372" s="23"/>
      <c r="G2372" s="23"/>
      <c r="H2372" s="23"/>
      <c r="J2372" s="23"/>
      <c r="K2372" s="23"/>
      <c r="M2372" s="23"/>
      <c r="N2372" s="23"/>
      <c r="P2372" s="23"/>
    </row>
    <row r="2373" spans="2:16" x14ac:dyDescent="0.25">
      <c r="B2373" s="23"/>
      <c r="E2373" s="23"/>
      <c r="G2373" s="23"/>
      <c r="H2373" s="23"/>
      <c r="J2373" s="23"/>
      <c r="K2373" s="23"/>
      <c r="M2373" s="23"/>
      <c r="N2373" s="23"/>
      <c r="P2373" s="23"/>
    </row>
    <row r="2374" spans="2:16" x14ac:dyDescent="0.25">
      <c r="B2374" s="23"/>
      <c r="E2374" s="23"/>
      <c r="G2374" s="23"/>
      <c r="H2374" s="23"/>
      <c r="J2374" s="23"/>
      <c r="K2374" s="23"/>
      <c r="M2374" s="23"/>
      <c r="N2374" s="23"/>
      <c r="P2374" s="23"/>
    </row>
    <row r="2375" spans="2:16" x14ac:dyDescent="0.25">
      <c r="B2375" s="23"/>
      <c r="E2375" s="23"/>
      <c r="G2375" s="23"/>
      <c r="H2375" s="23"/>
      <c r="J2375" s="23"/>
      <c r="K2375" s="23"/>
      <c r="M2375" s="23"/>
      <c r="N2375" s="23"/>
      <c r="P2375" s="23"/>
    </row>
    <row r="2376" spans="2:16" x14ac:dyDescent="0.25">
      <c r="B2376" s="23"/>
      <c r="E2376" s="23"/>
      <c r="G2376" s="23"/>
      <c r="H2376" s="23"/>
      <c r="J2376" s="23"/>
      <c r="K2376" s="23"/>
      <c r="M2376" s="23"/>
      <c r="N2376" s="23"/>
      <c r="P2376" s="23"/>
    </row>
    <row r="2377" spans="2:16" x14ac:dyDescent="0.25">
      <c r="B2377" s="23"/>
      <c r="E2377" s="23"/>
      <c r="G2377" s="23"/>
      <c r="H2377" s="23"/>
      <c r="J2377" s="23"/>
      <c r="K2377" s="23"/>
      <c r="M2377" s="23"/>
      <c r="N2377" s="23"/>
      <c r="P2377" s="23"/>
    </row>
    <row r="2378" spans="2:16" x14ac:dyDescent="0.25">
      <c r="B2378" s="23"/>
      <c r="E2378" s="23"/>
      <c r="G2378" s="23"/>
      <c r="H2378" s="23"/>
      <c r="J2378" s="23"/>
      <c r="K2378" s="23"/>
      <c r="M2378" s="23"/>
      <c r="N2378" s="23"/>
      <c r="P2378" s="23"/>
    </row>
    <row r="2379" spans="2:16" x14ac:dyDescent="0.25">
      <c r="B2379" s="23"/>
      <c r="E2379" s="23"/>
      <c r="G2379" s="23"/>
      <c r="H2379" s="23"/>
      <c r="J2379" s="23"/>
      <c r="K2379" s="23"/>
      <c r="M2379" s="23"/>
      <c r="N2379" s="23"/>
      <c r="P2379" s="23"/>
    </row>
    <row r="2380" spans="2:16" x14ac:dyDescent="0.25">
      <c r="B2380" s="23"/>
      <c r="E2380" s="23"/>
      <c r="G2380" s="23"/>
      <c r="H2380" s="23"/>
      <c r="J2380" s="23"/>
      <c r="K2380" s="23"/>
      <c r="M2380" s="23"/>
      <c r="N2380" s="23"/>
      <c r="P2380" s="23"/>
    </row>
    <row r="2381" spans="2:16" x14ac:dyDescent="0.25">
      <c r="B2381" s="23"/>
      <c r="E2381" s="23"/>
      <c r="G2381" s="23"/>
      <c r="H2381" s="23"/>
      <c r="J2381" s="23"/>
      <c r="K2381" s="23"/>
      <c r="M2381" s="23"/>
      <c r="N2381" s="23"/>
      <c r="P2381" s="23"/>
    </row>
    <row r="2382" spans="2:16" x14ac:dyDescent="0.25">
      <c r="B2382" s="23"/>
      <c r="E2382" s="23"/>
      <c r="G2382" s="23"/>
      <c r="H2382" s="23"/>
      <c r="J2382" s="23"/>
      <c r="K2382" s="23"/>
      <c r="M2382" s="23"/>
      <c r="N2382" s="23"/>
      <c r="P2382" s="23"/>
    </row>
    <row r="2383" spans="2:16" x14ac:dyDescent="0.25">
      <c r="B2383" s="23"/>
      <c r="E2383" s="23"/>
      <c r="G2383" s="23"/>
      <c r="H2383" s="23"/>
      <c r="J2383" s="23"/>
      <c r="K2383" s="23"/>
      <c r="M2383" s="23"/>
      <c r="N2383" s="23"/>
      <c r="P2383" s="23"/>
    </row>
    <row r="2384" spans="2:16" x14ac:dyDescent="0.25">
      <c r="B2384" s="23"/>
      <c r="E2384" s="23"/>
      <c r="G2384" s="23"/>
      <c r="H2384" s="23"/>
      <c r="J2384" s="23"/>
      <c r="K2384" s="23"/>
      <c r="M2384" s="23"/>
      <c r="N2384" s="23"/>
      <c r="P2384" s="23"/>
    </row>
    <row r="2385" spans="2:16" x14ac:dyDescent="0.25">
      <c r="B2385" s="23"/>
      <c r="E2385" s="23"/>
      <c r="G2385" s="23"/>
      <c r="H2385" s="23"/>
      <c r="J2385" s="23"/>
      <c r="K2385" s="23"/>
      <c r="M2385" s="23"/>
      <c r="N2385" s="23"/>
      <c r="P2385" s="23"/>
    </row>
    <row r="2386" spans="2:16" x14ac:dyDescent="0.25">
      <c r="B2386" s="23"/>
      <c r="E2386" s="23"/>
      <c r="G2386" s="23"/>
      <c r="H2386" s="23"/>
      <c r="J2386" s="23"/>
      <c r="K2386" s="23"/>
      <c r="M2386" s="23"/>
      <c r="N2386" s="23"/>
      <c r="P2386" s="23"/>
    </row>
    <row r="2387" spans="2:16" x14ac:dyDescent="0.25">
      <c r="B2387" s="23"/>
      <c r="E2387" s="23"/>
      <c r="G2387" s="23"/>
      <c r="H2387" s="23"/>
      <c r="J2387" s="23"/>
      <c r="K2387" s="23"/>
      <c r="M2387" s="23"/>
      <c r="N2387" s="23"/>
      <c r="P2387" s="23"/>
    </row>
    <row r="2388" spans="2:16" x14ac:dyDescent="0.25">
      <c r="B2388" s="23"/>
      <c r="E2388" s="23"/>
      <c r="G2388" s="23"/>
      <c r="H2388" s="23"/>
      <c r="J2388" s="23"/>
      <c r="K2388" s="23"/>
      <c r="M2388" s="23"/>
      <c r="N2388" s="23"/>
      <c r="P2388" s="23"/>
    </row>
    <row r="2389" spans="2:16" x14ac:dyDescent="0.25">
      <c r="B2389" s="23"/>
      <c r="E2389" s="23"/>
      <c r="G2389" s="23"/>
      <c r="H2389" s="23"/>
      <c r="J2389" s="23"/>
      <c r="K2389" s="23"/>
      <c r="M2389" s="23"/>
      <c r="N2389" s="23"/>
      <c r="P2389" s="23"/>
    </row>
    <row r="2390" spans="2:16" x14ac:dyDescent="0.25">
      <c r="B2390" s="23"/>
      <c r="E2390" s="23"/>
      <c r="G2390" s="23"/>
      <c r="H2390" s="23"/>
      <c r="J2390" s="23"/>
      <c r="K2390" s="23"/>
      <c r="M2390" s="23"/>
      <c r="N2390" s="23"/>
      <c r="P2390" s="23"/>
    </row>
    <row r="2391" spans="2:16" x14ac:dyDescent="0.25">
      <c r="B2391" s="23"/>
      <c r="E2391" s="23"/>
      <c r="G2391" s="23"/>
      <c r="H2391" s="23"/>
      <c r="J2391" s="23"/>
      <c r="K2391" s="23"/>
      <c r="M2391" s="23"/>
      <c r="N2391" s="23"/>
      <c r="P2391" s="23"/>
    </row>
    <row r="2392" spans="2:16" x14ac:dyDescent="0.25">
      <c r="B2392" s="23"/>
      <c r="E2392" s="23"/>
      <c r="G2392" s="23"/>
      <c r="H2392" s="23"/>
      <c r="J2392" s="23"/>
      <c r="K2392" s="23"/>
      <c r="M2392" s="23"/>
      <c r="N2392" s="23"/>
      <c r="P2392" s="23"/>
    </row>
    <row r="2393" spans="2:16" x14ac:dyDescent="0.25">
      <c r="B2393" s="23"/>
      <c r="E2393" s="23"/>
      <c r="G2393" s="23"/>
      <c r="H2393" s="23"/>
      <c r="J2393" s="23"/>
      <c r="K2393" s="23"/>
      <c r="M2393" s="23"/>
      <c r="N2393" s="23"/>
      <c r="P2393" s="23"/>
    </row>
    <row r="2394" spans="2:16" x14ac:dyDescent="0.25">
      <c r="B2394" s="23"/>
      <c r="E2394" s="23"/>
      <c r="G2394" s="23"/>
      <c r="H2394" s="23"/>
      <c r="J2394" s="23"/>
      <c r="K2394" s="23"/>
      <c r="M2394" s="23"/>
      <c r="N2394" s="23"/>
      <c r="P2394" s="23"/>
    </row>
    <row r="2395" spans="2:16" x14ac:dyDescent="0.25">
      <c r="B2395" s="23"/>
      <c r="E2395" s="23"/>
      <c r="G2395" s="23"/>
      <c r="H2395" s="23"/>
      <c r="J2395" s="23"/>
      <c r="K2395" s="23"/>
      <c r="M2395" s="23"/>
      <c r="N2395" s="23"/>
      <c r="P2395" s="23"/>
    </row>
    <row r="2396" spans="2:16" x14ac:dyDescent="0.25">
      <c r="B2396" s="23"/>
      <c r="E2396" s="23"/>
      <c r="G2396" s="23"/>
      <c r="H2396" s="23"/>
      <c r="J2396" s="23"/>
      <c r="K2396" s="23"/>
      <c r="M2396" s="23"/>
      <c r="N2396" s="23"/>
      <c r="P2396" s="23"/>
    </row>
    <row r="2397" spans="2:16" x14ac:dyDescent="0.25">
      <c r="B2397" s="23"/>
      <c r="E2397" s="23"/>
      <c r="G2397" s="23"/>
      <c r="H2397" s="23"/>
      <c r="J2397" s="23"/>
      <c r="K2397" s="23"/>
      <c r="M2397" s="23"/>
      <c r="N2397" s="23"/>
      <c r="P2397" s="23"/>
    </row>
    <row r="2398" spans="2:16" x14ac:dyDescent="0.25">
      <c r="B2398" s="23"/>
      <c r="E2398" s="23"/>
      <c r="G2398" s="23"/>
      <c r="H2398" s="23"/>
      <c r="J2398" s="23"/>
      <c r="K2398" s="23"/>
      <c r="M2398" s="23"/>
      <c r="N2398" s="23"/>
      <c r="P2398" s="23"/>
    </row>
    <row r="2399" spans="2:16" x14ac:dyDescent="0.25">
      <c r="B2399" s="23"/>
      <c r="E2399" s="23"/>
      <c r="G2399" s="23"/>
      <c r="H2399" s="23"/>
      <c r="J2399" s="23"/>
      <c r="K2399" s="23"/>
      <c r="M2399" s="23"/>
      <c r="N2399" s="23"/>
      <c r="P2399" s="23"/>
    </row>
    <row r="2400" spans="2:16" x14ac:dyDescent="0.25">
      <c r="B2400" s="23"/>
      <c r="E2400" s="23"/>
      <c r="G2400" s="23"/>
      <c r="H2400" s="23"/>
      <c r="J2400" s="23"/>
      <c r="K2400" s="23"/>
      <c r="M2400" s="23"/>
      <c r="N2400" s="23"/>
      <c r="P2400" s="23"/>
    </row>
    <row r="2401" spans="2:16" x14ac:dyDescent="0.25">
      <c r="B2401" s="23"/>
      <c r="E2401" s="23"/>
      <c r="G2401" s="23"/>
      <c r="H2401" s="23"/>
      <c r="J2401" s="23"/>
      <c r="K2401" s="23"/>
      <c r="M2401" s="23"/>
      <c r="N2401" s="23"/>
      <c r="P2401" s="23"/>
    </row>
    <row r="2402" spans="2:16" x14ac:dyDescent="0.25">
      <c r="B2402" s="23"/>
      <c r="E2402" s="23"/>
      <c r="G2402" s="23"/>
      <c r="H2402" s="23"/>
      <c r="J2402" s="23"/>
      <c r="K2402" s="23"/>
      <c r="M2402" s="23"/>
      <c r="N2402" s="23"/>
      <c r="P2402" s="23"/>
    </row>
    <row r="2403" spans="2:16" x14ac:dyDescent="0.25">
      <c r="B2403" s="23"/>
      <c r="E2403" s="23"/>
      <c r="G2403" s="23"/>
      <c r="H2403" s="23"/>
      <c r="J2403" s="23"/>
      <c r="K2403" s="23"/>
      <c r="M2403" s="23"/>
      <c r="N2403" s="23"/>
      <c r="P2403" s="23"/>
    </row>
    <row r="2404" spans="2:16" x14ac:dyDescent="0.25">
      <c r="B2404" s="23"/>
      <c r="E2404" s="23"/>
      <c r="G2404" s="23"/>
      <c r="H2404" s="23"/>
      <c r="J2404" s="23"/>
      <c r="K2404" s="23"/>
      <c r="M2404" s="23"/>
      <c r="N2404" s="23"/>
      <c r="P2404" s="23"/>
    </row>
    <row r="2405" spans="2:16" x14ac:dyDescent="0.25">
      <c r="B2405" s="23"/>
      <c r="E2405" s="23"/>
      <c r="G2405" s="23"/>
      <c r="H2405" s="23"/>
      <c r="J2405" s="23"/>
      <c r="K2405" s="23"/>
      <c r="M2405" s="23"/>
      <c r="N2405" s="23"/>
      <c r="P2405" s="23"/>
    </row>
    <row r="2406" spans="2:16" x14ac:dyDescent="0.25">
      <c r="B2406" s="23"/>
      <c r="E2406" s="23"/>
      <c r="G2406" s="23"/>
      <c r="H2406" s="23"/>
      <c r="J2406" s="23"/>
      <c r="K2406" s="23"/>
      <c r="M2406" s="23"/>
      <c r="N2406" s="23"/>
      <c r="P2406" s="23"/>
    </row>
    <row r="2407" spans="2:16" x14ac:dyDescent="0.25">
      <c r="B2407" s="23"/>
      <c r="E2407" s="23"/>
      <c r="G2407" s="23"/>
      <c r="H2407" s="23"/>
      <c r="J2407" s="23"/>
      <c r="K2407" s="23"/>
      <c r="M2407" s="23"/>
      <c r="N2407" s="23"/>
      <c r="P2407" s="23"/>
    </row>
    <row r="2408" spans="2:16" x14ac:dyDescent="0.25">
      <c r="B2408" s="23"/>
      <c r="E2408" s="23"/>
      <c r="G2408" s="23"/>
      <c r="H2408" s="23"/>
      <c r="J2408" s="23"/>
      <c r="K2408" s="23"/>
      <c r="M2408" s="23"/>
      <c r="N2408" s="23"/>
      <c r="P2408" s="23"/>
    </row>
    <row r="2409" spans="2:16" x14ac:dyDescent="0.25">
      <c r="B2409" s="23"/>
      <c r="E2409" s="23"/>
      <c r="G2409" s="23"/>
      <c r="H2409" s="23"/>
      <c r="J2409" s="23"/>
      <c r="K2409" s="23"/>
      <c r="M2409" s="23"/>
      <c r="N2409" s="23"/>
      <c r="P2409" s="23"/>
    </row>
    <row r="2410" spans="2:16" x14ac:dyDescent="0.25">
      <c r="B2410" s="23"/>
      <c r="E2410" s="23"/>
      <c r="G2410" s="23"/>
      <c r="H2410" s="23"/>
      <c r="J2410" s="23"/>
      <c r="K2410" s="23"/>
      <c r="M2410" s="23"/>
      <c r="N2410" s="23"/>
      <c r="P2410" s="23"/>
    </row>
    <row r="2411" spans="2:16" x14ac:dyDescent="0.25">
      <c r="B2411" s="23"/>
      <c r="E2411" s="23"/>
      <c r="G2411" s="23"/>
      <c r="H2411" s="23"/>
      <c r="J2411" s="23"/>
      <c r="K2411" s="23"/>
      <c r="M2411" s="23"/>
      <c r="N2411" s="23"/>
      <c r="P2411" s="23"/>
    </row>
    <row r="2412" spans="2:16" x14ac:dyDescent="0.25">
      <c r="B2412" s="23"/>
      <c r="E2412" s="23"/>
      <c r="G2412" s="23"/>
      <c r="H2412" s="23"/>
      <c r="J2412" s="23"/>
      <c r="K2412" s="23"/>
      <c r="M2412" s="23"/>
      <c r="N2412" s="23"/>
      <c r="P2412" s="23"/>
    </row>
    <row r="2413" spans="2:16" x14ac:dyDescent="0.25">
      <c r="B2413" s="23"/>
      <c r="E2413" s="23"/>
      <c r="G2413" s="23"/>
      <c r="H2413" s="23"/>
      <c r="J2413" s="23"/>
      <c r="K2413" s="23"/>
      <c r="M2413" s="23"/>
      <c r="N2413" s="23"/>
      <c r="P2413" s="23"/>
    </row>
    <row r="2414" spans="2:16" x14ac:dyDescent="0.25">
      <c r="B2414" s="23"/>
      <c r="E2414" s="23"/>
      <c r="G2414" s="23"/>
      <c r="H2414" s="23"/>
      <c r="J2414" s="23"/>
      <c r="K2414" s="23"/>
      <c r="M2414" s="23"/>
      <c r="N2414" s="23"/>
      <c r="P2414" s="23"/>
    </row>
    <row r="2415" spans="2:16" x14ac:dyDescent="0.25">
      <c r="B2415" s="23"/>
      <c r="E2415" s="23"/>
      <c r="G2415" s="23"/>
      <c r="H2415" s="23"/>
      <c r="J2415" s="23"/>
      <c r="K2415" s="23"/>
      <c r="M2415" s="23"/>
      <c r="N2415" s="23"/>
      <c r="P2415" s="23"/>
    </row>
    <row r="2416" spans="2:16" x14ac:dyDescent="0.25">
      <c r="B2416" s="23"/>
      <c r="E2416" s="23"/>
      <c r="G2416" s="23"/>
      <c r="H2416" s="23"/>
      <c r="J2416" s="23"/>
      <c r="K2416" s="23"/>
      <c r="M2416" s="23"/>
      <c r="N2416" s="23"/>
      <c r="P2416" s="23"/>
    </row>
    <row r="2417" spans="2:16" x14ac:dyDescent="0.25">
      <c r="B2417" s="23"/>
      <c r="E2417" s="23"/>
      <c r="G2417" s="23"/>
      <c r="H2417" s="23"/>
      <c r="J2417" s="23"/>
      <c r="K2417" s="23"/>
      <c r="M2417" s="23"/>
      <c r="N2417" s="23"/>
      <c r="P2417" s="23"/>
    </row>
    <row r="2418" spans="2:16" x14ac:dyDescent="0.25">
      <c r="B2418" s="23"/>
      <c r="E2418" s="23"/>
      <c r="G2418" s="23"/>
      <c r="H2418" s="23"/>
      <c r="J2418" s="23"/>
      <c r="K2418" s="23"/>
      <c r="M2418" s="23"/>
      <c r="N2418" s="23"/>
      <c r="P2418" s="23"/>
    </row>
    <row r="2419" spans="2:16" x14ac:dyDescent="0.25">
      <c r="B2419" s="23"/>
      <c r="E2419" s="23"/>
      <c r="G2419" s="23"/>
      <c r="H2419" s="23"/>
      <c r="J2419" s="23"/>
      <c r="K2419" s="23"/>
      <c r="M2419" s="23"/>
      <c r="N2419" s="23"/>
      <c r="P2419" s="23"/>
    </row>
    <row r="2420" spans="2:16" x14ac:dyDescent="0.25">
      <c r="B2420" s="23"/>
      <c r="E2420" s="23"/>
      <c r="G2420" s="23"/>
      <c r="H2420" s="23"/>
      <c r="J2420" s="23"/>
      <c r="K2420" s="23"/>
      <c r="M2420" s="23"/>
      <c r="N2420" s="23"/>
      <c r="P2420" s="23"/>
    </row>
    <row r="2421" spans="2:16" x14ac:dyDescent="0.25">
      <c r="B2421" s="23"/>
      <c r="E2421" s="23"/>
      <c r="G2421" s="23"/>
      <c r="H2421" s="23"/>
      <c r="J2421" s="23"/>
      <c r="K2421" s="23"/>
      <c r="M2421" s="23"/>
      <c r="N2421" s="23"/>
      <c r="P2421" s="23"/>
    </row>
    <row r="2422" spans="2:16" x14ac:dyDescent="0.25">
      <c r="B2422" s="23"/>
      <c r="E2422" s="23"/>
      <c r="G2422" s="23"/>
      <c r="H2422" s="23"/>
      <c r="J2422" s="23"/>
      <c r="K2422" s="23"/>
      <c r="M2422" s="23"/>
      <c r="N2422" s="23"/>
      <c r="P2422" s="23"/>
    </row>
    <row r="2423" spans="2:16" x14ac:dyDescent="0.25">
      <c r="B2423" s="23"/>
      <c r="E2423" s="23"/>
      <c r="G2423" s="23"/>
      <c r="H2423" s="23"/>
      <c r="J2423" s="23"/>
      <c r="K2423" s="23"/>
      <c r="M2423" s="23"/>
      <c r="N2423" s="23"/>
      <c r="P2423" s="23"/>
    </row>
    <row r="2424" spans="2:16" x14ac:dyDescent="0.25">
      <c r="B2424" s="23"/>
      <c r="E2424" s="23"/>
      <c r="G2424" s="23"/>
      <c r="H2424" s="23"/>
      <c r="J2424" s="23"/>
      <c r="K2424" s="23"/>
      <c r="M2424" s="23"/>
      <c r="N2424" s="23"/>
      <c r="P2424" s="23"/>
    </row>
    <row r="2425" spans="2:16" x14ac:dyDescent="0.25">
      <c r="B2425" s="23"/>
      <c r="E2425" s="23"/>
      <c r="G2425" s="23"/>
      <c r="H2425" s="23"/>
      <c r="J2425" s="23"/>
      <c r="K2425" s="23"/>
      <c r="M2425" s="23"/>
      <c r="N2425" s="23"/>
      <c r="P2425" s="23"/>
    </row>
    <row r="2426" spans="2:16" x14ac:dyDescent="0.25">
      <c r="B2426" s="23"/>
      <c r="E2426" s="23"/>
      <c r="G2426" s="23"/>
      <c r="H2426" s="23"/>
      <c r="J2426" s="23"/>
      <c r="K2426" s="23"/>
      <c r="M2426" s="23"/>
      <c r="N2426" s="23"/>
      <c r="P2426" s="23"/>
    </row>
    <row r="2427" spans="2:16" x14ac:dyDescent="0.25">
      <c r="B2427" s="23"/>
      <c r="E2427" s="23"/>
      <c r="G2427" s="23"/>
      <c r="H2427" s="23"/>
      <c r="J2427" s="23"/>
      <c r="K2427" s="23"/>
      <c r="M2427" s="23"/>
      <c r="N2427" s="23"/>
      <c r="P2427" s="23"/>
    </row>
    <row r="2428" spans="2:16" x14ac:dyDescent="0.25">
      <c r="B2428" s="23"/>
      <c r="E2428" s="23"/>
      <c r="G2428" s="23"/>
      <c r="H2428" s="23"/>
      <c r="J2428" s="23"/>
      <c r="K2428" s="23"/>
      <c r="M2428" s="23"/>
      <c r="N2428" s="23"/>
      <c r="P2428" s="23"/>
    </row>
    <row r="2429" spans="2:16" x14ac:dyDescent="0.25">
      <c r="B2429" s="23"/>
      <c r="E2429" s="23"/>
      <c r="G2429" s="23"/>
      <c r="H2429" s="23"/>
      <c r="J2429" s="23"/>
      <c r="K2429" s="23"/>
      <c r="M2429" s="23"/>
      <c r="N2429" s="23"/>
      <c r="P2429" s="23"/>
    </row>
    <row r="2430" spans="2:16" x14ac:dyDescent="0.25">
      <c r="B2430" s="23"/>
      <c r="E2430" s="23"/>
      <c r="G2430" s="23"/>
      <c r="H2430" s="23"/>
      <c r="J2430" s="23"/>
      <c r="K2430" s="23"/>
      <c r="M2430" s="23"/>
      <c r="N2430" s="23"/>
      <c r="P2430" s="23"/>
    </row>
    <row r="2431" spans="2:16" x14ac:dyDescent="0.25">
      <c r="B2431" s="23"/>
      <c r="E2431" s="23"/>
      <c r="G2431" s="23"/>
      <c r="H2431" s="23"/>
      <c r="J2431" s="23"/>
      <c r="K2431" s="23"/>
      <c r="M2431" s="23"/>
      <c r="N2431" s="23"/>
      <c r="P2431" s="23"/>
    </row>
    <row r="2432" spans="2:16" x14ac:dyDescent="0.25">
      <c r="B2432" s="23"/>
      <c r="E2432" s="23"/>
      <c r="G2432" s="23"/>
      <c r="H2432" s="23"/>
      <c r="J2432" s="23"/>
      <c r="K2432" s="23"/>
      <c r="M2432" s="23"/>
      <c r="N2432" s="23"/>
      <c r="P2432" s="23"/>
    </row>
    <row r="2433" spans="2:16" x14ac:dyDescent="0.25">
      <c r="B2433" s="23"/>
      <c r="E2433" s="23"/>
      <c r="G2433" s="23"/>
      <c r="H2433" s="23"/>
      <c r="J2433" s="23"/>
      <c r="K2433" s="23"/>
      <c r="M2433" s="23"/>
      <c r="N2433" s="23"/>
      <c r="P2433" s="23"/>
    </row>
    <row r="2434" spans="2:16" x14ac:dyDescent="0.25">
      <c r="B2434" s="23"/>
      <c r="E2434" s="23"/>
      <c r="G2434" s="23"/>
      <c r="H2434" s="23"/>
      <c r="J2434" s="23"/>
      <c r="K2434" s="23"/>
      <c r="M2434" s="23"/>
      <c r="N2434" s="23"/>
      <c r="P2434" s="23"/>
    </row>
    <row r="2435" spans="2:16" x14ac:dyDescent="0.25">
      <c r="B2435" s="23"/>
      <c r="E2435" s="23"/>
      <c r="G2435" s="23"/>
      <c r="H2435" s="23"/>
      <c r="J2435" s="23"/>
      <c r="K2435" s="23"/>
      <c r="M2435" s="23"/>
      <c r="N2435" s="23"/>
      <c r="P2435" s="23"/>
    </row>
    <row r="2436" spans="2:16" x14ac:dyDescent="0.25">
      <c r="B2436" s="23"/>
      <c r="E2436" s="23"/>
      <c r="G2436" s="23"/>
      <c r="H2436" s="23"/>
      <c r="J2436" s="23"/>
      <c r="K2436" s="23"/>
      <c r="M2436" s="23"/>
      <c r="N2436" s="23"/>
      <c r="P2436" s="23"/>
    </row>
    <row r="2437" spans="2:16" x14ac:dyDescent="0.25">
      <c r="B2437" s="23"/>
      <c r="E2437" s="23"/>
      <c r="G2437" s="23"/>
      <c r="H2437" s="23"/>
      <c r="J2437" s="23"/>
      <c r="K2437" s="23"/>
      <c r="M2437" s="23"/>
      <c r="N2437" s="23"/>
      <c r="P2437" s="23"/>
    </row>
    <row r="2438" spans="2:16" x14ac:dyDescent="0.25">
      <c r="B2438" s="23"/>
      <c r="E2438" s="23"/>
      <c r="G2438" s="23"/>
      <c r="H2438" s="23"/>
      <c r="J2438" s="23"/>
      <c r="K2438" s="23"/>
      <c r="M2438" s="23"/>
      <c r="N2438" s="23"/>
      <c r="P2438" s="23"/>
    </row>
    <row r="2439" spans="2:16" x14ac:dyDescent="0.25">
      <c r="B2439" s="23"/>
      <c r="E2439" s="23"/>
      <c r="G2439" s="23"/>
      <c r="H2439" s="23"/>
      <c r="J2439" s="23"/>
      <c r="K2439" s="23"/>
      <c r="M2439" s="23"/>
      <c r="N2439" s="23"/>
      <c r="P2439" s="23"/>
    </row>
    <row r="2440" spans="2:16" x14ac:dyDescent="0.25">
      <c r="B2440" s="23"/>
      <c r="E2440" s="23"/>
      <c r="G2440" s="23"/>
      <c r="H2440" s="23"/>
      <c r="J2440" s="23"/>
      <c r="K2440" s="23"/>
      <c r="M2440" s="23"/>
      <c r="N2440" s="23"/>
      <c r="P2440" s="23"/>
    </row>
    <row r="2441" spans="2:16" x14ac:dyDescent="0.25">
      <c r="B2441" s="23"/>
      <c r="E2441" s="23"/>
      <c r="G2441" s="23"/>
      <c r="H2441" s="23"/>
      <c r="J2441" s="23"/>
      <c r="K2441" s="23"/>
      <c r="M2441" s="23"/>
      <c r="N2441" s="23"/>
      <c r="P2441" s="23"/>
    </row>
    <row r="2442" spans="2:16" x14ac:dyDescent="0.25">
      <c r="B2442" s="23"/>
      <c r="E2442" s="23"/>
      <c r="G2442" s="23"/>
      <c r="H2442" s="23"/>
      <c r="J2442" s="23"/>
      <c r="K2442" s="23"/>
      <c r="M2442" s="23"/>
      <c r="N2442" s="23"/>
      <c r="P2442" s="23"/>
    </row>
    <row r="2443" spans="2:16" x14ac:dyDescent="0.25">
      <c r="B2443" s="23"/>
      <c r="E2443" s="23"/>
      <c r="G2443" s="23"/>
      <c r="H2443" s="23"/>
      <c r="J2443" s="23"/>
      <c r="K2443" s="23"/>
      <c r="M2443" s="23"/>
      <c r="N2443" s="23"/>
      <c r="P2443" s="23"/>
    </row>
    <row r="2444" spans="2:16" x14ac:dyDescent="0.25">
      <c r="B2444" s="23"/>
      <c r="E2444" s="23"/>
      <c r="G2444" s="23"/>
      <c r="H2444" s="23"/>
      <c r="J2444" s="23"/>
      <c r="K2444" s="23"/>
      <c r="M2444" s="23"/>
      <c r="N2444" s="23"/>
      <c r="P2444" s="23"/>
    </row>
    <row r="2445" spans="2:16" x14ac:dyDescent="0.25">
      <c r="B2445" s="23"/>
      <c r="E2445" s="23"/>
      <c r="G2445" s="23"/>
      <c r="H2445" s="23"/>
      <c r="J2445" s="23"/>
      <c r="K2445" s="23"/>
      <c r="M2445" s="23"/>
      <c r="N2445" s="23"/>
      <c r="P2445" s="23"/>
    </row>
    <row r="2446" spans="2:16" x14ac:dyDescent="0.25">
      <c r="B2446" s="23"/>
      <c r="E2446" s="23"/>
      <c r="G2446" s="23"/>
      <c r="H2446" s="23"/>
      <c r="J2446" s="23"/>
      <c r="K2446" s="23"/>
      <c r="M2446" s="23"/>
      <c r="N2446" s="23"/>
      <c r="P2446" s="23"/>
    </row>
    <row r="2447" spans="2:16" x14ac:dyDescent="0.25">
      <c r="B2447" s="23"/>
      <c r="E2447" s="23"/>
      <c r="G2447" s="23"/>
      <c r="H2447" s="23"/>
      <c r="J2447" s="23"/>
      <c r="K2447" s="23"/>
      <c r="M2447" s="23"/>
      <c r="N2447" s="23"/>
      <c r="P2447" s="23"/>
    </row>
    <row r="2448" spans="2:16" x14ac:dyDescent="0.25">
      <c r="B2448" s="23"/>
      <c r="E2448" s="23"/>
      <c r="G2448" s="23"/>
      <c r="H2448" s="23"/>
      <c r="J2448" s="23"/>
      <c r="K2448" s="23"/>
      <c r="M2448" s="23"/>
      <c r="N2448" s="23"/>
      <c r="P2448" s="23"/>
    </row>
    <row r="2449" spans="2:16" x14ac:dyDescent="0.25">
      <c r="B2449" s="23"/>
      <c r="E2449" s="23"/>
      <c r="G2449" s="23"/>
      <c r="H2449" s="23"/>
      <c r="J2449" s="23"/>
      <c r="K2449" s="23"/>
      <c r="M2449" s="23"/>
      <c r="N2449" s="23"/>
      <c r="P2449" s="23"/>
    </row>
    <row r="2450" spans="2:16" x14ac:dyDescent="0.25">
      <c r="B2450" s="23"/>
      <c r="E2450" s="23"/>
      <c r="G2450" s="23"/>
      <c r="H2450" s="23"/>
      <c r="J2450" s="23"/>
      <c r="K2450" s="23"/>
      <c r="M2450" s="23"/>
      <c r="N2450" s="23"/>
      <c r="P2450" s="23"/>
    </row>
    <row r="2451" spans="2:16" x14ac:dyDescent="0.25">
      <c r="B2451" s="23"/>
      <c r="E2451" s="23"/>
      <c r="G2451" s="23"/>
      <c r="H2451" s="23"/>
      <c r="J2451" s="23"/>
      <c r="K2451" s="23"/>
      <c r="M2451" s="23"/>
      <c r="N2451" s="23"/>
      <c r="P2451" s="23"/>
    </row>
    <row r="2452" spans="2:16" x14ac:dyDescent="0.25">
      <c r="B2452" s="23"/>
      <c r="E2452" s="23"/>
      <c r="G2452" s="23"/>
      <c r="H2452" s="23"/>
      <c r="J2452" s="23"/>
      <c r="K2452" s="23"/>
      <c r="M2452" s="23"/>
      <c r="N2452" s="23"/>
      <c r="P2452" s="23"/>
    </row>
    <row r="2453" spans="2:16" x14ac:dyDescent="0.25">
      <c r="B2453" s="23"/>
      <c r="E2453" s="23"/>
      <c r="G2453" s="23"/>
      <c r="H2453" s="23"/>
      <c r="J2453" s="23"/>
      <c r="K2453" s="23"/>
      <c r="M2453" s="23"/>
      <c r="N2453" s="23"/>
      <c r="P2453" s="23"/>
    </row>
    <row r="2454" spans="2:16" x14ac:dyDescent="0.25">
      <c r="B2454" s="23"/>
      <c r="E2454" s="23"/>
      <c r="G2454" s="23"/>
      <c r="H2454" s="23"/>
      <c r="J2454" s="23"/>
      <c r="K2454" s="23"/>
      <c r="M2454" s="23"/>
      <c r="N2454" s="23"/>
      <c r="P2454" s="23"/>
    </row>
    <row r="2455" spans="2:16" x14ac:dyDescent="0.25">
      <c r="B2455" s="23"/>
      <c r="E2455" s="23"/>
      <c r="G2455" s="23"/>
      <c r="H2455" s="23"/>
      <c r="J2455" s="23"/>
      <c r="K2455" s="23"/>
      <c r="M2455" s="23"/>
      <c r="N2455" s="23"/>
      <c r="P2455" s="23"/>
    </row>
    <row r="2456" spans="2:16" x14ac:dyDescent="0.25">
      <c r="B2456" s="23"/>
      <c r="E2456" s="23"/>
      <c r="G2456" s="23"/>
      <c r="H2456" s="23"/>
      <c r="J2456" s="23"/>
      <c r="K2456" s="23"/>
      <c r="M2456" s="23"/>
      <c r="N2456" s="23"/>
      <c r="P2456" s="23"/>
    </row>
    <row r="2457" spans="2:16" x14ac:dyDescent="0.25">
      <c r="B2457" s="23"/>
      <c r="E2457" s="23"/>
      <c r="G2457" s="23"/>
      <c r="H2457" s="23"/>
      <c r="J2457" s="23"/>
      <c r="K2457" s="23"/>
      <c r="M2457" s="23"/>
      <c r="N2457" s="23"/>
      <c r="P2457" s="23"/>
    </row>
    <row r="2458" spans="2:16" x14ac:dyDescent="0.25">
      <c r="B2458" s="23"/>
      <c r="E2458" s="23"/>
      <c r="G2458" s="23"/>
      <c r="H2458" s="23"/>
      <c r="J2458" s="23"/>
      <c r="K2458" s="23"/>
      <c r="M2458" s="23"/>
      <c r="N2458" s="23"/>
      <c r="P2458" s="23"/>
    </row>
    <row r="2459" spans="2:16" x14ac:dyDescent="0.25">
      <c r="B2459" s="23"/>
      <c r="E2459" s="23"/>
      <c r="G2459" s="23"/>
      <c r="H2459" s="23"/>
      <c r="J2459" s="23"/>
      <c r="K2459" s="23"/>
      <c r="M2459" s="23"/>
      <c r="N2459" s="23"/>
      <c r="P2459" s="23"/>
    </row>
    <row r="2460" spans="2:16" x14ac:dyDescent="0.25">
      <c r="B2460" s="23"/>
      <c r="E2460" s="23"/>
      <c r="G2460" s="23"/>
      <c r="H2460" s="23"/>
      <c r="J2460" s="23"/>
      <c r="K2460" s="23"/>
      <c r="M2460" s="23"/>
      <c r="N2460" s="23"/>
      <c r="P2460" s="23"/>
    </row>
    <row r="2461" spans="2:16" x14ac:dyDescent="0.25">
      <c r="B2461" s="23"/>
      <c r="E2461" s="23"/>
      <c r="G2461" s="23"/>
      <c r="H2461" s="23"/>
      <c r="J2461" s="23"/>
      <c r="K2461" s="23"/>
      <c r="M2461" s="23"/>
      <c r="N2461" s="23"/>
      <c r="P2461" s="23"/>
    </row>
    <row r="2462" spans="2:16" x14ac:dyDescent="0.25">
      <c r="B2462" s="23"/>
      <c r="E2462" s="23"/>
      <c r="G2462" s="23"/>
      <c r="H2462" s="23"/>
      <c r="J2462" s="23"/>
      <c r="K2462" s="23"/>
      <c r="M2462" s="23"/>
      <c r="N2462" s="23"/>
      <c r="P2462" s="23"/>
    </row>
    <row r="2463" spans="2:16" x14ac:dyDescent="0.25">
      <c r="B2463" s="23"/>
      <c r="E2463" s="23"/>
      <c r="G2463" s="23"/>
      <c r="H2463" s="23"/>
      <c r="J2463" s="23"/>
      <c r="K2463" s="23"/>
      <c r="M2463" s="23"/>
      <c r="N2463" s="23"/>
      <c r="P2463" s="23"/>
    </row>
    <row r="2464" spans="2:16" x14ac:dyDescent="0.25">
      <c r="B2464" s="23"/>
      <c r="E2464" s="23"/>
      <c r="G2464" s="23"/>
      <c r="H2464" s="23"/>
      <c r="J2464" s="23"/>
      <c r="K2464" s="23"/>
      <c r="M2464" s="23"/>
      <c r="N2464" s="23"/>
      <c r="P2464" s="23"/>
    </row>
    <row r="2465" spans="2:16" x14ac:dyDescent="0.25">
      <c r="B2465" s="23"/>
      <c r="E2465" s="23"/>
      <c r="G2465" s="23"/>
      <c r="H2465" s="23"/>
      <c r="J2465" s="23"/>
      <c r="K2465" s="23"/>
      <c r="M2465" s="23"/>
      <c r="N2465" s="23"/>
      <c r="P2465" s="23"/>
    </row>
    <row r="2466" spans="2:16" x14ac:dyDescent="0.25">
      <c r="B2466" s="23"/>
      <c r="E2466" s="23"/>
      <c r="G2466" s="23"/>
      <c r="H2466" s="23"/>
      <c r="J2466" s="23"/>
      <c r="K2466" s="23"/>
      <c r="M2466" s="23"/>
      <c r="N2466" s="23"/>
      <c r="P2466" s="23"/>
    </row>
    <row r="2467" spans="2:16" x14ac:dyDescent="0.25">
      <c r="B2467" s="23"/>
      <c r="E2467" s="23"/>
      <c r="G2467" s="23"/>
      <c r="H2467" s="23"/>
      <c r="J2467" s="23"/>
      <c r="K2467" s="23"/>
      <c r="M2467" s="23"/>
      <c r="N2467" s="23"/>
      <c r="P2467" s="23"/>
    </row>
    <row r="2468" spans="2:16" x14ac:dyDescent="0.25">
      <c r="B2468" s="23"/>
      <c r="E2468" s="23"/>
      <c r="G2468" s="23"/>
      <c r="H2468" s="23"/>
      <c r="J2468" s="23"/>
      <c r="K2468" s="23"/>
      <c r="M2468" s="23"/>
      <c r="N2468" s="23"/>
      <c r="P2468" s="23"/>
    </row>
    <row r="2469" spans="2:16" x14ac:dyDescent="0.25">
      <c r="B2469" s="23"/>
      <c r="E2469" s="23"/>
      <c r="G2469" s="23"/>
      <c r="H2469" s="23"/>
      <c r="J2469" s="23"/>
      <c r="K2469" s="23"/>
      <c r="M2469" s="23"/>
      <c r="N2469" s="23"/>
      <c r="P2469" s="23"/>
    </row>
    <row r="2470" spans="2:16" x14ac:dyDescent="0.25">
      <c r="B2470" s="23"/>
      <c r="E2470" s="23"/>
      <c r="G2470" s="23"/>
      <c r="H2470" s="23"/>
      <c r="J2470" s="23"/>
      <c r="K2470" s="23"/>
      <c r="M2470" s="23"/>
      <c r="N2470" s="23"/>
      <c r="P2470" s="23"/>
    </row>
    <row r="2471" spans="2:16" x14ac:dyDescent="0.25">
      <c r="B2471" s="23"/>
      <c r="E2471" s="23"/>
      <c r="G2471" s="23"/>
      <c r="H2471" s="23"/>
      <c r="J2471" s="23"/>
      <c r="K2471" s="23"/>
      <c r="M2471" s="23"/>
      <c r="N2471" s="23"/>
      <c r="P2471" s="23"/>
    </row>
    <row r="2472" spans="2:16" x14ac:dyDescent="0.25">
      <c r="B2472" s="23"/>
      <c r="E2472" s="23"/>
      <c r="G2472" s="23"/>
      <c r="H2472" s="23"/>
      <c r="J2472" s="23"/>
      <c r="K2472" s="23"/>
      <c r="M2472" s="23"/>
      <c r="N2472" s="23"/>
      <c r="P2472" s="23"/>
    </row>
    <row r="2473" spans="2:16" x14ac:dyDescent="0.25">
      <c r="B2473" s="23"/>
      <c r="E2473" s="23"/>
      <c r="G2473" s="23"/>
      <c r="H2473" s="23"/>
      <c r="J2473" s="23"/>
      <c r="K2473" s="23"/>
      <c r="M2473" s="23"/>
      <c r="N2473" s="23"/>
      <c r="P2473" s="23"/>
    </row>
    <row r="2474" spans="2:16" x14ac:dyDescent="0.25">
      <c r="B2474" s="23"/>
      <c r="E2474" s="23"/>
      <c r="G2474" s="23"/>
      <c r="H2474" s="23"/>
      <c r="J2474" s="23"/>
      <c r="K2474" s="23"/>
      <c r="M2474" s="23"/>
      <c r="N2474" s="23"/>
      <c r="P2474" s="23"/>
    </row>
    <row r="2475" spans="2:16" x14ac:dyDescent="0.25">
      <c r="B2475" s="23"/>
      <c r="E2475" s="23"/>
      <c r="G2475" s="23"/>
      <c r="H2475" s="23"/>
      <c r="J2475" s="23"/>
      <c r="K2475" s="23"/>
      <c r="M2475" s="23"/>
      <c r="N2475" s="23"/>
      <c r="P2475" s="23"/>
    </row>
    <row r="2476" spans="2:16" x14ac:dyDescent="0.25">
      <c r="B2476" s="23"/>
      <c r="E2476" s="23"/>
      <c r="G2476" s="23"/>
      <c r="H2476" s="23"/>
      <c r="J2476" s="23"/>
      <c r="K2476" s="23"/>
      <c r="M2476" s="23"/>
      <c r="N2476" s="23"/>
      <c r="P2476" s="23"/>
    </row>
    <row r="2477" spans="2:16" x14ac:dyDescent="0.25">
      <c r="B2477" s="23"/>
      <c r="E2477" s="23"/>
      <c r="G2477" s="23"/>
      <c r="H2477" s="23"/>
      <c r="J2477" s="23"/>
      <c r="K2477" s="23"/>
      <c r="M2477" s="23"/>
      <c r="N2477" s="23"/>
      <c r="P2477" s="23"/>
    </row>
    <row r="2478" spans="2:16" x14ac:dyDescent="0.25">
      <c r="B2478" s="23"/>
      <c r="E2478" s="23"/>
      <c r="G2478" s="23"/>
      <c r="H2478" s="23"/>
      <c r="J2478" s="23"/>
      <c r="K2478" s="23"/>
      <c r="M2478" s="23"/>
      <c r="N2478" s="23"/>
      <c r="P2478" s="23"/>
    </row>
    <row r="2479" spans="2:16" x14ac:dyDescent="0.25">
      <c r="B2479" s="23"/>
      <c r="E2479" s="23"/>
      <c r="G2479" s="23"/>
      <c r="H2479" s="23"/>
      <c r="J2479" s="23"/>
      <c r="K2479" s="23"/>
      <c r="M2479" s="23"/>
      <c r="N2479" s="23"/>
      <c r="P2479" s="23"/>
    </row>
    <row r="2480" spans="2:16" x14ac:dyDescent="0.25">
      <c r="B2480" s="23"/>
      <c r="E2480" s="23"/>
      <c r="G2480" s="23"/>
      <c r="H2480" s="23"/>
      <c r="J2480" s="23"/>
      <c r="K2480" s="23"/>
      <c r="M2480" s="23"/>
      <c r="N2480" s="23"/>
      <c r="P2480" s="23"/>
    </row>
    <row r="2481" spans="2:16" x14ac:dyDescent="0.25">
      <c r="B2481" s="23"/>
      <c r="E2481" s="23"/>
      <c r="G2481" s="23"/>
      <c r="H2481" s="23"/>
      <c r="J2481" s="23"/>
      <c r="K2481" s="23"/>
      <c r="M2481" s="23"/>
      <c r="N2481" s="23"/>
      <c r="P2481" s="23"/>
    </row>
    <row r="2482" spans="2:16" x14ac:dyDescent="0.25">
      <c r="B2482" s="23"/>
      <c r="E2482" s="23"/>
      <c r="G2482" s="23"/>
      <c r="H2482" s="23"/>
      <c r="J2482" s="23"/>
      <c r="K2482" s="23"/>
      <c r="M2482" s="23"/>
      <c r="N2482" s="23"/>
      <c r="P2482" s="23"/>
    </row>
    <row r="2483" spans="2:16" x14ac:dyDescent="0.25">
      <c r="B2483" s="23"/>
      <c r="E2483" s="23"/>
      <c r="G2483" s="23"/>
      <c r="H2483" s="23"/>
      <c r="J2483" s="23"/>
      <c r="K2483" s="23"/>
      <c r="M2483" s="23"/>
      <c r="N2483" s="23"/>
      <c r="P2483" s="23"/>
    </row>
    <row r="2484" spans="2:16" x14ac:dyDescent="0.25">
      <c r="B2484" s="23"/>
      <c r="E2484" s="23"/>
      <c r="G2484" s="23"/>
      <c r="H2484" s="23"/>
      <c r="J2484" s="23"/>
      <c r="K2484" s="23"/>
      <c r="M2484" s="23"/>
      <c r="N2484" s="23"/>
      <c r="P2484" s="23"/>
    </row>
    <row r="2485" spans="2:16" x14ac:dyDescent="0.25">
      <c r="B2485" s="23"/>
      <c r="E2485" s="23"/>
      <c r="G2485" s="23"/>
      <c r="H2485" s="23"/>
      <c r="J2485" s="23"/>
      <c r="K2485" s="23"/>
      <c r="M2485" s="23"/>
      <c r="N2485" s="23"/>
      <c r="P2485" s="23"/>
    </row>
    <row r="2486" spans="2:16" x14ac:dyDescent="0.25">
      <c r="B2486" s="23"/>
      <c r="E2486" s="23"/>
      <c r="G2486" s="23"/>
      <c r="H2486" s="23"/>
      <c r="J2486" s="23"/>
      <c r="K2486" s="23"/>
      <c r="M2486" s="23"/>
      <c r="N2486" s="23"/>
      <c r="P2486" s="23"/>
    </row>
    <row r="2487" spans="2:16" x14ac:dyDescent="0.25">
      <c r="B2487" s="23"/>
      <c r="E2487" s="23"/>
      <c r="G2487" s="23"/>
      <c r="H2487" s="23"/>
      <c r="J2487" s="23"/>
      <c r="K2487" s="23"/>
      <c r="M2487" s="23"/>
      <c r="N2487" s="23"/>
      <c r="P2487" s="23"/>
    </row>
    <row r="2488" spans="2:16" x14ac:dyDescent="0.25">
      <c r="B2488" s="23"/>
      <c r="E2488" s="23"/>
      <c r="G2488" s="23"/>
      <c r="H2488" s="23"/>
      <c r="J2488" s="23"/>
      <c r="K2488" s="23"/>
      <c r="M2488" s="23"/>
      <c r="N2488" s="23"/>
      <c r="P2488" s="23"/>
    </row>
    <row r="2489" spans="2:16" x14ac:dyDescent="0.25">
      <c r="B2489" s="23"/>
      <c r="E2489" s="23"/>
      <c r="G2489" s="23"/>
      <c r="H2489" s="23"/>
      <c r="J2489" s="23"/>
      <c r="K2489" s="23"/>
      <c r="M2489" s="23"/>
      <c r="N2489" s="23"/>
      <c r="P2489" s="23"/>
    </row>
    <row r="2490" spans="2:16" x14ac:dyDescent="0.25">
      <c r="B2490" s="23"/>
      <c r="E2490" s="23"/>
      <c r="G2490" s="23"/>
      <c r="H2490" s="23"/>
      <c r="J2490" s="23"/>
      <c r="K2490" s="23"/>
      <c r="M2490" s="23"/>
      <c r="N2490" s="23"/>
      <c r="P2490" s="23"/>
    </row>
    <row r="2491" spans="2:16" x14ac:dyDescent="0.25">
      <c r="B2491" s="23"/>
      <c r="E2491" s="23"/>
      <c r="G2491" s="23"/>
      <c r="H2491" s="23"/>
      <c r="J2491" s="23"/>
      <c r="K2491" s="23"/>
      <c r="M2491" s="23"/>
      <c r="N2491" s="23"/>
      <c r="P2491" s="23"/>
    </row>
    <row r="2492" spans="2:16" x14ac:dyDescent="0.25">
      <c r="B2492" s="23"/>
      <c r="E2492" s="23"/>
      <c r="G2492" s="23"/>
      <c r="H2492" s="23"/>
      <c r="J2492" s="23"/>
      <c r="K2492" s="23"/>
      <c r="M2492" s="23"/>
      <c r="N2492" s="23"/>
      <c r="P2492" s="23"/>
    </row>
    <row r="2493" spans="2:16" x14ac:dyDescent="0.25">
      <c r="B2493" s="23"/>
      <c r="E2493" s="23"/>
      <c r="G2493" s="23"/>
      <c r="H2493" s="23"/>
      <c r="J2493" s="23"/>
      <c r="K2493" s="23"/>
      <c r="M2493" s="23"/>
      <c r="N2493" s="23"/>
      <c r="P2493" s="23"/>
    </row>
    <row r="2494" spans="2:16" x14ac:dyDescent="0.25">
      <c r="B2494" s="23"/>
      <c r="E2494" s="23"/>
      <c r="G2494" s="23"/>
      <c r="H2494" s="23"/>
      <c r="J2494" s="23"/>
      <c r="K2494" s="23"/>
      <c r="M2494" s="23"/>
      <c r="N2494" s="23"/>
      <c r="P2494" s="23"/>
    </row>
    <row r="2495" spans="2:16" x14ac:dyDescent="0.25">
      <c r="B2495" s="23"/>
      <c r="E2495" s="23"/>
      <c r="G2495" s="23"/>
      <c r="H2495" s="23"/>
      <c r="J2495" s="23"/>
      <c r="K2495" s="23"/>
      <c r="M2495" s="23"/>
      <c r="N2495" s="23"/>
      <c r="P2495" s="23"/>
    </row>
    <row r="2496" spans="2:16" x14ac:dyDescent="0.25">
      <c r="B2496" s="23"/>
      <c r="E2496" s="23"/>
      <c r="G2496" s="23"/>
      <c r="H2496" s="23"/>
      <c r="J2496" s="23"/>
      <c r="K2496" s="23"/>
      <c r="M2496" s="23"/>
      <c r="N2496" s="23"/>
      <c r="P2496" s="23"/>
    </row>
    <row r="2497" spans="2:16" x14ac:dyDescent="0.25">
      <c r="B2497" s="23"/>
      <c r="E2497" s="23"/>
      <c r="G2497" s="23"/>
      <c r="H2497" s="23"/>
      <c r="J2497" s="23"/>
      <c r="K2497" s="23"/>
      <c r="M2497" s="23"/>
      <c r="N2497" s="23"/>
      <c r="P2497" s="23"/>
    </row>
    <row r="2498" spans="2:16" x14ac:dyDescent="0.25">
      <c r="B2498" s="23"/>
      <c r="E2498" s="23"/>
      <c r="G2498" s="23"/>
      <c r="H2498" s="23"/>
      <c r="J2498" s="23"/>
      <c r="K2498" s="23"/>
      <c r="M2498" s="23"/>
      <c r="N2498" s="23"/>
      <c r="P2498" s="23"/>
    </row>
    <row r="2499" spans="2:16" x14ac:dyDescent="0.25">
      <c r="B2499" s="23"/>
      <c r="E2499" s="23"/>
      <c r="G2499" s="23"/>
      <c r="H2499" s="23"/>
      <c r="J2499" s="23"/>
      <c r="K2499" s="23"/>
      <c r="M2499" s="23"/>
      <c r="N2499" s="23"/>
      <c r="P2499" s="23"/>
    </row>
    <row r="2500" spans="2:16" x14ac:dyDescent="0.25">
      <c r="B2500" s="23"/>
      <c r="E2500" s="23"/>
      <c r="G2500" s="23"/>
      <c r="H2500" s="23"/>
      <c r="J2500" s="23"/>
      <c r="K2500" s="23"/>
      <c r="M2500" s="23"/>
      <c r="N2500" s="23"/>
      <c r="P2500" s="23"/>
    </row>
    <row r="2501" spans="2:16" x14ac:dyDescent="0.25">
      <c r="B2501" s="23"/>
      <c r="E2501" s="23"/>
      <c r="G2501" s="23"/>
      <c r="H2501" s="23"/>
      <c r="J2501" s="23"/>
      <c r="K2501" s="23"/>
      <c r="M2501" s="23"/>
      <c r="N2501" s="23"/>
      <c r="P2501" s="23"/>
    </row>
    <row r="2502" spans="2:16" x14ac:dyDescent="0.25">
      <c r="B2502" s="23"/>
      <c r="E2502" s="23"/>
      <c r="G2502" s="23"/>
      <c r="H2502" s="23"/>
      <c r="J2502" s="23"/>
      <c r="K2502" s="23"/>
      <c r="M2502" s="23"/>
      <c r="N2502" s="23"/>
      <c r="P2502" s="23"/>
    </row>
    <row r="2503" spans="2:16" x14ac:dyDescent="0.25">
      <c r="B2503" s="23"/>
      <c r="E2503" s="23"/>
      <c r="G2503" s="23"/>
      <c r="H2503" s="23"/>
      <c r="J2503" s="23"/>
      <c r="K2503" s="23"/>
      <c r="M2503" s="23"/>
      <c r="N2503" s="23"/>
      <c r="P2503" s="23"/>
    </row>
    <row r="2504" spans="2:16" x14ac:dyDescent="0.25">
      <c r="B2504" s="23"/>
      <c r="E2504" s="23"/>
      <c r="G2504" s="23"/>
      <c r="H2504" s="23"/>
      <c r="J2504" s="23"/>
      <c r="K2504" s="23"/>
      <c r="M2504" s="23"/>
      <c r="N2504" s="23"/>
      <c r="P2504" s="23"/>
    </row>
    <row r="2505" spans="2:16" x14ac:dyDescent="0.25">
      <c r="B2505" s="23"/>
      <c r="E2505" s="23"/>
      <c r="G2505" s="23"/>
      <c r="H2505" s="23"/>
      <c r="J2505" s="23"/>
      <c r="K2505" s="23"/>
      <c r="M2505" s="23"/>
      <c r="N2505" s="23"/>
      <c r="P2505" s="23"/>
    </row>
    <row r="2506" spans="2:16" x14ac:dyDescent="0.25">
      <c r="B2506" s="23"/>
      <c r="E2506" s="23"/>
      <c r="G2506" s="23"/>
      <c r="H2506" s="23"/>
      <c r="J2506" s="23"/>
      <c r="K2506" s="23"/>
      <c r="M2506" s="23"/>
      <c r="N2506" s="23"/>
      <c r="P2506" s="23"/>
    </row>
    <row r="2507" spans="2:16" x14ac:dyDescent="0.25">
      <c r="B2507" s="23"/>
      <c r="E2507" s="23"/>
      <c r="G2507" s="23"/>
      <c r="H2507" s="23"/>
      <c r="J2507" s="23"/>
      <c r="K2507" s="23"/>
      <c r="M2507" s="23"/>
      <c r="N2507" s="23"/>
      <c r="P2507" s="23"/>
    </row>
    <row r="2508" spans="2:16" x14ac:dyDescent="0.25">
      <c r="B2508" s="23"/>
      <c r="E2508" s="23"/>
      <c r="G2508" s="23"/>
      <c r="H2508" s="23"/>
      <c r="J2508" s="23"/>
      <c r="K2508" s="23"/>
      <c r="M2508" s="23"/>
      <c r="N2508" s="23"/>
      <c r="P2508" s="23"/>
    </row>
    <row r="2509" spans="2:16" x14ac:dyDescent="0.25">
      <c r="B2509" s="23"/>
      <c r="E2509" s="23"/>
      <c r="G2509" s="23"/>
      <c r="H2509" s="23"/>
      <c r="J2509" s="23"/>
      <c r="K2509" s="23"/>
      <c r="M2509" s="23"/>
      <c r="N2509" s="23"/>
      <c r="P2509" s="23"/>
    </row>
    <row r="2510" spans="2:16" x14ac:dyDescent="0.25">
      <c r="B2510" s="23"/>
      <c r="E2510" s="23"/>
      <c r="G2510" s="23"/>
      <c r="H2510" s="23"/>
      <c r="J2510" s="23"/>
      <c r="K2510" s="23"/>
      <c r="M2510" s="23"/>
      <c r="N2510" s="23"/>
      <c r="P2510" s="23"/>
    </row>
    <row r="2511" spans="2:16" x14ac:dyDescent="0.25">
      <c r="B2511" s="23"/>
      <c r="E2511" s="23"/>
      <c r="G2511" s="23"/>
      <c r="H2511" s="23"/>
      <c r="J2511" s="23"/>
      <c r="K2511" s="23"/>
      <c r="M2511" s="23"/>
      <c r="N2511" s="23"/>
      <c r="P2511" s="23"/>
    </row>
    <row r="2512" spans="2:16" x14ac:dyDescent="0.25">
      <c r="B2512" s="23"/>
      <c r="E2512" s="23"/>
      <c r="G2512" s="23"/>
      <c r="H2512" s="23"/>
      <c r="J2512" s="23"/>
      <c r="K2512" s="23"/>
      <c r="M2512" s="23"/>
      <c r="N2512" s="23"/>
      <c r="P2512" s="23"/>
    </row>
    <row r="2513" spans="2:16" x14ac:dyDescent="0.25">
      <c r="B2513" s="23"/>
      <c r="E2513" s="23"/>
      <c r="G2513" s="23"/>
      <c r="H2513" s="23"/>
      <c r="J2513" s="23"/>
      <c r="K2513" s="23"/>
      <c r="M2513" s="23"/>
      <c r="N2513" s="23"/>
      <c r="P2513" s="23"/>
    </row>
    <row r="2514" spans="2:16" x14ac:dyDescent="0.25">
      <c r="B2514" s="23"/>
      <c r="E2514" s="23"/>
      <c r="G2514" s="23"/>
      <c r="H2514" s="23"/>
      <c r="J2514" s="23"/>
      <c r="K2514" s="23"/>
      <c r="M2514" s="23"/>
      <c r="N2514" s="23"/>
      <c r="P2514" s="23"/>
    </row>
    <row r="2515" spans="2:16" x14ac:dyDescent="0.25">
      <c r="B2515" s="23"/>
      <c r="E2515" s="23"/>
      <c r="G2515" s="23"/>
      <c r="H2515" s="23"/>
      <c r="J2515" s="23"/>
      <c r="K2515" s="23"/>
      <c r="M2515" s="23"/>
      <c r="N2515" s="23"/>
      <c r="P2515" s="23"/>
    </row>
    <row r="2516" spans="2:16" x14ac:dyDescent="0.25">
      <c r="B2516" s="23"/>
      <c r="E2516" s="23"/>
      <c r="G2516" s="23"/>
      <c r="H2516" s="23"/>
      <c r="J2516" s="23"/>
      <c r="K2516" s="23"/>
      <c r="M2516" s="23"/>
      <c r="N2516" s="23"/>
      <c r="P2516" s="23"/>
    </row>
    <row r="2517" spans="2:16" x14ac:dyDescent="0.25">
      <c r="B2517" s="23"/>
      <c r="E2517" s="23"/>
      <c r="G2517" s="23"/>
      <c r="H2517" s="23"/>
      <c r="J2517" s="23"/>
      <c r="K2517" s="23"/>
      <c r="M2517" s="23"/>
      <c r="N2517" s="23"/>
      <c r="P2517" s="23"/>
    </row>
    <row r="2518" spans="2:16" x14ac:dyDescent="0.25">
      <c r="B2518" s="23"/>
      <c r="E2518" s="23"/>
      <c r="G2518" s="23"/>
      <c r="H2518" s="23"/>
      <c r="J2518" s="23"/>
      <c r="K2518" s="23"/>
      <c r="M2518" s="23"/>
      <c r="N2518" s="23"/>
      <c r="P2518" s="23"/>
    </row>
    <row r="2519" spans="2:16" x14ac:dyDescent="0.25">
      <c r="B2519" s="23"/>
      <c r="E2519" s="23"/>
      <c r="G2519" s="23"/>
      <c r="H2519" s="23"/>
      <c r="J2519" s="23"/>
      <c r="K2519" s="23"/>
      <c r="M2519" s="23"/>
      <c r="N2519" s="23"/>
      <c r="P2519" s="23"/>
    </row>
    <row r="2520" spans="2:16" x14ac:dyDescent="0.25">
      <c r="B2520" s="23"/>
      <c r="E2520" s="23"/>
      <c r="G2520" s="23"/>
      <c r="H2520" s="23"/>
      <c r="J2520" s="23"/>
      <c r="K2520" s="23"/>
      <c r="M2520" s="23"/>
      <c r="N2520" s="23"/>
      <c r="P2520" s="23"/>
    </row>
    <row r="2521" spans="2:16" x14ac:dyDescent="0.25">
      <c r="B2521" s="23"/>
      <c r="E2521" s="23"/>
      <c r="G2521" s="23"/>
      <c r="H2521" s="23"/>
      <c r="J2521" s="23"/>
      <c r="K2521" s="23"/>
      <c r="M2521" s="23"/>
      <c r="N2521" s="23"/>
      <c r="P2521" s="23"/>
    </row>
    <row r="2522" spans="2:16" x14ac:dyDescent="0.25">
      <c r="B2522" s="23"/>
      <c r="E2522" s="23"/>
      <c r="G2522" s="23"/>
      <c r="H2522" s="23"/>
      <c r="J2522" s="23"/>
      <c r="K2522" s="23"/>
      <c r="M2522" s="23"/>
      <c r="N2522" s="23"/>
      <c r="P2522" s="23"/>
    </row>
    <row r="2523" spans="2:16" x14ac:dyDescent="0.25">
      <c r="B2523" s="23"/>
      <c r="E2523" s="23"/>
      <c r="G2523" s="23"/>
      <c r="H2523" s="23"/>
      <c r="J2523" s="23"/>
      <c r="K2523" s="23"/>
      <c r="M2523" s="23"/>
      <c r="N2523" s="23"/>
      <c r="P2523" s="23"/>
    </row>
    <row r="2524" spans="2:16" x14ac:dyDescent="0.25">
      <c r="B2524" s="23"/>
      <c r="E2524" s="23"/>
      <c r="G2524" s="23"/>
      <c r="H2524" s="23"/>
      <c r="J2524" s="23"/>
      <c r="K2524" s="23"/>
      <c r="M2524" s="23"/>
      <c r="N2524" s="23"/>
      <c r="P2524" s="23"/>
    </row>
    <row r="2525" spans="2:16" x14ac:dyDescent="0.25">
      <c r="B2525" s="23"/>
      <c r="E2525" s="23"/>
      <c r="G2525" s="23"/>
      <c r="H2525" s="23"/>
      <c r="J2525" s="23"/>
      <c r="K2525" s="23"/>
      <c r="M2525" s="23"/>
      <c r="N2525" s="23"/>
      <c r="P2525" s="23"/>
    </row>
    <row r="2526" spans="2:16" x14ac:dyDescent="0.25">
      <c r="B2526" s="23"/>
      <c r="E2526" s="23"/>
      <c r="G2526" s="23"/>
      <c r="H2526" s="23"/>
      <c r="J2526" s="23"/>
      <c r="K2526" s="23"/>
      <c r="M2526" s="23"/>
      <c r="N2526" s="23"/>
      <c r="P2526" s="23"/>
    </row>
    <row r="2527" spans="2:16" x14ac:dyDescent="0.25">
      <c r="B2527" s="23"/>
      <c r="E2527" s="23"/>
      <c r="G2527" s="23"/>
      <c r="H2527" s="23"/>
      <c r="J2527" s="23"/>
      <c r="K2527" s="23"/>
      <c r="M2527" s="23"/>
      <c r="N2527" s="23"/>
      <c r="P2527" s="23"/>
    </row>
    <row r="2528" spans="2:16" x14ac:dyDescent="0.25">
      <c r="B2528" s="23"/>
      <c r="E2528" s="23"/>
      <c r="G2528" s="23"/>
      <c r="H2528" s="23"/>
      <c r="J2528" s="23"/>
      <c r="K2528" s="23"/>
      <c r="M2528" s="23"/>
      <c r="N2528" s="23"/>
      <c r="P2528" s="23"/>
    </row>
    <row r="2529" spans="2:16" x14ac:dyDescent="0.25">
      <c r="B2529" s="23"/>
      <c r="E2529" s="23"/>
      <c r="G2529" s="23"/>
      <c r="H2529" s="23"/>
      <c r="J2529" s="23"/>
      <c r="K2529" s="23"/>
      <c r="M2529" s="23"/>
      <c r="N2529" s="23"/>
      <c r="P2529" s="23"/>
    </row>
    <row r="2530" spans="2:16" x14ac:dyDescent="0.25">
      <c r="B2530" s="23"/>
      <c r="E2530" s="23"/>
      <c r="G2530" s="23"/>
      <c r="H2530" s="23"/>
      <c r="J2530" s="23"/>
      <c r="K2530" s="23"/>
      <c r="M2530" s="23"/>
      <c r="N2530" s="23"/>
      <c r="P2530" s="23"/>
    </row>
    <row r="2531" spans="2:16" x14ac:dyDescent="0.25">
      <c r="B2531" s="23"/>
      <c r="E2531" s="23"/>
      <c r="G2531" s="23"/>
      <c r="H2531" s="23"/>
      <c r="J2531" s="23"/>
      <c r="K2531" s="23"/>
      <c r="M2531" s="23"/>
      <c r="N2531" s="23"/>
      <c r="P2531" s="23"/>
    </row>
    <row r="2532" spans="2:16" x14ac:dyDescent="0.25">
      <c r="B2532" s="23"/>
      <c r="E2532" s="23"/>
      <c r="G2532" s="23"/>
      <c r="H2532" s="23"/>
      <c r="J2532" s="23"/>
      <c r="K2532" s="23"/>
      <c r="M2532" s="23"/>
      <c r="N2532" s="23"/>
      <c r="P2532" s="23"/>
    </row>
    <row r="2533" spans="2:16" x14ac:dyDescent="0.25">
      <c r="B2533" s="23"/>
      <c r="E2533" s="23"/>
      <c r="G2533" s="23"/>
      <c r="H2533" s="23"/>
      <c r="J2533" s="23"/>
      <c r="K2533" s="23"/>
      <c r="M2533" s="23"/>
      <c r="N2533" s="23"/>
      <c r="P2533" s="23"/>
    </row>
    <row r="2534" spans="2:16" x14ac:dyDescent="0.25">
      <c r="B2534" s="23"/>
      <c r="E2534" s="23"/>
      <c r="G2534" s="23"/>
      <c r="H2534" s="23"/>
      <c r="J2534" s="23"/>
      <c r="K2534" s="23"/>
      <c r="M2534" s="23"/>
      <c r="N2534" s="23"/>
      <c r="P2534" s="23"/>
    </row>
    <row r="2535" spans="2:16" x14ac:dyDescent="0.25">
      <c r="B2535" s="23"/>
      <c r="E2535" s="23"/>
      <c r="G2535" s="23"/>
      <c r="H2535" s="23"/>
      <c r="J2535" s="23"/>
      <c r="K2535" s="23"/>
      <c r="M2535" s="23"/>
      <c r="N2535" s="23"/>
      <c r="P2535" s="23"/>
    </row>
    <row r="2536" spans="2:16" x14ac:dyDescent="0.25">
      <c r="B2536" s="23"/>
      <c r="E2536" s="23"/>
      <c r="G2536" s="23"/>
      <c r="H2536" s="23"/>
      <c r="J2536" s="23"/>
      <c r="K2536" s="23"/>
      <c r="M2536" s="23"/>
      <c r="N2536" s="23"/>
      <c r="P2536" s="23"/>
    </row>
    <row r="2537" spans="2:16" x14ac:dyDescent="0.25">
      <c r="B2537" s="23"/>
      <c r="E2537" s="23"/>
      <c r="G2537" s="23"/>
      <c r="H2537" s="23"/>
      <c r="J2537" s="23"/>
      <c r="K2537" s="23"/>
      <c r="M2537" s="23"/>
      <c r="N2537" s="23"/>
      <c r="P2537" s="23"/>
    </row>
    <row r="2538" spans="2:16" x14ac:dyDescent="0.25">
      <c r="B2538" s="23"/>
      <c r="E2538" s="23"/>
      <c r="G2538" s="23"/>
      <c r="H2538" s="23"/>
      <c r="J2538" s="23"/>
      <c r="K2538" s="23"/>
      <c r="M2538" s="23"/>
      <c r="N2538" s="23"/>
      <c r="P2538" s="23"/>
    </row>
    <row r="2539" spans="2:16" x14ac:dyDescent="0.25">
      <c r="B2539" s="23"/>
      <c r="E2539" s="23"/>
      <c r="G2539" s="23"/>
      <c r="H2539" s="23"/>
      <c r="J2539" s="23"/>
      <c r="K2539" s="23"/>
      <c r="M2539" s="23"/>
      <c r="N2539" s="23"/>
      <c r="P2539" s="23"/>
    </row>
    <row r="2540" spans="2:16" x14ac:dyDescent="0.25">
      <c r="B2540" s="23"/>
      <c r="E2540" s="23"/>
      <c r="G2540" s="23"/>
      <c r="H2540" s="23"/>
      <c r="J2540" s="23"/>
      <c r="K2540" s="23"/>
      <c r="M2540" s="23"/>
      <c r="N2540" s="23"/>
      <c r="P2540" s="23"/>
    </row>
    <row r="2541" spans="2:16" x14ac:dyDescent="0.25">
      <c r="B2541" s="23"/>
      <c r="E2541" s="23"/>
      <c r="G2541" s="23"/>
      <c r="H2541" s="23"/>
      <c r="J2541" s="23"/>
      <c r="K2541" s="23"/>
      <c r="M2541" s="23"/>
      <c r="N2541" s="23"/>
      <c r="P2541" s="23"/>
    </row>
    <row r="2542" spans="2:16" x14ac:dyDescent="0.25">
      <c r="B2542" s="23"/>
      <c r="E2542" s="23"/>
      <c r="G2542" s="23"/>
      <c r="H2542" s="23"/>
      <c r="J2542" s="23"/>
      <c r="K2542" s="23"/>
      <c r="M2542" s="23"/>
      <c r="N2542" s="23"/>
      <c r="P2542" s="23"/>
    </row>
    <row r="2543" spans="2:16" x14ac:dyDescent="0.25">
      <c r="B2543" s="23"/>
      <c r="E2543" s="23"/>
      <c r="G2543" s="23"/>
      <c r="H2543" s="23"/>
      <c r="J2543" s="23"/>
      <c r="K2543" s="23"/>
      <c r="M2543" s="23"/>
      <c r="N2543" s="23"/>
      <c r="P2543" s="23"/>
    </row>
    <row r="2544" spans="2:16" x14ac:dyDescent="0.25">
      <c r="B2544" s="23"/>
      <c r="E2544" s="23"/>
      <c r="G2544" s="23"/>
      <c r="H2544" s="23"/>
      <c r="J2544" s="23"/>
      <c r="K2544" s="23"/>
      <c r="M2544" s="23"/>
      <c r="N2544" s="23"/>
      <c r="P2544" s="23"/>
    </row>
    <row r="2545" spans="2:16" x14ac:dyDescent="0.25">
      <c r="B2545" s="23"/>
      <c r="E2545" s="23"/>
      <c r="G2545" s="23"/>
      <c r="H2545" s="23"/>
      <c r="J2545" s="23"/>
      <c r="K2545" s="23"/>
      <c r="M2545" s="23"/>
      <c r="N2545" s="23"/>
      <c r="P2545" s="23"/>
    </row>
    <row r="2546" spans="2:16" x14ac:dyDescent="0.25">
      <c r="B2546" s="23"/>
      <c r="E2546" s="23"/>
      <c r="G2546" s="23"/>
      <c r="H2546" s="23"/>
      <c r="J2546" s="23"/>
      <c r="K2546" s="23"/>
      <c r="M2546" s="23"/>
      <c r="N2546" s="23"/>
      <c r="P2546" s="23"/>
    </row>
    <row r="2547" spans="2:16" x14ac:dyDescent="0.25">
      <c r="B2547" s="23"/>
      <c r="E2547" s="23"/>
      <c r="G2547" s="23"/>
      <c r="H2547" s="23"/>
      <c r="J2547" s="23"/>
      <c r="K2547" s="23"/>
      <c r="M2547" s="23"/>
      <c r="N2547" s="23"/>
      <c r="P2547" s="23"/>
    </row>
    <row r="2548" spans="2:16" x14ac:dyDescent="0.25">
      <c r="B2548" s="23"/>
      <c r="E2548" s="23"/>
      <c r="G2548" s="23"/>
      <c r="H2548" s="23"/>
      <c r="J2548" s="23"/>
      <c r="K2548" s="23"/>
      <c r="M2548" s="23"/>
      <c r="N2548" s="23"/>
      <c r="P2548" s="23"/>
    </row>
    <row r="2549" spans="2:16" x14ac:dyDescent="0.25">
      <c r="B2549" s="23"/>
      <c r="E2549" s="23"/>
      <c r="G2549" s="23"/>
      <c r="H2549" s="23"/>
      <c r="J2549" s="23"/>
      <c r="K2549" s="23"/>
      <c r="M2549" s="23"/>
      <c r="N2549" s="23"/>
      <c r="P2549" s="23"/>
    </row>
    <row r="2550" spans="2:16" x14ac:dyDescent="0.25">
      <c r="B2550" s="23"/>
      <c r="E2550" s="23"/>
      <c r="G2550" s="23"/>
      <c r="H2550" s="23"/>
      <c r="J2550" s="23"/>
      <c r="K2550" s="23"/>
      <c r="M2550" s="23"/>
      <c r="N2550" s="23"/>
      <c r="P2550" s="23"/>
    </row>
    <row r="2551" spans="2:16" x14ac:dyDescent="0.25">
      <c r="B2551" s="23"/>
      <c r="E2551" s="23"/>
      <c r="G2551" s="23"/>
      <c r="H2551" s="23"/>
      <c r="J2551" s="23"/>
      <c r="K2551" s="23"/>
      <c r="M2551" s="23"/>
      <c r="N2551" s="23"/>
      <c r="P2551" s="23"/>
    </row>
    <row r="2552" spans="2:16" x14ac:dyDescent="0.25">
      <c r="B2552" s="23"/>
      <c r="E2552" s="23"/>
      <c r="G2552" s="23"/>
      <c r="H2552" s="23"/>
      <c r="J2552" s="23"/>
      <c r="K2552" s="23"/>
      <c r="M2552" s="23"/>
      <c r="N2552" s="23"/>
      <c r="P2552" s="23"/>
    </row>
    <row r="2553" spans="2:16" x14ac:dyDescent="0.25">
      <c r="B2553" s="23"/>
      <c r="E2553" s="23"/>
      <c r="G2553" s="23"/>
      <c r="H2553" s="23"/>
      <c r="J2553" s="23"/>
      <c r="K2553" s="23"/>
      <c r="M2553" s="23"/>
      <c r="N2553" s="23"/>
      <c r="P2553" s="23"/>
    </row>
    <row r="2554" spans="2:16" x14ac:dyDescent="0.25">
      <c r="B2554" s="23"/>
      <c r="E2554" s="23"/>
      <c r="G2554" s="23"/>
      <c r="H2554" s="23"/>
      <c r="J2554" s="23"/>
      <c r="K2554" s="23"/>
      <c r="M2554" s="23"/>
      <c r="N2554" s="23"/>
      <c r="P2554" s="23"/>
    </row>
    <row r="2555" spans="2:16" x14ac:dyDescent="0.25">
      <c r="B2555" s="23"/>
      <c r="E2555" s="23"/>
      <c r="G2555" s="23"/>
      <c r="H2555" s="23"/>
      <c r="J2555" s="23"/>
      <c r="K2555" s="23"/>
      <c r="M2555" s="23"/>
      <c r="N2555" s="23"/>
      <c r="P2555" s="23"/>
    </row>
    <row r="2556" spans="2:16" x14ac:dyDescent="0.25">
      <c r="B2556" s="23"/>
      <c r="E2556" s="23"/>
      <c r="G2556" s="23"/>
      <c r="H2556" s="23"/>
      <c r="J2556" s="23"/>
      <c r="K2556" s="23"/>
      <c r="M2556" s="23"/>
      <c r="N2556" s="23"/>
      <c r="P2556" s="23"/>
    </row>
    <row r="2557" spans="2:16" x14ac:dyDescent="0.25">
      <c r="B2557" s="23"/>
      <c r="E2557" s="23"/>
      <c r="G2557" s="23"/>
      <c r="H2557" s="23"/>
      <c r="J2557" s="23"/>
      <c r="K2557" s="23"/>
      <c r="M2557" s="23"/>
      <c r="N2557" s="23"/>
      <c r="P2557" s="23"/>
    </row>
    <row r="2558" spans="2:16" x14ac:dyDescent="0.25">
      <c r="B2558" s="23"/>
      <c r="E2558" s="23"/>
      <c r="G2558" s="23"/>
      <c r="H2558" s="23"/>
      <c r="J2558" s="23"/>
      <c r="K2558" s="23"/>
      <c r="M2558" s="23"/>
      <c r="N2558" s="23"/>
      <c r="P2558" s="23"/>
    </row>
    <row r="2559" spans="2:16" x14ac:dyDescent="0.25">
      <c r="B2559" s="23"/>
      <c r="E2559" s="23"/>
      <c r="G2559" s="23"/>
      <c r="H2559" s="23"/>
      <c r="J2559" s="23"/>
      <c r="K2559" s="23"/>
      <c r="M2559" s="23"/>
      <c r="N2559" s="23"/>
      <c r="P2559" s="23"/>
    </row>
    <row r="2560" spans="2:16" x14ac:dyDescent="0.25">
      <c r="B2560" s="23"/>
      <c r="E2560" s="23"/>
      <c r="G2560" s="23"/>
      <c r="H2560" s="23"/>
      <c r="J2560" s="23"/>
      <c r="K2560" s="23"/>
      <c r="M2560" s="23"/>
      <c r="N2560" s="23"/>
      <c r="P2560" s="23"/>
    </row>
    <row r="2561" spans="2:16" x14ac:dyDescent="0.25">
      <c r="B2561" s="23"/>
      <c r="E2561" s="23"/>
      <c r="G2561" s="23"/>
      <c r="H2561" s="23"/>
      <c r="J2561" s="23"/>
      <c r="K2561" s="23"/>
      <c r="M2561" s="23"/>
      <c r="N2561" s="23"/>
      <c r="P2561" s="23"/>
    </row>
    <row r="2562" spans="2:16" x14ac:dyDescent="0.25">
      <c r="B2562" s="23"/>
      <c r="E2562" s="23"/>
      <c r="G2562" s="23"/>
      <c r="H2562" s="23"/>
      <c r="J2562" s="23"/>
      <c r="K2562" s="23"/>
      <c r="M2562" s="23"/>
      <c r="N2562" s="23"/>
      <c r="P2562" s="23"/>
    </row>
    <row r="2563" spans="2:16" x14ac:dyDescent="0.25">
      <c r="B2563" s="23"/>
      <c r="E2563" s="23"/>
      <c r="G2563" s="23"/>
      <c r="H2563" s="23"/>
      <c r="J2563" s="23"/>
      <c r="K2563" s="23"/>
      <c r="M2563" s="23"/>
      <c r="N2563" s="23"/>
      <c r="P2563" s="23"/>
    </row>
    <row r="2564" spans="2:16" x14ac:dyDescent="0.25">
      <c r="B2564" s="23"/>
      <c r="E2564" s="23"/>
      <c r="G2564" s="23"/>
      <c r="H2564" s="23"/>
      <c r="J2564" s="23"/>
      <c r="K2564" s="23"/>
      <c r="M2564" s="23"/>
      <c r="N2564" s="23"/>
      <c r="P2564" s="23"/>
    </row>
    <row r="2565" spans="2:16" x14ac:dyDescent="0.25">
      <c r="B2565" s="23"/>
      <c r="E2565" s="23"/>
      <c r="G2565" s="23"/>
      <c r="H2565" s="23"/>
      <c r="J2565" s="23"/>
      <c r="K2565" s="23"/>
      <c r="M2565" s="23"/>
      <c r="N2565" s="23"/>
      <c r="P2565" s="23"/>
    </row>
    <row r="2566" spans="2:16" x14ac:dyDescent="0.25">
      <c r="B2566" s="23"/>
      <c r="E2566" s="23"/>
      <c r="G2566" s="23"/>
      <c r="H2566" s="23"/>
      <c r="J2566" s="23"/>
      <c r="K2566" s="23"/>
      <c r="M2566" s="23"/>
      <c r="N2566" s="23"/>
      <c r="P2566" s="23"/>
    </row>
    <row r="2567" spans="2:16" x14ac:dyDescent="0.25">
      <c r="B2567" s="23"/>
      <c r="E2567" s="23"/>
      <c r="G2567" s="23"/>
      <c r="H2567" s="23"/>
      <c r="J2567" s="23"/>
      <c r="K2567" s="23"/>
      <c r="M2567" s="23"/>
      <c r="N2567" s="23"/>
      <c r="P2567" s="23"/>
    </row>
    <row r="2568" spans="2:16" x14ac:dyDescent="0.25">
      <c r="B2568" s="23"/>
      <c r="E2568" s="23"/>
      <c r="G2568" s="23"/>
      <c r="H2568" s="23"/>
      <c r="J2568" s="23"/>
      <c r="K2568" s="23"/>
      <c r="M2568" s="23"/>
      <c r="N2568" s="23"/>
      <c r="P2568" s="23"/>
    </row>
    <row r="2569" spans="2:16" x14ac:dyDescent="0.25">
      <c r="B2569" s="23"/>
      <c r="E2569" s="23"/>
      <c r="G2569" s="23"/>
      <c r="H2569" s="23"/>
      <c r="J2569" s="23"/>
      <c r="K2569" s="23"/>
      <c r="M2569" s="23"/>
      <c r="N2569" s="23"/>
      <c r="P2569" s="23"/>
    </row>
    <row r="2570" spans="2:16" x14ac:dyDescent="0.25">
      <c r="B2570" s="23"/>
      <c r="E2570" s="23"/>
      <c r="G2570" s="23"/>
      <c r="H2570" s="23"/>
      <c r="J2570" s="23"/>
      <c r="K2570" s="23"/>
      <c r="M2570" s="23"/>
      <c r="N2570" s="23"/>
      <c r="P2570" s="23"/>
    </row>
    <row r="2571" spans="2:16" x14ac:dyDescent="0.25">
      <c r="B2571" s="23"/>
      <c r="E2571" s="23"/>
      <c r="G2571" s="23"/>
      <c r="H2571" s="23"/>
      <c r="J2571" s="23"/>
      <c r="K2571" s="23"/>
      <c r="M2571" s="23"/>
      <c r="N2571" s="23"/>
      <c r="P2571" s="23"/>
    </row>
    <row r="2572" spans="2:16" x14ac:dyDescent="0.25">
      <c r="B2572" s="23"/>
      <c r="E2572" s="23"/>
      <c r="G2572" s="23"/>
      <c r="H2572" s="23"/>
      <c r="J2572" s="23"/>
      <c r="K2572" s="23"/>
      <c r="M2572" s="23"/>
      <c r="N2572" s="23"/>
      <c r="P2572" s="23"/>
    </row>
    <row r="2573" spans="2:16" x14ac:dyDescent="0.25">
      <c r="B2573" s="23"/>
      <c r="E2573" s="23"/>
      <c r="G2573" s="23"/>
      <c r="H2573" s="23"/>
      <c r="J2573" s="23"/>
      <c r="K2573" s="23"/>
      <c r="M2573" s="23"/>
      <c r="N2573" s="23"/>
      <c r="P2573" s="23"/>
    </row>
    <row r="2574" spans="2:16" x14ac:dyDescent="0.25">
      <c r="B2574" s="23"/>
      <c r="E2574" s="23"/>
      <c r="G2574" s="23"/>
      <c r="H2574" s="23"/>
      <c r="J2574" s="23"/>
      <c r="K2574" s="23"/>
      <c r="M2574" s="23"/>
      <c r="N2574" s="23"/>
      <c r="P2574" s="23"/>
    </row>
    <row r="2575" spans="2:16" x14ac:dyDescent="0.25">
      <c r="B2575" s="23"/>
      <c r="E2575" s="23"/>
      <c r="G2575" s="23"/>
      <c r="H2575" s="23"/>
      <c r="J2575" s="23"/>
      <c r="K2575" s="23"/>
      <c r="M2575" s="23"/>
      <c r="N2575" s="23"/>
      <c r="P2575" s="23"/>
    </row>
    <row r="2576" spans="2:16" x14ac:dyDescent="0.25">
      <c r="B2576" s="23"/>
      <c r="E2576" s="23"/>
      <c r="G2576" s="23"/>
      <c r="H2576" s="23"/>
      <c r="J2576" s="23"/>
      <c r="K2576" s="23"/>
      <c r="M2576" s="23"/>
      <c r="N2576" s="23"/>
      <c r="P2576" s="23"/>
    </row>
    <row r="2577" spans="2:16" x14ac:dyDescent="0.25">
      <c r="B2577" s="23"/>
      <c r="E2577" s="23"/>
      <c r="G2577" s="23"/>
      <c r="H2577" s="23"/>
      <c r="J2577" s="23"/>
      <c r="K2577" s="23"/>
      <c r="M2577" s="23"/>
      <c r="N2577" s="23"/>
      <c r="P2577" s="23"/>
    </row>
    <row r="2578" spans="2:16" x14ac:dyDescent="0.25">
      <c r="B2578" s="23"/>
      <c r="E2578" s="23"/>
      <c r="G2578" s="23"/>
      <c r="H2578" s="23"/>
      <c r="J2578" s="23"/>
      <c r="K2578" s="23"/>
      <c r="M2578" s="23"/>
      <c r="N2578" s="23"/>
      <c r="P2578" s="23"/>
    </row>
    <row r="2579" spans="2:16" x14ac:dyDescent="0.25">
      <c r="B2579" s="23"/>
      <c r="E2579" s="23"/>
      <c r="G2579" s="23"/>
      <c r="H2579" s="23"/>
      <c r="J2579" s="23"/>
      <c r="K2579" s="23"/>
      <c r="M2579" s="23"/>
      <c r="N2579" s="23"/>
      <c r="P2579" s="23"/>
    </row>
    <row r="2580" spans="2:16" x14ac:dyDescent="0.25">
      <c r="B2580" s="23"/>
      <c r="E2580" s="23"/>
      <c r="G2580" s="23"/>
      <c r="H2580" s="23"/>
      <c r="J2580" s="23"/>
      <c r="K2580" s="23"/>
      <c r="M2580" s="23"/>
      <c r="N2580" s="23"/>
      <c r="P2580" s="23"/>
    </row>
    <row r="2581" spans="2:16" x14ac:dyDescent="0.25">
      <c r="B2581" s="23"/>
      <c r="E2581" s="23"/>
      <c r="G2581" s="23"/>
      <c r="H2581" s="23"/>
      <c r="J2581" s="23"/>
      <c r="K2581" s="23"/>
      <c r="M2581" s="23"/>
      <c r="N2581" s="23"/>
      <c r="P2581" s="23"/>
    </row>
    <row r="2582" spans="2:16" x14ac:dyDescent="0.25">
      <c r="B2582" s="23"/>
      <c r="E2582" s="23"/>
      <c r="G2582" s="23"/>
      <c r="H2582" s="23"/>
      <c r="J2582" s="23"/>
      <c r="K2582" s="23"/>
      <c r="M2582" s="23"/>
      <c r="N2582" s="23"/>
      <c r="P2582" s="23"/>
    </row>
    <row r="2583" spans="2:16" x14ac:dyDescent="0.25">
      <c r="B2583" s="23"/>
      <c r="E2583" s="23"/>
      <c r="G2583" s="23"/>
      <c r="H2583" s="23"/>
      <c r="J2583" s="23"/>
      <c r="K2583" s="23"/>
      <c r="M2583" s="23"/>
      <c r="N2583" s="23"/>
      <c r="P2583" s="23"/>
    </row>
    <row r="2584" spans="2:16" x14ac:dyDescent="0.25">
      <c r="B2584" s="23"/>
      <c r="E2584" s="23"/>
      <c r="G2584" s="23"/>
      <c r="H2584" s="23"/>
      <c r="J2584" s="23"/>
      <c r="K2584" s="23"/>
      <c r="M2584" s="23"/>
      <c r="N2584" s="23"/>
      <c r="P2584" s="23"/>
    </row>
    <row r="2585" spans="2:16" x14ac:dyDescent="0.25">
      <c r="B2585" s="23"/>
      <c r="E2585" s="23"/>
      <c r="G2585" s="23"/>
      <c r="H2585" s="23"/>
      <c r="J2585" s="23"/>
      <c r="K2585" s="23"/>
      <c r="M2585" s="23"/>
      <c r="N2585" s="23"/>
      <c r="P2585" s="23"/>
    </row>
    <row r="2586" spans="2:16" x14ac:dyDescent="0.25">
      <c r="B2586" s="23"/>
      <c r="E2586" s="23"/>
      <c r="G2586" s="23"/>
      <c r="H2586" s="23"/>
      <c r="J2586" s="23"/>
      <c r="K2586" s="23"/>
      <c r="M2586" s="23"/>
      <c r="N2586" s="23"/>
      <c r="P2586" s="23"/>
    </row>
    <row r="2587" spans="2:16" x14ac:dyDescent="0.25">
      <c r="B2587" s="23"/>
      <c r="E2587" s="23"/>
      <c r="G2587" s="23"/>
      <c r="H2587" s="23"/>
      <c r="J2587" s="23"/>
      <c r="K2587" s="23"/>
      <c r="M2587" s="23"/>
      <c r="N2587" s="23"/>
      <c r="P2587" s="23"/>
    </row>
    <row r="2588" spans="2:16" x14ac:dyDescent="0.25">
      <c r="B2588" s="23"/>
      <c r="E2588" s="23"/>
      <c r="G2588" s="23"/>
      <c r="H2588" s="23"/>
      <c r="J2588" s="23"/>
      <c r="K2588" s="23"/>
      <c r="M2588" s="23"/>
      <c r="N2588" s="23"/>
      <c r="P2588" s="23"/>
    </row>
    <row r="2589" spans="2:16" x14ac:dyDescent="0.25">
      <c r="B2589" s="23"/>
      <c r="E2589" s="23"/>
      <c r="G2589" s="23"/>
      <c r="H2589" s="23"/>
      <c r="J2589" s="23"/>
      <c r="K2589" s="23"/>
      <c r="M2589" s="23"/>
      <c r="N2589" s="23"/>
      <c r="P2589" s="23"/>
    </row>
    <row r="2590" spans="2:16" x14ac:dyDescent="0.25">
      <c r="B2590" s="23"/>
      <c r="E2590" s="23"/>
      <c r="G2590" s="23"/>
      <c r="H2590" s="23"/>
      <c r="J2590" s="23"/>
      <c r="K2590" s="23"/>
      <c r="M2590" s="23"/>
      <c r="N2590" s="23"/>
      <c r="P2590" s="23"/>
    </row>
    <row r="2591" spans="2:16" x14ac:dyDescent="0.25">
      <c r="B2591" s="23"/>
      <c r="E2591" s="23"/>
      <c r="G2591" s="23"/>
      <c r="H2591" s="23"/>
      <c r="J2591" s="23"/>
      <c r="K2591" s="23"/>
      <c r="M2591" s="23"/>
      <c r="N2591" s="23"/>
      <c r="P2591" s="23"/>
    </row>
    <row r="2592" spans="2:16" x14ac:dyDescent="0.25">
      <c r="B2592" s="23"/>
      <c r="E2592" s="23"/>
      <c r="G2592" s="23"/>
      <c r="H2592" s="23"/>
      <c r="J2592" s="23"/>
      <c r="K2592" s="23"/>
      <c r="M2592" s="23"/>
      <c r="N2592" s="23"/>
      <c r="P2592" s="23"/>
    </row>
    <row r="2593" spans="2:16" x14ac:dyDescent="0.25">
      <c r="B2593" s="23"/>
      <c r="E2593" s="23"/>
      <c r="G2593" s="23"/>
      <c r="H2593" s="23"/>
      <c r="J2593" s="23"/>
      <c r="K2593" s="23"/>
      <c r="M2593" s="23"/>
      <c r="N2593" s="23"/>
      <c r="P2593" s="23"/>
    </row>
    <row r="2594" spans="2:16" x14ac:dyDescent="0.25">
      <c r="B2594" s="23"/>
      <c r="E2594" s="23"/>
      <c r="G2594" s="23"/>
      <c r="H2594" s="23"/>
      <c r="J2594" s="23"/>
      <c r="K2594" s="23"/>
      <c r="M2594" s="23"/>
      <c r="N2594" s="23"/>
      <c r="P2594" s="23"/>
    </row>
    <row r="2595" spans="2:16" x14ac:dyDescent="0.25">
      <c r="B2595" s="23"/>
      <c r="E2595" s="23"/>
      <c r="G2595" s="23"/>
      <c r="H2595" s="23"/>
      <c r="J2595" s="23"/>
      <c r="K2595" s="23"/>
      <c r="M2595" s="23"/>
      <c r="N2595" s="23"/>
      <c r="P2595" s="23"/>
    </row>
    <row r="2596" spans="2:16" x14ac:dyDescent="0.25">
      <c r="B2596" s="23"/>
      <c r="E2596" s="23"/>
      <c r="G2596" s="23"/>
      <c r="H2596" s="23"/>
      <c r="J2596" s="23"/>
      <c r="K2596" s="23"/>
      <c r="M2596" s="23"/>
      <c r="N2596" s="23"/>
      <c r="P2596" s="23"/>
    </row>
    <row r="2597" spans="2:16" x14ac:dyDescent="0.25">
      <c r="B2597" s="23"/>
      <c r="E2597" s="23"/>
      <c r="G2597" s="23"/>
      <c r="H2597" s="23"/>
      <c r="J2597" s="23"/>
      <c r="K2597" s="23"/>
      <c r="M2597" s="23"/>
      <c r="N2597" s="23"/>
      <c r="P2597" s="23"/>
    </row>
    <row r="2598" spans="2:16" x14ac:dyDescent="0.25">
      <c r="B2598" s="23"/>
      <c r="E2598" s="23"/>
      <c r="G2598" s="23"/>
      <c r="H2598" s="23"/>
      <c r="J2598" s="23"/>
      <c r="K2598" s="23"/>
      <c r="M2598" s="23"/>
      <c r="N2598" s="23"/>
      <c r="P2598" s="23"/>
    </row>
    <row r="2599" spans="2:16" x14ac:dyDescent="0.25">
      <c r="B2599" s="23"/>
      <c r="E2599" s="23"/>
      <c r="G2599" s="23"/>
      <c r="H2599" s="23"/>
      <c r="J2599" s="23"/>
      <c r="K2599" s="23"/>
      <c r="M2599" s="23"/>
      <c r="N2599" s="23"/>
      <c r="P2599" s="23"/>
    </row>
    <row r="2600" spans="2:16" x14ac:dyDescent="0.25">
      <c r="B2600" s="23"/>
      <c r="E2600" s="23"/>
      <c r="G2600" s="23"/>
      <c r="H2600" s="23"/>
      <c r="J2600" s="23"/>
      <c r="K2600" s="23"/>
      <c r="M2600" s="23"/>
      <c r="N2600" s="23"/>
      <c r="P2600" s="23"/>
    </row>
    <row r="2601" spans="2:16" x14ac:dyDescent="0.25">
      <c r="B2601" s="23"/>
      <c r="E2601" s="23"/>
      <c r="G2601" s="23"/>
      <c r="H2601" s="23"/>
      <c r="J2601" s="23"/>
      <c r="K2601" s="23"/>
      <c r="M2601" s="23"/>
      <c r="N2601" s="23"/>
      <c r="P2601" s="23"/>
    </row>
    <row r="2602" spans="2:16" x14ac:dyDescent="0.25">
      <c r="B2602" s="23"/>
      <c r="E2602" s="23"/>
      <c r="G2602" s="23"/>
      <c r="H2602" s="23"/>
      <c r="J2602" s="23"/>
      <c r="K2602" s="23"/>
      <c r="M2602" s="23"/>
      <c r="N2602" s="23"/>
      <c r="P2602" s="23"/>
    </row>
    <row r="2603" spans="2:16" x14ac:dyDescent="0.25">
      <c r="B2603" s="23"/>
      <c r="E2603" s="23"/>
      <c r="G2603" s="23"/>
      <c r="H2603" s="23"/>
      <c r="J2603" s="23"/>
      <c r="K2603" s="23"/>
      <c r="M2603" s="23"/>
      <c r="N2603" s="23"/>
      <c r="P2603" s="23"/>
    </row>
    <row r="2604" spans="2:16" x14ac:dyDescent="0.25">
      <c r="B2604" s="23"/>
      <c r="E2604" s="23"/>
      <c r="G2604" s="23"/>
      <c r="H2604" s="23"/>
      <c r="J2604" s="23"/>
      <c r="K2604" s="23"/>
      <c r="M2604" s="23"/>
      <c r="N2604" s="23"/>
      <c r="P2604" s="23"/>
    </row>
    <row r="2605" spans="2:16" x14ac:dyDescent="0.25">
      <c r="B2605" s="23"/>
      <c r="E2605" s="23"/>
      <c r="G2605" s="23"/>
      <c r="H2605" s="23"/>
      <c r="J2605" s="23"/>
      <c r="K2605" s="23"/>
      <c r="M2605" s="23"/>
      <c r="N2605" s="23"/>
      <c r="P2605" s="23"/>
    </row>
    <row r="2606" spans="2:16" x14ac:dyDescent="0.25">
      <c r="B2606" s="23"/>
      <c r="E2606" s="23"/>
      <c r="G2606" s="23"/>
      <c r="H2606" s="23"/>
      <c r="J2606" s="23"/>
      <c r="K2606" s="23"/>
      <c r="M2606" s="23"/>
      <c r="N2606" s="23"/>
      <c r="P2606" s="23"/>
    </row>
    <row r="2607" spans="2:16" x14ac:dyDescent="0.25">
      <c r="B2607" s="23"/>
      <c r="E2607" s="23"/>
      <c r="G2607" s="23"/>
      <c r="H2607" s="23"/>
      <c r="J2607" s="23"/>
      <c r="K2607" s="23"/>
      <c r="M2607" s="23"/>
      <c r="N2607" s="23"/>
      <c r="P2607" s="23"/>
    </row>
    <row r="2608" spans="2:16" x14ac:dyDescent="0.25">
      <c r="B2608" s="23"/>
      <c r="E2608" s="23"/>
      <c r="G2608" s="23"/>
      <c r="H2608" s="23"/>
      <c r="J2608" s="23"/>
      <c r="K2608" s="23"/>
      <c r="M2608" s="23"/>
      <c r="N2608" s="23"/>
      <c r="P2608" s="23"/>
    </row>
    <row r="2609" spans="2:16" x14ac:dyDescent="0.25">
      <c r="B2609" s="23"/>
      <c r="E2609" s="23"/>
      <c r="G2609" s="23"/>
      <c r="H2609" s="23"/>
      <c r="J2609" s="23"/>
      <c r="K2609" s="23"/>
      <c r="M2609" s="23"/>
      <c r="N2609" s="23"/>
      <c r="P2609" s="23"/>
    </row>
    <row r="2610" spans="2:16" x14ac:dyDescent="0.25">
      <c r="B2610" s="23"/>
      <c r="E2610" s="23"/>
      <c r="G2610" s="23"/>
      <c r="H2610" s="23"/>
      <c r="J2610" s="23"/>
      <c r="K2610" s="23"/>
      <c r="M2610" s="23"/>
      <c r="N2610" s="23"/>
      <c r="P2610" s="23"/>
    </row>
    <row r="2611" spans="2:16" x14ac:dyDescent="0.25">
      <c r="B2611" s="23"/>
      <c r="E2611" s="23"/>
      <c r="G2611" s="23"/>
      <c r="H2611" s="23"/>
      <c r="J2611" s="23"/>
      <c r="K2611" s="23"/>
      <c r="M2611" s="23"/>
      <c r="N2611" s="23"/>
      <c r="P2611" s="23"/>
    </row>
    <row r="2612" spans="2:16" x14ac:dyDescent="0.25">
      <c r="B2612" s="23"/>
      <c r="E2612" s="23"/>
      <c r="G2612" s="23"/>
      <c r="H2612" s="23"/>
      <c r="J2612" s="23"/>
      <c r="K2612" s="23"/>
      <c r="M2612" s="23"/>
      <c r="N2612" s="23"/>
      <c r="P2612" s="23"/>
    </row>
    <row r="2613" spans="2:16" x14ac:dyDescent="0.25">
      <c r="B2613" s="23"/>
      <c r="E2613" s="23"/>
      <c r="G2613" s="23"/>
      <c r="H2613" s="23"/>
      <c r="J2613" s="23"/>
      <c r="K2613" s="23"/>
      <c r="M2613" s="23"/>
      <c r="N2613" s="23"/>
      <c r="P2613" s="23"/>
    </row>
    <row r="2614" spans="2:16" x14ac:dyDescent="0.25">
      <c r="B2614" s="23"/>
      <c r="E2614" s="23"/>
      <c r="G2614" s="23"/>
      <c r="H2614" s="23"/>
      <c r="J2614" s="23"/>
      <c r="K2614" s="23"/>
      <c r="M2614" s="23"/>
      <c r="N2614" s="23"/>
      <c r="P2614" s="23"/>
    </row>
    <row r="2615" spans="2:16" x14ac:dyDescent="0.25">
      <c r="B2615" s="23"/>
      <c r="E2615" s="23"/>
      <c r="G2615" s="23"/>
      <c r="H2615" s="23"/>
      <c r="J2615" s="23"/>
      <c r="K2615" s="23"/>
      <c r="M2615" s="23"/>
      <c r="N2615" s="23"/>
      <c r="P2615" s="23"/>
    </row>
    <row r="2616" spans="2:16" x14ac:dyDescent="0.25">
      <c r="B2616" s="23"/>
      <c r="E2616" s="23"/>
      <c r="G2616" s="23"/>
      <c r="H2616" s="23"/>
      <c r="J2616" s="23"/>
      <c r="K2616" s="23"/>
      <c r="M2616" s="23"/>
      <c r="N2616" s="23"/>
      <c r="P2616" s="23"/>
    </row>
    <row r="2617" spans="2:16" x14ac:dyDescent="0.25">
      <c r="B2617" s="23"/>
      <c r="E2617" s="23"/>
      <c r="G2617" s="23"/>
      <c r="H2617" s="23"/>
      <c r="J2617" s="23"/>
      <c r="K2617" s="23"/>
      <c r="M2617" s="23"/>
      <c r="N2617" s="23"/>
      <c r="P2617" s="23"/>
    </row>
    <row r="2618" spans="2:16" x14ac:dyDescent="0.25">
      <c r="B2618" s="23"/>
      <c r="E2618" s="23"/>
      <c r="G2618" s="23"/>
      <c r="H2618" s="23"/>
      <c r="J2618" s="23"/>
      <c r="K2618" s="23"/>
      <c r="M2618" s="23"/>
      <c r="N2618" s="23"/>
      <c r="P2618" s="23"/>
    </row>
    <row r="2619" spans="2:16" x14ac:dyDescent="0.25">
      <c r="B2619" s="23"/>
      <c r="E2619" s="23"/>
      <c r="G2619" s="23"/>
      <c r="H2619" s="23"/>
      <c r="J2619" s="23"/>
      <c r="K2619" s="23"/>
      <c r="M2619" s="23"/>
      <c r="N2619" s="23"/>
      <c r="P2619" s="23"/>
    </row>
    <row r="2620" spans="2:16" x14ac:dyDescent="0.25">
      <c r="B2620" s="23"/>
      <c r="E2620" s="23"/>
      <c r="G2620" s="23"/>
      <c r="H2620" s="23"/>
      <c r="J2620" s="23"/>
      <c r="K2620" s="23"/>
      <c r="M2620" s="23"/>
      <c r="N2620" s="23"/>
      <c r="P2620" s="23"/>
    </row>
    <row r="2621" spans="2:16" x14ac:dyDescent="0.25">
      <c r="B2621" s="23"/>
      <c r="E2621" s="23"/>
      <c r="G2621" s="23"/>
      <c r="H2621" s="23"/>
      <c r="J2621" s="23"/>
      <c r="K2621" s="23"/>
      <c r="M2621" s="23"/>
      <c r="N2621" s="23"/>
      <c r="P2621" s="23"/>
    </row>
    <row r="2622" spans="2:16" x14ac:dyDescent="0.25">
      <c r="B2622" s="23"/>
      <c r="E2622" s="23"/>
      <c r="G2622" s="23"/>
      <c r="H2622" s="23"/>
      <c r="J2622" s="23"/>
      <c r="K2622" s="23"/>
      <c r="M2622" s="23"/>
      <c r="N2622" s="23"/>
      <c r="P2622" s="23"/>
    </row>
    <row r="2623" spans="2:16" x14ac:dyDescent="0.25">
      <c r="B2623" s="23"/>
      <c r="E2623" s="23"/>
      <c r="G2623" s="23"/>
      <c r="H2623" s="23"/>
      <c r="J2623" s="23"/>
      <c r="K2623" s="23"/>
      <c r="M2623" s="23"/>
      <c r="N2623" s="23"/>
      <c r="P2623" s="23"/>
    </row>
    <row r="2624" spans="2:16" x14ac:dyDescent="0.25">
      <c r="B2624" s="23"/>
      <c r="E2624" s="23"/>
      <c r="G2624" s="23"/>
      <c r="H2624" s="23"/>
      <c r="J2624" s="23"/>
      <c r="K2624" s="23"/>
      <c r="M2624" s="23"/>
      <c r="N2624" s="23"/>
      <c r="P2624" s="23"/>
    </row>
    <row r="2625" spans="2:16" x14ac:dyDescent="0.25">
      <c r="B2625" s="23"/>
      <c r="E2625" s="23"/>
      <c r="G2625" s="23"/>
      <c r="H2625" s="23"/>
      <c r="J2625" s="23"/>
      <c r="K2625" s="23"/>
      <c r="M2625" s="23"/>
      <c r="N2625" s="23"/>
      <c r="P2625" s="23"/>
    </row>
    <row r="2626" spans="2:16" x14ac:dyDescent="0.25">
      <c r="B2626" s="23"/>
      <c r="E2626" s="23"/>
      <c r="G2626" s="23"/>
      <c r="H2626" s="23"/>
      <c r="J2626" s="23"/>
      <c r="K2626" s="23"/>
      <c r="M2626" s="23"/>
      <c r="N2626" s="23"/>
      <c r="P2626" s="23"/>
    </row>
    <row r="2627" spans="2:16" x14ac:dyDescent="0.25">
      <c r="B2627" s="23"/>
      <c r="E2627" s="23"/>
      <c r="G2627" s="23"/>
      <c r="H2627" s="23"/>
      <c r="J2627" s="23"/>
      <c r="K2627" s="23"/>
      <c r="M2627" s="23"/>
      <c r="N2627" s="23"/>
      <c r="P2627" s="23"/>
    </row>
    <row r="2628" spans="2:16" x14ac:dyDescent="0.25">
      <c r="B2628" s="23"/>
      <c r="E2628" s="23"/>
      <c r="G2628" s="23"/>
      <c r="H2628" s="23"/>
      <c r="J2628" s="23"/>
      <c r="K2628" s="23"/>
      <c r="M2628" s="23"/>
      <c r="N2628" s="23"/>
      <c r="P2628" s="23"/>
    </row>
    <row r="2629" spans="2:16" x14ac:dyDescent="0.25">
      <c r="B2629" s="23"/>
      <c r="E2629" s="23"/>
      <c r="G2629" s="23"/>
      <c r="H2629" s="23"/>
      <c r="J2629" s="23"/>
      <c r="K2629" s="23"/>
      <c r="M2629" s="23"/>
      <c r="N2629" s="23"/>
      <c r="P2629" s="23"/>
    </row>
    <row r="2630" spans="2:16" x14ac:dyDescent="0.25">
      <c r="B2630" s="23"/>
      <c r="E2630" s="23"/>
      <c r="G2630" s="23"/>
      <c r="H2630" s="23"/>
      <c r="J2630" s="23"/>
      <c r="K2630" s="23"/>
      <c r="M2630" s="23"/>
      <c r="N2630" s="23"/>
      <c r="P2630" s="23"/>
    </row>
    <row r="2631" spans="2:16" x14ac:dyDescent="0.25">
      <c r="B2631" s="23"/>
      <c r="E2631" s="23"/>
      <c r="G2631" s="23"/>
      <c r="H2631" s="23"/>
      <c r="J2631" s="23"/>
      <c r="K2631" s="23"/>
      <c r="M2631" s="23"/>
      <c r="N2631" s="23"/>
      <c r="P2631" s="23"/>
    </row>
    <row r="2632" spans="2:16" x14ac:dyDescent="0.25">
      <c r="B2632" s="23"/>
      <c r="E2632" s="23"/>
      <c r="G2632" s="23"/>
      <c r="H2632" s="23"/>
      <c r="J2632" s="23"/>
      <c r="K2632" s="23"/>
      <c r="M2632" s="23"/>
      <c r="N2632" s="23"/>
      <c r="P2632" s="23"/>
    </row>
    <row r="2633" spans="2:16" x14ac:dyDescent="0.25">
      <c r="B2633" s="23"/>
      <c r="E2633" s="23"/>
      <c r="G2633" s="23"/>
      <c r="H2633" s="23"/>
      <c r="J2633" s="23"/>
      <c r="K2633" s="23"/>
      <c r="M2633" s="23"/>
      <c r="N2633" s="23"/>
      <c r="P2633" s="23"/>
    </row>
    <row r="2634" spans="2:16" x14ac:dyDescent="0.25">
      <c r="B2634" s="23"/>
      <c r="E2634" s="23"/>
      <c r="G2634" s="23"/>
      <c r="H2634" s="23"/>
      <c r="J2634" s="23"/>
      <c r="K2634" s="23"/>
      <c r="M2634" s="23"/>
      <c r="N2634" s="23"/>
      <c r="P2634" s="23"/>
    </row>
    <row r="2635" spans="2:16" x14ac:dyDescent="0.25">
      <c r="B2635" s="23"/>
      <c r="E2635" s="23"/>
      <c r="G2635" s="23"/>
      <c r="H2635" s="23"/>
      <c r="J2635" s="23"/>
      <c r="K2635" s="23"/>
      <c r="M2635" s="23"/>
      <c r="N2635" s="23"/>
      <c r="P2635" s="23"/>
    </row>
    <row r="2636" spans="2:16" x14ac:dyDescent="0.25">
      <c r="B2636" s="23"/>
      <c r="E2636" s="23"/>
      <c r="G2636" s="23"/>
      <c r="H2636" s="23"/>
      <c r="J2636" s="23"/>
      <c r="K2636" s="23"/>
      <c r="M2636" s="23"/>
      <c r="N2636" s="23"/>
      <c r="P2636" s="23"/>
    </row>
    <row r="2637" spans="2:16" x14ac:dyDescent="0.25">
      <c r="B2637" s="23"/>
      <c r="E2637" s="23"/>
      <c r="G2637" s="23"/>
      <c r="H2637" s="23"/>
      <c r="J2637" s="23"/>
      <c r="K2637" s="23"/>
      <c r="M2637" s="23"/>
      <c r="N2637" s="23"/>
      <c r="P2637" s="23"/>
    </row>
    <row r="2638" spans="2:16" x14ac:dyDescent="0.25">
      <c r="B2638" s="23"/>
      <c r="E2638" s="23"/>
      <c r="G2638" s="23"/>
      <c r="H2638" s="23"/>
      <c r="J2638" s="23"/>
      <c r="K2638" s="23"/>
      <c r="M2638" s="23"/>
      <c r="N2638" s="23"/>
      <c r="P2638" s="23"/>
    </row>
    <row r="2639" spans="2:16" x14ac:dyDescent="0.25">
      <c r="B2639" s="23"/>
      <c r="E2639" s="23"/>
      <c r="G2639" s="23"/>
      <c r="H2639" s="23"/>
      <c r="J2639" s="23"/>
      <c r="K2639" s="23"/>
      <c r="M2639" s="23"/>
      <c r="N2639" s="23"/>
      <c r="P2639" s="23"/>
    </row>
    <row r="2640" spans="2:16" x14ac:dyDescent="0.25">
      <c r="B2640" s="23"/>
      <c r="E2640" s="23"/>
      <c r="G2640" s="23"/>
      <c r="H2640" s="23"/>
      <c r="J2640" s="23"/>
      <c r="K2640" s="23"/>
      <c r="M2640" s="23"/>
      <c r="N2640" s="23"/>
      <c r="P2640" s="23"/>
    </row>
    <row r="2641" spans="2:16" x14ac:dyDescent="0.25">
      <c r="B2641" s="23"/>
      <c r="E2641" s="23"/>
      <c r="G2641" s="23"/>
      <c r="H2641" s="23"/>
      <c r="J2641" s="23"/>
      <c r="K2641" s="23"/>
      <c r="M2641" s="23"/>
      <c r="N2641" s="23"/>
      <c r="P2641" s="23"/>
    </row>
    <row r="2642" spans="2:16" x14ac:dyDescent="0.25">
      <c r="B2642" s="23"/>
      <c r="E2642" s="23"/>
      <c r="G2642" s="23"/>
      <c r="H2642" s="23"/>
      <c r="J2642" s="23"/>
      <c r="K2642" s="23"/>
      <c r="M2642" s="23"/>
      <c r="N2642" s="23"/>
      <c r="P2642" s="23"/>
    </row>
    <row r="2643" spans="2:16" x14ac:dyDescent="0.25">
      <c r="B2643" s="23"/>
      <c r="E2643" s="23"/>
      <c r="G2643" s="23"/>
      <c r="H2643" s="23"/>
      <c r="J2643" s="23"/>
      <c r="K2643" s="23"/>
      <c r="M2643" s="23"/>
      <c r="N2643" s="23"/>
      <c r="P2643" s="23"/>
    </row>
    <row r="2644" spans="2:16" x14ac:dyDescent="0.25">
      <c r="B2644" s="23"/>
      <c r="E2644" s="23"/>
      <c r="G2644" s="23"/>
      <c r="H2644" s="23"/>
      <c r="J2644" s="23"/>
      <c r="K2644" s="23"/>
      <c r="M2644" s="23"/>
      <c r="N2644" s="23"/>
      <c r="P2644" s="23"/>
    </row>
    <row r="2645" spans="2:16" x14ac:dyDescent="0.25">
      <c r="B2645" s="23"/>
      <c r="E2645" s="23"/>
      <c r="G2645" s="23"/>
      <c r="H2645" s="23"/>
      <c r="J2645" s="23"/>
      <c r="K2645" s="23"/>
      <c r="M2645" s="23"/>
      <c r="N2645" s="23"/>
      <c r="P2645" s="23"/>
    </row>
    <row r="2646" spans="2:16" x14ac:dyDescent="0.25">
      <c r="B2646" s="23"/>
      <c r="E2646" s="23"/>
      <c r="G2646" s="23"/>
      <c r="H2646" s="23"/>
      <c r="J2646" s="23"/>
      <c r="K2646" s="23"/>
      <c r="M2646" s="23"/>
      <c r="N2646" s="23"/>
      <c r="P2646" s="23"/>
    </row>
    <row r="2647" spans="2:16" x14ac:dyDescent="0.25">
      <c r="B2647" s="23"/>
      <c r="E2647" s="23"/>
      <c r="G2647" s="23"/>
      <c r="H2647" s="23"/>
      <c r="J2647" s="23"/>
      <c r="K2647" s="23"/>
      <c r="M2647" s="23"/>
      <c r="N2647" s="23"/>
      <c r="P2647" s="23"/>
    </row>
    <row r="2648" spans="2:16" x14ac:dyDescent="0.25">
      <c r="B2648" s="23"/>
      <c r="E2648" s="23"/>
      <c r="G2648" s="23"/>
      <c r="H2648" s="23"/>
      <c r="J2648" s="23"/>
      <c r="K2648" s="23"/>
      <c r="M2648" s="23"/>
      <c r="N2648" s="23"/>
      <c r="P2648" s="23"/>
    </row>
    <row r="2649" spans="2:16" x14ac:dyDescent="0.25">
      <c r="B2649" s="23"/>
      <c r="E2649" s="23"/>
      <c r="G2649" s="23"/>
      <c r="H2649" s="23"/>
      <c r="J2649" s="23"/>
      <c r="K2649" s="23"/>
      <c r="M2649" s="23"/>
      <c r="N2649" s="23"/>
      <c r="P2649" s="23"/>
    </row>
    <row r="2650" spans="2:16" x14ac:dyDescent="0.25">
      <c r="B2650" s="23"/>
      <c r="E2650" s="23"/>
      <c r="G2650" s="23"/>
      <c r="H2650" s="23"/>
      <c r="J2650" s="23"/>
      <c r="K2650" s="23"/>
      <c r="M2650" s="23"/>
      <c r="N2650" s="23"/>
      <c r="P2650" s="23"/>
    </row>
    <row r="2651" spans="2:16" x14ac:dyDescent="0.25">
      <c r="B2651" s="23"/>
      <c r="E2651" s="23"/>
      <c r="G2651" s="23"/>
      <c r="H2651" s="23"/>
      <c r="J2651" s="23"/>
      <c r="K2651" s="23"/>
      <c r="M2651" s="23"/>
      <c r="N2651" s="23"/>
      <c r="P2651" s="23"/>
    </row>
    <row r="2652" spans="2:16" x14ac:dyDescent="0.25">
      <c r="B2652" s="23"/>
      <c r="E2652" s="23"/>
      <c r="G2652" s="23"/>
      <c r="H2652" s="23"/>
      <c r="J2652" s="23"/>
      <c r="K2652" s="23"/>
      <c r="M2652" s="23"/>
      <c r="N2652" s="23"/>
      <c r="P2652" s="23"/>
    </row>
    <row r="2653" spans="2:16" x14ac:dyDescent="0.25">
      <c r="B2653" s="23"/>
      <c r="E2653" s="23"/>
      <c r="G2653" s="23"/>
      <c r="H2653" s="23"/>
      <c r="J2653" s="23"/>
      <c r="K2653" s="23"/>
      <c r="M2653" s="23"/>
      <c r="N2653" s="23"/>
      <c r="P2653" s="23"/>
    </row>
    <row r="2654" spans="2:16" x14ac:dyDescent="0.25">
      <c r="B2654" s="23"/>
      <c r="E2654" s="23"/>
      <c r="G2654" s="23"/>
      <c r="H2654" s="23"/>
      <c r="J2654" s="23"/>
      <c r="K2654" s="23"/>
      <c r="M2654" s="23"/>
      <c r="N2654" s="23"/>
      <c r="P2654" s="23"/>
    </row>
    <row r="2655" spans="2:16" x14ac:dyDescent="0.25">
      <c r="B2655" s="23"/>
      <c r="E2655" s="23"/>
      <c r="G2655" s="23"/>
      <c r="H2655" s="23"/>
      <c r="J2655" s="23"/>
      <c r="K2655" s="23"/>
      <c r="M2655" s="23"/>
      <c r="N2655" s="23"/>
      <c r="P2655" s="23"/>
    </row>
    <row r="2656" spans="2:16" x14ac:dyDescent="0.25">
      <c r="B2656" s="23"/>
      <c r="E2656" s="23"/>
      <c r="G2656" s="23"/>
      <c r="H2656" s="23"/>
      <c r="J2656" s="23"/>
      <c r="K2656" s="23"/>
      <c r="M2656" s="23"/>
      <c r="N2656" s="23"/>
      <c r="P2656" s="23"/>
    </row>
    <row r="2657" spans="2:16" x14ac:dyDescent="0.25">
      <c r="B2657" s="23"/>
      <c r="E2657" s="23"/>
      <c r="G2657" s="23"/>
      <c r="H2657" s="23"/>
      <c r="J2657" s="23"/>
      <c r="K2657" s="23"/>
      <c r="M2657" s="23"/>
      <c r="N2657" s="23"/>
      <c r="P2657" s="23"/>
    </row>
    <row r="2658" spans="2:16" x14ac:dyDescent="0.25">
      <c r="B2658" s="23"/>
      <c r="E2658" s="23"/>
      <c r="G2658" s="23"/>
      <c r="H2658" s="23"/>
      <c r="J2658" s="23"/>
      <c r="K2658" s="23"/>
      <c r="M2658" s="23"/>
      <c r="N2658" s="23"/>
      <c r="P2658" s="23"/>
    </row>
    <row r="2659" spans="2:16" x14ac:dyDescent="0.25">
      <c r="B2659" s="23"/>
      <c r="E2659" s="23"/>
      <c r="G2659" s="23"/>
      <c r="H2659" s="23"/>
      <c r="J2659" s="23"/>
      <c r="K2659" s="23"/>
      <c r="M2659" s="23"/>
      <c r="N2659" s="23"/>
      <c r="P2659" s="23"/>
    </row>
    <row r="2660" spans="2:16" x14ac:dyDescent="0.25">
      <c r="B2660" s="23"/>
      <c r="E2660" s="23"/>
      <c r="G2660" s="23"/>
      <c r="H2660" s="23"/>
      <c r="J2660" s="23"/>
      <c r="K2660" s="23"/>
      <c r="M2660" s="23"/>
      <c r="N2660" s="23"/>
      <c r="P2660" s="23"/>
    </row>
    <row r="2661" spans="2:16" x14ac:dyDescent="0.25">
      <c r="B2661" s="23"/>
      <c r="E2661" s="23"/>
      <c r="G2661" s="23"/>
      <c r="H2661" s="23"/>
      <c r="J2661" s="23"/>
      <c r="K2661" s="23"/>
      <c r="M2661" s="23"/>
      <c r="N2661" s="23"/>
      <c r="P2661" s="23"/>
    </row>
    <row r="2662" spans="2:16" x14ac:dyDescent="0.25">
      <c r="B2662" s="23"/>
      <c r="E2662" s="23"/>
      <c r="G2662" s="23"/>
      <c r="H2662" s="23"/>
      <c r="J2662" s="23"/>
      <c r="K2662" s="23"/>
      <c r="M2662" s="23"/>
      <c r="N2662" s="23"/>
      <c r="P2662" s="23"/>
    </row>
    <row r="2663" spans="2:16" x14ac:dyDescent="0.25">
      <c r="B2663" s="23"/>
      <c r="E2663" s="23"/>
      <c r="G2663" s="23"/>
      <c r="H2663" s="23"/>
      <c r="J2663" s="23"/>
      <c r="K2663" s="23"/>
      <c r="M2663" s="23"/>
      <c r="N2663" s="23"/>
      <c r="P2663" s="23"/>
    </row>
    <row r="2664" spans="2:16" x14ac:dyDescent="0.25">
      <c r="B2664" s="23"/>
      <c r="E2664" s="23"/>
      <c r="G2664" s="23"/>
      <c r="H2664" s="23"/>
      <c r="J2664" s="23"/>
      <c r="K2664" s="23"/>
      <c r="M2664" s="23"/>
      <c r="N2664" s="23"/>
      <c r="P2664" s="23"/>
    </row>
    <row r="2665" spans="2:16" x14ac:dyDescent="0.25">
      <c r="B2665" s="23"/>
      <c r="E2665" s="23"/>
      <c r="G2665" s="23"/>
      <c r="H2665" s="23"/>
      <c r="J2665" s="23"/>
      <c r="K2665" s="23"/>
      <c r="M2665" s="23"/>
      <c r="N2665" s="23"/>
      <c r="P2665" s="23"/>
    </row>
    <row r="2666" spans="2:16" x14ac:dyDescent="0.25">
      <c r="B2666" s="23"/>
      <c r="E2666" s="23"/>
      <c r="G2666" s="23"/>
      <c r="H2666" s="23"/>
      <c r="J2666" s="23"/>
      <c r="K2666" s="23"/>
      <c r="M2666" s="23"/>
      <c r="N2666" s="23"/>
      <c r="P2666" s="23"/>
    </row>
    <row r="2667" spans="2:16" x14ac:dyDescent="0.25">
      <c r="B2667" s="23"/>
      <c r="E2667" s="23"/>
      <c r="G2667" s="23"/>
      <c r="H2667" s="23"/>
      <c r="J2667" s="23"/>
      <c r="K2667" s="23"/>
      <c r="M2667" s="23"/>
      <c r="N2667" s="23"/>
      <c r="P2667" s="23"/>
    </row>
    <row r="2668" spans="2:16" x14ac:dyDescent="0.25">
      <c r="B2668" s="23"/>
      <c r="E2668" s="23"/>
      <c r="G2668" s="23"/>
      <c r="H2668" s="23"/>
      <c r="J2668" s="23"/>
      <c r="K2668" s="23"/>
      <c r="M2668" s="23"/>
      <c r="N2668" s="23"/>
      <c r="P2668" s="23"/>
    </row>
    <row r="2669" spans="2:16" x14ac:dyDescent="0.25">
      <c r="B2669" s="23"/>
      <c r="E2669" s="23"/>
      <c r="G2669" s="23"/>
      <c r="H2669" s="23"/>
      <c r="J2669" s="23"/>
      <c r="K2669" s="23"/>
      <c r="M2669" s="23"/>
      <c r="N2669" s="23"/>
      <c r="P2669" s="23"/>
    </row>
    <row r="2670" spans="2:16" x14ac:dyDescent="0.25">
      <c r="B2670" s="23"/>
      <c r="E2670" s="23"/>
      <c r="G2670" s="23"/>
      <c r="H2670" s="23"/>
      <c r="J2670" s="23"/>
      <c r="K2670" s="23"/>
      <c r="M2670" s="23"/>
      <c r="N2670" s="23"/>
      <c r="P2670" s="23"/>
    </row>
    <row r="2671" spans="2:16" x14ac:dyDescent="0.25">
      <c r="B2671" s="23"/>
      <c r="E2671" s="23"/>
      <c r="G2671" s="23"/>
      <c r="H2671" s="23"/>
      <c r="J2671" s="23"/>
      <c r="K2671" s="23"/>
      <c r="M2671" s="23"/>
      <c r="N2671" s="23"/>
      <c r="P2671" s="23"/>
    </row>
    <row r="2672" spans="2:16" x14ac:dyDescent="0.25">
      <c r="B2672" s="23"/>
      <c r="E2672" s="23"/>
      <c r="G2672" s="23"/>
      <c r="H2672" s="23"/>
      <c r="J2672" s="23"/>
      <c r="K2672" s="23"/>
      <c r="M2672" s="23"/>
      <c r="N2672" s="23"/>
      <c r="P2672" s="23"/>
    </row>
    <row r="2673" spans="2:16" x14ac:dyDescent="0.25">
      <c r="B2673" s="23"/>
      <c r="E2673" s="23"/>
      <c r="G2673" s="23"/>
      <c r="H2673" s="23"/>
      <c r="J2673" s="23"/>
      <c r="K2673" s="23"/>
      <c r="M2673" s="23"/>
      <c r="N2673" s="23"/>
      <c r="P2673" s="23"/>
    </row>
    <row r="2674" spans="2:16" x14ac:dyDescent="0.25">
      <c r="B2674" s="23"/>
      <c r="E2674" s="23"/>
      <c r="G2674" s="23"/>
      <c r="H2674" s="23"/>
      <c r="J2674" s="23"/>
      <c r="K2674" s="23"/>
      <c r="M2674" s="23"/>
      <c r="N2674" s="23"/>
      <c r="P2674" s="23"/>
    </row>
    <row r="2675" spans="2:16" x14ac:dyDescent="0.25">
      <c r="B2675" s="23"/>
      <c r="E2675" s="23"/>
      <c r="G2675" s="23"/>
      <c r="H2675" s="23"/>
      <c r="J2675" s="23"/>
      <c r="K2675" s="23"/>
      <c r="M2675" s="23"/>
      <c r="N2675" s="23"/>
      <c r="P2675" s="23"/>
    </row>
    <row r="2676" spans="2:16" x14ac:dyDescent="0.25">
      <c r="B2676" s="23"/>
      <c r="E2676" s="23"/>
      <c r="G2676" s="23"/>
      <c r="H2676" s="23"/>
      <c r="J2676" s="23"/>
      <c r="K2676" s="23"/>
      <c r="M2676" s="23"/>
      <c r="N2676" s="23"/>
      <c r="P2676" s="23"/>
    </row>
    <row r="2677" spans="2:16" x14ac:dyDescent="0.25">
      <c r="B2677" s="23"/>
      <c r="E2677" s="23"/>
      <c r="G2677" s="23"/>
      <c r="H2677" s="23"/>
      <c r="J2677" s="23"/>
      <c r="K2677" s="23"/>
      <c r="M2677" s="23"/>
      <c r="N2677" s="23"/>
      <c r="P2677" s="23"/>
    </row>
    <row r="2678" spans="2:16" x14ac:dyDescent="0.25">
      <c r="B2678" s="23"/>
      <c r="E2678" s="23"/>
      <c r="G2678" s="23"/>
      <c r="H2678" s="23"/>
      <c r="J2678" s="23"/>
      <c r="K2678" s="23"/>
      <c r="M2678" s="23"/>
      <c r="N2678" s="23"/>
      <c r="P2678" s="23"/>
    </row>
    <row r="2679" spans="2:16" x14ac:dyDescent="0.25">
      <c r="B2679" s="23"/>
      <c r="E2679" s="23"/>
      <c r="G2679" s="23"/>
      <c r="H2679" s="23"/>
      <c r="J2679" s="23"/>
      <c r="K2679" s="23"/>
      <c r="M2679" s="23"/>
      <c r="N2679" s="23"/>
      <c r="P2679" s="23"/>
    </row>
    <row r="2680" spans="2:16" x14ac:dyDescent="0.25">
      <c r="B2680" s="23"/>
      <c r="E2680" s="23"/>
      <c r="G2680" s="23"/>
      <c r="H2680" s="23"/>
      <c r="J2680" s="23"/>
      <c r="K2680" s="23"/>
      <c r="M2680" s="23"/>
      <c r="N2680" s="23"/>
      <c r="P2680" s="23"/>
    </row>
    <row r="2681" spans="2:16" x14ac:dyDescent="0.25">
      <c r="B2681" s="23"/>
      <c r="E2681" s="23"/>
      <c r="G2681" s="23"/>
      <c r="H2681" s="23"/>
      <c r="J2681" s="23"/>
      <c r="K2681" s="23"/>
      <c r="M2681" s="23"/>
      <c r="N2681" s="23"/>
      <c r="P2681" s="23"/>
    </row>
    <row r="2682" spans="2:16" x14ac:dyDescent="0.25">
      <c r="B2682" s="23"/>
      <c r="E2682" s="23"/>
      <c r="G2682" s="23"/>
      <c r="H2682" s="23"/>
      <c r="J2682" s="23"/>
      <c r="K2682" s="23"/>
      <c r="M2682" s="23"/>
      <c r="N2682" s="23"/>
      <c r="P2682" s="23"/>
    </row>
    <row r="2683" spans="2:16" x14ac:dyDescent="0.25">
      <c r="B2683" s="23"/>
      <c r="E2683" s="23"/>
      <c r="G2683" s="23"/>
      <c r="H2683" s="23"/>
      <c r="J2683" s="23"/>
      <c r="K2683" s="23"/>
      <c r="M2683" s="23"/>
      <c r="N2683" s="23"/>
      <c r="P2683" s="23"/>
    </row>
    <row r="2684" spans="2:16" x14ac:dyDescent="0.25">
      <c r="B2684" s="23"/>
      <c r="E2684" s="23"/>
      <c r="G2684" s="23"/>
      <c r="H2684" s="23"/>
      <c r="J2684" s="23"/>
      <c r="K2684" s="23"/>
      <c r="M2684" s="23"/>
      <c r="N2684" s="23"/>
      <c r="P2684" s="23"/>
    </row>
    <row r="2685" spans="2:16" x14ac:dyDescent="0.25">
      <c r="B2685" s="23"/>
      <c r="E2685" s="23"/>
      <c r="G2685" s="23"/>
      <c r="H2685" s="23"/>
      <c r="J2685" s="23"/>
      <c r="K2685" s="23"/>
      <c r="M2685" s="23"/>
      <c r="N2685" s="23"/>
      <c r="P2685" s="23"/>
    </row>
    <row r="2686" spans="2:16" x14ac:dyDescent="0.25">
      <c r="B2686" s="23"/>
      <c r="E2686" s="23"/>
      <c r="G2686" s="23"/>
      <c r="H2686" s="23"/>
      <c r="J2686" s="23"/>
      <c r="K2686" s="23"/>
      <c r="M2686" s="23"/>
      <c r="N2686" s="23"/>
      <c r="P2686" s="23"/>
    </row>
    <row r="2687" spans="2:16" x14ac:dyDescent="0.25">
      <c r="B2687" s="23"/>
      <c r="E2687" s="23"/>
      <c r="G2687" s="23"/>
      <c r="H2687" s="23"/>
      <c r="J2687" s="23"/>
      <c r="K2687" s="23"/>
      <c r="M2687" s="23"/>
      <c r="N2687" s="23"/>
      <c r="P2687" s="23"/>
    </row>
    <row r="2688" spans="2:16" x14ac:dyDescent="0.25">
      <c r="B2688" s="23"/>
      <c r="E2688" s="23"/>
      <c r="G2688" s="23"/>
      <c r="H2688" s="23"/>
      <c r="J2688" s="23"/>
      <c r="K2688" s="23"/>
      <c r="M2688" s="23"/>
      <c r="N2688" s="23"/>
      <c r="P2688" s="23"/>
    </row>
    <row r="2689" spans="2:16" x14ac:dyDescent="0.25">
      <c r="B2689" s="23"/>
      <c r="E2689" s="23"/>
      <c r="G2689" s="23"/>
      <c r="H2689" s="23"/>
      <c r="J2689" s="23"/>
      <c r="K2689" s="23"/>
      <c r="M2689" s="23"/>
      <c r="N2689" s="23"/>
      <c r="P2689" s="23"/>
    </row>
    <row r="2690" spans="2:16" x14ac:dyDescent="0.25">
      <c r="B2690" s="23"/>
      <c r="E2690" s="23"/>
      <c r="G2690" s="23"/>
      <c r="H2690" s="23"/>
      <c r="J2690" s="23"/>
      <c r="K2690" s="23"/>
      <c r="M2690" s="23"/>
      <c r="N2690" s="23"/>
      <c r="P2690" s="23"/>
    </row>
    <row r="2691" spans="2:16" x14ac:dyDescent="0.25">
      <c r="B2691" s="23"/>
      <c r="E2691" s="23"/>
      <c r="G2691" s="23"/>
      <c r="H2691" s="23"/>
      <c r="J2691" s="23"/>
      <c r="K2691" s="23"/>
      <c r="M2691" s="23"/>
      <c r="N2691" s="23"/>
      <c r="P2691" s="23"/>
    </row>
    <row r="2692" spans="2:16" x14ac:dyDescent="0.25">
      <c r="B2692" s="23"/>
      <c r="E2692" s="23"/>
      <c r="G2692" s="23"/>
      <c r="H2692" s="23"/>
      <c r="J2692" s="23"/>
      <c r="K2692" s="23"/>
      <c r="M2692" s="23"/>
      <c r="N2692" s="23"/>
      <c r="P2692" s="23"/>
    </row>
    <row r="2693" spans="2:16" x14ac:dyDescent="0.25">
      <c r="B2693" s="23"/>
      <c r="E2693" s="23"/>
      <c r="G2693" s="23"/>
      <c r="H2693" s="23"/>
      <c r="J2693" s="23"/>
      <c r="K2693" s="23"/>
      <c r="M2693" s="23"/>
      <c r="N2693" s="23"/>
      <c r="P2693" s="23"/>
    </row>
    <row r="2694" spans="2:16" x14ac:dyDescent="0.25">
      <c r="B2694" s="23"/>
      <c r="E2694" s="23"/>
      <c r="G2694" s="23"/>
      <c r="H2694" s="23"/>
      <c r="J2694" s="23"/>
      <c r="K2694" s="23"/>
      <c r="M2694" s="23"/>
      <c r="N2694" s="23"/>
      <c r="P2694" s="23"/>
    </row>
    <row r="2695" spans="2:16" x14ac:dyDescent="0.25">
      <c r="B2695" s="23"/>
      <c r="E2695" s="23"/>
      <c r="G2695" s="23"/>
      <c r="H2695" s="23"/>
      <c r="J2695" s="23"/>
      <c r="K2695" s="23"/>
      <c r="M2695" s="23"/>
      <c r="N2695" s="23"/>
      <c r="P2695" s="23"/>
    </row>
    <row r="2696" spans="2:16" x14ac:dyDescent="0.25">
      <c r="B2696" s="23"/>
      <c r="E2696" s="23"/>
      <c r="G2696" s="23"/>
      <c r="H2696" s="23"/>
      <c r="J2696" s="23"/>
      <c r="K2696" s="23"/>
      <c r="M2696" s="23"/>
      <c r="N2696" s="23"/>
      <c r="P2696" s="23"/>
    </row>
    <row r="2697" spans="2:16" x14ac:dyDescent="0.25">
      <c r="B2697" s="23"/>
      <c r="E2697" s="23"/>
      <c r="G2697" s="23"/>
      <c r="H2697" s="23"/>
      <c r="J2697" s="23"/>
      <c r="K2697" s="23"/>
      <c r="M2697" s="23"/>
      <c r="N2697" s="23"/>
      <c r="P2697" s="23"/>
    </row>
    <row r="2698" spans="2:16" x14ac:dyDescent="0.25">
      <c r="B2698" s="23"/>
      <c r="E2698" s="23"/>
      <c r="G2698" s="23"/>
      <c r="H2698" s="23"/>
      <c r="J2698" s="23"/>
      <c r="K2698" s="23"/>
      <c r="M2698" s="23"/>
      <c r="N2698" s="23"/>
      <c r="P2698" s="23"/>
    </row>
    <row r="2699" spans="2:16" x14ac:dyDescent="0.25">
      <c r="B2699" s="23"/>
      <c r="E2699" s="23"/>
      <c r="G2699" s="23"/>
      <c r="H2699" s="23"/>
      <c r="J2699" s="23"/>
      <c r="K2699" s="23"/>
      <c r="M2699" s="23"/>
      <c r="N2699" s="23"/>
      <c r="P2699" s="23"/>
    </row>
    <row r="2700" spans="2:16" x14ac:dyDescent="0.25">
      <c r="B2700" s="23"/>
      <c r="E2700" s="23"/>
      <c r="G2700" s="23"/>
      <c r="H2700" s="23"/>
      <c r="J2700" s="23"/>
      <c r="K2700" s="23"/>
      <c r="M2700" s="23"/>
      <c r="N2700" s="23"/>
      <c r="P2700" s="23"/>
    </row>
    <row r="2701" spans="2:16" x14ac:dyDescent="0.25">
      <c r="B2701" s="23"/>
      <c r="E2701" s="23"/>
      <c r="G2701" s="23"/>
      <c r="H2701" s="23"/>
      <c r="J2701" s="23"/>
      <c r="K2701" s="23"/>
      <c r="M2701" s="23"/>
      <c r="N2701" s="23"/>
      <c r="P2701" s="23"/>
    </row>
    <row r="2702" spans="2:16" x14ac:dyDescent="0.25">
      <c r="B2702" s="23"/>
      <c r="E2702" s="23"/>
      <c r="G2702" s="23"/>
      <c r="H2702" s="23"/>
      <c r="J2702" s="23"/>
      <c r="K2702" s="23"/>
      <c r="M2702" s="23"/>
      <c r="N2702" s="23"/>
      <c r="P2702" s="23"/>
    </row>
    <row r="2703" spans="2:16" x14ac:dyDescent="0.25">
      <c r="B2703" s="23"/>
      <c r="E2703" s="23"/>
      <c r="G2703" s="23"/>
      <c r="H2703" s="23"/>
      <c r="J2703" s="23"/>
      <c r="K2703" s="23"/>
      <c r="M2703" s="23"/>
      <c r="N2703" s="23"/>
      <c r="P2703" s="23"/>
    </row>
    <row r="2704" spans="2:16" x14ac:dyDescent="0.25">
      <c r="B2704" s="23"/>
      <c r="E2704" s="23"/>
      <c r="G2704" s="23"/>
      <c r="H2704" s="23"/>
      <c r="J2704" s="23"/>
      <c r="K2704" s="23"/>
      <c r="M2704" s="23"/>
      <c r="N2704" s="23"/>
      <c r="P2704" s="23"/>
    </row>
    <row r="2705" spans="2:16" x14ac:dyDescent="0.25">
      <c r="B2705" s="23"/>
      <c r="E2705" s="23"/>
      <c r="G2705" s="23"/>
      <c r="H2705" s="23"/>
      <c r="J2705" s="23"/>
      <c r="K2705" s="23"/>
      <c r="M2705" s="23"/>
      <c r="N2705" s="23"/>
      <c r="P2705" s="23"/>
    </row>
    <row r="2706" spans="2:16" x14ac:dyDescent="0.25">
      <c r="B2706" s="23"/>
      <c r="E2706" s="23"/>
      <c r="G2706" s="23"/>
      <c r="H2706" s="23"/>
      <c r="J2706" s="23"/>
      <c r="K2706" s="23"/>
      <c r="M2706" s="23"/>
      <c r="N2706" s="23"/>
      <c r="P2706" s="23"/>
    </row>
    <row r="2707" spans="2:16" x14ac:dyDescent="0.25">
      <c r="B2707" s="23"/>
      <c r="E2707" s="23"/>
      <c r="G2707" s="23"/>
      <c r="H2707" s="23"/>
      <c r="J2707" s="23"/>
      <c r="K2707" s="23"/>
      <c r="M2707" s="23"/>
      <c r="N2707" s="23"/>
      <c r="P2707" s="23"/>
    </row>
    <row r="2708" spans="2:16" x14ac:dyDescent="0.25">
      <c r="B2708" s="23"/>
      <c r="E2708" s="23"/>
      <c r="G2708" s="23"/>
      <c r="H2708" s="23"/>
      <c r="J2708" s="23"/>
      <c r="K2708" s="23"/>
      <c r="M2708" s="23"/>
      <c r="N2708" s="23"/>
      <c r="P2708" s="23"/>
    </row>
    <row r="2709" spans="2:16" x14ac:dyDescent="0.25">
      <c r="B2709" s="23"/>
      <c r="E2709" s="23"/>
      <c r="G2709" s="23"/>
      <c r="H2709" s="23"/>
      <c r="J2709" s="23"/>
      <c r="K2709" s="23"/>
      <c r="M2709" s="23"/>
      <c r="N2709" s="23"/>
      <c r="P2709" s="23"/>
    </row>
    <row r="2710" spans="2:16" x14ac:dyDescent="0.25">
      <c r="B2710" s="23"/>
      <c r="E2710" s="23"/>
      <c r="G2710" s="23"/>
      <c r="H2710" s="23"/>
      <c r="J2710" s="23"/>
      <c r="K2710" s="23"/>
      <c r="M2710" s="23"/>
      <c r="N2710" s="23"/>
      <c r="P2710" s="23"/>
    </row>
    <row r="2711" spans="2:16" x14ac:dyDescent="0.25">
      <c r="B2711" s="23"/>
      <c r="E2711" s="23"/>
      <c r="G2711" s="23"/>
      <c r="H2711" s="23"/>
      <c r="J2711" s="23"/>
      <c r="K2711" s="23"/>
      <c r="M2711" s="23"/>
      <c r="N2711" s="23"/>
      <c r="P2711" s="23"/>
    </row>
    <row r="2712" spans="2:16" x14ac:dyDescent="0.25">
      <c r="B2712" s="23"/>
      <c r="E2712" s="23"/>
      <c r="G2712" s="23"/>
      <c r="H2712" s="23"/>
      <c r="J2712" s="23"/>
      <c r="K2712" s="23"/>
      <c r="M2712" s="23"/>
      <c r="N2712" s="23"/>
      <c r="P2712" s="23"/>
    </row>
    <row r="2713" spans="2:16" x14ac:dyDescent="0.25">
      <c r="B2713" s="23"/>
      <c r="E2713" s="23"/>
      <c r="G2713" s="23"/>
      <c r="H2713" s="23"/>
      <c r="J2713" s="23"/>
      <c r="K2713" s="23"/>
      <c r="M2713" s="23"/>
      <c r="N2713" s="23"/>
      <c r="P2713" s="23"/>
    </row>
    <row r="2714" spans="2:16" x14ac:dyDescent="0.25">
      <c r="B2714" s="23"/>
      <c r="E2714" s="23"/>
      <c r="G2714" s="23"/>
      <c r="H2714" s="23"/>
      <c r="J2714" s="23"/>
      <c r="K2714" s="23"/>
      <c r="M2714" s="23"/>
      <c r="N2714" s="23"/>
      <c r="P2714" s="23"/>
    </row>
    <row r="2715" spans="2:16" x14ac:dyDescent="0.25">
      <c r="B2715" s="23"/>
      <c r="E2715" s="23"/>
      <c r="G2715" s="23"/>
      <c r="H2715" s="23"/>
      <c r="J2715" s="23"/>
      <c r="K2715" s="23"/>
      <c r="M2715" s="23"/>
      <c r="N2715" s="23"/>
      <c r="P2715" s="23"/>
    </row>
    <row r="2716" spans="2:16" x14ac:dyDescent="0.25">
      <c r="B2716" s="23"/>
      <c r="E2716" s="23"/>
      <c r="G2716" s="23"/>
      <c r="H2716" s="23"/>
      <c r="J2716" s="23"/>
      <c r="K2716" s="23"/>
      <c r="M2716" s="23"/>
      <c r="N2716" s="23"/>
      <c r="P2716" s="23"/>
    </row>
    <row r="2717" spans="2:16" x14ac:dyDescent="0.25">
      <c r="B2717" s="23"/>
      <c r="E2717" s="23"/>
      <c r="G2717" s="23"/>
      <c r="H2717" s="23"/>
      <c r="J2717" s="23"/>
      <c r="K2717" s="23"/>
      <c r="M2717" s="23"/>
      <c r="N2717" s="23"/>
      <c r="P2717" s="23"/>
    </row>
    <row r="2718" spans="2:16" x14ac:dyDescent="0.25">
      <c r="B2718" s="23"/>
      <c r="E2718" s="23"/>
      <c r="G2718" s="23"/>
      <c r="H2718" s="23"/>
      <c r="J2718" s="23"/>
      <c r="K2718" s="23"/>
      <c r="M2718" s="23"/>
      <c r="N2718" s="23"/>
      <c r="P2718" s="23"/>
    </row>
    <row r="2719" spans="2:16" x14ac:dyDescent="0.25">
      <c r="B2719" s="23"/>
      <c r="E2719" s="23"/>
      <c r="G2719" s="23"/>
      <c r="H2719" s="23"/>
      <c r="J2719" s="23"/>
      <c r="K2719" s="23"/>
      <c r="M2719" s="23"/>
      <c r="N2719" s="23"/>
      <c r="P2719" s="23"/>
    </row>
    <row r="2720" spans="2:16" x14ac:dyDescent="0.25">
      <c r="B2720" s="23"/>
      <c r="E2720" s="23"/>
      <c r="G2720" s="23"/>
      <c r="H2720" s="23"/>
      <c r="J2720" s="23"/>
      <c r="K2720" s="23"/>
      <c r="M2720" s="23"/>
      <c r="N2720" s="23"/>
      <c r="P2720" s="23"/>
    </row>
    <row r="2721" spans="2:16" x14ac:dyDescent="0.25">
      <c r="B2721" s="23"/>
      <c r="E2721" s="23"/>
      <c r="G2721" s="23"/>
      <c r="H2721" s="23"/>
      <c r="J2721" s="23"/>
      <c r="K2721" s="23"/>
      <c r="M2721" s="23"/>
      <c r="N2721" s="23"/>
      <c r="P2721" s="23"/>
    </row>
    <row r="2722" spans="2:16" x14ac:dyDescent="0.25">
      <c r="B2722" s="23"/>
      <c r="E2722" s="23"/>
      <c r="G2722" s="23"/>
      <c r="H2722" s="23"/>
      <c r="J2722" s="23"/>
      <c r="K2722" s="23"/>
      <c r="M2722" s="23"/>
      <c r="N2722" s="23"/>
      <c r="P2722" s="23"/>
    </row>
    <row r="2723" spans="2:16" x14ac:dyDescent="0.25">
      <c r="B2723" s="23"/>
      <c r="E2723" s="23"/>
      <c r="G2723" s="23"/>
      <c r="H2723" s="23"/>
      <c r="J2723" s="23"/>
      <c r="K2723" s="23"/>
      <c r="M2723" s="23"/>
      <c r="N2723" s="23"/>
      <c r="P2723" s="23"/>
    </row>
    <row r="2724" spans="2:16" x14ac:dyDescent="0.25">
      <c r="B2724" s="23"/>
      <c r="E2724" s="23"/>
      <c r="G2724" s="23"/>
      <c r="H2724" s="23"/>
      <c r="J2724" s="23"/>
      <c r="K2724" s="23"/>
      <c r="M2724" s="23"/>
      <c r="N2724" s="23"/>
      <c r="P2724" s="23"/>
    </row>
    <row r="2725" spans="2:16" x14ac:dyDescent="0.25">
      <c r="B2725" s="23"/>
      <c r="E2725" s="23"/>
      <c r="G2725" s="23"/>
      <c r="H2725" s="23"/>
      <c r="J2725" s="23"/>
      <c r="K2725" s="23"/>
      <c r="M2725" s="23"/>
      <c r="N2725" s="23"/>
      <c r="P2725" s="23"/>
    </row>
    <row r="2726" spans="2:16" x14ac:dyDescent="0.25">
      <c r="B2726" s="23"/>
      <c r="E2726" s="23"/>
      <c r="G2726" s="23"/>
      <c r="H2726" s="23"/>
      <c r="J2726" s="23"/>
      <c r="K2726" s="23"/>
      <c r="M2726" s="23"/>
      <c r="N2726" s="23"/>
      <c r="P2726" s="23"/>
    </row>
    <row r="2727" spans="2:16" x14ac:dyDescent="0.25">
      <c r="B2727" s="23"/>
      <c r="E2727" s="23"/>
      <c r="G2727" s="23"/>
      <c r="H2727" s="23"/>
      <c r="J2727" s="23"/>
      <c r="K2727" s="23"/>
      <c r="M2727" s="23"/>
      <c r="N2727" s="23"/>
      <c r="P2727" s="23"/>
    </row>
    <row r="2728" spans="2:16" x14ac:dyDescent="0.25">
      <c r="B2728" s="23"/>
      <c r="E2728" s="23"/>
      <c r="G2728" s="23"/>
      <c r="H2728" s="23"/>
      <c r="J2728" s="23"/>
      <c r="K2728" s="23"/>
      <c r="M2728" s="23"/>
      <c r="N2728" s="23"/>
      <c r="P2728" s="23"/>
    </row>
    <row r="2729" spans="2:16" x14ac:dyDescent="0.25">
      <c r="B2729" s="23"/>
      <c r="E2729" s="23"/>
      <c r="G2729" s="23"/>
      <c r="H2729" s="23"/>
      <c r="J2729" s="23"/>
      <c r="K2729" s="23"/>
      <c r="M2729" s="23"/>
      <c r="N2729" s="23"/>
      <c r="P2729" s="23"/>
    </row>
    <row r="2730" spans="2:16" x14ac:dyDescent="0.25">
      <c r="B2730" s="23"/>
      <c r="E2730" s="23"/>
      <c r="G2730" s="23"/>
      <c r="H2730" s="23"/>
      <c r="J2730" s="23"/>
      <c r="K2730" s="23"/>
      <c r="M2730" s="23"/>
      <c r="N2730" s="23"/>
      <c r="P2730" s="23"/>
    </row>
    <row r="2731" spans="2:16" x14ac:dyDescent="0.25">
      <c r="B2731" s="23"/>
      <c r="E2731" s="23"/>
      <c r="G2731" s="23"/>
      <c r="H2731" s="23"/>
      <c r="J2731" s="23"/>
      <c r="K2731" s="23"/>
      <c r="M2731" s="23"/>
      <c r="N2731" s="23"/>
      <c r="P2731" s="23"/>
    </row>
    <row r="2732" spans="2:16" x14ac:dyDescent="0.25">
      <c r="B2732" s="23"/>
      <c r="E2732" s="23"/>
      <c r="G2732" s="23"/>
      <c r="H2732" s="23"/>
      <c r="J2732" s="23"/>
      <c r="K2732" s="23"/>
      <c r="M2732" s="23"/>
      <c r="N2732" s="23"/>
      <c r="P2732" s="23"/>
    </row>
    <row r="2733" spans="2:16" x14ac:dyDescent="0.25">
      <c r="B2733" s="23"/>
      <c r="E2733" s="23"/>
      <c r="G2733" s="23"/>
      <c r="H2733" s="23"/>
      <c r="J2733" s="23"/>
      <c r="K2733" s="23"/>
      <c r="M2733" s="23"/>
      <c r="N2733" s="23"/>
      <c r="P2733" s="23"/>
    </row>
    <row r="2734" spans="2:16" x14ac:dyDescent="0.25">
      <c r="B2734" s="23"/>
      <c r="E2734" s="23"/>
      <c r="G2734" s="23"/>
      <c r="H2734" s="23"/>
      <c r="J2734" s="23"/>
      <c r="K2734" s="23"/>
      <c r="M2734" s="23"/>
      <c r="N2734" s="23"/>
      <c r="P2734" s="23"/>
    </row>
    <row r="2735" spans="2:16" x14ac:dyDescent="0.25">
      <c r="B2735" s="23"/>
      <c r="E2735" s="23"/>
      <c r="G2735" s="23"/>
      <c r="H2735" s="23"/>
      <c r="J2735" s="23"/>
      <c r="K2735" s="23"/>
      <c r="M2735" s="23"/>
      <c r="N2735" s="23"/>
      <c r="P2735" s="23"/>
    </row>
    <row r="2736" spans="2:16" x14ac:dyDescent="0.25">
      <c r="B2736" s="23"/>
      <c r="E2736" s="23"/>
      <c r="G2736" s="23"/>
      <c r="H2736" s="23"/>
      <c r="J2736" s="23"/>
      <c r="K2736" s="23"/>
      <c r="M2736" s="23"/>
      <c r="N2736" s="23"/>
      <c r="P2736" s="23"/>
    </row>
    <row r="2737" spans="2:16" x14ac:dyDescent="0.25">
      <c r="B2737" s="23"/>
      <c r="E2737" s="23"/>
      <c r="G2737" s="23"/>
      <c r="H2737" s="23"/>
      <c r="J2737" s="23"/>
      <c r="K2737" s="23"/>
      <c r="M2737" s="23"/>
      <c r="N2737" s="23"/>
      <c r="P2737" s="23"/>
    </row>
    <row r="2738" spans="2:16" x14ac:dyDescent="0.25">
      <c r="B2738" s="23"/>
      <c r="E2738" s="23"/>
      <c r="G2738" s="23"/>
      <c r="H2738" s="23"/>
      <c r="J2738" s="23"/>
      <c r="K2738" s="23"/>
      <c r="M2738" s="23"/>
      <c r="N2738" s="23"/>
      <c r="P2738" s="23"/>
    </row>
    <row r="2739" spans="2:16" x14ac:dyDescent="0.25">
      <c r="B2739" s="23"/>
      <c r="E2739" s="23"/>
      <c r="G2739" s="23"/>
      <c r="H2739" s="23"/>
      <c r="J2739" s="23"/>
      <c r="K2739" s="23"/>
      <c r="M2739" s="23"/>
      <c r="N2739" s="23"/>
      <c r="P2739" s="23"/>
    </row>
    <row r="2740" spans="2:16" x14ac:dyDescent="0.25">
      <c r="B2740" s="23"/>
      <c r="E2740" s="23"/>
      <c r="G2740" s="23"/>
      <c r="H2740" s="23"/>
      <c r="J2740" s="23"/>
      <c r="K2740" s="23"/>
      <c r="M2740" s="23"/>
      <c r="N2740" s="23"/>
      <c r="P2740" s="23"/>
    </row>
    <row r="2741" spans="2:16" x14ac:dyDescent="0.25">
      <c r="B2741" s="23"/>
      <c r="E2741" s="23"/>
      <c r="G2741" s="23"/>
      <c r="H2741" s="23"/>
      <c r="J2741" s="23"/>
      <c r="K2741" s="23"/>
      <c r="M2741" s="23"/>
      <c r="N2741" s="23"/>
      <c r="P2741" s="23"/>
    </row>
    <row r="2742" spans="2:16" x14ac:dyDescent="0.25">
      <c r="B2742" s="23"/>
      <c r="E2742" s="23"/>
      <c r="G2742" s="23"/>
      <c r="H2742" s="23"/>
      <c r="J2742" s="23"/>
      <c r="K2742" s="23"/>
      <c r="M2742" s="23"/>
      <c r="N2742" s="23"/>
      <c r="P2742" s="23"/>
    </row>
    <row r="2743" spans="2:16" x14ac:dyDescent="0.25">
      <c r="B2743" s="23"/>
      <c r="E2743" s="23"/>
      <c r="G2743" s="23"/>
      <c r="H2743" s="23"/>
      <c r="J2743" s="23"/>
      <c r="K2743" s="23"/>
      <c r="M2743" s="23"/>
      <c r="N2743" s="23"/>
      <c r="P2743" s="23"/>
    </row>
    <row r="2744" spans="2:16" x14ac:dyDescent="0.25">
      <c r="B2744" s="23"/>
      <c r="E2744" s="23"/>
      <c r="G2744" s="23"/>
      <c r="H2744" s="23"/>
      <c r="J2744" s="23"/>
      <c r="K2744" s="23"/>
      <c r="M2744" s="23"/>
      <c r="N2744" s="23"/>
      <c r="P2744" s="23"/>
    </row>
    <row r="2745" spans="2:16" x14ac:dyDescent="0.25">
      <c r="B2745" s="23"/>
      <c r="E2745" s="23"/>
      <c r="G2745" s="23"/>
      <c r="H2745" s="23"/>
      <c r="J2745" s="23"/>
      <c r="K2745" s="23"/>
      <c r="M2745" s="23"/>
      <c r="N2745" s="23"/>
      <c r="P2745" s="23"/>
    </row>
    <row r="2746" spans="2:16" x14ac:dyDescent="0.25">
      <c r="B2746" s="23"/>
      <c r="E2746" s="23"/>
      <c r="G2746" s="23"/>
      <c r="H2746" s="23"/>
      <c r="J2746" s="23"/>
      <c r="K2746" s="23"/>
      <c r="M2746" s="23"/>
      <c r="N2746" s="23"/>
      <c r="P2746" s="23"/>
    </row>
    <row r="2747" spans="2:16" x14ac:dyDescent="0.25">
      <c r="B2747" s="23"/>
      <c r="E2747" s="23"/>
      <c r="G2747" s="23"/>
      <c r="H2747" s="23"/>
      <c r="J2747" s="23"/>
      <c r="K2747" s="23"/>
      <c r="M2747" s="23"/>
      <c r="N2747" s="23"/>
      <c r="P2747" s="23"/>
    </row>
    <row r="2748" spans="2:16" x14ac:dyDescent="0.25">
      <c r="B2748" s="23"/>
      <c r="E2748" s="23"/>
      <c r="G2748" s="23"/>
      <c r="H2748" s="23"/>
      <c r="J2748" s="23"/>
      <c r="K2748" s="23"/>
      <c r="M2748" s="23"/>
      <c r="N2748" s="23"/>
      <c r="P2748" s="23"/>
    </row>
    <row r="2749" spans="2:16" x14ac:dyDescent="0.25">
      <c r="B2749" s="23"/>
      <c r="E2749" s="23"/>
      <c r="G2749" s="23"/>
      <c r="H2749" s="23"/>
      <c r="J2749" s="23"/>
      <c r="K2749" s="23"/>
      <c r="M2749" s="23"/>
      <c r="N2749" s="23"/>
      <c r="P2749" s="23"/>
    </row>
    <row r="2750" spans="2:16" x14ac:dyDescent="0.25">
      <c r="B2750" s="23"/>
      <c r="E2750" s="23"/>
      <c r="G2750" s="23"/>
      <c r="H2750" s="23"/>
      <c r="J2750" s="23"/>
      <c r="K2750" s="23"/>
      <c r="M2750" s="23"/>
      <c r="N2750" s="23"/>
      <c r="P2750" s="23"/>
    </row>
    <row r="2751" spans="2:16" x14ac:dyDescent="0.25">
      <c r="B2751" s="23"/>
      <c r="E2751" s="23"/>
      <c r="G2751" s="23"/>
      <c r="H2751" s="23"/>
      <c r="J2751" s="23"/>
      <c r="K2751" s="23"/>
      <c r="M2751" s="23"/>
      <c r="N2751" s="23"/>
      <c r="P2751" s="23"/>
    </row>
    <row r="2752" spans="2:16" x14ac:dyDescent="0.25">
      <c r="B2752" s="23"/>
      <c r="E2752" s="23"/>
      <c r="G2752" s="23"/>
      <c r="H2752" s="23"/>
      <c r="J2752" s="23"/>
      <c r="K2752" s="23"/>
      <c r="M2752" s="23"/>
      <c r="N2752" s="23"/>
      <c r="P2752" s="23"/>
    </row>
    <row r="2753" spans="2:16" x14ac:dyDescent="0.25">
      <c r="B2753" s="23"/>
      <c r="E2753" s="23"/>
      <c r="G2753" s="23"/>
      <c r="H2753" s="23"/>
      <c r="J2753" s="23"/>
      <c r="K2753" s="23"/>
      <c r="M2753" s="23"/>
      <c r="N2753" s="23"/>
      <c r="P2753" s="23"/>
    </row>
    <row r="2754" spans="2:16" x14ac:dyDescent="0.25">
      <c r="B2754" s="23"/>
      <c r="E2754" s="23"/>
      <c r="G2754" s="23"/>
      <c r="H2754" s="23"/>
      <c r="J2754" s="23"/>
      <c r="K2754" s="23"/>
      <c r="M2754" s="23"/>
      <c r="N2754" s="23"/>
      <c r="P2754" s="23"/>
    </row>
    <row r="2755" spans="2:16" x14ac:dyDescent="0.25">
      <c r="B2755" s="23"/>
      <c r="E2755" s="23"/>
      <c r="G2755" s="23"/>
      <c r="H2755" s="23"/>
      <c r="J2755" s="23"/>
      <c r="K2755" s="23"/>
      <c r="M2755" s="23"/>
      <c r="N2755" s="23"/>
      <c r="P2755" s="23"/>
    </row>
    <row r="2756" spans="2:16" x14ac:dyDescent="0.25">
      <c r="B2756" s="23"/>
      <c r="E2756" s="23"/>
      <c r="G2756" s="23"/>
      <c r="H2756" s="23"/>
      <c r="J2756" s="23"/>
      <c r="K2756" s="23"/>
      <c r="M2756" s="23"/>
      <c r="N2756" s="23"/>
      <c r="P2756" s="23"/>
    </row>
    <row r="2757" spans="2:16" x14ac:dyDescent="0.25">
      <c r="B2757" s="23"/>
      <c r="E2757" s="23"/>
      <c r="G2757" s="23"/>
      <c r="H2757" s="23"/>
      <c r="J2757" s="23"/>
      <c r="K2757" s="23"/>
      <c r="M2757" s="23"/>
      <c r="N2757" s="23"/>
      <c r="P2757" s="23"/>
    </row>
    <row r="2758" spans="2:16" x14ac:dyDescent="0.25">
      <c r="B2758" s="23"/>
      <c r="E2758" s="23"/>
      <c r="G2758" s="23"/>
      <c r="H2758" s="23"/>
      <c r="J2758" s="23"/>
      <c r="K2758" s="23"/>
      <c r="M2758" s="23"/>
      <c r="N2758" s="23"/>
      <c r="P2758" s="23"/>
    </row>
    <row r="2759" spans="2:16" x14ac:dyDescent="0.25">
      <c r="B2759" s="23"/>
      <c r="E2759" s="23"/>
      <c r="G2759" s="23"/>
      <c r="H2759" s="23"/>
      <c r="J2759" s="23"/>
      <c r="K2759" s="23"/>
      <c r="M2759" s="23"/>
      <c r="N2759" s="23"/>
      <c r="P2759" s="23"/>
    </row>
    <row r="2760" spans="2:16" x14ac:dyDescent="0.25">
      <c r="B2760" s="23"/>
      <c r="E2760" s="23"/>
      <c r="G2760" s="23"/>
      <c r="H2760" s="23"/>
      <c r="J2760" s="23"/>
      <c r="K2760" s="23"/>
      <c r="M2760" s="23"/>
      <c r="N2760" s="23"/>
      <c r="P2760" s="23"/>
    </row>
    <row r="2761" spans="2:16" x14ac:dyDescent="0.25">
      <c r="B2761" s="23"/>
      <c r="E2761" s="23"/>
      <c r="G2761" s="23"/>
      <c r="H2761" s="23"/>
      <c r="J2761" s="23"/>
      <c r="K2761" s="23"/>
      <c r="M2761" s="23"/>
      <c r="N2761" s="23"/>
      <c r="P2761" s="23"/>
    </row>
    <row r="2762" spans="2:16" x14ac:dyDescent="0.25">
      <c r="B2762" s="23"/>
      <c r="E2762" s="23"/>
      <c r="G2762" s="23"/>
      <c r="H2762" s="23"/>
      <c r="J2762" s="23"/>
      <c r="K2762" s="23"/>
      <c r="M2762" s="23"/>
      <c r="N2762" s="23"/>
      <c r="P2762" s="23"/>
    </row>
    <row r="2763" spans="2:16" x14ac:dyDescent="0.25">
      <c r="B2763" s="23"/>
      <c r="E2763" s="23"/>
      <c r="G2763" s="23"/>
      <c r="H2763" s="23"/>
      <c r="J2763" s="23"/>
      <c r="K2763" s="23"/>
      <c r="M2763" s="23"/>
      <c r="N2763" s="23"/>
      <c r="P2763" s="23"/>
    </row>
    <row r="2764" spans="2:16" x14ac:dyDescent="0.25">
      <c r="B2764" s="23"/>
      <c r="E2764" s="23"/>
      <c r="G2764" s="23"/>
      <c r="H2764" s="23"/>
      <c r="J2764" s="23"/>
      <c r="K2764" s="23"/>
      <c r="M2764" s="23"/>
      <c r="N2764" s="23"/>
      <c r="P2764" s="23"/>
    </row>
    <row r="2765" spans="2:16" x14ac:dyDescent="0.25">
      <c r="B2765" s="23"/>
      <c r="E2765" s="23"/>
      <c r="G2765" s="23"/>
      <c r="H2765" s="23"/>
      <c r="J2765" s="23"/>
      <c r="K2765" s="23"/>
      <c r="M2765" s="23"/>
      <c r="N2765" s="23"/>
      <c r="P2765" s="23"/>
    </row>
    <row r="2766" spans="2:16" x14ac:dyDescent="0.25">
      <c r="B2766" s="23"/>
      <c r="E2766" s="23"/>
      <c r="G2766" s="23"/>
      <c r="H2766" s="23"/>
      <c r="J2766" s="23"/>
      <c r="K2766" s="23"/>
      <c r="M2766" s="23"/>
      <c r="N2766" s="23"/>
      <c r="P2766" s="23"/>
    </row>
    <row r="2767" spans="2:16" x14ac:dyDescent="0.25">
      <c r="B2767" s="23"/>
      <c r="E2767" s="23"/>
      <c r="G2767" s="23"/>
      <c r="H2767" s="23"/>
      <c r="J2767" s="23"/>
      <c r="K2767" s="23"/>
      <c r="M2767" s="23"/>
      <c r="N2767" s="23"/>
      <c r="P2767" s="23"/>
    </row>
    <row r="2768" spans="2:16" x14ac:dyDescent="0.25">
      <c r="B2768" s="23"/>
      <c r="E2768" s="23"/>
      <c r="G2768" s="23"/>
      <c r="H2768" s="23"/>
      <c r="J2768" s="23"/>
      <c r="K2768" s="23"/>
      <c r="M2768" s="23"/>
      <c r="N2768" s="23"/>
      <c r="P2768" s="23"/>
    </row>
    <row r="2769" spans="2:16" x14ac:dyDescent="0.25">
      <c r="B2769" s="23"/>
      <c r="E2769" s="23"/>
      <c r="G2769" s="23"/>
      <c r="H2769" s="23"/>
      <c r="J2769" s="23"/>
      <c r="K2769" s="23"/>
      <c r="M2769" s="23"/>
      <c r="N2769" s="23"/>
      <c r="P2769" s="23"/>
    </row>
    <row r="2770" spans="2:16" x14ac:dyDescent="0.25">
      <c r="B2770" s="23"/>
      <c r="E2770" s="23"/>
      <c r="G2770" s="23"/>
      <c r="H2770" s="23"/>
      <c r="J2770" s="23"/>
      <c r="K2770" s="23"/>
      <c r="M2770" s="23"/>
      <c r="N2770" s="23"/>
      <c r="P2770" s="23"/>
    </row>
    <row r="2771" spans="2:16" x14ac:dyDescent="0.25">
      <c r="B2771" s="23"/>
      <c r="E2771" s="23"/>
      <c r="G2771" s="23"/>
      <c r="H2771" s="23"/>
      <c r="J2771" s="23"/>
      <c r="K2771" s="23"/>
      <c r="M2771" s="23"/>
      <c r="N2771" s="23"/>
      <c r="P2771" s="23"/>
    </row>
    <row r="2772" spans="2:16" x14ac:dyDescent="0.25">
      <c r="B2772" s="23"/>
      <c r="E2772" s="23"/>
      <c r="G2772" s="23"/>
      <c r="H2772" s="23"/>
      <c r="J2772" s="23"/>
      <c r="K2772" s="23"/>
      <c r="M2772" s="23"/>
      <c r="N2772" s="23"/>
      <c r="P2772" s="23"/>
    </row>
    <row r="2773" spans="2:16" x14ac:dyDescent="0.25">
      <c r="B2773" s="23"/>
      <c r="E2773" s="23"/>
      <c r="G2773" s="23"/>
      <c r="H2773" s="23"/>
      <c r="J2773" s="23"/>
      <c r="K2773" s="23"/>
      <c r="M2773" s="23"/>
      <c r="N2773" s="23"/>
      <c r="P2773" s="23"/>
    </row>
    <row r="2774" spans="2:16" x14ac:dyDescent="0.25">
      <c r="B2774" s="23"/>
      <c r="E2774" s="23"/>
      <c r="G2774" s="23"/>
      <c r="H2774" s="23"/>
      <c r="J2774" s="23"/>
      <c r="K2774" s="23"/>
      <c r="M2774" s="23"/>
      <c r="N2774" s="23"/>
      <c r="P2774" s="23"/>
    </row>
    <row r="2775" spans="2:16" x14ac:dyDescent="0.25">
      <c r="B2775" s="23"/>
      <c r="E2775" s="23"/>
      <c r="G2775" s="23"/>
      <c r="H2775" s="23"/>
      <c r="J2775" s="23"/>
      <c r="K2775" s="23"/>
      <c r="M2775" s="23"/>
      <c r="N2775" s="23"/>
      <c r="P2775" s="23"/>
    </row>
    <row r="2776" spans="2:16" x14ac:dyDescent="0.25">
      <c r="B2776" s="23"/>
      <c r="E2776" s="23"/>
      <c r="G2776" s="23"/>
      <c r="H2776" s="23"/>
      <c r="J2776" s="23"/>
      <c r="K2776" s="23"/>
      <c r="M2776" s="23"/>
      <c r="N2776" s="23"/>
      <c r="P2776" s="23"/>
    </row>
    <row r="2777" spans="2:16" x14ac:dyDescent="0.25">
      <c r="B2777" s="23"/>
      <c r="E2777" s="23"/>
      <c r="G2777" s="23"/>
      <c r="H2777" s="23"/>
      <c r="J2777" s="23"/>
      <c r="K2777" s="23"/>
      <c r="M2777" s="23"/>
      <c r="N2777" s="23"/>
      <c r="P2777" s="23"/>
    </row>
    <row r="2778" spans="2:16" x14ac:dyDescent="0.25">
      <c r="B2778" s="23"/>
      <c r="E2778" s="23"/>
      <c r="G2778" s="23"/>
      <c r="H2778" s="23"/>
      <c r="J2778" s="23"/>
      <c r="K2778" s="23"/>
      <c r="M2778" s="23"/>
      <c r="N2778" s="23"/>
      <c r="P2778" s="23"/>
    </row>
    <row r="2779" spans="2:16" x14ac:dyDescent="0.25">
      <c r="B2779" s="23"/>
      <c r="E2779" s="23"/>
      <c r="G2779" s="23"/>
      <c r="H2779" s="23"/>
      <c r="J2779" s="23"/>
      <c r="K2779" s="23"/>
      <c r="M2779" s="23"/>
      <c r="N2779" s="23"/>
      <c r="P2779" s="23"/>
    </row>
    <row r="2780" spans="2:16" x14ac:dyDescent="0.25">
      <c r="B2780" s="23"/>
      <c r="E2780" s="23"/>
      <c r="G2780" s="23"/>
      <c r="H2780" s="23"/>
      <c r="J2780" s="23"/>
      <c r="K2780" s="23"/>
      <c r="M2780" s="23"/>
      <c r="N2780" s="23"/>
      <c r="P2780" s="23"/>
    </row>
    <row r="2781" spans="2:16" x14ac:dyDescent="0.25">
      <c r="B2781" s="23"/>
      <c r="E2781" s="23"/>
      <c r="G2781" s="23"/>
      <c r="H2781" s="23"/>
      <c r="J2781" s="23"/>
      <c r="K2781" s="23"/>
      <c r="M2781" s="23"/>
      <c r="N2781" s="23"/>
      <c r="P2781" s="23"/>
    </row>
    <row r="2782" spans="2:16" x14ac:dyDescent="0.25">
      <c r="B2782" s="23"/>
      <c r="E2782" s="23"/>
      <c r="G2782" s="23"/>
      <c r="H2782" s="23"/>
      <c r="J2782" s="23"/>
      <c r="K2782" s="23"/>
      <c r="M2782" s="23"/>
      <c r="N2782" s="23"/>
      <c r="P2782" s="23"/>
    </row>
    <row r="2783" spans="2:16" x14ac:dyDescent="0.25">
      <c r="B2783" s="23"/>
      <c r="E2783" s="23"/>
      <c r="G2783" s="23"/>
      <c r="H2783" s="23"/>
      <c r="J2783" s="23"/>
      <c r="K2783" s="23"/>
      <c r="M2783" s="23"/>
      <c r="N2783" s="23"/>
      <c r="P2783" s="23"/>
    </row>
    <row r="2784" spans="2:16" x14ac:dyDescent="0.25">
      <c r="B2784" s="23"/>
      <c r="E2784" s="23"/>
      <c r="G2784" s="23"/>
      <c r="H2784" s="23"/>
      <c r="J2784" s="23"/>
      <c r="K2784" s="23"/>
      <c r="M2784" s="23"/>
      <c r="N2784" s="23"/>
      <c r="P2784" s="23"/>
    </row>
    <row r="2785" spans="2:16" x14ac:dyDescent="0.25">
      <c r="B2785" s="23"/>
      <c r="E2785" s="23"/>
      <c r="G2785" s="23"/>
      <c r="H2785" s="23"/>
      <c r="J2785" s="23"/>
      <c r="K2785" s="23"/>
      <c r="M2785" s="23"/>
      <c r="N2785" s="23"/>
      <c r="P2785" s="23"/>
    </row>
    <row r="2786" spans="2:16" x14ac:dyDescent="0.25">
      <c r="B2786" s="23"/>
      <c r="E2786" s="23"/>
      <c r="G2786" s="23"/>
      <c r="H2786" s="23"/>
      <c r="J2786" s="23"/>
      <c r="K2786" s="23"/>
      <c r="M2786" s="23"/>
      <c r="N2786" s="23"/>
      <c r="P2786" s="23"/>
    </row>
    <row r="2787" spans="2:16" x14ac:dyDescent="0.25">
      <c r="B2787" s="23"/>
      <c r="E2787" s="23"/>
      <c r="G2787" s="23"/>
      <c r="H2787" s="23"/>
      <c r="J2787" s="23"/>
      <c r="K2787" s="23"/>
      <c r="M2787" s="23"/>
      <c r="N2787" s="23"/>
      <c r="P2787" s="23"/>
    </row>
    <row r="2788" spans="2:16" x14ac:dyDescent="0.25">
      <c r="B2788" s="23"/>
      <c r="E2788" s="23"/>
      <c r="G2788" s="23"/>
      <c r="H2788" s="23"/>
      <c r="J2788" s="23"/>
      <c r="K2788" s="23"/>
      <c r="M2788" s="23"/>
      <c r="N2788" s="23"/>
      <c r="P2788" s="23"/>
    </row>
    <row r="2789" spans="2:16" x14ac:dyDescent="0.25">
      <c r="B2789" s="23"/>
      <c r="E2789" s="23"/>
      <c r="G2789" s="23"/>
      <c r="H2789" s="23"/>
      <c r="J2789" s="23"/>
      <c r="K2789" s="23"/>
      <c r="M2789" s="23"/>
      <c r="N2789" s="23"/>
      <c r="P2789" s="23"/>
    </row>
    <row r="2790" spans="2:16" x14ac:dyDescent="0.25">
      <c r="B2790" s="23"/>
      <c r="E2790" s="23"/>
      <c r="G2790" s="23"/>
      <c r="H2790" s="23"/>
      <c r="J2790" s="23"/>
      <c r="K2790" s="23"/>
      <c r="M2790" s="23"/>
      <c r="N2790" s="23"/>
      <c r="P2790" s="23"/>
    </row>
    <row r="2791" spans="2:16" x14ac:dyDescent="0.25">
      <c r="B2791" s="23"/>
      <c r="E2791" s="23"/>
      <c r="G2791" s="23"/>
      <c r="H2791" s="23"/>
      <c r="J2791" s="23"/>
      <c r="K2791" s="23"/>
      <c r="M2791" s="23"/>
      <c r="N2791" s="23"/>
      <c r="P2791" s="23"/>
    </row>
    <row r="2792" spans="2:16" x14ac:dyDescent="0.25">
      <c r="B2792" s="23"/>
      <c r="E2792" s="23"/>
      <c r="G2792" s="23"/>
      <c r="H2792" s="23"/>
      <c r="J2792" s="23"/>
      <c r="K2792" s="23"/>
      <c r="M2792" s="23"/>
      <c r="N2792" s="23"/>
      <c r="P2792" s="23"/>
    </row>
    <row r="2793" spans="2:16" x14ac:dyDescent="0.25">
      <c r="B2793" s="23"/>
      <c r="E2793" s="23"/>
      <c r="G2793" s="23"/>
      <c r="H2793" s="23"/>
      <c r="J2793" s="23"/>
      <c r="K2793" s="23"/>
      <c r="M2793" s="23"/>
      <c r="N2793" s="23"/>
      <c r="P2793" s="23"/>
    </row>
    <row r="2794" spans="2:16" x14ac:dyDescent="0.25">
      <c r="B2794" s="23"/>
      <c r="E2794" s="23"/>
      <c r="G2794" s="23"/>
      <c r="H2794" s="23"/>
      <c r="J2794" s="23"/>
      <c r="K2794" s="23"/>
      <c r="M2794" s="23"/>
      <c r="N2794" s="23"/>
      <c r="P2794" s="23"/>
    </row>
    <row r="2795" spans="2:16" x14ac:dyDescent="0.25">
      <c r="B2795" s="23"/>
      <c r="E2795" s="23"/>
      <c r="G2795" s="23"/>
      <c r="H2795" s="23"/>
      <c r="J2795" s="23"/>
      <c r="K2795" s="23"/>
      <c r="M2795" s="23"/>
      <c r="N2795" s="23"/>
      <c r="P2795" s="23"/>
    </row>
    <row r="2796" spans="2:16" x14ac:dyDescent="0.25">
      <c r="B2796" s="23"/>
      <c r="E2796" s="23"/>
      <c r="G2796" s="23"/>
      <c r="H2796" s="23"/>
      <c r="J2796" s="23"/>
      <c r="K2796" s="23"/>
      <c r="M2796" s="23"/>
      <c r="N2796" s="23"/>
      <c r="P2796" s="23"/>
    </row>
    <row r="2797" spans="2:16" x14ac:dyDescent="0.25">
      <c r="B2797" s="23"/>
      <c r="E2797" s="23"/>
      <c r="G2797" s="23"/>
      <c r="H2797" s="23"/>
      <c r="J2797" s="23"/>
      <c r="K2797" s="23"/>
      <c r="M2797" s="23"/>
      <c r="N2797" s="23"/>
      <c r="P2797" s="23"/>
    </row>
    <row r="2798" spans="2:16" x14ac:dyDescent="0.25">
      <c r="B2798" s="23"/>
      <c r="E2798" s="23"/>
      <c r="G2798" s="23"/>
      <c r="H2798" s="23"/>
      <c r="J2798" s="23"/>
      <c r="K2798" s="23"/>
      <c r="M2798" s="23"/>
      <c r="N2798" s="23"/>
      <c r="P2798" s="23"/>
    </row>
    <row r="2799" spans="2:16" x14ac:dyDescent="0.25">
      <c r="B2799" s="23"/>
      <c r="E2799" s="23"/>
      <c r="G2799" s="23"/>
      <c r="H2799" s="23"/>
      <c r="J2799" s="23"/>
      <c r="K2799" s="23"/>
      <c r="M2799" s="23"/>
      <c r="N2799" s="23"/>
      <c r="P2799" s="23"/>
    </row>
    <row r="2800" spans="2:16" x14ac:dyDescent="0.25">
      <c r="B2800" s="23"/>
      <c r="E2800" s="23"/>
      <c r="G2800" s="23"/>
      <c r="H2800" s="23"/>
      <c r="J2800" s="23"/>
      <c r="K2800" s="23"/>
      <c r="M2800" s="23"/>
      <c r="N2800" s="23"/>
      <c r="P2800" s="23"/>
    </row>
    <row r="2801" spans="2:16" x14ac:dyDescent="0.25">
      <c r="B2801" s="23"/>
      <c r="E2801" s="23"/>
      <c r="G2801" s="23"/>
      <c r="H2801" s="23"/>
      <c r="J2801" s="23"/>
      <c r="K2801" s="23"/>
      <c r="M2801" s="23"/>
      <c r="N2801" s="23"/>
      <c r="P2801" s="23"/>
    </row>
    <row r="2802" spans="2:16" x14ac:dyDescent="0.25">
      <c r="B2802" s="23"/>
      <c r="E2802" s="23"/>
      <c r="G2802" s="23"/>
      <c r="H2802" s="23"/>
      <c r="J2802" s="23"/>
      <c r="K2802" s="23"/>
      <c r="M2802" s="23"/>
      <c r="N2802" s="23"/>
      <c r="P2802" s="23"/>
    </row>
    <row r="2803" spans="2:16" x14ac:dyDescent="0.25">
      <c r="B2803" s="23"/>
      <c r="E2803" s="23"/>
      <c r="G2803" s="23"/>
      <c r="H2803" s="23"/>
      <c r="J2803" s="23"/>
      <c r="K2803" s="23"/>
      <c r="M2803" s="23"/>
      <c r="N2803" s="23"/>
      <c r="P2803" s="23"/>
    </row>
    <row r="2804" spans="2:16" x14ac:dyDescent="0.25">
      <c r="B2804" s="23"/>
      <c r="E2804" s="23"/>
      <c r="G2804" s="23"/>
      <c r="H2804" s="23"/>
      <c r="J2804" s="23"/>
      <c r="K2804" s="23"/>
      <c r="M2804" s="23"/>
      <c r="N2804" s="23"/>
      <c r="P2804" s="23"/>
    </row>
    <row r="2805" spans="2:16" x14ac:dyDescent="0.25">
      <c r="B2805" s="23"/>
      <c r="E2805" s="23"/>
      <c r="G2805" s="23"/>
      <c r="H2805" s="23"/>
      <c r="J2805" s="23"/>
      <c r="K2805" s="23"/>
      <c r="M2805" s="23"/>
      <c r="N2805" s="23"/>
      <c r="P2805" s="23"/>
    </row>
    <row r="2806" spans="2:16" x14ac:dyDescent="0.25">
      <c r="B2806" s="23"/>
      <c r="E2806" s="23"/>
      <c r="G2806" s="23"/>
      <c r="H2806" s="23"/>
      <c r="J2806" s="23"/>
      <c r="K2806" s="23"/>
      <c r="M2806" s="23"/>
      <c r="N2806" s="23"/>
      <c r="P2806" s="23"/>
    </row>
    <row r="2807" spans="2:16" x14ac:dyDescent="0.25">
      <c r="B2807" s="23"/>
      <c r="E2807" s="23"/>
      <c r="G2807" s="23"/>
      <c r="H2807" s="23"/>
      <c r="J2807" s="23"/>
      <c r="K2807" s="23"/>
      <c r="M2807" s="23"/>
      <c r="N2807" s="23"/>
      <c r="P2807" s="23"/>
    </row>
    <row r="2808" spans="2:16" x14ac:dyDescent="0.25">
      <c r="B2808" s="23"/>
      <c r="E2808" s="23"/>
      <c r="G2808" s="23"/>
      <c r="H2808" s="23"/>
      <c r="J2808" s="23"/>
      <c r="K2808" s="23"/>
      <c r="M2808" s="23"/>
      <c r="N2808" s="23"/>
      <c r="P2808" s="23"/>
    </row>
    <row r="2809" spans="2:16" x14ac:dyDescent="0.25">
      <c r="B2809" s="23"/>
      <c r="E2809" s="23"/>
      <c r="G2809" s="23"/>
      <c r="H2809" s="23"/>
      <c r="J2809" s="23"/>
      <c r="K2809" s="23"/>
      <c r="M2809" s="23"/>
      <c r="N2809" s="23"/>
      <c r="P2809" s="23"/>
    </row>
    <row r="2810" spans="2:16" x14ac:dyDescent="0.25">
      <c r="B2810" s="23"/>
      <c r="E2810" s="23"/>
      <c r="G2810" s="23"/>
      <c r="H2810" s="23"/>
      <c r="J2810" s="23"/>
      <c r="K2810" s="23"/>
      <c r="M2810" s="23"/>
      <c r="N2810" s="23"/>
      <c r="P2810" s="23"/>
    </row>
    <row r="2811" spans="2:16" x14ac:dyDescent="0.25">
      <c r="B2811" s="23"/>
      <c r="E2811" s="23"/>
      <c r="G2811" s="23"/>
      <c r="H2811" s="23"/>
      <c r="J2811" s="23"/>
      <c r="K2811" s="23"/>
      <c r="M2811" s="23"/>
      <c r="N2811" s="23"/>
      <c r="P2811" s="23"/>
    </row>
    <row r="2812" spans="2:16" x14ac:dyDescent="0.25">
      <c r="B2812" s="23"/>
      <c r="E2812" s="23"/>
      <c r="G2812" s="23"/>
      <c r="H2812" s="23"/>
      <c r="J2812" s="23"/>
      <c r="K2812" s="23"/>
      <c r="M2812" s="23"/>
      <c r="N2812" s="23"/>
      <c r="P2812" s="23"/>
    </row>
    <row r="2813" spans="2:16" x14ac:dyDescent="0.25">
      <c r="B2813" s="23"/>
      <c r="E2813" s="23"/>
      <c r="G2813" s="23"/>
      <c r="H2813" s="23"/>
      <c r="J2813" s="23"/>
      <c r="K2813" s="23"/>
      <c r="M2813" s="23"/>
      <c r="N2813" s="23"/>
      <c r="P2813" s="23"/>
    </row>
    <row r="2814" spans="2:16" x14ac:dyDescent="0.25">
      <c r="B2814" s="23"/>
      <c r="E2814" s="23"/>
      <c r="G2814" s="23"/>
      <c r="H2814" s="23"/>
      <c r="J2814" s="23"/>
      <c r="K2814" s="23"/>
      <c r="M2814" s="23"/>
      <c r="N2814" s="23"/>
      <c r="P2814" s="23"/>
    </row>
    <row r="2815" spans="2:16" x14ac:dyDescent="0.25">
      <c r="B2815" s="23"/>
      <c r="E2815" s="23"/>
      <c r="G2815" s="23"/>
      <c r="H2815" s="23"/>
      <c r="J2815" s="23"/>
      <c r="K2815" s="23"/>
      <c r="M2815" s="23"/>
      <c r="N2815" s="23"/>
      <c r="P2815" s="23"/>
    </row>
    <row r="2816" spans="2:16" x14ac:dyDescent="0.25">
      <c r="B2816" s="23"/>
      <c r="E2816" s="23"/>
      <c r="G2816" s="23"/>
      <c r="H2816" s="23"/>
      <c r="J2816" s="23"/>
      <c r="K2816" s="23"/>
      <c r="M2816" s="23"/>
      <c r="N2816" s="23"/>
      <c r="P2816" s="23"/>
    </row>
    <row r="2817" spans="2:16" x14ac:dyDescent="0.25">
      <c r="B2817" s="23"/>
      <c r="E2817" s="23"/>
      <c r="G2817" s="23"/>
      <c r="H2817" s="23"/>
      <c r="J2817" s="23"/>
      <c r="K2817" s="23"/>
      <c r="M2817" s="23"/>
      <c r="N2817" s="23"/>
      <c r="P2817" s="23"/>
    </row>
    <row r="2818" spans="2:16" x14ac:dyDescent="0.25">
      <c r="B2818" s="23"/>
      <c r="E2818" s="23"/>
      <c r="G2818" s="23"/>
      <c r="H2818" s="23"/>
      <c r="J2818" s="23"/>
      <c r="K2818" s="23"/>
      <c r="M2818" s="23"/>
      <c r="N2818" s="23"/>
      <c r="P2818" s="23"/>
    </row>
    <row r="2819" spans="2:16" x14ac:dyDescent="0.25">
      <c r="B2819" s="23"/>
      <c r="E2819" s="23"/>
      <c r="G2819" s="23"/>
      <c r="H2819" s="23"/>
      <c r="J2819" s="23"/>
      <c r="K2819" s="23"/>
      <c r="M2819" s="23"/>
      <c r="N2819" s="23"/>
      <c r="P2819" s="23"/>
    </row>
    <row r="2820" spans="2:16" x14ac:dyDescent="0.25">
      <c r="B2820" s="23"/>
      <c r="E2820" s="23"/>
      <c r="G2820" s="23"/>
      <c r="H2820" s="23"/>
      <c r="J2820" s="23"/>
      <c r="K2820" s="23"/>
      <c r="M2820" s="23"/>
      <c r="N2820" s="23"/>
      <c r="P2820" s="23"/>
    </row>
    <row r="2821" spans="2:16" x14ac:dyDescent="0.25">
      <c r="B2821" s="23"/>
      <c r="E2821" s="23"/>
      <c r="G2821" s="23"/>
      <c r="H2821" s="23"/>
      <c r="J2821" s="23"/>
      <c r="K2821" s="23"/>
      <c r="M2821" s="23"/>
      <c r="N2821" s="23"/>
      <c r="P2821" s="23"/>
    </row>
    <row r="2822" spans="2:16" x14ac:dyDescent="0.25">
      <c r="B2822" s="23"/>
      <c r="E2822" s="23"/>
      <c r="G2822" s="23"/>
      <c r="H2822" s="23"/>
      <c r="J2822" s="23"/>
      <c r="K2822" s="23"/>
      <c r="M2822" s="23"/>
      <c r="N2822" s="23"/>
      <c r="P2822" s="23"/>
    </row>
    <row r="2823" spans="2:16" x14ac:dyDescent="0.25">
      <c r="B2823" s="23"/>
      <c r="E2823" s="23"/>
      <c r="G2823" s="23"/>
      <c r="H2823" s="23"/>
      <c r="J2823" s="23"/>
      <c r="K2823" s="23"/>
      <c r="M2823" s="23"/>
      <c r="N2823" s="23"/>
      <c r="P2823" s="23"/>
    </row>
    <row r="2824" spans="2:16" x14ac:dyDescent="0.25">
      <c r="B2824" s="23"/>
      <c r="E2824" s="23"/>
      <c r="G2824" s="23"/>
      <c r="H2824" s="23"/>
      <c r="J2824" s="23"/>
      <c r="K2824" s="23"/>
      <c r="M2824" s="23"/>
      <c r="N2824" s="23"/>
      <c r="P2824" s="23"/>
    </row>
    <row r="2825" spans="2:16" x14ac:dyDescent="0.25">
      <c r="B2825" s="23"/>
      <c r="E2825" s="23"/>
      <c r="G2825" s="23"/>
      <c r="H2825" s="23"/>
      <c r="J2825" s="23"/>
      <c r="K2825" s="23"/>
      <c r="M2825" s="23"/>
      <c r="N2825" s="23"/>
      <c r="P2825" s="23"/>
    </row>
    <row r="2826" spans="2:16" x14ac:dyDescent="0.25">
      <c r="B2826" s="23"/>
      <c r="E2826" s="23"/>
      <c r="G2826" s="23"/>
      <c r="H2826" s="23"/>
      <c r="J2826" s="23"/>
      <c r="K2826" s="23"/>
      <c r="M2826" s="23"/>
      <c r="N2826" s="23"/>
      <c r="P2826" s="23"/>
    </row>
    <row r="2827" spans="2:16" x14ac:dyDescent="0.25">
      <c r="B2827" s="23"/>
      <c r="E2827" s="23"/>
      <c r="G2827" s="23"/>
      <c r="H2827" s="23"/>
      <c r="J2827" s="23"/>
      <c r="K2827" s="23"/>
      <c r="M2827" s="23"/>
      <c r="N2827" s="23"/>
      <c r="P2827" s="23"/>
    </row>
    <row r="2828" spans="2:16" x14ac:dyDescent="0.25">
      <c r="B2828" s="23"/>
      <c r="E2828" s="23"/>
      <c r="G2828" s="23"/>
      <c r="H2828" s="23"/>
      <c r="J2828" s="23"/>
      <c r="K2828" s="23"/>
      <c r="M2828" s="23"/>
      <c r="N2828" s="23"/>
      <c r="P2828" s="23"/>
    </row>
    <row r="2829" spans="2:16" x14ac:dyDescent="0.25">
      <c r="B2829" s="23"/>
      <c r="E2829" s="23"/>
      <c r="G2829" s="23"/>
      <c r="H2829" s="23"/>
      <c r="J2829" s="23"/>
      <c r="K2829" s="23"/>
      <c r="M2829" s="23"/>
      <c r="N2829" s="23"/>
      <c r="P2829" s="23"/>
    </row>
    <row r="2830" spans="2:16" x14ac:dyDescent="0.25">
      <c r="B2830" s="23"/>
      <c r="E2830" s="23"/>
      <c r="G2830" s="23"/>
      <c r="H2830" s="23"/>
      <c r="J2830" s="23"/>
      <c r="K2830" s="23"/>
      <c r="M2830" s="23"/>
      <c r="N2830" s="23"/>
      <c r="P2830" s="23"/>
    </row>
    <row r="2831" spans="2:16" x14ac:dyDescent="0.25">
      <c r="B2831" s="23"/>
      <c r="E2831" s="23"/>
      <c r="G2831" s="23"/>
      <c r="H2831" s="23"/>
      <c r="J2831" s="23"/>
      <c r="K2831" s="23"/>
      <c r="M2831" s="23"/>
      <c r="N2831" s="23"/>
      <c r="P2831" s="23"/>
    </row>
    <row r="2832" spans="2:16" x14ac:dyDescent="0.25">
      <c r="B2832" s="23"/>
      <c r="E2832" s="23"/>
      <c r="G2832" s="23"/>
      <c r="H2832" s="23"/>
      <c r="J2832" s="23"/>
      <c r="K2832" s="23"/>
      <c r="M2832" s="23"/>
      <c r="N2832" s="23"/>
      <c r="P2832" s="23"/>
    </row>
    <row r="2833" spans="2:16" x14ac:dyDescent="0.25">
      <c r="B2833" s="23"/>
      <c r="E2833" s="23"/>
      <c r="G2833" s="23"/>
      <c r="H2833" s="23"/>
      <c r="J2833" s="23"/>
      <c r="K2833" s="23"/>
      <c r="M2833" s="23"/>
      <c r="N2833" s="23"/>
      <c r="P2833" s="23"/>
    </row>
    <row r="2834" spans="2:16" x14ac:dyDescent="0.25">
      <c r="B2834" s="23"/>
      <c r="E2834" s="23"/>
      <c r="G2834" s="23"/>
      <c r="H2834" s="23"/>
      <c r="J2834" s="23"/>
      <c r="K2834" s="23"/>
      <c r="M2834" s="23"/>
      <c r="N2834" s="23"/>
      <c r="P2834" s="23"/>
    </row>
    <row r="2835" spans="2:16" x14ac:dyDescent="0.25">
      <c r="B2835" s="23"/>
      <c r="E2835" s="23"/>
      <c r="G2835" s="23"/>
      <c r="H2835" s="23"/>
      <c r="J2835" s="23"/>
      <c r="K2835" s="23"/>
      <c r="M2835" s="23"/>
      <c r="N2835" s="23"/>
      <c r="P2835" s="23"/>
    </row>
    <row r="2836" spans="2:16" x14ac:dyDescent="0.25">
      <c r="B2836" s="23"/>
      <c r="E2836" s="23"/>
      <c r="G2836" s="23"/>
      <c r="H2836" s="23"/>
      <c r="J2836" s="23"/>
      <c r="K2836" s="23"/>
      <c r="M2836" s="23"/>
      <c r="N2836" s="23"/>
      <c r="P2836" s="23"/>
    </row>
    <row r="2837" spans="2:16" x14ac:dyDescent="0.25">
      <c r="B2837" s="23"/>
      <c r="E2837" s="23"/>
      <c r="G2837" s="23"/>
      <c r="H2837" s="23"/>
      <c r="J2837" s="23"/>
      <c r="K2837" s="23"/>
      <c r="M2837" s="23"/>
      <c r="N2837" s="23"/>
      <c r="P2837" s="23"/>
    </row>
    <row r="2838" spans="2:16" x14ac:dyDescent="0.25">
      <c r="B2838" s="23"/>
      <c r="E2838" s="23"/>
      <c r="G2838" s="23"/>
      <c r="H2838" s="23"/>
      <c r="J2838" s="23"/>
      <c r="K2838" s="23"/>
      <c r="M2838" s="23"/>
      <c r="N2838" s="23"/>
      <c r="P2838" s="23"/>
    </row>
    <row r="2839" spans="2:16" x14ac:dyDescent="0.25">
      <c r="B2839" s="23"/>
      <c r="E2839" s="23"/>
      <c r="G2839" s="23"/>
      <c r="H2839" s="23"/>
      <c r="J2839" s="23"/>
      <c r="K2839" s="23"/>
      <c r="M2839" s="23"/>
      <c r="N2839" s="23"/>
      <c r="P2839" s="23"/>
    </row>
    <row r="2840" spans="2:16" x14ac:dyDescent="0.25">
      <c r="B2840" s="23"/>
      <c r="E2840" s="23"/>
      <c r="G2840" s="23"/>
      <c r="H2840" s="23"/>
      <c r="J2840" s="23"/>
      <c r="K2840" s="23"/>
      <c r="M2840" s="23"/>
      <c r="N2840" s="23"/>
      <c r="P2840" s="23"/>
    </row>
    <row r="2841" spans="2:16" x14ac:dyDescent="0.25">
      <c r="B2841" s="23"/>
      <c r="E2841" s="23"/>
      <c r="G2841" s="23"/>
      <c r="H2841" s="23"/>
      <c r="J2841" s="23"/>
      <c r="K2841" s="23"/>
      <c r="M2841" s="23"/>
      <c r="N2841" s="23"/>
      <c r="P2841" s="23"/>
    </row>
    <row r="2842" spans="2:16" x14ac:dyDescent="0.25">
      <c r="B2842" s="23"/>
      <c r="E2842" s="23"/>
      <c r="G2842" s="23"/>
      <c r="H2842" s="23"/>
      <c r="J2842" s="23"/>
      <c r="K2842" s="23"/>
      <c r="M2842" s="23"/>
      <c r="N2842" s="23"/>
      <c r="P2842" s="23"/>
    </row>
    <row r="2843" spans="2:16" x14ac:dyDescent="0.25">
      <c r="B2843" s="23"/>
      <c r="E2843" s="23"/>
      <c r="G2843" s="23"/>
      <c r="H2843" s="23"/>
      <c r="J2843" s="23"/>
      <c r="K2843" s="23"/>
      <c r="M2843" s="23"/>
      <c r="N2843" s="23"/>
      <c r="P2843" s="23"/>
    </row>
    <row r="2844" spans="2:16" x14ac:dyDescent="0.25">
      <c r="B2844" s="23"/>
      <c r="E2844" s="23"/>
      <c r="G2844" s="23"/>
      <c r="H2844" s="23"/>
      <c r="J2844" s="23"/>
      <c r="K2844" s="23"/>
      <c r="M2844" s="23"/>
      <c r="N2844" s="23"/>
      <c r="P2844" s="23"/>
    </row>
    <row r="2845" spans="2:16" x14ac:dyDescent="0.25">
      <c r="B2845" s="23"/>
      <c r="E2845" s="23"/>
      <c r="G2845" s="23"/>
      <c r="H2845" s="23"/>
      <c r="J2845" s="23"/>
      <c r="K2845" s="23"/>
      <c r="M2845" s="23"/>
      <c r="N2845" s="23"/>
      <c r="P2845" s="23"/>
    </row>
    <row r="2846" spans="2:16" x14ac:dyDescent="0.25">
      <c r="B2846" s="23"/>
      <c r="E2846" s="23"/>
      <c r="G2846" s="23"/>
      <c r="H2846" s="23"/>
      <c r="J2846" s="23"/>
      <c r="K2846" s="23"/>
      <c r="M2846" s="23"/>
      <c r="N2846" s="23"/>
      <c r="P2846" s="23"/>
    </row>
    <row r="2847" spans="2:16" x14ac:dyDescent="0.25">
      <c r="B2847" s="23"/>
      <c r="E2847" s="23"/>
      <c r="G2847" s="23"/>
      <c r="H2847" s="23"/>
      <c r="J2847" s="23"/>
      <c r="K2847" s="23"/>
      <c r="M2847" s="23"/>
      <c r="N2847" s="23"/>
      <c r="P2847" s="23"/>
    </row>
    <row r="2848" spans="2:16" x14ac:dyDescent="0.25">
      <c r="B2848" s="23"/>
      <c r="E2848" s="23"/>
      <c r="G2848" s="23"/>
      <c r="H2848" s="23"/>
      <c r="J2848" s="23"/>
      <c r="K2848" s="23"/>
      <c r="M2848" s="23"/>
      <c r="N2848" s="23"/>
      <c r="P2848" s="23"/>
    </row>
    <row r="2849" spans="2:16" x14ac:dyDescent="0.25">
      <c r="B2849" s="23"/>
      <c r="E2849" s="23"/>
      <c r="G2849" s="23"/>
      <c r="H2849" s="23"/>
      <c r="J2849" s="23"/>
      <c r="K2849" s="23"/>
      <c r="M2849" s="23"/>
      <c r="N2849" s="23"/>
      <c r="P2849" s="23"/>
    </row>
    <row r="2850" spans="2:16" x14ac:dyDescent="0.25">
      <c r="B2850" s="23"/>
      <c r="E2850" s="23"/>
      <c r="G2850" s="23"/>
      <c r="H2850" s="23"/>
      <c r="J2850" s="23"/>
      <c r="K2850" s="23"/>
      <c r="M2850" s="23"/>
      <c r="N2850" s="23"/>
      <c r="P2850" s="23"/>
    </row>
    <row r="2851" spans="2:16" x14ac:dyDescent="0.25">
      <c r="B2851" s="23"/>
      <c r="E2851" s="23"/>
      <c r="G2851" s="23"/>
      <c r="H2851" s="23"/>
      <c r="J2851" s="23"/>
      <c r="K2851" s="23"/>
      <c r="M2851" s="23"/>
      <c r="N2851" s="23"/>
      <c r="P2851" s="23"/>
    </row>
    <row r="2852" spans="2:16" x14ac:dyDescent="0.25">
      <c r="B2852" s="23"/>
      <c r="E2852" s="23"/>
      <c r="G2852" s="23"/>
      <c r="H2852" s="23"/>
      <c r="J2852" s="23"/>
      <c r="K2852" s="23"/>
      <c r="M2852" s="23"/>
      <c r="N2852" s="23"/>
      <c r="P2852" s="23"/>
    </row>
    <row r="2853" spans="2:16" x14ac:dyDescent="0.25">
      <c r="B2853" s="23"/>
      <c r="E2853" s="23"/>
      <c r="G2853" s="23"/>
      <c r="H2853" s="23"/>
      <c r="J2853" s="23"/>
      <c r="K2853" s="23"/>
      <c r="M2853" s="23"/>
      <c r="N2853" s="23"/>
      <c r="P2853" s="23"/>
    </row>
    <row r="2854" spans="2:16" x14ac:dyDescent="0.25">
      <c r="B2854" s="23"/>
      <c r="E2854" s="23"/>
      <c r="G2854" s="23"/>
      <c r="H2854" s="23"/>
      <c r="J2854" s="23"/>
      <c r="K2854" s="23"/>
      <c r="M2854" s="23"/>
      <c r="N2854" s="23"/>
      <c r="P2854" s="23"/>
    </row>
    <row r="2855" spans="2:16" x14ac:dyDescent="0.25">
      <c r="B2855" s="23"/>
      <c r="E2855" s="23"/>
      <c r="G2855" s="23"/>
      <c r="H2855" s="23"/>
      <c r="J2855" s="23"/>
      <c r="K2855" s="23"/>
      <c r="M2855" s="23"/>
      <c r="N2855" s="23"/>
      <c r="P2855" s="23"/>
    </row>
    <row r="2856" spans="2:16" x14ac:dyDescent="0.25">
      <c r="B2856" s="23"/>
      <c r="E2856" s="23"/>
      <c r="G2856" s="23"/>
      <c r="H2856" s="23"/>
      <c r="J2856" s="23"/>
      <c r="K2856" s="23"/>
      <c r="M2856" s="23"/>
      <c r="N2856" s="23"/>
      <c r="P2856" s="23"/>
    </row>
    <row r="2857" spans="2:16" x14ac:dyDescent="0.25">
      <c r="B2857" s="23"/>
      <c r="E2857" s="23"/>
      <c r="G2857" s="23"/>
      <c r="H2857" s="23"/>
      <c r="J2857" s="23"/>
      <c r="K2857" s="23"/>
      <c r="M2857" s="23"/>
      <c r="N2857" s="23"/>
      <c r="P2857" s="23"/>
    </row>
    <row r="2858" spans="2:16" x14ac:dyDescent="0.25">
      <c r="B2858" s="23"/>
      <c r="E2858" s="23"/>
      <c r="G2858" s="23"/>
      <c r="H2858" s="23"/>
      <c r="J2858" s="23"/>
      <c r="K2858" s="23"/>
      <c r="M2858" s="23"/>
      <c r="N2858" s="23"/>
      <c r="P2858" s="23"/>
    </row>
    <row r="2859" spans="2:16" x14ac:dyDescent="0.25">
      <c r="B2859" s="23"/>
      <c r="E2859" s="23"/>
      <c r="G2859" s="23"/>
      <c r="H2859" s="23"/>
      <c r="J2859" s="23"/>
      <c r="K2859" s="23"/>
      <c r="M2859" s="23"/>
      <c r="N2859" s="23"/>
      <c r="P2859" s="23"/>
    </row>
    <row r="2860" spans="2:16" x14ac:dyDescent="0.25">
      <c r="B2860" s="23"/>
      <c r="E2860" s="23"/>
      <c r="G2860" s="23"/>
      <c r="H2860" s="23"/>
      <c r="J2860" s="23"/>
      <c r="K2860" s="23"/>
      <c r="M2860" s="23"/>
      <c r="N2860" s="23"/>
      <c r="P2860" s="23"/>
    </row>
    <row r="2861" spans="2:16" x14ac:dyDescent="0.25">
      <c r="B2861" s="23"/>
      <c r="E2861" s="23"/>
      <c r="G2861" s="23"/>
      <c r="H2861" s="23"/>
      <c r="J2861" s="23"/>
      <c r="K2861" s="23"/>
      <c r="M2861" s="23"/>
      <c r="N2861" s="23"/>
      <c r="P2861" s="23"/>
    </row>
    <row r="2862" spans="2:16" x14ac:dyDescent="0.25">
      <c r="B2862" s="23"/>
      <c r="E2862" s="23"/>
      <c r="G2862" s="23"/>
      <c r="H2862" s="23"/>
      <c r="J2862" s="23"/>
      <c r="K2862" s="23"/>
      <c r="M2862" s="23"/>
      <c r="N2862" s="23"/>
      <c r="P2862" s="23"/>
    </row>
    <row r="2863" spans="2:16" x14ac:dyDescent="0.25">
      <c r="B2863" s="23"/>
      <c r="E2863" s="23"/>
      <c r="G2863" s="23"/>
      <c r="H2863" s="23"/>
      <c r="J2863" s="23"/>
      <c r="K2863" s="23"/>
      <c r="M2863" s="23"/>
      <c r="N2863" s="23"/>
      <c r="P2863" s="23"/>
    </row>
    <row r="2864" spans="2:16" x14ac:dyDescent="0.25">
      <c r="B2864" s="23"/>
      <c r="E2864" s="23"/>
      <c r="G2864" s="23"/>
      <c r="H2864" s="23"/>
      <c r="J2864" s="23"/>
      <c r="K2864" s="23"/>
      <c r="M2864" s="23"/>
      <c r="N2864" s="23"/>
      <c r="P2864" s="23"/>
    </row>
    <row r="2865" spans="2:16" x14ac:dyDescent="0.25">
      <c r="B2865" s="23"/>
      <c r="E2865" s="23"/>
      <c r="G2865" s="23"/>
      <c r="H2865" s="23"/>
      <c r="J2865" s="23"/>
      <c r="K2865" s="23"/>
      <c r="M2865" s="23"/>
      <c r="N2865" s="23"/>
      <c r="P2865" s="23"/>
    </row>
    <row r="2866" spans="2:16" x14ac:dyDescent="0.25">
      <c r="B2866" s="23"/>
      <c r="E2866" s="23"/>
      <c r="G2866" s="23"/>
      <c r="H2866" s="23"/>
      <c r="J2866" s="23"/>
      <c r="K2866" s="23"/>
      <c r="M2866" s="23"/>
      <c r="N2866" s="23"/>
      <c r="P2866" s="23"/>
    </row>
    <row r="2867" spans="2:16" x14ac:dyDescent="0.25">
      <c r="B2867" s="23"/>
      <c r="E2867" s="23"/>
      <c r="G2867" s="23"/>
      <c r="H2867" s="23"/>
      <c r="J2867" s="23"/>
      <c r="K2867" s="23"/>
      <c r="M2867" s="23"/>
      <c r="N2867" s="23"/>
      <c r="P2867" s="23"/>
    </row>
    <row r="2868" spans="2:16" x14ac:dyDescent="0.25">
      <c r="B2868" s="23"/>
      <c r="E2868" s="23"/>
      <c r="G2868" s="23"/>
      <c r="H2868" s="23"/>
      <c r="J2868" s="23"/>
      <c r="K2868" s="23"/>
      <c r="M2868" s="23"/>
      <c r="N2868" s="23"/>
      <c r="P2868" s="23"/>
    </row>
    <row r="2869" spans="2:16" x14ac:dyDescent="0.25">
      <c r="B2869" s="23"/>
      <c r="E2869" s="23"/>
      <c r="G2869" s="23"/>
      <c r="H2869" s="23"/>
      <c r="J2869" s="23"/>
      <c r="K2869" s="23"/>
      <c r="M2869" s="23"/>
      <c r="N2869" s="23"/>
      <c r="P2869" s="23"/>
    </row>
    <row r="2870" spans="2:16" x14ac:dyDescent="0.25">
      <c r="B2870" s="23"/>
      <c r="E2870" s="23"/>
      <c r="G2870" s="23"/>
      <c r="H2870" s="23"/>
      <c r="J2870" s="23"/>
      <c r="K2870" s="23"/>
      <c r="M2870" s="23"/>
      <c r="N2870" s="23"/>
      <c r="P2870" s="23"/>
    </row>
    <row r="2871" spans="2:16" x14ac:dyDescent="0.25">
      <c r="B2871" s="23"/>
      <c r="E2871" s="23"/>
      <c r="G2871" s="23"/>
      <c r="H2871" s="23"/>
      <c r="J2871" s="23"/>
      <c r="K2871" s="23"/>
      <c r="M2871" s="23"/>
      <c r="N2871" s="23"/>
      <c r="P2871" s="23"/>
    </row>
    <row r="2872" spans="2:16" x14ac:dyDescent="0.25">
      <c r="B2872" s="23"/>
      <c r="E2872" s="23"/>
      <c r="G2872" s="23"/>
      <c r="H2872" s="23"/>
      <c r="J2872" s="23"/>
      <c r="K2872" s="23"/>
      <c r="M2872" s="23"/>
      <c r="N2872" s="23"/>
      <c r="P2872" s="23"/>
    </row>
    <row r="2873" spans="2:16" x14ac:dyDescent="0.25">
      <c r="B2873" s="23"/>
      <c r="E2873" s="23"/>
      <c r="G2873" s="23"/>
      <c r="H2873" s="23"/>
      <c r="J2873" s="23"/>
      <c r="K2873" s="23"/>
      <c r="M2873" s="23"/>
      <c r="N2873" s="23"/>
      <c r="P2873" s="23"/>
    </row>
    <row r="2874" spans="2:16" x14ac:dyDescent="0.25">
      <c r="B2874" s="23"/>
      <c r="E2874" s="23"/>
      <c r="G2874" s="23"/>
      <c r="H2874" s="23"/>
      <c r="J2874" s="23"/>
      <c r="K2874" s="23"/>
      <c r="M2874" s="23"/>
      <c r="N2874" s="23"/>
      <c r="P2874" s="23"/>
    </row>
    <row r="2875" spans="2:16" x14ac:dyDescent="0.25">
      <c r="B2875" s="23"/>
      <c r="E2875" s="23"/>
      <c r="G2875" s="23"/>
      <c r="H2875" s="23"/>
      <c r="J2875" s="23"/>
      <c r="K2875" s="23"/>
      <c r="M2875" s="23"/>
      <c r="N2875" s="23"/>
      <c r="P2875" s="23"/>
    </row>
    <row r="2876" spans="2:16" x14ac:dyDescent="0.25">
      <c r="B2876" s="23"/>
      <c r="E2876" s="23"/>
      <c r="G2876" s="23"/>
      <c r="H2876" s="23"/>
      <c r="J2876" s="23"/>
      <c r="K2876" s="23"/>
      <c r="M2876" s="23"/>
      <c r="N2876" s="23"/>
      <c r="P2876" s="23"/>
    </row>
    <row r="2877" spans="2:16" x14ac:dyDescent="0.25">
      <c r="B2877" s="23"/>
      <c r="E2877" s="23"/>
      <c r="G2877" s="23"/>
      <c r="H2877" s="23"/>
      <c r="J2877" s="23"/>
      <c r="K2877" s="23"/>
      <c r="M2877" s="23"/>
      <c r="N2877" s="23"/>
      <c r="P2877" s="23"/>
    </row>
    <row r="2878" spans="2:16" x14ac:dyDescent="0.25">
      <c r="B2878" s="23"/>
      <c r="E2878" s="23"/>
      <c r="G2878" s="23"/>
      <c r="H2878" s="23"/>
      <c r="J2878" s="23"/>
      <c r="K2878" s="23"/>
      <c r="M2878" s="23"/>
      <c r="N2878" s="23"/>
      <c r="P2878" s="23"/>
    </row>
    <row r="2879" spans="2:16" x14ac:dyDescent="0.25">
      <c r="B2879" s="23"/>
      <c r="E2879" s="23"/>
      <c r="G2879" s="23"/>
      <c r="H2879" s="23"/>
      <c r="J2879" s="23"/>
      <c r="K2879" s="23"/>
      <c r="M2879" s="23"/>
      <c r="N2879" s="23"/>
      <c r="P2879" s="23"/>
    </row>
    <row r="2880" spans="2:16" x14ac:dyDescent="0.25">
      <c r="B2880" s="23"/>
      <c r="E2880" s="23"/>
      <c r="G2880" s="23"/>
      <c r="H2880" s="23"/>
      <c r="J2880" s="23"/>
      <c r="K2880" s="23"/>
      <c r="M2880" s="23"/>
      <c r="N2880" s="23"/>
      <c r="P2880" s="23"/>
    </row>
    <row r="2881" spans="2:16" x14ac:dyDescent="0.25">
      <c r="B2881" s="23"/>
      <c r="E2881" s="23"/>
      <c r="G2881" s="23"/>
      <c r="H2881" s="23"/>
      <c r="J2881" s="23"/>
      <c r="K2881" s="23"/>
      <c r="M2881" s="23"/>
      <c r="N2881" s="23"/>
      <c r="P2881" s="23"/>
    </row>
    <row r="2882" spans="2:16" x14ac:dyDescent="0.25">
      <c r="B2882" s="23"/>
      <c r="E2882" s="23"/>
      <c r="G2882" s="23"/>
      <c r="H2882" s="23"/>
      <c r="J2882" s="23"/>
      <c r="K2882" s="23"/>
      <c r="M2882" s="23"/>
      <c r="N2882" s="23"/>
      <c r="P2882" s="23"/>
    </row>
    <row r="2883" spans="2:16" x14ac:dyDescent="0.25">
      <c r="B2883" s="23"/>
      <c r="E2883" s="23"/>
      <c r="G2883" s="23"/>
      <c r="H2883" s="23"/>
      <c r="J2883" s="23"/>
      <c r="K2883" s="23"/>
      <c r="M2883" s="23"/>
      <c r="N2883" s="23"/>
      <c r="P2883" s="23"/>
    </row>
    <row r="2884" spans="2:16" x14ac:dyDescent="0.25">
      <c r="B2884" s="23"/>
      <c r="E2884" s="23"/>
      <c r="G2884" s="23"/>
      <c r="H2884" s="23"/>
      <c r="J2884" s="23"/>
      <c r="K2884" s="23"/>
      <c r="M2884" s="23"/>
      <c r="N2884" s="23"/>
      <c r="P2884" s="23"/>
    </row>
    <row r="2885" spans="2:16" x14ac:dyDescent="0.25">
      <c r="B2885" s="23"/>
      <c r="E2885" s="23"/>
      <c r="G2885" s="23"/>
      <c r="H2885" s="23"/>
      <c r="J2885" s="23"/>
      <c r="K2885" s="23"/>
      <c r="M2885" s="23"/>
      <c r="N2885" s="23"/>
      <c r="P2885" s="23"/>
    </row>
    <row r="2886" spans="2:16" x14ac:dyDescent="0.25">
      <c r="B2886" s="23"/>
      <c r="E2886" s="23"/>
      <c r="G2886" s="23"/>
      <c r="H2886" s="23"/>
      <c r="J2886" s="23"/>
      <c r="K2886" s="23"/>
      <c r="M2886" s="23"/>
      <c r="N2886" s="23"/>
      <c r="P2886" s="23"/>
    </row>
    <row r="2887" spans="2:16" x14ac:dyDescent="0.25">
      <c r="B2887" s="23"/>
      <c r="E2887" s="23"/>
      <c r="G2887" s="23"/>
      <c r="H2887" s="23"/>
      <c r="J2887" s="23"/>
      <c r="K2887" s="23"/>
      <c r="M2887" s="23"/>
      <c r="N2887" s="23"/>
      <c r="P2887" s="23"/>
    </row>
    <row r="2888" spans="2:16" x14ac:dyDescent="0.25">
      <c r="B2888" s="23"/>
      <c r="E2888" s="23"/>
      <c r="G2888" s="23"/>
      <c r="H2888" s="23"/>
      <c r="J2888" s="23"/>
      <c r="K2888" s="23"/>
      <c r="M2888" s="23"/>
      <c r="N2888" s="23"/>
      <c r="P2888" s="23"/>
    </row>
    <row r="2889" spans="2:16" x14ac:dyDescent="0.25">
      <c r="B2889" s="23"/>
      <c r="E2889" s="23"/>
      <c r="G2889" s="23"/>
      <c r="H2889" s="23"/>
      <c r="J2889" s="23"/>
      <c r="K2889" s="23"/>
      <c r="M2889" s="23"/>
      <c r="N2889" s="23"/>
      <c r="P2889" s="23"/>
    </row>
    <row r="2890" spans="2:16" x14ac:dyDescent="0.25">
      <c r="B2890" s="23"/>
      <c r="E2890" s="23"/>
      <c r="G2890" s="23"/>
      <c r="H2890" s="23"/>
      <c r="J2890" s="23"/>
      <c r="K2890" s="23"/>
      <c r="M2890" s="23"/>
      <c r="N2890" s="23"/>
      <c r="P2890" s="23"/>
    </row>
    <row r="2891" spans="2:16" x14ac:dyDescent="0.25">
      <c r="B2891" s="23"/>
      <c r="E2891" s="23"/>
      <c r="G2891" s="23"/>
      <c r="H2891" s="23"/>
      <c r="J2891" s="23"/>
      <c r="K2891" s="23"/>
      <c r="M2891" s="23"/>
      <c r="N2891" s="23"/>
      <c r="P2891" s="23"/>
    </row>
    <row r="2892" spans="2:16" x14ac:dyDescent="0.25">
      <c r="B2892" s="23"/>
      <c r="E2892" s="23"/>
      <c r="G2892" s="23"/>
      <c r="H2892" s="23"/>
      <c r="J2892" s="23"/>
      <c r="K2892" s="23"/>
      <c r="M2892" s="23"/>
      <c r="N2892" s="23"/>
      <c r="P2892" s="23"/>
    </row>
    <row r="2893" spans="2:16" x14ac:dyDescent="0.25">
      <c r="B2893" s="23"/>
      <c r="E2893" s="23"/>
      <c r="G2893" s="23"/>
      <c r="H2893" s="23"/>
      <c r="J2893" s="23"/>
      <c r="K2893" s="23"/>
      <c r="M2893" s="23"/>
      <c r="N2893" s="23"/>
      <c r="P2893" s="23"/>
    </row>
    <row r="2894" spans="2:16" x14ac:dyDescent="0.25">
      <c r="B2894" s="23"/>
      <c r="E2894" s="23"/>
      <c r="G2894" s="23"/>
      <c r="H2894" s="23"/>
      <c r="J2894" s="23"/>
      <c r="K2894" s="23"/>
      <c r="M2894" s="23"/>
      <c r="N2894" s="23"/>
      <c r="P2894" s="23"/>
    </row>
    <row r="2895" spans="2:16" x14ac:dyDescent="0.25">
      <c r="B2895" s="23"/>
      <c r="E2895" s="23"/>
      <c r="G2895" s="23"/>
      <c r="H2895" s="23"/>
      <c r="J2895" s="23"/>
      <c r="K2895" s="23"/>
      <c r="M2895" s="23"/>
      <c r="N2895" s="23"/>
      <c r="P2895" s="23"/>
    </row>
    <row r="2896" spans="2:16" x14ac:dyDescent="0.25">
      <c r="B2896" s="23"/>
      <c r="E2896" s="23"/>
      <c r="G2896" s="23"/>
      <c r="H2896" s="23"/>
      <c r="J2896" s="23"/>
      <c r="K2896" s="23"/>
      <c r="M2896" s="23"/>
      <c r="N2896" s="23"/>
      <c r="P2896" s="23"/>
    </row>
    <row r="2897" spans="2:16" x14ac:dyDescent="0.25">
      <c r="B2897" s="23"/>
      <c r="E2897" s="23"/>
      <c r="G2897" s="23"/>
      <c r="H2897" s="23"/>
      <c r="J2897" s="23"/>
      <c r="K2897" s="23"/>
      <c r="M2897" s="23"/>
      <c r="N2897" s="23"/>
      <c r="P2897" s="23"/>
    </row>
    <row r="2898" spans="2:16" x14ac:dyDescent="0.25">
      <c r="B2898" s="23"/>
      <c r="E2898" s="23"/>
      <c r="G2898" s="23"/>
      <c r="H2898" s="23"/>
      <c r="J2898" s="23"/>
      <c r="K2898" s="23"/>
      <c r="M2898" s="23"/>
      <c r="N2898" s="23"/>
      <c r="P2898" s="23"/>
    </row>
    <row r="2899" spans="2:16" x14ac:dyDescent="0.25">
      <c r="B2899" s="23"/>
      <c r="E2899" s="23"/>
      <c r="G2899" s="23"/>
      <c r="H2899" s="23"/>
      <c r="J2899" s="23"/>
      <c r="K2899" s="23"/>
      <c r="M2899" s="23"/>
      <c r="N2899" s="23"/>
      <c r="P2899" s="23"/>
    </row>
    <row r="2900" spans="2:16" x14ac:dyDescent="0.25">
      <c r="B2900" s="23"/>
      <c r="E2900" s="23"/>
      <c r="G2900" s="23"/>
      <c r="H2900" s="23"/>
      <c r="J2900" s="23"/>
      <c r="K2900" s="23"/>
      <c r="M2900" s="23"/>
      <c r="N2900" s="23"/>
      <c r="P2900" s="23"/>
    </row>
    <row r="2901" spans="2:16" x14ac:dyDescent="0.25">
      <c r="B2901" s="23"/>
      <c r="E2901" s="23"/>
      <c r="G2901" s="23"/>
      <c r="H2901" s="23"/>
      <c r="J2901" s="23"/>
      <c r="K2901" s="23"/>
      <c r="M2901" s="23"/>
      <c r="N2901" s="23"/>
      <c r="P2901" s="23"/>
    </row>
    <row r="2902" spans="2:16" x14ac:dyDescent="0.25">
      <c r="B2902" s="23"/>
      <c r="E2902" s="23"/>
      <c r="G2902" s="23"/>
      <c r="H2902" s="23"/>
      <c r="J2902" s="23"/>
      <c r="K2902" s="23"/>
      <c r="M2902" s="23"/>
      <c r="N2902" s="23"/>
      <c r="P2902" s="23"/>
    </row>
    <row r="2903" spans="2:16" x14ac:dyDescent="0.25">
      <c r="B2903" s="23"/>
      <c r="E2903" s="23"/>
      <c r="G2903" s="23"/>
      <c r="H2903" s="23"/>
      <c r="J2903" s="23"/>
      <c r="K2903" s="23"/>
      <c r="M2903" s="23"/>
      <c r="N2903" s="23"/>
      <c r="P2903" s="23"/>
    </row>
    <row r="2904" spans="2:16" x14ac:dyDescent="0.25">
      <c r="B2904" s="23"/>
      <c r="E2904" s="23"/>
      <c r="G2904" s="23"/>
      <c r="H2904" s="23"/>
      <c r="J2904" s="23"/>
      <c r="K2904" s="23"/>
      <c r="M2904" s="23"/>
      <c r="N2904" s="23"/>
      <c r="P2904" s="23"/>
    </row>
    <row r="2905" spans="2:16" x14ac:dyDescent="0.25">
      <c r="B2905" s="23"/>
      <c r="E2905" s="23"/>
      <c r="G2905" s="23"/>
      <c r="H2905" s="23"/>
      <c r="J2905" s="23"/>
      <c r="K2905" s="23"/>
      <c r="M2905" s="23"/>
      <c r="N2905" s="23"/>
      <c r="P2905" s="23"/>
    </row>
    <row r="2906" spans="2:16" x14ac:dyDescent="0.25">
      <c r="B2906" s="23"/>
      <c r="E2906" s="23"/>
      <c r="G2906" s="23"/>
      <c r="H2906" s="23"/>
      <c r="J2906" s="23"/>
      <c r="K2906" s="23"/>
      <c r="M2906" s="23"/>
      <c r="N2906" s="23"/>
      <c r="P2906" s="23"/>
    </row>
    <row r="2907" spans="2:16" x14ac:dyDescent="0.25">
      <c r="B2907" s="23"/>
      <c r="E2907" s="23"/>
      <c r="G2907" s="23"/>
      <c r="H2907" s="23"/>
      <c r="J2907" s="23"/>
      <c r="K2907" s="23"/>
      <c r="M2907" s="23"/>
      <c r="N2907" s="23"/>
      <c r="P2907" s="23"/>
    </row>
    <row r="2908" spans="2:16" x14ac:dyDescent="0.25">
      <c r="B2908" s="23"/>
      <c r="E2908" s="23"/>
      <c r="G2908" s="23"/>
      <c r="H2908" s="23"/>
      <c r="J2908" s="23"/>
      <c r="K2908" s="23"/>
      <c r="M2908" s="23"/>
      <c r="N2908" s="23"/>
      <c r="P2908" s="23"/>
    </row>
    <row r="2909" spans="2:16" x14ac:dyDescent="0.25">
      <c r="B2909" s="23"/>
      <c r="E2909" s="23"/>
      <c r="G2909" s="23"/>
      <c r="H2909" s="23"/>
      <c r="J2909" s="23"/>
      <c r="K2909" s="23"/>
      <c r="M2909" s="23"/>
      <c r="N2909" s="23"/>
      <c r="P2909" s="23"/>
    </row>
    <row r="2910" spans="2:16" x14ac:dyDescent="0.25">
      <c r="B2910" s="23"/>
      <c r="E2910" s="23"/>
      <c r="G2910" s="23"/>
      <c r="H2910" s="23"/>
      <c r="J2910" s="23"/>
      <c r="K2910" s="23"/>
      <c r="M2910" s="23"/>
      <c r="N2910" s="23"/>
      <c r="P2910" s="23"/>
    </row>
    <row r="2911" spans="2:16" x14ac:dyDescent="0.25">
      <c r="B2911" s="23"/>
      <c r="E2911" s="23"/>
      <c r="G2911" s="23"/>
      <c r="H2911" s="23"/>
      <c r="J2911" s="23"/>
      <c r="K2911" s="23"/>
      <c r="M2911" s="23"/>
      <c r="N2911" s="23"/>
      <c r="P2911" s="23"/>
    </row>
    <row r="2912" spans="2:16" x14ac:dyDescent="0.25">
      <c r="B2912" s="23"/>
      <c r="E2912" s="23"/>
      <c r="G2912" s="23"/>
      <c r="H2912" s="23"/>
      <c r="J2912" s="23"/>
      <c r="K2912" s="23"/>
      <c r="M2912" s="23"/>
      <c r="N2912" s="23"/>
      <c r="P2912" s="23"/>
    </row>
    <row r="2913" spans="2:16" x14ac:dyDescent="0.25">
      <c r="B2913" s="23"/>
      <c r="E2913" s="23"/>
      <c r="G2913" s="23"/>
      <c r="H2913" s="23"/>
      <c r="J2913" s="23"/>
      <c r="K2913" s="23"/>
      <c r="M2913" s="23"/>
      <c r="N2913" s="23"/>
      <c r="P2913" s="23"/>
    </row>
    <row r="2914" spans="2:16" x14ac:dyDescent="0.25">
      <c r="B2914" s="23"/>
      <c r="E2914" s="23"/>
      <c r="G2914" s="23"/>
      <c r="H2914" s="23"/>
      <c r="J2914" s="23"/>
      <c r="K2914" s="23"/>
      <c r="M2914" s="23"/>
      <c r="N2914" s="23"/>
      <c r="P2914" s="23"/>
    </row>
    <row r="2915" spans="2:16" x14ac:dyDescent="0.25">
      <c r="B2915" s="23"/>
      <c r="E2915" s="23"/>
      <c r="G2915" s="23"/>
      <c r="H2915" s="23"/>
      <c r="J2915" s="23"/>
      <c r="K2915" s="23"/>
      <c r="M2915" s="23"/>
      <c r="N2915" s="23"/>
      <c r="P2915" s="23"/>
    </row>
    <row r="2916" spans="2:16" x14ac:dyDescent="0.25">
      <c r="B2916" s="23"/>
      <c r="E2916" s="23"/>
      <c r="G2916" s="23"/>
      <c r="H2916" s="23"/>
      <c r="J2916" s="23"/>
      <c r="K2916" s="23"/>
      <c r="M2916" s="23"/>
      <c r="N2916" s="23"/>
      <c r="P2916" s="23"/>
    </row>
    <row r="2917" spans="2:16" x14ac:dyDescent="0.25">
      <c r="B2917" s="23"/>
      <c r="E2917" s="23"/>
      <c r="G2917" s="23"/>
      <c r="H2917" s="23"/>
      <c r="J2917" s="23"/>
      <c r="K2917" s="23"/>
      <c r="M2917" s="23"/>
      <c r="N2917" s="23"/>
      <c r="P2917" s="23"/>
    </row>
    <row r="2918" spans="2:16" x14ac:dyDescent="0.25">
      <c r="B2918" s="23"/>
      <c r="E2918" s="23"/>
      <c r="G2918" s="23"/>
      <c r="H2918" s="23"/>
      <c r="J2918" s="23"/>
      <c r="K2918" s="23"/>
      <c r="M2918" s="23"/>
      <c r="N2918" s="23"/>
      <c r="P2918" s="23"/>
    </row>
    <row r="2919" spans="2:16" x14ac:dyDescent="0.25">
      <c r="B2919" s="23"/>
      <c r="E2919" s="23"/>
      <c r="G2919" s="23"/>
      <c r="H2919" s="23"/>
      <c r="J2919" s="23"/>
      <c r="K2919" s="23"/>
      <c r="M2919" s="23"/>
      <c r="N2919" s="23"/>
      <c r="P2919" s="23"/>
    </row>
    <row r="2920" spans="2:16" x14ac:dyDescent="0.25">
      <c r="B2920" s="23"/>
      <c r="E2920" s="23"/>
      <c r="G2920" s="23"/>
      <c r="H2920" s="23"/>
      <c r="J2920" s="23"/>
      <c r="K2920" s="23"/>
      <c r="M2920" s="23"/>
      <c r="N2920" s="23"/>
      <c r="P2920" s="23"/>
    </row>
    <row r="2921" spans="2:16" x14ac:dyDescent="0.25">
      <c r="B2921" s="23"/>
      <c r="E2921" s="23"/>
      <c r="G2921" s="23"/>
      <c r="H2921" s="23"/>
      <c r="J2921" s="23"/>
      <c r="K2921" s="23"/>
      <c r="M2921" s="23"/>
      <c r="N2921" s="23"/>
      <c r="P2921" s="23"/>
    </row>
    <row r="2922" spans="2:16" x14ac:dyDescent="0.25">
      <c r="B2922" s="23"/>
      <c r="E2922" s="23"/>
      <c r="G2922" s="23"/>
      <c r="H2922" s="23"/>
      <c r="J2922" s="23"/>
      <c r="K2922" s="23"/>
      <c r="M2922" s="23"/>
      <c r="N2922" s="23"/>
      <c r="P2922" s="23"/>
    </row>
    <row r="2923" spans="2:16" x14ac:dyDescent="0.25">
      <c r="B2923" s="23"/>
      <c r="E2923" s="23"/>
      <c r="G2923" s="23"/>
      <c r="H2923" s="23"/>
      <c r="J2923" s="23"/>
      <c r="K2923" s="23"/>
      <c r="M2923" s="23"/>
      <c r="N2923" s="23"/>
      <c r="P2923" s="23"/>
    </row>
    <row r="2924" spans="2:16" x14ac:dyDescent="0.25">
      <c r="B2924" s="23"/>
      <c r="E2924" s="23"/>
      <c r="G2924" s="23"/>
      <c r="H2924" s="23"/>
      <c r="J2924" s="23"/>
      <c r="K2924" s="23"/>
      <c r="M2924" s="23"/>
      <c r="N2924" s="23"/>
      <c r="P2924" s="23"/>
    </row>
    <row r="2925" spans="2:16" x14ac:dyDescent="0.25">
      <c r="B2925" s="23"/>
      <c r="E2925" s="23"/>
      <c r="G2925" s="23"/>
      <c r="H2925" s="23"/>
      <c r="J2925" s="23"/>
      <c r="K2925" s="23"/>
      <c r="M2925" s="23"/>
      <c r="N2925" s="23"/>
      <c r="P2925" s="23"/>
    </row>
    <row r="2926" spans="2:16" x14ac:dyDescent="0.25">
      <c r="B2926" s="23"/>
      <c r="E2926" s="23"/>
      <c r="G2926" s="23"/>
      <c r="H2926" s="23"/>
      <c r="J2926" s="23"/>
      <c r="K2926" s="23"/>
      <c r="M2926" s="23"/>
      <c r="N2926" s="23"/>
      <c r="P2926" s="23"/>
    </row>
    <row r="2927" spans="2:16" x14ac:dyDescent="0.25">
      <c r="B2927" s="23"/>
      <c r="E2927" s="23"/>
      <c r="G2927" s="23"/>
      <c r="H2927" s="23"/>
      <c r="J2927" s="23"/>
      <c r="K2927" s="23"/>
      <c r="M2927" s="23"/>
      <c r="N2927" s="23"/>
      <c r="P2927" s="23"/>
    </row>
    <row r="2928" spans="2:16" x14ac:dyDescent="0.25">
      <c r="B2928" s="23"/>
      <c r="E2928" s="23"/>
      <c r="G2928" s="23"/>
      <c r="H2928" s="23"/>
      <c r="J2928" s="23"/>
      <c r="K2928" s="23"/>
      <c r="M2928" s="23"/>
      <c r="N2928" s="23"/>
      <c r="P2928" s="23"/>
    </row>
    <row r="2929" spans="2:16" x14ac:dyDescent="0.25">
      <c r="B2929" s="23"/>
      <c r="E2929" s="23"/>
      <c r="G2929" s="23"/>
      <c r="H2929" s="23"/>
      <c r="J2929" s="23"/>
      <c r="K2929" s="23"/>
      <c r="M2929" s="23"/>
      <c r="N2929" s="23"/>
      <c r="P2929" s="23"/>
    </row>
    <row r="2930" spans="2:16" x14ac:dyDescent="0.25">
      <c r="B2930" s="23"/>
      <c r="E2930" s="23"/>
      <c r="G2930" s="23"/>
      <c r="H2930" s="23"/>
      <c r="J2930" s="23"/>
      <c r="K2930" s="23"/>
      <c r="M2930" s="23"/>
      <c r="N2930" s="23"/>
      <c r="P2930" s="23"/>
    </row>
    <row r="2931" spans="2:16" x14ac:dyDescent="0.25">
      <c r="B2931" s="23"/>
      <c r="E2931" s="23"/>
      <c r="G2931" s="23"/>
      <c r="H2931" s="23"/>
      <c r="J2931" s="23"/>
      <c r="K2931" s="23"/>
      <c r="M2931" s="23"/>
      <c r="N2931" s="23"/>
      <c r="P2931" s="23"/>
    </row>
    <row r="2932" spans="2:16" x14ac:dyDescent="0.25">
      <c r="B2932" s="23"/>
      <c r="E2932" s="23"/>
      <c r="G2932" s="23"/>
      <c r="H2932" s="23"/>
      <c r="J2932" s="23"/>
      <c r="K2932" s="23"/>
      <c r="M2932" s="23"/>
      <c r="N2932" s="23"/>
      <c r="P2932" s="23"/>
    </row>
    <row r="2933" spans="2:16" x14ac:dyDescent="0.25">
      <c r="B2933" s="23"/>
      <c r="E2933" s="23"/>
      <c r="G2933" s="23"/>
      <c r="H2933" s="23"/>
      <c r="J2933" s="23"/>
      <c r="K2933" s="23"/>
      <c r="M2933" s="23"/>
      <c r="N2933" s="23"/>
      <c r="P2933" s="23"/>
    </row>
    <row r="2934" spans="2:16" x14ac:dyDescent="0.25">
      <c r="B2934" s="23"/>
      <c r="E2934" s="23"/>
      <c r="G2934" s="23"/>
      <c r="H2934" s="23"/>
      <c r="J2934" s="23"/>
      <c r="K2934" s="23"/>
      <c r="M2934" s="23"/>
      <c r="N2934" s="23"/>
      <c r="P2934" s="23"/>
    </row>
    <row r="2935" spans="2:16" x14ac:dyDescent="0.25">
      <c r="B2935" s="23"/>
      <c r="E2935" s="23"/>
      <c r="G2935" s="23"/>
      <c r="H2935" s="23"/>
      <c r="J2935" s="23"/>
      <c r="K2935" s="23"/>
      <c r="M2935" s="23"/>
      <c r="N2935" s="23"/>
      <c r="P2935" s="23"/>
    </row>
    <row r="2936" spans="2:16" x14ac:dyDescent="0.25">
      <c r="B2936" s="23"/>
      <c r="E2936" s="23"/>
      <c r="G2936" s="23"/>
      <c r="H2936" s="23"/>
      <c r="J2936" s="23"/>
      <c r="K2936" s="23"/>
      <c r="M2936" s="23"/>
      <c r="N2936" s="23"/>
      <c r="P2936" s="23"/>
    </row>
    <row r="2937" spans="2:16" x14ac:dyDescent="0.25">
      <c r="B2937" s="23"/>
      <c r="E2937" s="23"/>
      <c r="G2937" s="23"/>
      <c r="H2937" s="23"/>
      <c r="J2937" s="23"/>
      <c r="K2937" s="23"/>
      <c r="M2937" s="23"/>
      <c r="N2937" s="23"/>
      <c r="P2937" s="23"/>
    </row>
    <row r="2938" spans="2:16" x14ac:dyDescent="0.25">
      <c r="B2938" s="23"/>
      <c r="E2938" s="23"/>
      <c r="G2938" s="23"/>
      <c r="H2938" s="23"/>
      <c r="J2938" s="23"/>
      <c r="K2938" s="23"/>
      <c r="M2938" s="23"/>
      <c r="N2938" s="23"/>
      <c r="P2938" s="23"/>
    </row>
    <row r="2939" spans="2:16" x14ac:dyDescent="0.25">
      <c r="B2939" s="23"/>
      <c r="E2939" s="23"/>
      <c r="G2939" s="23"/>
      <c r="H2939" s="23"/>
      <c r="J2939" s="23"/>
      <c r="K2939" s="23"/>
      <c r="M2939" s="23"/>
      <c r="N2939" s="23"/>
      <c r="P2939" s="23"/>
    </row>
    <row r="2940" spans="2:16" x14ac:dyDescent="0.25">
      <c r="B2940" s="23"/>
      <c r="E2940" s="23"/>
      <c r="G2940" s="23"/>
      <c r="H2940" s="23"/>
      <c r="J2940" s="23"/>
      <c r="K2940" s="23"/>
      <c r="M2940" s="23"/>
      <c r="N2940" s="23"/>
      <c r="P2940" s="23"/>
    </row>
    <row r="2941" spans="2:16" x14ac:dyDescent="0.25">
      <c r="B2941" s="23"/>
      <c r="E2941" s="23"/>
      <c r="G2941" s="23"/>
      <c r="H2941" s="23"/>
      <c r="J2941" s="23"/>
      <c r="K2941" s="23"/>
      <c r="M2941" s="23"/>
      <c r="N2941" s="23"/>
      <c r="P2941" s="23"/>
    </row>
    <row r="2942" spans="2:16" x14ac:dyDescent="0.25">
      <c r="B2942" s="23"/>
      <c r="E2942" s="23"/>
      <c r="G2942" s="23"/>
      <c r="H2942" s="23"/>
      <c r="J2942" s="23"/>
      <c r="K2942" s="23"/>
      <c r="M2942" s="23"/>
      <c r="N2942" s="23"/>
      <c r="P2942" s="23"/>
    </row>
    <row r="2943" spans="2:16" x14ac:dyDescent="0.25">
      <c r="B2943" s="23"/>
      <c r="E2943" s="23"/>
      <c r="G2943" s="23"/>
      <c r="H2943" s="23"/>
      <c r="J2943" s="23"/>
      <c r="K2943" s="23"/>
      <c r="M2943" s="23"/>
      <c r="N2943" s="23"/>
      <c r="P2943" s="23"/>
    </row>
    <row r="2944" spans="2:16" x14ac:dyDescent="0.25">
      <c r="B2944" s="23"/>
      <c r="E2944" s="23"/>
      <c r="G2944" s="23"/>
      <c r="H2944" s="23"/>
      <c r="J2944" s="23"/>
      <c r="K2944" s="23"/>
      <c r="M2944" s="23"/>
      <c r="N2944" s="23"/>
      <c r="P2944" s="23"/>
    </row>
    <row r="2945" spans="2:16" x14ac:dyDescent="0.25">
      <c r="B2945" s="23"/>
      <c r="E2945" s="23"/>
      <c r="G2945" s="23"/>
      <c r="H2945" s="23"/>
      <c r="J2945" s="23"/>
      <c r="K2945" s="23"/>
      <c r="M2945" s="23"/>
      <c r="N2945" s="23"/>
      <c r="P2945" s="23"/>
    </row>
    <row r="2946" spans="2:16" x14ac:dyDescent="0.25">
      <c r="B2946" s="23"/>
      <c r="E2946" s="23"/>
      <c r="G2946" s="23"/>
      <c r="H2946" s="23"/>
      <c r="J2946" s="23"/>
      <c r="K2946" s="23"/>
      <c r="M2946" s="23"/>
      <c r="N2946" s="23"/>
      <c r="P2946" s="23"/>
    </row>
    <row r="2947" spans="2:16" x14ac:dyDescent="0.25">
      <c r="B2947" s="23"/>
      <c r="E2947" s="23"/>
      <c r="G2947" s="23"/>
      <c r="H2947" s="23"/>
      <c r="J2947" s="23"/>
      <c r="K2947" s="23"/>
      <c r="M2947" s="23"/>
      <c r="N2947" s="23"/>
      <c r="P2947" s="23"/>
    </row>
    <row r="2948" spans="2:16" x14ac:dyDescent="0.25">
      <c r="B2948" s="23"/>
      <c r="E2948" s="23"/>
      <c r="G2948" s="23"/>
      <c r="H2948" s="23"/>
      <c r="J2948" s="23"/>
      <c r="K2948" s="23"/>
      <c r="M2948" s="23"/>
      <c r="N2948" s="23"/>
      <c r="P2948" s="23"/>
    </row>
    <row r="2949" spans="2:16" x14ac:dyDescent="0.25">
      <c r="B2949" s="23"/>
      <c r="E2949" s="23"/>
      <c r="G2949" s="23"/>
      <c r="H2949" s="23"/>
      <c r="J2949" s="23"/>
      <c r="K2949" s="23"/>
      <c r="M2949" s="23"/>
      <c r="N2949" s="23"/>
      <c r="P2949" s="23"/>
    </row>
    <row r="2950" spans="2:16" x14ac:dyDescent="0.25">
      <c r="B2950" s="23"/>
      <c r="E2950" s="23"/>
      <c r="G2950" s="23"/>
      <c r="H2950" s="23"/>
      <c r="J2950" s="23"/>
      <c r="K2950" s="23"/>
      <c r="M2950" s="23"/>
      <c r="N2950" s="23"/>
      <c r="P2950" s="23"/>
    </row>
    <row r="2951" spans="2:16" x14ac:dyDescent="0.25">
      <c r="B2951" s="23"/>
      <c r="E2951" s="23"/>
      <c r="G2951" s="23"/>
      <c r="H2951" s="23"/>
      <c r="J2951" s="23"/>
      <c r="K2951" s="23"/>
      <c r="M2951" s="23"/>
      <c r="N2951" s="23"/>
      <c r="P2951" s="23"/>
    </row>
    <row r="2952" spans="2:16" x14ac:dyDescent="0.25">
      <c r="B2952" s="23"/>
      <c r="E2952" s="23"/>
      <c r="G2952" s="23"/>
      <c r="H2952" s="23"/>
      <c r="J2952" s="23"/>
      <c r="K2952" s="23"/>
      <c r="M2952" s="23"/>
      <c r="N2952" s="23"/>
      <c r="P2952" s="23"/>
    </row>
    <row r="2953" spans="2:16" x14ac:dyDescent="0.25">
      <c r="B2953" s="23"/>
      <c r="E2953" s="23"/>
      <c r="G2953" s="23"/>
      <c r="H2953" s="23"/>
      <c r="J2953" s="23"/>
      <c r="K2953" s="23"/>
      <c r="M2953" s="23"/>
      <c r="N2953" s="23"/>
      <c r="P2953" s="23"/>
    </row>
    <row r="2954" spans="2:16" x14ac:dyDescent="0.25">
      <c r="B2954" s="23"/>
      <c r="E2954" s="23"/>
      <c r="G2954" s="23"/>
      <c r="H2954" s="23"/>
      <c r="J2954" s="23"/>
      <c r="K2954" s="23"/>
      <c r="M2954" s="23"/>
      <c r="N2954" s="23"/>
      <c r="P2954" s="23"/>
    </row>
    <row r="2955" spans="2:16" x14ac:dyDescent="0.25">
      <c r="B2955" s="23"/>
      <c r="E2955" s="23"/>
      <c r="G2955" s="23"/>
      <c r="H2955" s="23"/>
      <c r="J2955" s="23"/>
      <c r="K2955" s="23"/>
      <c r="M2955" s="23"/>
      <c r="N2955" s="23"/>
      <c r="P2955" s="23"/>
    </row>
    <row r="2956" spans="2:16" x14ac:dyDescent="0.25">
      <c r="B2956" s="23"/>
      <c r="E2956" s="23"/>
      <c r="G2956" s="23"/>
      <c r="H2956" s="23"/>
      <c r="J2956" s="23"/>
      <c r="K2956" s="23"/>
      <c r="M2956" s="23"/>
      <c r="N2956" s="23"/>
      <c r="P2956" s="23"/>
    </row>
    <row r="2957" spans="2:16" x14ac:dyDescent="0.25">
      <c r="B2957" s="23"/>
      <c r="E2957" s="23"/>
      <c r="G2957" s="23"/>
      <c r="H2957" s="23"/>
      <c r="J2957" s="23"/>
      <c r="K2957" s="23"/>
      <c r="M2957" s="23"/>
      <c r="N2957" s="23"/>
      <c r="P2957" s="23"/>
    </row>
    <row r="2958" spans="2:16" x14ac:dyDescent="0.25">
      <c r="B2958" s="23"/>
      <c r="E2958" s="23"/>
      <c r="G2958" s="23"/>
      <c r="H2958" s="23"/>
      <c r="J2958" s="23"/>
      <c r="K2958" s="23"/>
      <c r="M2958" s="23"/>
      <c r="N2958" s="23"/>
      <c r="P2958" s="23"/>
    </row>
    <row r="2959" spans="2:16" x14ac:dyDescent="0.25">
      <c r="B2959" s="23"/>
      <c r="E2959" s="23"/>
      <c r="G2959" s="23"/>
      <c r="H2959" s="23"/>
      <c r="J2959" s="23"/>
      <c r="K2959" s="23"/>
      <c r="M2959" s="23"/>
      <c r="N2959" s="23"/>
      <c r="P2959" s="23"/>
    </row>
    <row r="2960" spans="2:16" x14ac:dyDescent="0.25">
      <c r="B2960" s="23"/>
      <c r="E2960" s="23"/>
      <c r="G2960" s="23"/>
      <c r="H2960" s="23"/>
      <c r="J2960" s="23"/>
      <c r="K2960" s="23"/>
      <c r="M2960" s="23"/>
      <c r="N2960" s="23"/>
      <c r="P2960" s="23"/>
    </row>
    <row r="2961" spans="2:16" x14ac:dyDescent="0.25">
      <c r="B2961" s="23"/>
      <c r="E2961" s="23"/>
      <c r="G2961" s="23"/>
      <c r="H2961" s="23"/>
      <c r="J2961" s="23"/>
      <c r="K2961" s="23"/>
      <c r="M2961" s="23"/>
      <c r="N2961" s="23"/>
      <c r="P2961" s="23"/>
    </row>
    <row r="2962" spans="2:16" x14ac:dyDescent="0.25">
      <c r="B2962" s="23"/>
      <c r="E2962" s="23"/>
      <c r="G2962" s="23"/>
      <c r="H2962" s="23"/>
      <c r="J2962" s="23"/>
      <c r="K2962" s="23"/>
      <c r="M2962" s="23"/>
      <c r="N2962" s="23"/>
      <c r="P2962" s="23"/>
    </row>
    <row r="2963" spans="2:16" x14ac:dyDescent="0.25">
      <c r="B2963" s="23"/>
      <c r="E2963" s="23"/>
      <c r="G2963" s="23"/>
      <c r="H2963" s="23"/>
      <c r="J2963" s="23"/>
      <c r="K2963" s="23"/>
      <c r="M2963" s="23"/>
      <c r="N2963" s="23"/>
      <c r="P2963" s="23"/>
    </row>
    <row r="2964" spans="2:16" x14ac:dyDescent="0.25">
      <c r="B2964" s="23"/>
      <c r="E2964" s="23"/>
      <c r="G2964" s="23"/>
      <c r="H2964" s="23"/>
      <c r="J2964" s="23"/>
      <c r="K2964" s="23"/>
      <c r="M2964" s="23"/>
      <c r="N2964" s="23"/>
      <c r="P2964" s="23"/>
    </row>
    <row r="2965" spans="2:16" x14ac:dyDescent="0.25">
      <c r="B2965" s="23"/>
      <c r="E2965" s="23"/>
      <c r="G2965" s="23"/>
      <c r="H2965" s="23"/>
      <c r="J2965" s="23"/>
      <c r="K2965" s="23"/>
      <c r="M2965" s="23"/>
      <c r="N2965" s="23"/>
      <c r="P2965" s="23"/>
    </row>
    <row r="2966" spans="2:16" x14ac:dyDescent="0.25">
      <c r="B2966" s="23"/>
      <c r="E2966" s="23"/>
      <c r="G2966" s="23"/>
      <c r="H2966" s="23"/>
      <c r="J2966" s="23"/>
      <c r="K2966" s="23"/>
      <c r="M2966" s="23"/>
      <c r="N2966" s="23"/>
      <c r="P2966" s="23"/>
    </row>
    <row r="2967" spans="2:16" x14ac:dyDescent="0.25">
      <c r="B2967" s="23"/>
      <c r="E2967" s="23"/>
      <c r="G2967" s="23"/>
      <c r="H2967" s="23"/>
      <c r="J2967" s="23"/>
      <c r="K2967" s="23"/>
      <c r="M2967" s="23"/>
      <c r="N2967" s="23"/>
      <c r="P2967" s="23"/>
    </row>
    <row r="2968" spans="2:16" x14ac:dyDescent="0.25">
      <c r="B2968" s="23"/>
      <c r="E2968" s="23"/>
      <c r="G2968" s="23"/>
      <c r="H2968" s="23"/>
      <c r="J2968" s="23"/>
      <c r="K2968" s="23"/>
      <c r="M2968" s="23"/>
      <c r="N2968" s="23"/>
      <c r="P2968" s="23"/>
    </row>
    <row r="2969" spans="2:16" x14ac:dyDescent="0.25">
      <c r="B2969" s="23"/>
      <c r="E2969" s="23"/>
      <c r="G2969" s="23"/>
      <c r="H2969" s="23"/>
      <c r="J2969" s="23"/>
      <c r="K2969" s="23"/>
      <c r="M2969" s="23"/>
      <c r="N2969" s="23"/>
      <c r="P2969" s="23"/>
    </row>
    <row r="2970" spans="2:16" x14ac:dyDescent="0.25">
      <c r="B2970" s="23"/>
      <c r="E2970" s="23"/>
      <c r="G2970" s="23"/>
      <c r="H2970" s="23"/>
      <c r="J2970" s="23"/>
      <c r="K2970" s="23"/>
      <c r="M2970" s="23"/>
      <c r="N2970" s="23"/>
      <c r="P2970" s="23"/>
    </row>
    <row r="2971" spans="2:16" x14ac:dyDescent="0.25">
      <c r="B2971" s="23"/>
      <c r="E2971" s="23"/>
      <c r="G2971" s="23"/>
      <c r="H2971" s="23"/>
      <c r="J2971" s="23"/>
      <c r="K2971" s="23"/>
      <c r="M2971" s="23"/>
      <c r="N2971" s="23"/>
      <c r="P2971" s="23"/>
    </row>
    <row r="2972" spans="2:16" x14ac:dyDescent="0.25">
      <c r="B2972" s="23"/>
      <c r="E2972" s="23"/>
      <c r="G2972" s="23"/>
      <c r="H2972" s="23"/>
      <c r="J2972" s="23"/>
      <c r="K2972" s="23"/>
      <c r="M2972" s="23"/>
      <c r="N2972" s="23"/>
      <c r="P2972" s="23"/>
    </row>
    <row r="2973" spans="2:16" x14ac:dyDescent="0.25">
      <c r="B2973" s="23"/>
      <c r="E2973" s="23"/>
      <c r="G2973" s="23"/>
      <c r="H2973" s="23"/>
      <c r="J2973" s="23"/>
      <c r="K2973" s="23"/>
      <c r="M2973" s="23"/>
      <c r="N2973" s="23"/>
      <c r="P2973" s="23"/>
    </row>
    <row r="2974" spans="2:16" x14ac:dyDescent="0.25">
      <c r="B2974" s="23"/>
      <c r="E2974" s="23"/>
      <c r="G2974" s="23"/>
      <c r="H2974" s="23"/>
      <c r="J2974" s="23"/>
      <c r="K2974" s="23"/>
      <c r="M2974" s="23"/>
      <c r="N2974" s="23"/>
      <c r="P2974" s="23"/>
    </row>
    <row r="2975" spans="2:16" x14ac:dyDescent="0.25">
      <c r="B2975" s="23"/>
      <c r="E2975" s="23"/>
      <c r="G2975" s="23"/>
      <c r="H2975" s="23"/>
      <c r="J2975" s="23"/>
      <c r="K2975" s="23"/>
      <c r="M2975" s="23"/>
      <c r="N2975" s="23"/>
      <c r="P2975" s="23"/>
    </row>
    <row r="2976" spans="2:16" x14ac:dyDescent="0.25">
      <c r="B2976" s="23"/>
      <c r="E2976" s="23"/>
      <c r="G2976" s="23"/>
      <c r="H2976" s="23"/>
      <c r="J2976" s="23"/>
      <c r="K2976" s="23"/>
      <c r="M2976" s="23"/>
      <c r="N2976" s="23"/>
      <c r="P2976" s="23"/>
    </row>
    <row r="2977" spans="2:16" x14ac:dyDescent="0.25">
      <c r="B2977" s="23"/>
      <c r="E2977" s="23"/>
      <c r="G2977" s="23"/>
      <c r="H2977" s="23"/>
      <c r="J2977" s="23"/>
      <c r="K2977" s="23"/>
      <c r="M2977" s="23"/>
      <c r="N2977" s="23"/>
      <c r="P2977" s="23"/>
    </row>
    <row r="2978" spans="2:16" x14ac:dyDescent="0.25">
      <c r="B2978" s="23"/>
      <c r="E2978" s="23"/>
      <c r="G2978" s="23"/>
      <c r="H2978" s="23"/>
      <c r="J2978" s="23"/>
      <c r="K2978" s="23"/>
      <c r="M2978" s="23"/>
      <c r="N2978" s="23"/>
      <c r="P2978" s="23"/>
    </row>
    <row r="2979" spans="2:16" x14ac:dyDescent="0.25">
      <c r="B2979" s="23"/>
      <c r="E2979" s="23"/>
      <c r="G2979" s="23"/>
      <c r="H2979" s="23"/>
      <c r="J2979" s="23"/>
      <c r="K2979" s="23"/>
      <c r="M2979" s="23"/>
      <c r="N2979" s="23"/>
      <c r="P2979" s="23"/>
    </row>
    <row r="2980" spans="2:16" x14ac:dyDescent="0.25">
      <c r="B2980" s="23"/>
      <c r="E2980" s="23"/>
      <c r="G2980" s="23"/>
      <c r="H2980" s="23"/>
      <c r="J2980" s="23"/>
      <c r="K2980" s="23"/>
      <c r="M2980" s="23"/>
      <c r="N2980" s="23"/>
      <c r="P2980" s="23"/>
    </row>
    <row r="2981" spans="2:16" x14ac:dyDescent="0.25">
      <c r="B2981" s="23"/>
      <c r="E2981" s="23"/>
      <c r="G2981" s="23"/>
      <c r="H2981" s="23"/>
      <c r="J2981" s="23"/>
      <c r="K2981" s="23"/>
      <c r="M2981" s="23"/>
      <c r="N2981" s="23"/>
      <c r="P2981" s="23"/>
    </row>
    <row r="2982" spans="2:16" x14ac:dyDescent="0.25">
      <c r="B2982" s="23"/>
      <c r="E2982" s="23"/>
      <c r="G2982" s="23"/>
      <c r="H2982" s="23"/>
      <c r="J2982" s="23"/>
      <c r="K2982" s="23"/>
      <c r="M2982" s="23"/>
      <c r="N2982" s="23"/>
      <c r="P2982" s="23"/>
    </row>
    <row r="2983" spans="2:16" x14ac:dyDescent="0.25">
      <c r="B2983" s="23"/>
      <c r="E2983" s="23"/>
      <c r="G2983" s="23"/>
      <c r="H2983" s="23"/>
      <c r="J2983" s="23"/>
      <c r="K2983" s="23"/>
      <c r="M2983" s="23"/>
      <c r="N2983" s="23"/>
      <c r="P2983" s="23"/>
    </row>
    <row r="2984" spans="2:16" x14ac:dyDescent="0.25">
      <c r="B2984" s="23"/>
      <c r="E2984" s="23"/>
      <c r="G2984" s="23"/>
      <c r="H2984" s="23"/>
      <c r="J2984" s="23"/>
      <c r="K2984" s="23"/>
      <c r="M2984" s="23"/>
      <c r="N2984" s="23"/>
      <c r="P2984" s="23"/>
    </row>
    <row r="2985" spans="2:16" x14ac:dyDescent="0.25">
      <c r="B2985" s="23"/>
      <c r="E2985" s="23"/>
      <c r="G2985" s="23"/>
      <c r="H2985" s="23"/>
      <c r="J2985" s="23"/>
      <c r="K2985" s="23"/>
      <c r="M2985" s="23"/>
      <c r="N2985" s="23"/>
      <c r="P2985" s="23"/>
    </row>
    <row r="2986" spans="2:16" x14ac:dyDescent="0.25">
      <c r="B2986" s="23"/>
      <c r="E2986" s="23"/>
      <c r="G2986" s="23"/>
      <c r="H2986" s="23"/>
      <c r="J2986" s="23"/>
      <c r="K2986" s="23"/>
      <c r="M2986" s="23"/>
      <c r="N2986" s="23"/>
      <c r="P2986" s="23"/>
    </row>
    <row r="2987" spans="2:16" x14ac:dyDescent="0.25">
      <c r="B2987" s="23"/>
      <c r="E2987" s="23"/>
      <c r="G2987" s="23"/>
      <c r="H2987" s="23"/>
      <c r="J2987" s="23"/>
      <c r="K2987" s="23"/>
      <c r="M2987" s="23"/>
      <c r="N2987" s="23"/>
      <c r="P2987" s="23"/>
    </row>
    <row r="2988" spans="2:16" x14ac:dyDescent="0.25">
      <c r="B2988" s="23"/>
      <c r="E2988" s="23"/>
      <c r="G2988" s="23"/>
      <c r="H2988" s="23"/>
      <c r="J2988" s="23"/>
      <c r="K2988" s="23"/>
      <c r="M2988" s="23"/>
      <c r="N2988" s="23"/>
      <c r="P2988" s="23"/>
    </row>
    <row r="2989" spans="2:16" x14ac:dyDescent="0.25">
      <c r="B2989" s="23"/>
      <c r="E2989" s="23"/>
      <c r="G2989" s="23"/>
      <c r="H2989" s="23"/>
      <c r="J2989" s="23"/>
      <c r="K2989" s="23"/>
      <c r="M2989" s="23"/>
      <c r="N2989" s="23"/>
      <c r="P2989" s="23"/>
    </row>
    <row r="2990" spans="2:16" x14ac:dyDescent="0.25">
      <c r="B2990" s="23"/>
      <c r="E2990" s="23"/>
      <c r="G2990" s="23"/>
      <c r="H2990" s="23"/>
      <c r="J2990" s="23"/>
      <c r="K2990" s="23"/>
      <c r="M2990" s="23"/>
      <c r="N2990" s="23"/>
      <c r="P2990" s="23"/>
    </row>
    <row r="2991" spans="2:16" x14ac:dyDescent="0.25">
      <c r="B2991" s="23"/>
      <c r="E2991" s="23"/>
      <c r="G2991" s="23"/>
      <c r="H2991" s="23"/>
      <c r="J2991" s="23"/>
      <c r="K2991" s="23"/>
      <c r="M2991" s="23"/>
      <c r="N2991" s="23"/>
      <c r="P2991" s="23"/>
    </row>
    <row r="2992" spans="2:16" x14ac:dyDescent="0.25">
      <c r="B2992" s="23"/>
      <c r="E2992" s="23"/>
      <c r="G2992" s="23"/>
      <c r="H2992" s="23"/>
      <c r="J2992" s="23"/>
      <c r="K2992" s="23"/>
      <c r="M2992" s="23"/>
      <c r="N2992" s="23"/>
      <c r="P2992" s="23"/>
    </row>
    <row r="2993" spans="2:16" x14ac:dyDescent="0.25">
      <c r="B2993" s="23"/>
      <c r="E2993" s="23"/>
      <c r="G2993" s="23"/>
      <c r="H2993" s="23"/>
      <c r="J2993" s="23"/>
      <c r="K2993" s="23"/>
      <c r="M2993" s="23"/>
      <c r="N2993" s="23"/>
      <c r="P2993" s="23"/>
    </row>
    <row r="2994" spans="2:16" x14ac:dyDescent="0.25">
      <c r="B2994" s="23"/>
      <c r="E2994" s="23"/>
      <c r="G2994" s="23"/>
      <c r="H2994" s="23"/>
      <c r="J2994" s="23"/>
      <c r="K2994" s="23"/>
      <c r="M2994" s="23"/>
      <c r="N2994" s="23"/>
      <c r="P2994" s="23"/>
    </row>
    <row r="2995" spans="2:16" x14ac:dyDescent="0.25">
      <c r="B2995" s="23"/>
      <c r="E2995" s="23"/>
      <c r="G2995" s="23"/>
      <c r="H2995" s="23"/>
      <c r="J2995" s="23"/>
      <c r="K2995" s="23"/>
      <c r="M2995" s="23"/>
      <c r="N2995" s="23"/>
      <c r="P2995" s="23"/>
    </row>
    <row r="2996" spans="2:16" x14ac:dyDescent="0.25">
      <c r="B2996" s="23"/>
      <c r="E2996" s="23"/>
      <c r="G2996" s="23"/>
      <c r="H2996" s="23"/>
      <c r="J2996" s="23"/>
      <c r="K2996" s="23"/>
      <c r="M2996" s="23"/>
      <c r="N2996" s="23"/>
      <c r="P2996" s="23"/>
    </row>
    <row r="2997" spans="2:16" x14ac:dyDescent="0.25">
      <c r="B2997" s="23"/>
      <c r="E2997" s="23"/>
      <c r="G2997" s="23"/>
      <c r="H2997" s="23"/>
      <c r="J2997" s="23"/>
      <c r="K2997" s="23"/>
      <c r="M2997" s="23"/>
      <c r="N2997" s="23"/>
      <c r="P2997" s="23"/>
    </row>
    <row r="2998" spans="2:16" x14ac:dyDescent="0.25">
      <c r="B2998" s="23"/>
      <c r="E2998" s="23"/>
      <c r="G2998" s="23"/>
      <c r="H2998" s="23"/>
      <c r="J2998" s="23"/>
      <c r="K2998" s="23"/>
      <c r="M2998" s="23"/>
      <c r="N2998" s="23"/>
      <c r="P2998" s="23"/>
    </row>
    <row r="2999" spans="2:16" x14ac:dyDescent="0.25">
      <c r="B2999" s="23"/>
      <c r="E2999" s="23"/>
      <c r="G2999" s="23"/>
      <c r="H2999" s="23"/>
      <c r="J2999" s="23"/>
      <c r="K2999" s="23"/>
      <c r="M2999" s="23"/>
      <c r="N2999" s="23"/>
      <c r="P2999" s="23"/>
    </row>
    <row r="3000" spans="2:16" x14ac:dyDescent="0.25">
      <c r="B3000" s="23"/>
      <c r="E3000" s="23"/>
      <c r="G3000" s="23"/>
      <c r="H3000" s="23"/>
      <c r="J3000" s="23"/>
      <c r="K3000" s="23"/>
      <c r="M3000" s="23"/>
      <c r="N3000" s="23"/>
      <c r="P3000" s="23"/>
    </row>
    <row r="3001" spans="2:16" x14ac:dyDescent="0.25">
      <c r="B3001" s="23"/>
      <c r="E3001" s="23"/>
      <c r="G3001" s="23"/>
      <c r="H3001" s="23"/>
      <c r="J3001" s="23"/>
      <c r="K3001" s="23"/>
      <c r="M3001" s="23"/>
      <c r="N3001" s="23"/>
      <c r="P3001" s="23"/>
    </row>
    <row r="3002" spans="2:16" x14ac:dyDescent="0.25">
      <c r="B3002" s="23"/>
      <c r="E3002" s="23"/>
      <c r="G3002" s="23"/>
      <c r="H3002" s="23"/>
      <c r="J3002" s="23"/>
      <c r="K3002" s="23"/>
      <c r="M3002" s="23"/>
      <c r="N3002" s="23"/>
      <c r="P3002" s="23"/>
    </row>
    <row r="3003" spans="2:16" x14ac:dyDescent="0.25">
      <c r="B3003" s="23"/>
      <c r="E3003" s="23"/>
      <c r="G3003" s="23"/>
      <c r="H3003" s="23"/>
      <c r="J3003" s="23"/>
      <c r="K3003" s="23"/>
      <c r="M3003" s="23"/>
      <c r="N3003" s="23"/>
      <c r="P3003" s="23"/>
    </row>
    <row r="3004" spans="2:16" x14ac:dyDescent="0.25">
      <c r="B3004" s="23"/>
      <c r="E3004" s="23"/>
      <c r="G3004" s="23"/>
      <c r="H3004" s="23"/>
      <c r="J3004" s="23"/>
      <c r="K3004" s="23"/>
      <c r="M3004" s="23"/>
      <c r="N3004" s="23"/>
      <c r="P3004" s="23"/>
    </row>
    <row r="3005" spans="2:16" x14ac:dyDescent="0.25">
      <c r="B3005" s="23"/>
      <c r="E3005" s="23"/>
      <c r="G3005" s="23"/>
      <c r="H3005" s="23"/>
      <c r="J3005" s="23"/>
      <c r="K3005" s="23"/>
      <c r="M3005" s="23"/>
      <c r="N3005" s="23"/>
      <c r="P3005" s="23"/>
    </row>
    <row r="3006" spans="2:16" x14ac:dyDescent="0.25">
      <c r="B3006" s="23"/>
      <c r="E3006" s="23"/>
      <c r="G3006" s="23"/>
      <c r="H3006" s="23"/>
      <c r="J3006" s="23"/>
      <c r="K3006" s="23"/>
      <c r="M3006" s="23"/>
      <c r="N3006" s="23"/>
      <c r="P3006" s="23"/>
    </row>
    <row r="3007" spans="2:16" x14ac:dyDescent="0.25">
      <c r="B3007" s="23"/>
      <c r="E3007" s="23"/>
      <c r="G3007" s="23"/>
      <c r="H3007" s="23"/>
      <c r="J3007" s="23"/>
      <c r="K3007" s="23"/>
      <c r="M3007" s="23"/>
      <c r="N3007" s="23"/>
      <c r="P3007" s="23"/>
    </row>
    <row r="3008" spans="2:16" x14ac:dyDescent="0.25">
      <c r="B3008" s="23"/>
      <c r="E3008" s="23"/>
      <c r="G3008" s="23"/>
      <c r="H3008" s="23"/>
      <c r="J3008" s="23"/>
      <c r="K3008" s="23"/>
      <c r="M3008" s="23"/>
      <c r="N3008" s="23"/>
      <c r="P3008" s="23"/>
    </row>
    <row r="3009" spans="2:16" x14ac:dyDescent="0.25">
      <c r="B3009" s="23"/>
      <c r="E3009" s="23"/>
      <c r="G3009" s="23"/>
      <c r="H3009" s="23"/>
      <c r="J3009" s="23"/>
      <c r="K3009" s="23"/>
      <c r="M3009" s="23"/>
      <c r="N3009" s="23"/>
      <c r="P3009" s="23"/>
    </row>
    <row r="3010" spans="2:16" x14ac:dyDescent="0.25">
      <c r="B3010" s="23"/>
      <c r="E3010" s="23"/>
      <c r="G3010" s="23"/>
      <c r="H3010" s="23"/>
      <c r="J3010" s="23"/>
      <c r="K3010" s="23"/>
      <c r="M3010" s="23"/>
      <c r="N3010" s="23"/>
      <c r="P3010" s="23"/>
    </row>
    <row r="3011" spans="2:16" x14ac:dyDescent="0.25">
      <c r="B3011" s="23"/>
      <c r="E3011" s="23"/>
      <c r="G3011" s="23"/>
      <c r="H3011" s="23"/>
      <c r="J3011" s="23"/>
      <c r="K3011" s="23"/>
      <c r="M3011" s="23"/>
      <c r="N3011" s="23"/>
      <c r="P3011" s="23"/>
    </row>
    <row r="3012" spans="2:16" x14ac:dyDescent="0.25">
      <c r="B3012" s="23"/>
      <c r="E3012" s="23"/>
      <c r="G3012" s="23"/>
      <c r="H3012" s="23"/>
      <c r="J3012" s="23"/>
      <c r="K3012" s="23"/>
      <c r="M3012" s="23"/>
      <c r="N3012" s="23"/>
      <c r="P3012" s="23"/>
    </row>
    <row r="3013" spans="2:16" x14ac:dyDescent="0.25">
      <c r="B3013" s="23"/>
      <c r="E3013" s="23"/>
      <c r="G3013" s="23"/>
      <c r="H3013" s="23"/>
      <c r="J3013" s="23"/>
      <c r="K3013" s="23"/>
      <c r="M3013" s="23"/>
      <c r="N3013" s="23"/>
      <c r="P3013" s="23"/>
    </row>
    <row r="3014" spans="2:16" x14ac:dyDescent="0.25">
      <c r="B3014" s="23"/>
      <c r="E3014" s="23"/>
      <c r="G3014" s="23"/>
      <c r="H3014" s="23"/>
      <c r="J3014" s="23"/>
      <c r="K3014" s="23"/>
      <c r="M3014" s="23"/>
      <c r="N3014" s="23"/>
      <c r="P3014" s="23"/>
    </row>
    <row r="3015" spans="2:16" x14ac:dyDescent="0.25">
      <c r="B3015" s="23"/>
      <c r="E3015" s="23"/>
      <c r="G3015" s="23"/>
      <c r="H3015" s="23"/>
      <c r="J3015" s="23"/>
      <c r="K3015" s="23"/>
      <c r="M3015" s="23"/>
      <c r="N3015" s="23"/>
      <c r="P3015" s="23"/>
    </row>
    <row r="3016" spans="2:16" x14ac:dyDescent="0.25">
      <c r="B3016" s="23"/>
      <c r="E3016" s="23"/>
      <c r="G3016" s="23"/>
      <c r="H3016" s="23"/>
      <c r="J3016" s="23"/>
      <c r="K3016" s="23"/>
      <c r="M3016" s="23"/>
      <c r="N3016" s="23"/>
      <c r="P3016" s="23"/>
    </row>
    <row r="3017" spans="2:16" x14ac:dyDescent="0.25">
      <c r="B3017" s="23"/>
      <c r="E3017" s="23"/>
      <c r="G3017" s="23"/>
      <c r="H3017" s="23"/>
      <c r="J3017" s="23"/>
      <c r="K3017" s="23"/>
      <c r="M3017" s="23"/>
      <c r="N3017" s="23"/>
      <c r="P3017" s="23"/>
    </row>
    <row r="3018" spans="2:16" x14ac:dyDescent="0.25">
      <c r="B3018" s="23"/>
      <c r="E3018" s="23"/>
      <c r="G3018" s="23"/>
      <c r="H3018" s="23"/>
      <c r="J3018" s="23"/>
      <c r="K3018" s="23"/>
      <c r="M3018" s="23"/>
      <c r="N3018" s="23"/>
      <c r="P3018" s="23"/>
    </row>
    <row r="3019" spans="2:16" x14ac:dyDescent="0.25">
      <c r="B3019" s="23"/>
      <c r="E3019" s="23"/>
      <c r="G3019" s="23"/>
      <c r="H3019" s="23"/>
      <c r="J3019" s="23"/>
      <c r="K3019" s="23"/>
      <c r="M3019" s="23"/>
      <c r="N3019" s="23"/>
      <c r="P3019" s="23"/>
    </row>
    <row r="3020" spans="2:16" x14ac:dyDescent="0.25">
      <c r="B3020" s="23"/>
      <c r="E3020" s="23"/>
      <c r="G3020" s="23"/>
      <c r="H3020" s="23"/>
      <c r="J3020" s="23"/>
      <c r="K3020" s="23"/>
      <c r="M3020" s="23"/>
      <c r="N3020" s="23"/>
      <c r="P3020" s="23"/>
    </row>
    <row r="3021" spans="2:16" x14ac:dyDescent="0.25">
      <c r="B3021" s="23"/>
      <c r="E3021" s="23"/>
      <c r="G3021" s="23"/>
      <c r="H3021" s="23"/>
      <c r="J3021" s="23"/>
      <c r="K3021" s="23"/>
      <c r="M3021" s="23"/>
      <c r="N3021" s="23"/>
      <c r="P3021" s="23"/>
    </row>
    <row r="3022" spans="2:16" x14ac:dyDescent="0.25">
      <c r="B3022" s="23"/>
      <c r="E3022" s="23"/>
      <c r="G3022" s="23"/>
      <c r="H3022" s="23"/>
      <c r="J3022" s="23"/>
      <c r="K3022" s="23"/>
      <c r="M3022" s="23"/>
      <c r="N3022" s="23"/>
      <c r="P3022" s="23"/>
    </row>
    <row r="3023" spans="2:16" x14ac:dyDescent="0.25">
      <c r="B3023" s="23"/>
      <c r="E3023" s="23"/>
      <c r="G3023" s="23"/>
      <c r="H3023" s="23"/>
      <c r="J3023" s="23"/>
      <c r="K3023" s="23"/>
      <c r="M3023" s="23"/>
      <c r="N3023" s="23"/>
      <c r="P3023" s="23"/>
    </row>
    <row r="3024" spans="2:16" x14ac:dyDescent="0.25">
      <c r="B3024" s="23"/>
      <c r="E3024" s="23"/>
      <c r="G3024" s="23"/>
      <c r="H3024" s="23"/>
      <c r="J3024" s="23"/>
      <c r="K3024" s="23"/>
      <c r="M3024" s="23"/>
      <c r="N3024" s="23"/>
      <c r="P3024" s="23"/>
    </row>
    <row r="3025" spans="2:16" x14ac:dyDescent="0.25">
      <c r="B3025" s="23"/>
      <c r="E3025" s="23"/>
      <c r="G3025" s="23"/>
      <c r="H3025" s="23"/>
      <c r="J3025" s="23"/>
      <c r="K3025" s="23"/>
      <c r="M3025" s="23"/>
      <c r="N3025" s="23"/>
      <c r="P3025" s="23"/>
    </row>
    <row r="3026" spans="2:16" x14ac:dyDescent="0.25">
      <c r="B3026" s="23"/>
      <c r="E3026" s="23"/>
      <c r="G3026" s="23"/>
      <c r="H3026" s="23"/>
      <c r="J3026" s="23"/>
      <c r="K3026" s="23"/>
      <c r="M3026" s="23"/>
      <c r="N3026" s="23"/>
      <c r="P3026" s="23"/>
    </row>
    <row r="3027" spans="2:16" x14ac:dyDescent="0.25">
      <c r="B3027" s="23"/>
      <c r="E3027" s="23"/>
      <c r="G3027" s="23"/>
      <c r="H3027" s="23"/>
      <c r="J3027" s="23"/>
      <c r="K3027" s="23"/>
      <c r="M3027" s="23"/>
      <c r="N3027" s="23"/>
      <c r="P3027" s="23"/>
    </row>
    <row r="3028" spans="2:16" x14ac:dyDescent="0.25">
      <c r="B3028" s="23"/>
      <c r="E3028" s="23"/>
      <c r="G3028" s="23"/>
      <c r="H3028" s="23"/>
      <c r="J3028" s="23"/>
      <c r="K3028" s="23"/>
      <c r="M3028" s="23"/>
      <c r="N3028" s="23"/>
      <c r="P3028" s="23"/>
    </row>
    <row r="3029" spans="2:16" x14ac:dyDescent="0.25">
      <c r="B3029" s="23"/>
      <c r="E3029" s="23"/>
      <c r="G3029" s="23"/>
      <c r="H3029" s="23"/>
      <c r="J3029" s="23"/>
      <c r="K3029" s="23"/>
      <c r="M3029" s="23"/>
      <c r="N3029" s="23"/>
      <c r="P3029" s="23"/>
    </row>
    <row r="3030" spans="2:16" x14ac:dyDescent="0.25">
      <c r="B3030" s="23"/>
      <c r="E3030" s="23"/>
      <c r="G3030" s="23"/>
      <c r="H3030" s="23"/>
      <c r="J3030" s="23"/>
      <c r="K3030" s="23"/>
      <c r="M3030" s="23"/>
      <c r="N3030" s="23"/>
      <c r="P3030" s="23"/>
    </row>
    <row r="3031" spans="2:16" x14ac:dyDescent="0.25">
      <c r="B3031" s="23"/>
      <c r="E3031" s="23"/>
      <c r="G3031" s="23"/>
      <c r="H3031" s="23"/>
      <c r="J3031" s="23"/>
      <c r="K3031" s="23"/>
      <c r="M3031" s="23"/>
      <c r="N3031" s="23"/>
      <c r="P3031" s="23"/>
    </row>
    <row r="3032" spans="2:16" x14ac:dyDescent="0.25">
      <c r="B3032" s="23"/>
      <c r="E3032" s="23"/>
      <c r="G3032" s="23"/>
      <c r="H3032" s="23"/>
      <c r="J3032" s="23"/>
      <c r="K3032" s="23"/>
      <c r="M3032" s="23"/>
      <c r="N3032" s="23"/>
      <c r="P3032" s="23"/>
    </row>
    <row r="3033" spans="2:16" x14ac:dyDescent="0.25">
      <c r="B3033" s="23"/>
      <c r="E3033" s="23"/>
      <c r="G3033" s="23"/>
      <c r="H3033" s="23"/>
      <c r="J3033" s="23"/>
      <c r="K3033" s="23"/>
      <c r="M3033" s="23"/>
      <c r="N3033" s="23"/>
      <c r="P3033" s="23"/>
    </row>
    <row r="3034" spans="2:16" x14ac:dyDescent="0.25">
      <c r="B3034" s="23"/>
      <c r="E3034" s="23"/>
      <c r="G3034" s="23"/>
      <c r="H3034" s="23"/>
      <c r="J3034" s="23"/>
      <c r="K3034" s="23"/>
      <c r="M3034" s="23"/>
      <c r="N3034" s="23"/>
      <c r="P3034" s="23"/>
    </row>
    <row r="3035" spans="2:16" x14ac:dyDescent="0.25">
      <c r="B3035" s="23"/>
      <c r="E3035" s="23"/>
      <c r="G3035" s="23"/>
      <c r="H3035" s="23"/>
      <c r="J3035" s="23"/>
      <c r="K3035" s="23"/>
      <c r="M3035" s="23"/>
      <c r="N3035" s="23"/>
      <c r="P3035" s="23"/>
    </row>
    <row r="3036" spans="2:16" x14ac:dyDescent="0.25">
      <c r="B3036" s="23"/>
      <c r="E3036" s="23"/>
      <c r="G3036" s="23"/>
      <c r="H3036" s="23"/>
      <c r="J3036" s="23"/>
      <c r="K3036" s="23"/>
      <c r="M3036" s="23"/>
      <c r="N3036" s="23"/>
      <c r="P3036" s="23"/>
    </row>
    <row r="3037" spans="2:16" x14ac:dyDescent="0.25">
      <c r="B3037" s="23"/>
      <c r="E3037" s="23"/>
      <c r="G3037" s="23"/>
      <c r="H3037" s="23"/>
      <c r="J3037" s="23"/>
      <c r="K3037" s="23"/>
      <c r="M3037" s="23"/>
      <c r="N3037" s="23"/>
      <c r="P3037" s="23"/>
    </row>
    <row r="3038" spans="2:16" x14ac:dyDescent="0.25">
      <c r="B3038" s="23"/>
      <c r="E3038" s="23"/>
      <c r="G3038" s="23"/>
      <c r="H3038" s="23"/>
      <c r="J3038" s="23"/>
      <c r="K3038" s="23"/>
      <c r="M3038" s="23"/>
      <c r="N3038" s="23"/>
      <c r="P3038" s="23"/>
    </row>
    <row r="3039" spans="2:16" x14ac:dyDescent="0.25">
      <c r="B3039" s="23"/>
      <c r="E3039" s="23"/>
      <c r="G3039" s="23"/>
      <c r="H3039" s="23"/>
      <c r="J3039" s="23"/>
      <c r="K3039" s="23"/>
      <c r="M3039" s="23"/>
      <c r="N3039" s="23"/>
      <c r="P3039" s="23"/>
    </row>
    <row r="3040" spans="2:16" x14ac:dyDescent="0.25">
      <c r="B3040" s="23"/>
      <c r="E3040" s="23"/>
      <c r="G3040" s="23"/>
      <c r="H3040" s="23"/>
      <c r="J3040" s="23"/>
      <c r="K3040" s="23"/>
      <c r="M3040" s="23"/>
      <c r="N3040" s="23"/>
      <c r="P3040" s="23"/>
    </row>
    <row r="3041" spans="2:16" x14ac:dyDescent="0.25">
      <c r="B3041" s="23"/>
      <c r="E3041" s="23"/>
      <c r="G3041" s="23"/>
      <c r="H3041" s="23"/>
      <c r="J3041" s="23"/>
      <c r="K3041" s="23"/>
      <c r="M3041" s="23"/>
      <c r="N3041" s="23"/>
      <c r="P3041" s="23"/>
    </row>
    <row r="3042" spans="2:16" x14ac:dyDescent="0.25">
      <c r="B3042" s="23"/>
      <c r="E3042" s="23"/>
      <c r="G3042" s="23"/>
      <c r="H3042" s="23"/>
      <c r="J3042" s="23"/>
      <c r="K3042" s="23"/>
      <c r="M3042" s="23"/>
      <c r="N3042" s="23"/>
      <c r="P3042" s="23"/>
    </row>
    <row r="3043" spans="2:16" x14ac:dyDescent="0.25">
      <c r="B3043" s="23"/>
      <c r="E3043" s="23"/>
      <c r="G3043" s="23"/>
      <c r="H3043" s="23"/>
      <c r="J3043" s="23"/>
      <c r="K3043" s="23"/>
      <c r="M3043" s="23"/>
      <c r="N3043" s="23"/>
      <c r="P3043" s="23"/>
    </row>
    <row r="3044" spans="2:16" x14ac:dyDescent="0.25">
      <c r="B3044" s="23"/>
      <c r="E3044" s="23"/>
      <c r="G3044" s="23"/>
      <c r="H3044" s="23"/>
      <c r="J3044" s="23"/>
      <c r="K3044" s="23"/>
      <c r="M3044" s="23"/>
      <c r="N3044" s="23"/>
      <c r="P3044" s="23"/>
    </row>
    <row r="3045" spans="2:16" x14ac:dyDescent="0.25">
      <c r="B3045" s="23"/>
      <c r="E3045" s="23"/>
      <c r="G3045" s="23"/>
      <c r="H3045" s="23"/>
      <c r="J3045" s="23"/>
      <c r="K3045" s="23"/>
      <c r="M3045" s="23"/>
      <c r="N3045" s="23"/>
      <c r="P3045" s="23"/>
    </row>
    <row r="3046" spans="2:16" x14ac:dyDescent="0.25">
      <c r="B3046" s="23"/>
      <c r="E3046" s="23"/>
      <c r="G3046" s="23"/>
      <c r="H3046" s="23"/>
      <c r="J3046" s="23"/>
      <c r="K3046" s="23"/>
      <c r="M3046" s="23"/>
      <c r="N3046" s="23"/>
      <c r="P3046" s="23"/>
    </row>
    <row r="3047" spans="2:16" x14ac:dyDescent="0.25">
      <c r="B3047" s="23"/>
      <c r="E3047" s="23"/>
      <c r="G3047" s="23"/>
      <c r="H3047" s="23"/>
      <c r="J3047" s="23"/>
      <c r="K3047" s="23"/>
      <c r="M3047" s="23"/>
      <c r="N3047" s="23"/>
      <c r="P3047" s="23"/>
    </row>
    <row r="3048" spans="2:16" x14ac:dyDescent="0.25">
      <c r="B3048" s="23"/>
      <c r="E3048" s="23"/>
      <c r="G3048" s="23"/>
      <c r="H3048" s="23"/>
      <c r="J3048" s="23"/>
      <c r="K3048" s="23"/>
      <c r="M3048" s="23"/>
      <c r="N3048" s="23"/>
      <c r="P3048" s="23"/>
    </row>
    <row r="3049" spans="2:16" x14ac:dyDescent="0.25">
      <c r="B3049" s="23"/>
      <c r="E3049" s="23"/>
      <c r="G3049" s="23"/>
      <c r="H3049" s="23"/>
      <c r="J3049" s="23"/>
      <c r="K3049" s="23"/>
      <c r="M3049" s="23"/>
      <c r="N3049" s="23"/>
      <c r="P3049" s="23"/>
    </row>
    <row r="3050" spans="2:16" x14ac:dyDescent="0.25">
      <c r="B3050" s="23"/>
      <c r="E3050" s="23"/>
      <c r="G3050" s="23"/>
      <c r="H3050" s="23"/>
      <c r="J3050" s="23"/>
      <c r="K3050" s="23"/>
      <c r="M3050" s="23"/>
      <c r="N3050" s="23"/>
      <c r="P3050" s="23"/>
    </row>
    <row r="3051" spans="2:16" x14ac:dyDescent="0.25">
      <c r="B3051" s="23"/>
      <c r="E3051" s="23"/>
      <c r="G3051" s="23"/>
      <c r="H3051" s="23"/>
      <c r="J3051" s="23"/>
      <c r="K3051" s="23"/>
      <c r="M3051" s="23"/>
      <c r="N3051" s="23"/>
      <c r="P3051" s="23"/>
    </row>
    <row r="3052" spans="2:16" x14ac:dyDescent="0.25">
      <c r="B3052" s="23"/>
      <c r="E3052" s="23"/>
      <c r="G3052" s="23"/>
      <c r="H3052" s="23"/>
      <c r="J3052" s="23"/>
      <c r="K3052" s="23"/>
      <c r="M3052" s="23"/>
      <c r="N3052" s="23"/>
      <c r="P3052" s="23"/>
    </row>
    <row r="3053" spans="2:16" x14ac:dyDescent="0.25">
      <c r="B3053" s="23"/>
      <c r="E3053" s="23"/>
      <c r="G3053" s="23"/>
      <c r="H3053" s="23"/>
      <c r="J3053" s="23"/>
      <c r="K3053" s="23"/>
      <c r="M3053" s="23"/>
      <c r="N3053" s="23"/>
      <c r="P3053" s="23"/>
    </row>
    <row r="3054" spans="2:16" x14ac:dyDescent="0.25">
      <c r="B3054" s="23"/>
      <c r="E3054" s="23"/>
      <c r="G3054" s="23"/>
      <c r="H3054" s="23"/>
      <c r="J3054" s="23"/>
      <c r="K3054" s="23"/>
      <c r="M3054" s="23"/>
      <c r="N3054" s="23"/>
      <c r="P3054" s="23"/>
    </row>
    <row r="3055" spans="2:16" x14ac:dyDescent="0.25">
      <c r="B3055" s="23"/>
      <c r="E3055" s="23"/>
      <c r="G3055" s="23"/>
      <c r="H3055" s="23"/>
      <c r="J3055" s="23"/>
      <c r="K3055" s="23"/>
      <c r="M3055" s="23"/>
      <c r="N3055" s="23"/>
      <c r="P3055" s="23"/>
    </row>
    <row r="3056" spans="2:16" x14ac:dyDescent="0.25">
      <c r="B3056" s="23"/>
      <c r="E3056" s="23"/>
      <c r="G3056" s="23"/>
      <c r="H3056" s="23"/>
      <c r="J3056" s="23"/>
      <c r="K3056" s="23"/>
      <c r="M3056" s="23"/>
      <c r="N3056" s="23"/>
      <c r="P3056" s="23"/>
    </row>
    <row r="3057" spans="2:16" x14ac:dyDescent="0.25">
      <c r="B3057" s="23"/>
      <c r="E3057" s="23"/>
      <c r="G3057" s="23"/>
      <c r="H3057" s="23"/>
      <c r="J3057" s="23"/>
      <c r="K3057" s="23"/>
      <c r="M3057" s="23"/>
      <c r="N3057" s="23"/>
      <c r="P3057" s="23"/>
    </row>
    <row r="3058" spans="2:16" x14ac:dyDescent="0.25">
      <c r="B3058" s="23"/>
      <c r="E3058" s="23"/>
      <c r="G3058" s="23"/>
      <c r="H3058" s="23"/>
      <c r="J3058" s="23"/>
      <c r="K3058" s="23"/>
      <c r="M3058" s="23"/>
      <c r="N3058" s="23"/>
      <c r="P3058" s="23"/>
    </row>
    <row r="3059" spans="2:16" x14ac:dyDescent="0.25">
      <c r="B3059" s="23"/>
      <c r="E3059" s="23"/>
      <c r="G3059" s="23"/>
      <c r="H3059" s="23"/>
      <c r="J3059" s="23"/>
      <c r="K3059" s="23"/>
      <c r="M3059" s="23"/>
      <c r="N3059" s="23"/>
      <c r="P3059" s="23"/>
    </row>
    <row r="3060" spans="2:16" x14ac:dyDescent="0.25">
      <c r="B3060" s="23"/>
      <c r="E3060" s="23"/>
      <c r="G3060" s="23"/>
      <c r="H3060" s="23"/>
      <c r="J3060" s="23"/>
      <c r="K3060" s="23"/>
      <c r="M3060" s="23"/>
      <c r="N3060" s="23"/>
      <c r="P3060" s="23"/>
    </row>
    <row r="3061" spans="2:16" x14ac:dyDescent="0.25">
      <c r="B3061" s="23"/>
      <c r="E3061" s="23"/>
      <c r="G3061" s="23"/>
      <c r="H3061" s="23"/>
      <c r="J3061" s="23"/>
      <c r="K3061" s="23"/>
      <c r="M3061" s="23"/>
      <c r="N3061" s="23"/>
      <c r="P3061" s="23"/>
    </row>
    <row r="3062" spans="2:16" x14ac:dyDescent="0.25">
      <c r="B3062" s="23"/>
      <c r="E3062" s="23"/>
      <c r="G3062" s="23"/>
      <c r="H3062" s="23"/>
      <c r="J3062" s="23"/>
      <c r="K3062" s="23"/>
      <c r="M3062" s="23"/>
      <c r="N3062" s="23"/>
      <c r="P3062" s="23"/>
    </row>
    <row r="3063" spans="2:16" x14ac:dyDescent="0.25">
      <c r="B3063" s="23"/>
      <c r="E3063" s="23"/>
      <c r="G3063" s="23"/>
      <c r="H3063" s="23"/>
      <c r="J3063" s="23"/>
      <c r="K3063" s="23"/>
      <c r="M3063" s="23"/>
      <c r="N3063" s="23"/>
      <c r="P3063" s="23"/>
    </row>
    <row r="3064" spans="2:16" x14ac:dyDescent="0.25">
      <c r="B3064" s="23"/>
      <c r="E3064" s="23"/>
      <c r="G3064" s="23"/>
      <c r="H3064" s="23"/>
      <c r="J3064" s="23"/>
      <c r="K3064" s="23"/>
      <c r="M3064" s="23"/>
      <c r="N3064" s="23"/>
      <c r="P3064" s="23"/>
    </row>
    <row r="3065" spans="2:16" x14ac:dyDescent="0.25">
      <c r="B3065" s="23"/>
      <c r="E3065" s="23"/>
      <c r="G3065" s="23"/>
      <c r="H3065" s="23"/>
      <c r="J3065" s="23"/>
      <c r="K3065" s="23"/>
      <c r="M3065" s="23"/>
      <c r="N3065" s="23"/>
      <c r="P3065" s="23"/>
    </row>
    <row r="3066" spans="2:16" x14ac:dyDescent="0.25">
      <c r="B3066" s="23"/>
      <c r="E3066" s="23"/>
      <c r="G3066" s="23"/>
      <c r="H3066" s="23"/>
      <c r="J3066" s="23"/>
      <c r="K3066" s="23"/>
      <c r="M3066" s="23"/>
      <c r="N3066" s="23"/>
      <c r="P3066" s="23"/>
    </row>
    <row r="3067" spans="2:16" x14ac:dyDescent="0.25">
      <c r="B3067" s="23"/>
      <c r="E3067" s="23"/>
      <c r="G3067" s="23"/>
      <c r="H3067" s="23"/>
      <c r="J3067" s="23"/>
      <c r="K3067" s="23"/>
      <c r="M3067" s="23"/>
      <c r="N3067" s="23"/>
      <c r="P3067" s="23"/>
    </row>
    <row r="3068" spans="2:16" x14ac:dyDescent="0.25">
      <c r="B3068" s="23"/>
      <c r="E3068" s="23"/>
      <c r="G3068" s="23"/>
      <c r="H3068" s="23"/>
      <c r="J3068" s="23"/>
      <c r="K3068" s="23"/>
      <c r="M3068" s="23"/>
      <c r="N3068" s="23"/>
      <c r="P3068" s="23"/>
    </row>
    <row r="3069" spans="2:16" x14ac:dyDescent="0.25">
      <c r="B3069" s="23"/>
      <c r="E3069" s="23"/>
      <c r="G3069" s="23"/>
      <c r="H3069" s="23"/>
      <c r="J3069" s="23"/>
      <c r="K3069" s="23"/>
      <c r="M3069" s="23"/>
      <c r="N3069" s="23"/>
      <c r="P3069" s="23"/>
    </row>
    <row r="3070" spans="2:16" x14ac:dyDescent="0.25">
      <c r="B3070" s="23"/>
      <c r="E3070" s="23"/>
      <c r="G3070" s="23"/>
      <c r="H3070" s="23"/>
      <c r="J3070" s="23"/>
      <c r="K3070" s="23"/>
      <c r="M3070" s="23"/>
      <c r="N3070" s="23"/>
      <c r="P3070" s="23"/>
    </row>
    <row r="3071" spans="2:16" x14ac:dyDescent="0.25">
      <c r="B3071" s="23"/>
      <c r="E3071" s="23"/>
      <c r="G3071" s="23"/>
      <c r="H3071" s="23"/>
      <c r="J3071" s="23"/>
      <c r="K3071" s="23"/>
      <c r="M3071" s="23"/>
      <c r="N3071" s="23"/>
      <c r="P3071" s="23"/>
    </row>
    <row r="3072" spans="2:16" x14ac:dyDescent="0.25">
      <c r="B3072" s="23"/>
      <c r="E3072" s="23"/>
      <c r="G3072" s="23"/>
      <c r="H3072" s="23"/>
      <c r="J3072" s="23"/>
      <c r="K3072" s="23"/>
      <c r="M3072" s="23"/>
      <c r="N3072" s="23"/>
      <c r="P3072" s="23"/>
    </row>
    <row r="3073" spans="2:16" x14ac:dyDescent="0.25">
      <c r="B3073" s="23"/>
      <c r="E3073" s="23"/>
      <c r="G3073" s="23"/>
      <c r="H3073" s="23"/>
      <c r="J3073" s="23"/>
      <c r="K3073" s="23"/>
      <c r="M3073" s="23"/>
      <c r="N3073" s="23"/>
      <c r="P3073" s="23"/>
    </row>
    <row r="3074" spans="2:16" x14ac:dyDescent="0.25">
      <c r="B3074" s="23"/>
      <c r="E3074" s="23"/>
      <c r="G3074" s="23"/>
      <c r="H3074" s="23"/>
      <c r="J3074" s="23"/>
      <c r="K3074" s="23"/>
      <c r="M3074" s="23"/>
      <c r="N3074" s="23"/>
      <c r="P3074" s="23"/>
    </row>
    <row r="3075" spans="2:16" x14ac:dyDescent="0.25">
      <c r="B3075" s="23"/>
      <c r="E3075" s="23"/>
      <c r="G3075" s="23"/>
      <c r="H3075" s="23"/>
      <c r="J3075" s="23"/>
      <c r="K3075" s="23"/>
      <c r="M3075" s="23"/>
      <c r="N3075" s="23"/>
      <c r="P3075" s="23"/>
    </row>
    <row r="3076" spans="2:16" x14ac:dyDescent="0.25">
      <c r="B3076" s="23"/>
      <c r="E3076" s="23"/>
      <c r="G3076" s="23"/>
      <c r="H3076" s="23"/>
      <c r="J3076" s="23"/>
      <c r="K3076" s="23"/>
      <c r="M3076" s="23"/>
      <c r="N3076" s="23"/>
      <c r="P3076" s="23"/>
    </row>
    <row r="3077" spans="2:16" x14ac:dyDescent="0.25">
      <c r="B3077" s="23"/>
      <c r="E3077" s="23"/>
      <c r="G3077" s="23"/>
      <c r="H3077" s="23"/>
      <c r="J3077" s="23"/>
      <c r="K3077" s="23"/>
      <c r="M3077" s="23"/>
      <c r="N3077" s="23"/>
      <c r="P3077" s="23"/>
    </row>
    <row r="3078" spans="2:16" x14ac:dyDescent="0.25">
      <c r="B3078" s="23"/>
      <c r="E3078" s="23"/>
      <c r="G3078" s="23"/>
      <c r="H3078" s="23"/>
      <c r="J3078" s="23"/>
      <c r="K3078" s="23"/>
      <c r="M3078" s="23"/>
      <c r="N3078" s="23"/>
      <c r="P3078" s="23"/>
    </row>
    <row r="3079" spans="2:16" x14ac:dyDescent="0.25">
      <c r="B3079" s="23"/>
      <c r="E3079" s="23"/>
      <c r="G3079" s="23"/>
      <c r="H3079" s="23"/>
      <c r="J3079" s="23"/>
      <c r="K3079" s="23"/>
      <c r="M3079" s="23"/>
      <c r="N3079" s="23"/>
      <c r="P3079" s="23"/>
    </row>
    <row r="3080" spans="2:16" x14ac:dyDescent="0.25">
      <c r="B3080" s="23"/>
      <c r="E3080" s="23"/>
      <c r="G3080" s="23"/>
      <c r="H3080" s="23"/>
      <c r="J3080" s="23"/>
      <c r="K3080" s="23"/>
      <c r="M3080" s="23"/>
      <c r="N3080" s="23"/>
      <c r="P3080" s="23"/>
    </row>
    <row r="3081" spans="2:16" x14ac:dyDescent="0.25">
      <c r="B3081" s="23"/>
      <c r="E3081" s="23"/>
      <c r="G3081" s="23"/>
      <c r="H3081" s="23"/>
      <c r="J3081" s="23"/>
      <c r="K3081" s="23"/>
      <c r="M3081" s="23"/>
      <c r="N3081" s="23"/>
      <c r="P3081" s="23"/>
    </row>
    <row r="3082" spans="2:16" x14ac:dyDescent="0.25">
      <c r="B3082" s="23"/>
      <c r="E3082" s="23"/>
      <c r="G3082" s="23"/>
      <c r="H3082" s="23"/>
      <c r="J3082" s="23"/>
      <c r="K3082" s="23"/>
      <c r="M3082" s="23"/>
      <c r="N3082" s="23"/>
      <c r="P3082" s="23"/>
    </row>
    <row r="3083" spans="2:16" x14ac:dyDescent="0.25">
      <c r="B3083" s="23"/>
      <c r="E3083" s="23"/>
      <c r="G3083" s="23"/>
      <c r="H3083" s="23"/>
      <c r="J3083" s="23"/>
      <c r="K3083" s="23"/>
      <c r="M3083" s="23"/>
      <c r="N3083" s="23"/>
      <c r="P3083" s="23"/>
    </row>
    <row r="3084" spans="2:16" x14ac:dyDescent="0.25">
      <c r="B3084" s="23"/>
      <c r="E3084" s="23"/>
      <c r="G3084" s="23"/>
      <c r="H3084" s="23"/>
      <c r="J3084" s="23"/>
      <c r="K3084" s="23"/>
      <c r="M3084" s="23"/>
      <c r="N3084" s="23"/>
      <c r="P3084" s="23"/>
    </row>
    <row r="3085" spans="2:16" x14ac:dyDescent="0.25">
      <c r="B3085" s="23"/>
      <c r="E3085" s="23"/>
      <c r="G3085" s="23"/>
      <c r="H3085" s="23"/>
      <c r="J3085" s="23"/>
      <c r="K3085" s="23"/>
      <c r="M3085" s="23"/>
      <c r="N3085" s="23"/>
      <c r="P3085" s="23"/>
    </row>
    <row r="3086" spans="2:16" x14ac:dyDescent="0.25">
      <c r="B3086" s="23"/>
      <c r="E3086" s="23"/>
      <c r="G3086" s="23"/>
      <c r="H3086" s="23"/>
      <c r="J3086" s="23"/>
      <c r="K3086" s="23"/>
      <c r="M3086" s="23"/>
      <c r="N3086" s="23"/>
      <c r="P3086" s="23"/>
    </row>
    <row r="3087" spans="2:16" x14ac:dyDescent="0.25">
      <c r="B3087" s="23"/>
      <c r="E3087" s="23"/>
      <c r="G3087" s="23"/>
      <c r="H3087" s="23"/>
      <c r="J3087" s="23"/>
      <c r="K3087" s="23"/>
      <c r="M3087" s="23"/>
      <c r="N3087" s="23"/>
      <c r="P3087" s="23"/>
    </row>
    <row r="3088" spans="2:16" x14ac:dyDescent="0.25">
      <c r="B3088" s="23"/>
      <c r="E3088" s="23"/>
      <c r="G3088" s="23"/>
      <c r="H3088" s="23"/>
      <c r="J3088" s="23"/>
      <c r="K3088" s="23"/>
      <c r="M3088" s="23"/>
      <c r="N3088" s="23"/>
      <c r="P3088" s="23"/>
    </row>
    <row r="3089" spans="2:16" x14ac:dyDescent="0.25">
      <c r="B3089" s="23"/>
      <c r="E3089" s="23"/>
      <c r="G3089" s="23"/>
      <c r="H3089" s="23"/>
      <c r="J3089" s="23"/>
      <c r="K3089" s="23"/>
      <c r="M3089" s="23"/>
      <c r="N3089" s="23"/>
      <c r="P3089" s="23"/>
    </row>
    <row r="3090" spans="2:16" x14ac:dyDescent="0.25">
      <c r="B3090" s="23"/>
      <c r="E3090" s="23"/>
      <c r="G3090" s="23"/>
      <c r="H3090" s="23"/>
      <c r="J3090" s="23"/>
      <c r="K3090" s="23"/>
      <c r="M3090" s="23"/>
      <c r="N3090" s="23"/>
      <c r="P3090" s="23"/>
    </row>
    <row r="3091" spans="2:16" x14ac:dyDescent="0.25">
      <c r="B3091" s="23"/>
      <c r="E3091" s="23"/>
      <c r="G3091" s="23"/>
      <c r="H3091" s="23"/>
      <c r="J3091" s="23"/>
      <c r="K3091" s="23"/>
      <c r="M3091" s="23"/>
      <c r="N3091" s="23"/>
      <c r="P3091" s="23"/>
    </row>
    <row r="3092" spans="2:16" x14ac:dyDescent="0.25">
      <c r="B3092" s="23"/>
      <c r="E3092" s="23"/>
      <c r="G3092" s="23"/>
      <c r="H3092" s="23"/>
      <c r="J3092" s="23"/>
      <c r="K3092" s="23"/>
      <c r="M3092" s="23"/>
      <c r="N3092" s="23"/>
      <c r="P3092" s="23"/>
    </row>
    <row r="3093" spans="2:16" x14ac:dyDescent="0.25">
      <c r="B3093" s="23"/>
      <c r="E3093" s="23"/>
      <c r="G3093" s="23"/>
      <c r="H3093" s="23"/>
      <c r="J3093" s="23"/>
      <c r="K3093" s="23"/>
      <c r="M3093" s="23"/>
      <c r="N3093" s="23"/>
      <c r="P3093" s="23"/>
    </row>
    <row r="3094" spans="2:16" x14ac:dyDescent="0.25">
      <c r="B3094" s="23"/>
      <c r="E3094" s="23"/>
      <c r="G3094" s="23"/>
      <c r="H3094" s="23"/>
      <c r="J3094" s="23"/>
      <c r="K3094" s="23"/>
      <c r="M3094" s="23"/>
      <c r="N3094" s="23"/>
      <c r="P3094" s="23"/>
    </row>
    <row r="3095" spans="2:16" x14ac:dyDescent="0.25">
      <c r="B3095" s="23"/>
      <c r="E3095" s="23"/>
      <c r="G3095" s="23"/>
      <c r="H3095" s="23"/>
      <c r="J3095" s="23"/>
      <c r="K3095" s="23"/>
      <c r="M3095" s="23"/>
      <c r="N3095" s="23"/>
      <c r="P3095" s="23"/>
    </row>
    <row r="3096" spans="2:16" x14ac:dyDescent="0.25">
      <c r="B3096" s="23"/>
      <c r="E3096" s="23"/>
      <c r="G3096" s="23"/>
      <c r="H3096" s="23"/>
      <c r="J3096" s="23"/>
      <c r="K3096" s="23"/>
      <c r="M3096" s="23"/>
      <c r="N3096" s="23"/>
      <c r="P3096" s="23"/>
    </row>
    <row r="3097" spans="2:16" x14ac:dyDescent="0.25">
      <c r="B3097" s="23"/>
      <c r="E3097" s="23"/>
      <c r="G3097" s="23"/>
      <c r="H3097" s="23"/>
      <c r="J3097" s="23"/>
      <c r="K3097" s="23"/>
      <c r="M3097" s="23"/>
      <c r="N3097" s="23"/>
      <c r="P3097" s="23"/>
    </row>
    <row r="3098" spans="2:16" x14ac:dyDescent="0.25">
      <c r="B3098" s="23"/>
      <c r="E3098" s="23"/>
      <c r="G3098" s="23"/>
      <c r="H3098" s="23"/>
      <c r="J3098" s="23"/>
      <c r="K3098" s="23"/>
      <c r="M3098" s="23"/>
      <c r="N3098" s="23"/>
      <c r="P3098" s="23"/>
    </row>
    <row r="3099" spans="2:16" x14ac:dyDescent="0.25">
      <c r="B3099" s="23"/>
      <c r="E3099" s="23"/>
      <c r="G3099" s="23"/>
      <c r="H3099" s="23"/>
      <c r="J3099" s="23"/>
      <c r="K3099" s="23"/>
      <c r="M3099" s="23"/>
      <c r="N3099" s="23"/>
      <c r="P3099" s="23"/>
    </row>
    <row r="3100" spans="2:16" x14ac:dyDescent="0.25">
      <c r="B3100" s="23"/>
      <c r="E3100" s="23"/>
      <c r="G3100" s="23"/>
      <c r="H3100" s="23"/>
      <c r="J3100" s="23"/>
      <c r="K3100" s="23"/>
      <c r="M3100" s="23"/>
      <c r="N3100" s="23"/>
      <c r="P3100" s="23"/>
    </row>
    <row r="3101" spans="2:16" x14ac:dyDescent="0.25">
      <c r="B3101" s="23"/>
      <c r="E3101" s="23"/>
      <c r="G3101" s="23"/>
      <c r="H3101" s="23"/>
      <c r="J3101" s="23"/>
      <c r="K3101" s="23"/>
      <c r="M3101" s="23"/>
      <c r="N3101" s="23"/>
      <c r="P3101" s="23"/>
    </row>
    <row r="3102" spans="2:16" x14ac:dyDescent="0.25">
      <c r="B3102" s="23"/>
      <c r="E3102" s="23"/>
      <c r="G3102" s="23"/>
      <c r="H3102" s="23"/>
      <c r="J3102" s="23"/>
      <c r="K3102" s="23"/>
      <c r="M3102" s="23"/>
      <c r="N3102" s="23"/>
      <c r="P3102" s="23"/>
    </row>
    <row r="3103" spans="2:16" x14ac:dyDescent="0.25">
      <c r="B3103" s="23"/>
      <c r="E3103" s="23"/>
      <c r="G3103" s="23"/>
      <c r="H3103" s="23"/>
      <c r="J3103" s="23"/>
      <c r="K3103" s="23"/>
      <c r="M3103" s="23"/>
      <c r="N3103" s="23"/>
      <c r="P3103" s="23"/>
    </row>
    <row r="3104" spans="2:16" x14ac:dyDescent="0.25">
      <c r="B3104" s="23"/>
      <c r="E3104" s="23"/>
      <c r="G3104" s="23"/>
      <c r="H3104" s="23"/>
      <c r="J3104" s="23"/>
      <c r="K3104" s="23"/>
      <c r="M3104" s="23"/>
      <c r="N3104" s="23"/>
      <c r="P3104" s="23"/>
    </row>
    <row r="3105" spans="2:16" x14ac:dyDescent="0.25">
      <c r="B3105" s="23"/>
      <c r="E3105" s="23"/>
      <c r="G3105" s="23"/>
      <c r="H3105" s="23"/>
      <c r="J3105" s="23"/>
      <c r="K3105" s="23"/>
      <c r="M3105" s="23"/>
      <c r="N3105" s="23"/>
      <c r="P3105" s="23"/>
    </row>
    <row r="3106" spans="2:16" x14ac:dyDescent="0.25">
      <c r="B3106" s="23"/>
      <c r="E3106" s="23"/>
      <c r="G3106" s="23"/>
      <c r="H3106" s="23"/>
      <c r="J3106" s="23"/>
      <c r="K3106" s="23"/>
      <c r="M3106" s="23"/>
      <c r="N3106" s="23"/>
      <c r="P3106" s="23"/>
    </row>
    <row r="3107" spans="2:16" x14ac:dyDescent="0.25">
      <c r="B3107" s="23"/>
      <c r="E3107" s="23"/>
      <c r="G3107" s="23"/>
      <c r="H3107" s="23"/>
      <c r="J3107" s="23"/>
      <c r="K3107" s="23"/>
      <c r="M3107" s="23"/>
      <c r="N3107" s="23"/>
      <c r="P3107" s="23"/>
    </row>
    <row r="3108" spans="2:16" x14ac:dyDescent="0.25">
      <c r="B3108" s="23"/>
      <c r="E3108" s="23"/>
      <c r="G3108" s="23"/>
      <c r="H3108" s="23"/>
      <c r="J3108" s="23"/>
      <c r="K3108" s="23"/>
      <c r="M3108" s="23"/>
      <c r="N3108" s="23"/>
      <c r="P3108" s="23"/>
    </row>
    <row r="3109" spans="2:16" x14ac:dyDescent="0.25">
      <c r="B3109" s="23"/>
      <c r="E3109" s="23"/>
      <c r="G3109" s="23"/>
      <c r="H3109" s="23"/>
      <c r="J3109" s="23"/>
      <c r="K3109" s="23"/>
      <c r="M3109" s="23"/>
      <c r="N3109" s="23"/>
      <c r="P3109" s="23"/>
    </row>
    <row r="3110" spans="2:16" x14ac:dyDescent="0.25">
      <c r="B3110" s="23"/>
      <c r="E3110" s="23"/>
      <c r="G3110" s="23"/>
      <c r="H3110" s="23"/>
      <c r="J3110" s="23"/>
      <c r="K3110" s="23"/>
      <c r="M3110" s="23"/>
      <c r="N3110" s="23"/>
      <c r="P3110" s="23"/>
    </row>
    <row r="3111" spans="2:16" x14ac:dyDescent="0.25">
      <c r="B3111" s="23"/>
      <c r="E3111" s="23"/>
      <c r="G3111" s="23"/>
      <c r="H3111" s="23"/>
      <c r="J3111" s="23"/>
      <c r="K3111" s="23"/>
      <c r="M3111" s="23"/>
      <c r="N3111" s="23"/>
      <c r="P3111" s="23"/>
    </row>
    <row r="3112" spans="2:16" x14ac:dyDescent="0.25">
      <c r="B3112" s="23"/>
      <c r="E3112" s="23"/>
      <c r="G3112" s="23"/>
      <c r="H3112" s="23"/>
      <c r="J3112" s="23"/>
      <c r="K3112" s="23"/>
      <c r="M3112" s="23"/>
      <c r="N3112" s="23"/>
      <c r="P3112" s="23"/>
    </row>
    <row r="3113" spans="2:16" x14ac:dyDescent="0.25">
      <c r="B3113" s="23"/>
      <c r="E3113" s="23"/>
      <c r="G3113" s="23"/>
      <c r="H3113" s="23"/>
      <c r="J3113" s="23"/>
      <c r="K3113" s="23"/>
      <c r="M3113" s="23"/>
      <c r="N3113" s="23"/>
      <c r="P3113" s="23"/>
    </row>
    <row r="3114" spans="2:16" x14ac:dyDescent="0.25">
      <c r="B3114" s="23"/>
      <c r="E3114" s="23"/>
      <c r="G3114" s="23"/>
      <c r="H3114" s="23"/>
      <c r="J3114" s="23"/>
      <c r="K3114" s="23"/>
      <c r="M3114" s="23"/>
      <c r="N3114" s="23"/>
      <c r="P3114" s="23"/>
    </row>
    <row r="3115" spans="2:16" x14ac:dyDescent="0.25">
      <c r="B3115" s="23"/>
      <c r="E3115" s="23"/>
      <c r="G3115" s="23"/>
      <c r="H3115" s="23"/>
      <c r="J3115" s="23"/>
      <c r="K3115" s="23"/>
      <c r="M3115" s="23"/>
      <c r="N3115" s="23"/>
      <c r="P3115" s="23"/>
    </row>
    <row r="3116" spans="2:16" x14ac:dyDescent="0.25">
      <c r="B3116" s="23"/>
      <c r="E3116" s="23"/>
      <c r="G3116" s="23"/>
      <c r="H3116" s="23"/>
      <c r="J3116" s="23"/>
      <c r="K3116" s="23"/>
      <c r="M3116" s="23"/>
      <c r="N3116" s="23"/>
      <c r="P3116" s="23"/>
    </row>
    <row r="3117" spans="2:16" x14ac:dyDescent="0.25">
      <c r="B3117" s="23"/>
      <c r="E3117" s="23"/>
      <c r="G3117" s="23"/>
      <c r="H3117" s="23"/>
      <c r="J3117" s="23"/>
      <c r="K3117" s="23"/>
      <c r="M3117" s="23"/>
      <c r="N3117" s="23"/>
      <c r="P3117" s="23"/>
    </row>
    <row r="3118" spans="2:16" x14ac:dyDescent="0.25">
      <c r="B3118" s="23"/>
      <c r="E3118" s="23"/>
      <c r="G3118" s="23"/>
      <c r="H3118" s="23"/>
      <c r="J3118" s="23"/>
      <c r="K3118" s="23"/>
      <c r="M3118" s="23"/>
      <c r="N3118" s="23"/>
      <c r="P3118" s="23"/>
    </row>
    <row r="3119" spans="2:16" x14ac:dyDescent="0.25">
      <c r="B3119" s="23"/>
      <c r="E3119" s="23"/>
      <c r="G3119" s="23"/>
      <c r="H3119" s="23"/>
      <c r="J3119" s="23"/>
      <c r="K3119" s="23"/>
      <c r="M3119" s="23"/>
      <c r="N3119" s="23"/>
      <c r="P3119" s="23"/>
    </row>
    <row r="3120" spans="2:16" x14ac:dyDescent="0.25">
      <c r="B3120" s="23"/>
      <c r="E3120" s="23"/>
      <c r="G3120" s="23"/>
      <c r="H3120" s="23"/>
      <c r="J3120" s="23"/>
      <c r="K3120" s="23"/>
      <c r="M3120" s="23"/>
      <c r="N3120" s="23"/>
      <c r="P3120" s="23"/>
    </row>
    <row r="3121" spans="2:16" x14ac:dyDescent="0.25">
      <c r="B3121" s="23"/>
      <c r="E3121" s="23"/>
      <c r="G3121" s="23"/>
      <c r="H3121" s="23"/>
      <c r="J3121" s="23"/>
      <c r="K3121" s="23"/>
      <c r="M3121" s="23"/>
      <c r="N3121" s="23"/>
      <c r="P3121" s="23"/>
    </row>
    <row r="3122" spans="2:16" x14ac:dyDescent="0.25">
      <c r="B3122" s="23"/>
      <c r="E3122" s="23"/>
      <c r="G3122" s="23"/>
      <c r="H3122" s="23"/>
      <c r="J3122" s="23"/>
      <c r="K3122" s="23"/>
      <c r="M3122" s="23"/>
      <c r="N3122" s="23"/>
      <c r="P3122" s="23"/>
    </row>
    <row r="3123" spans="2:16" x14ac:dyDescent="0.25">
      <c r="B3123" s="23"/>
      <c r="E3123" s="23"/>
      <c r="G3123" s="23"/>
      <c r="H3123" s="23"/>
      <c r="J3123" s="23"/>
      <c r="K3123" s="23"/>
      <c r="M3123" s="23"/>
      <c r="N3123" s="23"/>
      <c r="P3123" s="23"/>
    </row>
    <row r="3124" spans="2:16" x14ac:dyDescent="0.25">
      <c r="B3124" s="23"/>
      <c r="E3124" s="23"/>
      <c r="G3124" s="23"/>
      <c r="H3124" s="23"/>
      <c r="J3124" s="23"/>
      <c r="K3124" s="23"/>
      <c r="M3124" s="23"/>
      <c r="N3124" s="23"/>
      <c r="P3124" s="23"/>
    </row>
    <row r="3125" spans="2:16" x14ac:dyDescent="0.25">
      <c r="B3125" s="23"/>
      <c r="E3125" s="23"/>
      <c r="G3125" s="23"/>
      <c r="H3125" s="23"/>
      <c r="J3125" s="23"/>
      <c r="K3125" s="23"/>
      <c r="M3125" s="23"/>
      <c r="N3125" s="23"/>
      <c r="P3125" s="23"/>
    </row>
    <row r="3126" spans="2:16" x14ac:dyDescent="0.25">
      <c r="B3126" s="23"/>
      <c r="E3126" s="23"/>
      <c r="G3126" s="23"/>
      <c r="H3126" s="23"/>
      <c r="J3126" s="23"/>
      <c r="K3126" s="23"/>
      <c r="M3126" s="23"/>
      <c r="N3126" s="23"/>
      <c r="P3126" s="23"/>
    </row>
    <row r="3127" spans="2:16" x14ac:dyDescent="0.25">
      <c r="B3127" s="23"/>
      <c r="E3127" s="23"/>
      <c r="G3127" s="23"/>
      <c r="H3127" s="23"/>
      <c r="J3127" s="23"/>
      <c r="K3127" s="23"/>
      <c r="M3127" s="23"/>
      <c r="N3127" s="23"/>
      <c r="P3127" s="23"/>
    </row>
    <row r="3128" spans="2:16" x14ac:dyDescent="0.25">
      <c r="B3128" s="23"/>
      <c r="E3128" s="23"/>
      <c r="G3128" s="23"/>
      <c r="H3128" s="23"/>
      <c r="J3128" s="23"/>
      <c r="K3128" s="23"/>
      <c r="M3128" s="23"/>
      <c r="N3128" s="23"/>
      <c r="P3128" s="23"/>
    </row>
    <row r="3129" spans="2:16" x14ac:dyDescent="0.25">
      <c r="B3129" s="23"/>
      <c r="E3129" s="23"/>
      <c r="G3129" s="23"/>
      <c r="H3129" s="23"/>
      <c r="J3129" s="23"/>
      <c r="K3129" s="23"/>
      <c r="M3129" s="23"/>
      <c r="N3129" s="23"/>
      <c r="P3129" s="23"/>
    </row>
    <row r="3130" spans="2:16" x14ac:dyDescent="0.25">
      <c r="B3130" s="23"/>
      <c r="E3130" s="23"/>
      <c r="G3130" s="23"/>
      <c r="H3130" s="23"/>
      <c r="J3130" s="23"/>
      <c r="K3130" s="23"/>
      <c r="M3130" s="23"/>
      <c r="N3130" s="23"/>
      <c r="P3130" s="23"/>
    </row>
    <row r="3131" spans="2:16" x14ac:dyDescent="0.25">
      <c r="B3131" s="23"/>
      <c r="E3131" s="23"/>
      <c r="G3131" s="23"/>
      <c r="H3131" s="23"/>
      <c r="J3131" s="23"/>
      <c r="K3131" s="23"/>
      <c r="M3131" s="23"/>
      <c r="N3131" s="23"/>
      <c r="P3131" s="23"/>
    </row>
    <row r="3132" spans="2:16" x14ac:dyDescent="0.25">
      <c r="B3132" s="23"/>
      <c r="E3132" s="23"/>
      <c r="G3132" s="23"/>
      <c r="H3132" s="23"/>
      <c r="J3132" s="23"/>
      <c r="K3132" s="23"/>
      <c r="M3132" s="23"/>
      <c r="N3132" s="23"/>
      <c r="P3132" s="23"/>
    </row>
    <row r="3133" spans="2:16" x14ac:dyDescent="0.25">
      <c r="B3133" s="23"/>
      <c r="E3133" s="23"/>
      <c r="G3133" s="23"/>
      <c r="H3133" s="23"/>
      <c r="J3133" s="23"/>
      <c r="K3133" s="23"/>
      <c r="M3133" s="23"/>
      <c r="N3133" s="23"/>
      <c r="P3133" s="23"/>
    </row>
    <row r="3134" spans="2:16" x14ac:dyDescent="0.25">
      <c r="B3134" s="23"/>
      <c r="E3134" s="23"/>
      <c r="G3134" s="23"/>
      <c r="H3134" s="23"/>
      <c r="J3134" s="23"/>
      <c r="K3134" s="23"/>
      <c r="M3134" s="23"/>
      <c r="N3134" s="23"/>
      <c r="P3134" s="23"/>
    </row>
    <row r="3135" spans="2:16" x14ac:dyDescent="0.25">
      <c r="B3135" s="23"/>
      <c r="E3135" s="23"/>
      <c r="G3135" s="23"/>
      <c r="H3135" s="23"/>
      <c r="J3135" s="23"/>
      <c r="K3135" s="23"/>
      <c r="M3135" s="23"/>
      <c r="N3135" s="23"/>
      <c r="P3135" s="23"/>
    </row>
    <row r="3136" spans="2:16" x14ac:dyDescent="0.25">
      <c r="B3136" s="23"/>
      <c r="E3136" s="23"/>
      <c r="G3136" s="23"/>
      <c r="H3136" s="23"/>
      <c r="J3136" s="23"/>
      <c r="K3136" s="23"/>
      <c r="M3136" s="23"/>
      <c r="N3136" s="23"/>
      <c r="P3136" s="23"/>
    </row>
    <row r="3137" spans="2:16" x14ac:dyDescent="0.25">
      <c r="B3137" s="23"/>
      <c r="E3137" s="23"/>
      <c r="G3137" s="23"/>
      <c r="H3137" s="23"/>
      <c r="J3137" s="23"/>
      <c r="K3137" s="23"/>
      <c r="M3137" s="23"/>
      <c r="N3137" s="23"/>
      <c r="P3137" s="23"/>
    </row>
    <row r="3138" spans="2:16" x14ac:dyDescent="0.25">
      <c r="B3138" s="23"/>
      <c r="E3138" s="23"/>
      <c r="G3138" s="23"/>
      <c r="H3138" s="23"/>
      <c r="J3138" s="23"/>
      <c r="K3138" s="23"/>
      <c r="M3138" s="23"/>
      <c r="N3138" s="23"/>
      <c r="P3138" s="23"/>
    </row>
    <row r="3139" spans="2:16" x14ac:dyDescent="0.25">
      <c r="B3139" s="23"/>
      <c r="E3139" s="23"/>
      <c r="G3139" s="23"/>
      <c r="H3139" s="23"/>
      <c r="J3139" s="23"/>
      <c r="K3139" s="23"/>
      <c r="M3139" s="23"/>
      <c r="N3139" s="23"/>
      <c r="P3139" s="23"/>
    </row>
    <row r="3140" spans="2:16" x14ac:dyDescent="0.25">
      <c r="B3140" s="23"/>
      <c r="E3140" s="23"/>
      <c r="G3140" s="23"/>
      <c r="H3140" s="23"/>
      <c r="J3140" s="23"/>
      <c r="K3140" s="23"/>
      <c r="M3140" s="23"/>
      <c r="N3140" s="23"/>
      <c r="P3140" s="23"/>
    </row>
    <row r="3141" spans="2:16" x14ac:dyDescent="0.25">
      <c r="B3141" s="23"/>
      <c r="E3141" s="23"/>
      <c r="G3141" s="23"/>
      <c r="H3141" s="23"/>
      <c r="J3141" s="23"/>
      <c r="K3141" s="23"/>
      <c r="M3141" s="23"/>
      <c r="N3141" s="23"/>
      <c r="P3141" s="23"/>
    </row>
    <row r="3142" spans="2:16" x14ac:dyDescent="0.25">
      <c r="B3142" s="23"/>
      <c r="E3142" s="23"/>
      <c r="G3142" s="23"/>
      <c r="H3142" s="23"/>
      <c r="J3142" s="23"/>
      <c r="K3142" s="23"/>
      <c r="M3142" s="23"/>
      <c r="N3142" s="23"/>
      <c r="P3142" s="23"/>
    </row>
    <row r="3143" spans="2:16" x14ac:dyDescent="0.25">
      <c r="B3143" s="23"/>
      <c r="E3143" s="23"/>
      <c r="G3143" s="23"/>
      <c r="H3143" s="23"/>
      <c r="J3143" s="23"/>
      <c r="K3143" s="23"/>
      <c r="M3143" s="23"/>
      <c r="N3143" s="23"/>
      <c r="P3143" s="23"/>
    </row>
    <row r="3144" spans="2:16" x14ac:dyDescent="0.25">
      <c r="B3144" s="23"/>
      <c r="E3144" s="23"/>
      <c r="G3144" s="23"/>
      <c r="H3144" s="23"/>
      <c r="J3144" s="23"/>
      <c r="K3144" s="23"/>
      <c r="M3144" s="23"/>
      <c r="N3144" s="23"/>
      <c r="P3144" s="23"/>
    </row>
    <row r="3145" spans="2:16" x14ac:dyDescent="0.25">
      <c r="B3145" s="23"/>
      <c r="E3145" s="23"/>
      <c r="G3145" s="23"/>
      <c r="H3145" s="23"/>
      <c r="J3145" s="23"/>
      <c r="K3145" s="23"/>
      <c r="M3145" s="23"/>
      <c r="N3145" s="23"/>
      <c r="P3145" s="23"/>
    </row>
    <row r="3146" spans="2:16" x14ac:dyDescent="0.25">
      <c r="B3146" s="23"/>
      <c r="E3146" s="23"/>
      <c r="G3146" s="23"/>
      <c r="H3146" s="23"/>
      <c r="J3146" s="23"/>
      <c r="K3146" s="23"/>
      <c r="M3146" s="23"/>
      <c r="N3146" s="23"/>
      <c r="P3146" s="23"/>
    </row>
    <row r="3147" spans="2:16" x14ac:dyDescent="0.25">
      <c r="B3147" s="23"/>
      <c r="E3147" s="23"/>
      <c r="G3147" s="23"/>
      <c r="H3147" s="23"/>
      <c r="J3147" s="23"/>
      <c r="K3147" s="23"/>
      <c r="M3147" s="23"/>
      <c r="N3147" s="23"/>
      <c r="P3147" s="23"/>
    </row>
    <row r="3148" spans="2:16" x14ac:dyDescent="0.25">
      <c r="B3148" s="23"/>
      <c r="E3148" s="23"/>
      <c r="G3148" s="23"/>
      <c r="H3148" s="23"/>
      <c r="J3148" s="23"/>
      <c r="K3148" s="23"/>
      <c r="M3148" s="23"/>
      <c r="N3148" s="23"/>
      <c r="P3148" s="23"/>
    </row>
    <row r="3149" spans="2:16" x14ac:dyDescent="0.25">
      <c r="B3149" s="23"/>
      <c r="E3149" s="23"/>
      <c r="G3149" s="23"/>
      <c r="H3149" s="23"/>
      <c r="J3149" s="23"/>
      <c r="K3149" s="23"/>
      <c r="M3149" s="23"/>
      <c r="N3149" s="23"/>
      <c r="P3149" s="23"/>
    </row>
    <row r="3150" spans="2:16" x14ac:dyDescent="0.25">
      <c r="B3150" s="23"/>
      <c r="E3150" s="23"/>
      <c r="G3150" s="23"/>
      <c r="H3150" s="23"/>
      <c r="J3150" s="23"/>
      <c r="K3150" s="23"/>
      <c r="M3150" s="23"/>
      <c r="N3150" s="23"/>
      <c r="P3150" s="23"/>
    </row>
    <row r="3151" spans="2:16" x14ac:dyDescent="0.25">
      <c r="B3151" s="23"/>
      <c r="E3151" s="23"/>
      <c r="G3151" s="23"/>
      <c r="H3151" s="23"/>
      <c r="J3151" s="23"/>
      <c r="K3151" s="23"/>
      <c r="M3151" s="23"/>
      <c r="N3151" s="23"/>
      <c r="P3151" s="23"/>
    </row>
    <row r="3152" spans="2:16" x14ac:dyDescent="0.25">
      <c r="B3152" s="23"/>
      <c r="E3152" s="23"/>
      <c r="G3152" s="23"/>
      <c r="H3152" s="23"/>
      <c r="J3152" s="23"/>
      <c r="K3152" s="23"/>
      <c r="M3152" s="23"/>
      <c r="N3152" s="23"/>
      <c r="P3152" s="23"/>
    </row>
    <row r="3153" spans="2:16" x14ac:dyDescent="0.25">
      <c r="B3153" s="23"/>
      <c r="E3153" s="23"/>
      <c r="G3153" s="23"/>
      <c r="H3153" s="23"/>
      <c r="J3153" s="23"/>
      <c r="K3153" s="23"/>
      <c r="M3153" s="23"/>
      <c r="N3153" s="23"/>
      <c r="P3153" s="23"/>
    </row>
    <row r="3154" spans="2:16" x14ac:dyDescent="0.25">
      <c r="B3154" s="23"/>
      <c r="E3154" s="23"/>
      <c r="G3154" s="23"/>
      <c r="H3154" s="23"/>
      <c r="J3154" s="23"/>
      <c r="K3154" s="23"/>
      <c r="M3154" s="23"/>
      <c r="N3154" s="23"/>
      <c r="P3154" s="23"/>
    </row>
    <row r="3155" spans="2:16" x14ac:dyDescent="0.25">
      <c r="B3155" s="23"/>
      <c r="E3155" s="23"/>
      <c r="G3155" s="23"/>
      <c r="H3155" s="23"/>
      <c r="J3155" s="23"/>
      <c r="K3155" s="23"/>
      <c r="M3155" s="23"/>
      <c r="N3155" s="23"/>
      <c r="P3155" s="23"/>
    </row>
    <row r="3156" spans="2:16" x14ac:dyDescent="0.25">
      <c r="B3156" s="23"/>
      <c r="E3156" s="23"/>
      <c r="G3156" s="23"/>
      <c r="H3156" s="23"/>
      <c r="J3156" s="23"/>
      <c r="K3156" s="23"/>
      <c r="M3156" s="23"/>
      <c r="N3156" s="23"/>
      <c r="P3156" s="23"/>
    </row>
    <row r="3157" spans="2:16" x14ac:dyDescent="0.25">
      <c r="B3157" s="23"/>
      <c r="E3157" s="23"/>
      <c r="G3157" s="23"/>
      <c r="H3157" s="23"/>
      <c r="J3157" s="23"/>
      <c r="K3157" s="23"/>
      <c r="M3157" s="23"/>
      <c r="N3157" s="23"/>
      <c r="P3157" s="23"/>
    </row>
    <row r="3158" spans="2:16" x14ac:dyDescent="0.25">
      <c r="B3158" s="23"/>
      <c r="E3158" s="23"/>
      <c r="G3158" s="23"/>
      <c r="H3158" s="23"/>
      <c r="J3158" s="23"/>
      <c r="K3158" s="23"/>
      <c r="M3158" s="23"/>
      <c r="N3158" s="23"/>
      <c r="P3158" s="23"/>
    </row>
    <row r="3159" spans="2:16" x14ac:dyDescent="0.25">
      <c r="B3159" s="23"/>
      <c r="E3159" s="23"/>
      <c r="G3159" s="23"/>
      <c r="H3159" s="23"/>
      <c r="J3159" s="23"/>
      <c r="K3159" s="23"/>
      <c r="M3159" s="23"/>
      <c r="N3159" s="23"/>
      <c r="P3159" s="23"/>
    </row>
    <row r="3160" spans="2:16" x14ac:dyDescent="0.25">
      <c r="B3160" s="23"/>
      <c r="E3160" s="23"/>
      <c r="G3160" s="23"/>
      <c r="H3160" s="23"/>
      <c r="J3160" s="23"/>
      <c r="K3160" s="23"/>
      <c r="M3160" s="23"/>
      <c r="N3160" s="23"/>
      <c r="P3160" s="23"/>
    </row>
    <row r="3161" spans="2:16" x14ac:dyDescent="0.25">
      <c r="B3161" s="23"/>
      <c r="E3161" s="23"/>
      <c r="G3161" s="23"/>
      <c r="H3161" s="23"/>
      <c r="J3161" s="23"/>
      <c r="K3161" s="23"/>
      <c r="M3161" s="23"/>
      <c r="N3161" s="23"/>
      <c r="P3161" s="23"/>
    </row>
    <row r="3162" spans="2:16" x14ac:dyDescent="0.25">
      <c r="B3162" s="23"/>
      <c r="E3162" s="23"/>
      <c r="G3162" s="23"/>
      <c r="H3162" s="23"/>
      <c r="J3162" s="23"/>
      <c r="K3162" s="23"/>
      <c r="M3162" s="23"/>
      <c r="N3162" s="23"/>
      <c r="P3162" s="23"/>
    </row>
    <row r="3163" spans="2:16" x14ac:dyDescent="0.25">
      <c r="B3163" s="23"/>
      <c r="E3163" s="23"/>
      <c r="G3163" s="23"/>
      <c r="H3163" s="23"/>
      <c r="J3163" s="23"/>
      <c r="K3163" s="23"/>
      <c r="M3163" s="23"/>
      <c r="N3163" s="23"/>
      <c r="P3163" s="23"/>
    </row>
    <row r="3164" spans="2:16" x14ac:dyDescent="0.25">
      <c r="B3164" s="23"/>
      <c r="E3164" s="23"/>
      <c r="G3164" s="23"/>
      <c r="H3164" s="23"/>
      <c r="J3164" s="23"/>
      <c r="K3164" s="23"/>
      <c r="M3164" s="23"/>
      <c r="N3164" s="23"/>
      <c r="P3164" s="23"/>
    </row>
    <row r="3165" spans="2:16" x14ac:dyDescent="0.25">
      <c r="B3165" s="23"/>
      <c r="E3165" s="23"/>
      <c r="G3165" s="23"/>
      <c r="H3165" s="23"/>
      <c r="J3165" s="23"/>
      <c r="K3165" s="23"/>
      <c r="M3165" s="23"/>
      <c r="N3165" s="23"/>
      <c r="P3165" s="23"/>
    </row>
    <row r="3166" spans="2:16" x14ac:dyDescent="0.25">
      <c r="B3166" s="23"/>
      <c r="E3166" s="23"/>
      <c r="G3166" s="23"/>
      <c r="H3166" s="23"/>
      <c r="J3166" s="23"/>
      <c r="K3166" s="23"/>
      <c r="M3166" s="23"/>
      <c r="N3166" s="23"/>
      <c r="P3166" s="23"/>
    </row>
    <row r="3167" spans="2:16" x14ac:dyDescent="0.25">
      <c r="B3167" s="23"/>
      <c r="E3167" s="23"/>
      <c r="G3167" s="23"/>
      <c r="H3167" s="23"/>
      <c r="J3167" s="23"/>
      <c r="K3167" s="23"/>
      <c r="M3167" s="23"/>
      <c r="N3167" s="23"/>
      <c r="P3167" s="23"/>
    </row>
    <row r="3168" spans="2:16" x14ac:dyDescent="0.25">
      <c r="B3168" s="23"/>
      <c r="E3168" s="23"/>
      <c r="G3168" s="23"/>
      <c r="H3168" s="23"/>
      <c r="J3168" s="23"/>
      <c r="K3168" s="23"/>
      <c r="M3168" s="23"/>
      <c r="N3168" s="23"/>
      <c r="P3168" s="23"/>
    </row>
    <row r="3169" spans="2:16" x14ac:dyDescent="0.25">
      <c r="B3169" s="23"/>
      <c r="E3169" s="23"/>
      <c r="G3169" s="23"/>
      <c r="H3169" s="23"/>
      <c r="J3169" s="23"/>
      <c r="K3169" s="23"/>
      <c r="M3169" s="23"/>
      <c r="N3169" s="23"/>
      <c r="P3169" s="23"/>
    </row>
    <row r="3170" spans="2:16" x14ac:dyDescent="0.25">
      <c r="B3170" s="23"/>
      <c r="E3170" s="23"/>
      <c r="G3170" s="23"/>
      <c r="H3170" s="23"/>
      <c r="J3170" s="23"/>
      <c r="K3170" s="23"/>
      <c r="M3170" s="23"/>
      <c r="N3170" s="23"/>
      <c r="P3170" s="23"/>
    </row>
    <row r="3171" spans="2:16" x14ac:dyDescent="0.25">
      <c r="B3171" s="23"/>
      <c r="E3171" s="23"/>
      <c r="G3171" s="23"/>
      <c r="H3171" s="23"/>
      <c r="J3171" s="23"/>
      <c r="K3171" s="23"/>
      <c r="M3171" s="23"/>
      <c r="N3171" s="23"/>
      <c r="P3171" s="23"/>
    </row>
    <row r="3172" spans="2:16" x14ac:dyDescent="0.25">
      <c r="B3172" s="23"/>
      <c r="E3172" s="23"/>
      <c r="G3172" s="23"/>
      <c r="H3172" s="23"/>
      <c r="J3172" s="23"/>
      <c r="K3172" s="23"/>
      <c r="M3172" s="23"/>
      <c r="N3172" s="23"/>
      <c r="P3172" s="23"/>
    </row>
    <row r="3173" spans="2:16" x14ac:dyDescent="0.25">
      <c r="B3173" s="23"/>
      <c r="E3173" s="23"/>
      <c r="G3173" s="23"/>
      <c r="H3173" s="23"/>
      <c r="J3173" s="23"/>
      <c r="K3173" s="23"/>
      <c r="M3173" s="23"/>
      <c r="N3173" s="23"/>
      <c r="P3173" s="23"/>
    </row>
    <row r="3174" spans="2:16" x14ac:dyDescent="0.25">
      <c r="B3174" s="23"/>
      <c r="E3174" s="23"/>
      <c r="G3174" s="23"/>
      <c r="H3174" s="23"/>
      <c r="J3174" s="23"/>
      <c r="K3174" s="23"/>
      <c r="M3174" s="23"/>
      <c r="N3174" s="23"/>
      <c r="P3174" s="23"/>
    </row>
    <row r="3175" spans="2:16" x14ac:dyDescent="0.25">
      <c r="B3175" s="23"/>
      <c r="E3175" s="23"/>
      <c r="G3175" s="23"/>
      <c r="H3175" s="23"/>
      <c r="J3175" s="23"/>
      <c r="K3175" s="23"/>
      <c r="M3175" s="23"/>
      <c r="N3175" s="23"/>
      <c r="P3175" s="23"/>
    </row>
    <row r="3176" spans="2:16" x14ac:dyDescent="0.25">
      <c r="B3176" s="23"/>
      <c r="E3176" s="23"/>
      <c r="G3176" s="23"/>
      <c r="H3176" s="23"/>
      <c r="J3176" s="23"/>
      <c r="K3176" s="23"/>
      <c r="M3176" s="23"/>
      <c r="N3176" s="23"/>
      <c r="P3176" s="23"/>
    </row>
    <row r="3177" spans="2:16" x14ac:dyDescent="0.25">
      <c r="B3177" s="23"/>
      <c r="E3177" s="23"/>
      <c r="G3177" s="23"/>
      <c r="H3177" s="23"/>
      <c r="J3177" s="23"/>
      <c r="K3177" s="23"/>
      <c r="M3177" s="23"/>
      <c r="N3177" s="23"/>
      <c r="P3177" s="23"/>
    </row>
    <row r="3178" spans="2:16" x14ac:dyDescent="0.25">
      <c r="B3178" s="23"/>
      <c r="E3178" s="23"/>
      <c r="G3178" s="23"/>
      <c r="H3178" s="23"/>
      <c r="J3178" s="23"/>
      <c r="K3178" s="23"/>
      <c r="M3178" s="23"/>
      <c r="N3178" s="23"/>
      <c r="P3178" s="23"/>
    </row>
    <row r="3179" spans="2:16" x14ac:dyDescent="0.25">
      <c r="B3179" s="23"/>
      <c r="E3179" s="23"/>
      <c r="G3179" s="23"/>
      <c r="H3179" s="23"/>
      <c r="J3179" s="23"/>
      <c r="K3179" s="23"/>
      <c r="M3179" s="23"/>
      <c r="N3179" s="23"/>
      <c r="P3179" s="23"/>
    </row>
    <row r="3180" spans="2:16" x14ac:dyDescent="0.25">
      <c r="B3180" s="23"/>
      <c r="E3180" s="23"/>
      <c r="G3180" s="23"/>
      <c r="H3180" s="23"/>
      <c r="J3180" s="23"/>
      <c r="K3180" s="23"/>
      <c r="M3180" s="23"/>
      <c r="N3180" s="23"/>
      <c r="P3180" s="23"/>
    </row>
    <row r="3181" spans="2:16" x14ac:dyDescent="0.25">
      <c r="B3181" s="23"/>
      <c r="E3181" s="23"/>
      <c r="G3181" s="23"/>
      <c r="H3181" s="23"/>
      <c r="J3181" s="23"/>
      <c r="K3181" s="23"/>
      <c r="M3181" s="23"/>
      <c r="N3181" s="23"/>
      <c r="P3181" s="23"/>
    </row>
    <row r="3182" spans="2:16" x14ac:dyDescent="0.25">
      <c r="B3182" s="23"/>
      <c r="E3182" s="23"/>
      <c r="G3182" s="23"/>
      <c r="H3182" s="23"/>
      <c r="J3182" s="23"/>
      <c r="K3182" s="23"/>
      <c r="M3182" s="23"/>
      <c r="N3182" s="23"/>
      <c r="P3182" s="23"/>
    </row>
    <row r="3183" spans="2:16" x14ac:dyDescent="0.25">
      <c r="B3183" s="23"/>
      <c r="E3183" s="23"/>
      <c r="G3183" s="23"/>
      <c r="H3183" s="23"/>
      <c r="J3183" s="23"/>
      <c r="K3183" s="23"/>
      <c r="M3183" s="23"/>
      <c r="N3183" s="23"/>
      <c r="P3183" s="23"/>
    </row>
    <row r="3184" spans="2:16" x14ac:dyDescent="0.25">
      <c r="B3184" s="23"/>
      <c r="E3184" s="23"/>
      <c r="G3184" s="23"/>
      <c r="H3184" s="23"/>
      <c r="J3184" s="23"/>
      <c r="K3184" s="23"/>
      <c r="M3184" s="23"/>
      <c r="N3184" s="23"/>
      <c r="P3184" s="23"/>
    </row>
    <row r="3185" spans="2:16" x14ac:dyDescent="0.25">
      <c r="B3185" s="23"/>
      <c r="E3185" s="23"/>
      <c r="G3185" s="23"/>
      <c r="H3185" s="23"/>
      <c r="J3185" s="23"/>
      <c r="K3185" s="23"/>
      <c r="M3185" s="23"/>
      <c r="N3185" s="23"/>
      <c r="P3185" s="23"/>
    </row>
    <row r="3186" spans="2:16" x14ac:dyDescent="0.25">
      <c r="B3186" s="23"/>
      <c r="E3186" s="23"/>
      <c r="G3186" s="23"/>
      <c r="H3186" s="23"/>
      <c r="J3186" s="23"/>
      <c r="K3186" s="23"/>
      <c r="M3186" s="23"/>
      <c r="N3186" s="23"/>
      <c r="P3186" s="23"/>
    </row>
    <row r="3187" spans="2:16" x14ac:dyDescent="0.25">
      <c r="B3187" s="23"/>
      <c r="E3187" s="23"/>
      <c r="G3187" s="23"/>
      <c r="H3187" s="23"/>
      <c r="J3187" s="23"/>
      <c r="K3187" s="23"/>
      <c r="M3187" s="23"/>
      <c r="N3187" s="23"/>
      <c r="P3187" s="23"/>
    </row>
    <row r="3188" spans="2:16" x14ac:dyDescent="0.25">
      <c r="B3188" s="23"/>
      <c r="E3188" s="23"/>
      <c r="G3188" s="23"/>
      <c r="H3188" s="23"/>
      <c r="J3188" s="23"/>
      <c r="K3188" s="23"/>
      <c r="M3188" s="23"/>
      <c r="N3188" s="23"/>
      <c r="P3188" s="23"/>
    </row>
    <row r="3189" spans="2:16" x14ac:dyDescent="0.25">
      <c r="B3189" s="23"/>
      <c r="E3189" s="23"/>
      <c r="G3189" s="23"/>
      <c r="H3189" s="23"/>
      <c r="J3189" s="23"/>
      <c r="K3189" s="23"/>
      <c r="M3189" s="23"/>
      <c r="N3189" s="23"/>
      <c r="P3189" s="23"/>
    </row>
    <row r="3190" spans="2:16" x14ac:dyDescent="0.25">
      <c r="B3190" s="23"/>
      <c r="E3190" s="23"/>
      <c r="G3190" s="23"/>
      <c r="H3190" s="23"/>
      <c r="J3190" s="23"/>
      <c r="K3190" s="23"/>
      <c r="M3190" s="23"/>
      <c r="N3190" s="23"/>
      <c r="P3190" s="23"/>
    </row>
    <row r="3191" spans="2:16" x14ac:dyDescent="0.25">
      <c r="B3191" s="23"/>
      <c r="E3191" s="23"/>
      <c r="G3191" s="23"/>
      <c r="H3191" s="23"/>
      <c r="J3191" s="23"/>
      <c r="K3191" s="23"/>
      <c r="M3191" s="23"/>
      <c r="N3191" s="23"/>
      <c r="P3191" s="23"/>
    </row>
    <row r="3192" spans="2:16" x14ac:dyDescent="0.25">
      <c r="B3192" s="23"/>
      <c r="E3192" s="23"/>
      <c r="G3192" s="23"/>
      <c r="H3192" s="23"/>
      <c r="J3192" s="23"/>
      <c r="K3192" s="23"/>
      <c r="M3192" s="23"/>
      <c r="N3192" s="23"/>
      <c r="P3192" s="23"/>
    </row>
    <row r="3193" spans="2:16" x14ac:dyDescent="0.25">
      <c r="B3193" s="23"/>
      <c r="E3193" s="23"/>
      <c r="G3193" s="23"/>
      <c r="H3193" s="23"/>
      <c r="J3193" s="23"/>
      <c r="K3193" s="23"/>
      <c r="M3193" s="23"/>
      <c r="N3193" s="23"/>
      <c r="P3193" s="23"/>
    </row>
    <row r="3194" spans="2:16" x14ac:dyDescent="0.25">
      <c r="B3194" s="23"/>
      <c r="E3194" s="23"/>
      <c r="G3194" s="23"/>
      <c r="H3194" s="23"/>
      <c r="J3194" s="23"/>
      <c r="K3194" s="23"/>
      <c r="M3194" s="23"/>
      <c r="N3194" s="23"/>
      <c r="P3194" s="23"/>
    </row>
    <row r="3195" spans="2:16" x14ac:dyDescent="0.25">
      <c r="B3195" s="23"/>
      <c r="E3195" s="23"/>
      <c r="G3195" s="23"/>
      <c r="H3195" s="23"/>
      <c r="J3195" s="23"/>
      <c r="K3195" s="23"/>
      <c r="M3195" s="23"/>
      <c r="N3195" s="23"/>
      <c r="P3195" s="23"/>
    </row>
    <row r="3196" spans="2:16" x14ac:dyDescent="0.25">
      <c r="B3196" s="23"/>
      <c r="E3196" s="23"/>
      <c r="G3196" s="23"/>
      <c r="H3196" s="23"/>
      <c r="J3196" s="23"/>
      <c r="K3196" s="23"/>
      <c r="M3196" s="23"/>
      <c r="N3196" s="23"/>
      <c r="P3196" s="23"/>
    </row>
    <row r="3197" spans="2:16" x14ac:dyDescent="0.25">
      <c r="B3197" s="23"/>
      <c r="E3197" s="23"/>
      <c r="G3197" s="23"/>
      <c r="H3197" s="23"/>
      <c r="J3197" s="23"/>
      <c r="K3197" s="23"/>
      <c r="M3197" s="23"/>
      <c r="N3197" s="23"/>
      <c r="P3197" s="23"/>
    </row>
    <row r="3198" spans="2:16" x14ac:dyDescent="0.25">
      <c r="B3198" s="23"/>
      <c r="E3198" s="23"/>
      <c r="G3198" s="23"/>
      <c r="H3198" s="23"/>
      <c r="J3198" s="23"/>
      <c r="K3198" s="23"/>
      <c r="M3198" s="23"/>
      <c r="N3198" s="23"/>
      <c r="P3198" s="23"/>
    </row>
    <row r="3199" spans="2:16" x14ac:dyDescent="0.25">
      <c r="B3199" s="23"/>
      <c r="E3199" s="23"/>
      <c r="G3199" s="23"/>
      <c r="H3199" s="23"/>
      <c r="J3199" s="23"/>
      <c r="K3199" s="23"/>
      <c r="M3199" s="23"/>
      <c r="N3199" s="23"/>
      <c r="P3199" s="23"/>
    </row>
    <row r="3200" spans="2:16" x14ac:dyDescent="0.25">
      <c r="B3200" s="23"/>
      <c r="E3200" s="23"/>
      <c r="G3200" s="23"/>
      <c r="H3200" s="23"/>
      <c r="J3200" s="23"/>
      <c r="K3200" s="23"/>
      <c r="M3200" s="23"/>
      <c r="N3200" s="23"/>
      <c r="P3200" s="23"/>
    </row>
    <row r="3201" spans="2:16" x14ac:dyDescent="0.25">
      <c r="B3201" s="23"/>
      <c r="E3201" s="23"/>
      <c r="G3201" s="23"/>
      <c r="H3201" s="23"/>
      <c r="J3201" s="23"/>
      <c r="K3201" s="23"/>
      <c r="M3201" s="23"/>
      <c r="N3201" s="23"/>
      <c r="P3201" s="23"/>
    </row>
    <row r="3202" spans="2:16" x14ac:dyDescent="0.25">
      <c r="B3202" s="23"/>
      <c r="E3202" s="23"/>
      <c r="G3202" s="23"/>
      <c r="H3202" s="23"/>
      <c r="J3202" s="23"/>
      <c r="K3202" s="23"/>
      <c r="M3202" s="23"/>
      <c r="N3202" s="23"/>
      <c r="P3202" s="23"/>
    </row>
    <row r="3203" spans="2:16" x14ac:dyDescent="0.25">
      <c r="B3203" s="23"/>
      <c r="E3203" s="23"/>
      <c r="G3203" s="23"/>
      <c r="H3203" s="23"/>
      <c r="J3203" s="23"/>
      <c r="K3203" s="23"/>
      <c r="M3203" s="23"/>
      <c r="N3203" s="23"/>
      <c r="P3203" s="23"/>
    </row>
    <row r="3204" spans="2:16" x14ac:dyDescent="0.25">
      <c r="B3204" s="23"/>
      <c r="E3204" s="23"/>
      <c r="G3204" s="23"/>
      <c r="H3204" s="23"/>
      <c r="J3204" s="23"/>
      <c r="K3204" s="23"/>
      <c r="M3204" s="23"/>
      <c r="N3204" s="23"/>
      <c r="P3204" s="23"/>
    </row>
    <row r="3205" spans="2:16" x14ac:dyDescent="0.25">
      <c r="B3205" s="23"/>
      <c r="E3205" s="23"/>
      <c r="G3205" s="23"/>
      <c r="H3205" s="23"/>
      <c r="J3205" s="23"/>
      <c r="K3205" s="23"/>
      <c r="M3205" s="23"/>
      <c r="N3205" s="23"/>
      <c r="P3205" s="23"/>
    </row>
    <row r="3206" spans="2:16" x14ac:dyDescent="0.25">
      <c r="B3206" s="23"/>
      <c r="E3206" s="23"/>
      <c r="G3206" s="23"/>
      <c r="H3206" s="23"/>
      <c r="J3206" s="23"/>
      <c r="K3206" s="23"/>
      <c r="M3206" s="23"/>
      <c r="N3206" s="23"/>
      <c r="P3206" s="23"/>
    </row>
    <row r="3207" spans="2:16" x14ac:dyDescent="0.25">
      <c r="B3207" s="23"/>
      <c r="E3207" s="23"/>
      <c r="G3207" s="23"/>
      <c r="H3207" s="23"/>
      <c r="J3207" s="23"/>
      <c r="K3207" s="23"/>
      <c r="M3207" s="23"/>
      <c r="N3207" s="23"/>
      <c r="P3207" s="23"/>
    </row>
    <row r="3208" spans="2:16" x14ac:dyDescent="0.25">
      <c r="B3208" s="23"/>
      <c r="E3208" s="23"/>
      <c r="G3208" s="23"/>
      <c r="H3208" s="23"/>
      <c r="J3208" s="23"/>
      <c r="K3208" s="23"/>
      <c r="M3208" s="23"/>
      <c r="N3208" s="23"/>
      <c r="P3208" s="23"/>
    </row>
    <row r="3209" spans="2:16" x14ac:dyDescent="0.25">
      <c r="B3209" s="23"/>
      <c r="E3209" s="23"/>
      <c r="G3209" s="23"/>
      <c r="H3209" s="23"/>
      <c r="J3209" s="23"/>
      <c r="K3209" s="23"/>
      <c r="M3209" s="23"/>
      <c r="N3209" s="23"/>
      <c r="P3209" s="23"/>
    </row>
    <row r="3210" spans="2:16" x14ac:dyDescent="0.25">
      <c r="B3210" s="23"/>
      <c r="E3210" s="23"/>
      <c r="G3210" s="23"/>
      <c r="H3210" s="23"/>
      <c r="J3210" s="23"/>
      <c r="K3210" s="23"/>
      <c r="M3210" s="23"/>
      <c r="N3210" s="23"/>
      <c r="P3210" s="23"/>
    </row>
    <row r="3211" spans="2:16" x14ac:dyDescent="0.25">
      <c r="B3211" s="23"/>
      <c r="E3211" s="23"/>
      <c r="G3211" s="23"/>
      <c r="H3211" s="23"/>
      <c r="J3211" s="23"/>
      <c r="K3211" s="23"/>
      <c r="M3211" s="23"/>
      <c r="N3211" s="23"/>
      <c r="P3211" s="23"/>
    </row>
    <row r="3212" spans="2:16" x14ac:dyDescent="0.25">
      <c r="B3212" s="23"/>
      <c r="E3212" s="23"/>
      <c r="G3212" s="23"/>
      <c r="H3212" s="23"/>
      <c r="J3212" s="23"/>
      <c r="K3212" s="23"/>
      <c r="M3212" s="23"/>
      <c r="N3212" s="23"/>
      <c r="P3212" s="23"/>
    </row>
    <row r="3213" spans="2:16" x14ac:dyDescent="0.25">
      <c r="B3213" s="23"/>
      <c r="E3213" s="23"/>
      <c r="G3213" s="23"/>
      <c r="H3213" s="23"/>
      <c r="J3213" s="23"/>
      <c r="K3213" s="23"/>
      <c r="M3213" s="23"/>
      <c r="N3213" s="23"/>
      <c r="P3213" s="23"/>
    </row>
    <row r="3214" spans="2:16" x14ac:dyDescent="0.25">
      <c r="B3214" s="23"/>
      <c r="E3214" s="23"/>
      <c r="G3214" s="23"/>
      <c r="H3214" s="23"/>
      <c r="J3214" s="23"/>
      <c r="K3214" s="23"/>
      <c r="M3214" s="23"/>
      <c r="N3214" s="23"/>
      <c r="P3214" s="23"/>
    </row>
    <row r="3215" spans="2:16" x14ac:dyDescent="0.25">
      <c r="B3215" s="23"/>
      <c r="E3215" s="23"/>
      <c r="G3215" s="23"/>
      <c r="H3215" s="23"/>
      <c r="J3215" s="23"/>
      <c r="K3215" s="23"/>
      <c r="M3215" s="23"/>
      <c r="N3215" s="23"/>
      <c r="P3215" s="23"/>
    </row>
    <row r="3216" spans="2:16" x14ac:dyDescent="0.25">
      <c r="B3216" s="23"/>
      <c r="E3216" s="23"/>
      <c r="G3216" s="23"/>
      <c r="H3216" s="23"/>
      <c r="J3216" s="23"/>
      <c r="K3216" s="23"/>
      <c r="M3216" s="23"/>
      <c r="N3216" s="23"/>
      <c r="P3216" s="23"/>
    </row>
    <row r="3217" spans="2:16" x14ac:dyDescent="0.25">
      <c r="B3217" s="23"/>
      <c r="E3217" s="23"/>
      <c r="G3217" s="23"/>
      <c r="H3217" s="23"/>
      <c r="J3217" s="23"/>
      <c r="K3217" s="23"/>
      <c r="M3217" s="23"/>
      <c r="N3217" s="23"/>
      <c r="P3217" s="23"/>
    </row>
    <row r="3218" spans="2:16" x14ac:dyDescent="0.25">
      <c r="B3218" s="23"/>
      <c r="E3218" s="23"/>
      <c r="G3218" s="23"/>
      <c r="H3218" s="23"/>
      <c r="J3218" s="23"/>
      <c r="K3218" s="23"/>
      <c r="M3218" s="23"/>
      <c r="N3218" s="23"/>
      <c r="P3218" s="23"/>
    </row>
    <row r="3219" spans="2:16" x14ac:dyDescent="0.25">
      <c r="B3219" s="23"/>
      <c r="E3219" s="23"/>
      <c r="G3219" s="23"/>
      <c r="H3219" s="23"/>
      <c r="J3219" s="23"/>
      <c r="K3219" s="23"/>
      <c r="M3219" s="23"/>
      <c r="N3219" s="23"/>
      <c r="P3219" s="23"/>
    </row>
    <row r="3220" spans="2:16" x14ac:dyDescent="0.25">
      <c r="B3220" s="23"/>
      <c r="E3220" s="23"/>
      <c r="G3220" s="23"/>
      <c r="H3220" s="23"/>
      <c r="J3220" s="23"/>
      <c r="K3220" s="23"/>
      <c r="M3220" s="23"/>
      <c r="N3220" s="23"/>
      <c r="P3220" s="23"/>
    </row>
    <row r="3221" spans="2:16" x14ac:dyDescent="0.25">
      <c r="B3221" s="23"/>
      <c r="E3221" s="23"/>
      <c r="G3221" s="23"/>
      <c r="H3221" s="23"/>
      <c r="J3221" s="23"/>
      <c r="K3221" s="23"/>
      <c r="M3221" s="23"/>
      <c r="N3221" s="23"/>
      <c r="P3221" s="23"/>
    </row>
    <row r="3222" spans="2:16" x14ac:dyDescent="0.25">
      <c r="B3222" s="23"/>
      <c r="E3222" s="23"/>
      <c r="G3222" s="23"/>
      <c r="H3222" s="23"/>
      <c r="J3222" s="23"/>
      <c r="K3222" s="23"/>
      <c r="M3222" s="23"/>
      <c r="N3222" s="23"/>
      <c r="P3222" s="23"/>
    </row>
    <row r="3223" spans="2:16" x14ac:dyDescent="0.25">
      <c r="B3223" s="23"/>
      <c r="E3223" s="23"/>
      <c r="G3223" s="23"/>
      <c r="H3223" s="23"/>
      <c r="J3223" s="23"/>
      <c r="K3223" s="23"/>
      <c r="M3223" s="23"/>
      <c r="N3223" s="23"/>
      <c r="P3223" s="23"/>
    </row>
    <row r="3224" spans="2:16" x14ac:dyDescent="0.25">
      <c r="B3224" s="23"/>
      <c r="E3224" s="23"/>
      <c r="G3224" s="23"/>
      <c r="H3224" s="23"/>
      <c r="J3224" s="23"/>
      <c r="K3224" s="23"/>
      <c r="M3224" s="23"/>
      <c r="N3224" s="23"/>
      <c r="P3224" s="23"/>
    </row>
    <row r="3225" spans="2:16" x14ac:dyDescent="0.25">
      <c r="B3225" s="23"/>
      <c r="E3225" s="23"/>
      <c r="G3225" s="23"/>
      <c r="H3225" s="23"/>
      <c r="J3225" s="23"/>
      <c r="K3225" s="23"/>
      <c r="M3225" s="23"/>
      <c r="N3225" s="23"/>
      <c r="P3225" s="23"/>
    </row>
    <row r="3226" spans="2:16" x14ac:dyDescent="0.25">
      <c r="B3226" s="23"/>
      <c r="E3226" s="23"/>
      <c r="G3226" s="23"/>
      <c r="H3226" s="23"/>
      <c r="J3226" s="23"/>
      <c r="K3226" s="23"/>
      <c r="M3226" s="23"/>
      <c r="N3226" s="23"/>
      <c r="P3226" s="23"/>
    </row>
    <row r="3227" spans="2:16" x14ac:dyDescent="0.25">
      <c r="B3227" s="23"/>
      <c r="E3227" s="23"/>
      <c r="G3227" s="23"/>
      <c r="H3227" s="23"/>
      <c r="J3227" s="23"/>
      <c r="K3227" s="23"/>
      <c r="M3227" s="23"/>
      <c r="N3227" s="23"/>
      <c r="P3227" s="23"/>
    </row>
    <row r="3228" spans="2:16" x14ac:dyDescent="0.25">
      <c r="B3228" s="23"/>
      <c r="E3228" s="23"/>
      <c r="G3228" s="23"/>
      <c r="H3228" s="23"/>
      <c r="J3228" s="23"/>
      <c r="K3228" s="23"/>
      <c r="M3228" s="23"/>
      <c r="N3228" s="23"/>
      <c r="P3228" s="23"/>
    </row>
    <row r="3229" spans="2:16" x14ac:dyDescent="0.25">
      <c r="B3229" s="23"/>
      <c r="E3229" s="23"/>
      <c r="G3229" s="23"/>
      <c r="H3229" s="23"/>
      <c r="J3229" s="23"/>
      <c r="K3229" s="23"/>
      <c r="M3229" s="23"/>
      <c r="N3229" s="23"/>
      <c r="P3229" s="23"/>
    </row>
    <row r="3230" spans="2:16" x14ac:dyDescent="0.25">
      <c r="B3230" s="23"/>
      <c r="E3230" s="23"/>
      <c r="G3230" s="23"/>
      <c r="H3230" s="23"/>
      <c r="J3230" s="23"/>
      <c r="K3230" s="23"/>
      <c r="M3230" s="23"/>
      <c r="N3230" s="23"/>
      <c r="P3230" s="23"/>
    </row>
    <row r="3231" spans="2:16" x14ac:dyDescent="0.25">
      <c r="B3231" s="23"/>
      <c r="E3231" s="23"/>
      <c r="G3231" s="23"/>
      <c r="H3231" s="23"/>
      <c r="J3231" s="23"/>
      <c r="K3231" s="23"/>
      <c r="M3231" s="23"/>
      <c r="N3231" s="23"/>
      <c r="P3231" s="23"/>
    </row>
    <row r="3232" spans="2:16" x14ac:dyDescent="0.25">
      <c r="B3232" s="23"/>
      <c r="E3232" s="23"/>
      <c r="G3232" s="23"/>
      <c r="H3232" s="23"/>
      <c r="J3232" s="23"/>
      <c r="K3232" s="23"/>
      <c r="M3232" s="23"/>
      <c r="N3232" s="23"/>
      <c r="P3232" s="23"/>
    </row>
    <row r="3233" spans="2:16" x14ac:dyDescent="0.25">
      <c r="B3233" s="23"/>
      <c r="E3233" s="23"/>
      <c r="G3233" s="23"/>
      <c r="H3233" s="23"/>
      <c r="J3233" s="23"/>
      <c r="K3233" s="23"/>
      <c r="M3233" s="23"/>
      <c r="N3233" s="23"/>
      <c r="P3233" s="23"/>
    </row>
    <row r="3234" spans="2:16" x14ac:dyDescent="0.25">
      <c r="B3234" s="23"/>
      <c r="E3234" s="23"/>
      <c r="G3234" s="23"/>
      <c r="H3234" s="23"/>
      <c r="J3234" s="23"/>
      <c r="K3234" s="23"/>
      <c r="M3234" s="23"/>
      <c r="N3234" s="23"/>
      <c r="P3234" s="23"/>
    </row>
    <row r="3235" spans="2:16" x14ac:dyDescent="0.25">
      <c r="B3235" s="23"/>
      <c r="E3235" s="23"/>
      <c r="G3235" s="23"/>
      <c r="H3235" s="23"/>
      <c r="J3235" s="23"/>
      <c r="K3235" s="23"/>
      <c r="M3235" s="23"/>
      <c r="N3235" s="23"/>
      <c r="P3235" s="23"/>
    </row>
    <row r="3236" spans="2:16" x14ac:dyDescent="0.25">
      <c r="B3236" s="23"/>
      <c r="E3236" s="23"/>
      <c r="G3236" s="23"/>
      <c r="H3236" s="23"/>
      <c r="J3236" s="23"/>
      <c r="K3236" s="23"/>
      <c r="M3236" s="23"/>
      <c r="N3236" s="23"/>
      <c r="P3236" s="23"/>
    </row>
    <row r="3237" spans="2:16" x14ac:dyDescent="0.25">
      <c r="B3237" s="23"/>
      <c r="E3237" s="23"/>
      <c r="G3237" s="23"/>
      <c r="H3237" s="23"/>
      <c r="J3237" s="23"/>
      <c r="K3237" s="23"/>
      <c r="M3237" s="23"/>
      <c r="N3237" s="23"/>
      <c r="P3237" s="23"/>
    </row>
    <row r="3238" spans="2:16" x14ac:dyDescent="0.25">
      <c r="B3238" s="23"/>
      <c r="E3238" s="23"/>
      <c r="G3238" s="23"/>
      <c r="H3238" s="23"/>
      <c r="J3238" s="23"/>
      <c r="K3238" s="23"/>
      <c r="M3238" s="23"/>
      <c r="N3238" s="23"/>
      <c r="P3238" s="23"/>
    </row>
    <row r="3239" spans="2:16" x14ac:dyDescent="0.25">
      <c r="B3239" s="23"/>
      <c r="E3239" s="23"/>
      <c r="G3239" s="23"/>
      <c r="H3239" s="23"/>
      <c r="J3239" s="23"/>
      <c r="K3239" s="23"/>
      <c r="M3239" s="23"/>
      <c r="N3239" s="23"/>
      <c r="P3239" s="23"/>
    </row>
    <row r="3240" spans="2:16" x14ac:dyDescent="0.25">
      <c r="B3240" s="23"/>
      <c r="E3240" s="23"/>
      <c r="G3240" s="23"/>
      <c r="H3240" s="23"/>
      <c r="J3240" s="23"/>
      <c r="K3240" s="23"/>
      <c r="M3240" s="23"/>
      <c r="N3240" s="23"/>
      <c r="P3240" s="23"/>
    </row>
    <row r="3241" spans="2:16" x14ac:dyDescent="0.25">
      <c r="B3241" s="23"/>
      <c r="E3241" s="23"/>
      <c r="G3241" s="23"/>
      <c r="H3241" s="23"/>
      <c r="J3241" s="23"/>
      <c r="K3241" s="23"/>
      <c r="M3241" s="23"/>
      <c r="N3241" s="23"/>
      <c r="P3241" s="23"/>
    </row>
    <row r="3242" spans="2:16" x14ac:dyDescent="0.25">
      <c r="B3242" s="23"/>
      <c r="E3242" s="23"/>
      <c r="G3242" s="23"/>
      <c r="H3242" s="23"/>
      <c r="J3242" s="23"/>
      <c r="K3242" s="23"/>
      <c r="M3242" s="23"/>
      <c r="N3242" s="23"/>
      <c r="P3242" s="23"/>
    </row>
    <row r="3243" spans="2:16" x14ac:dyDescent="0.25">
      <c r="B3243" s="23"/>
      <c r="E3243" s="23"/>
      <c r="G3243" s="23"/>
      <c r="H3243" s="23"/>
      <c r="J3243" s="23"/>
      <c r="K3243" s="23"/>
      <c r="M3243" s="23"/>
      <c r="N3243" s="23"/>
      <c r="P3243" s="23"/>
    </row>
    <row r="3244" spans="2:16" x14ac:dyDescent="0.25">
      <c r="B3244" s="23"/>
      <c r="E3244" s="23"/>
      <c r="G3244" s="23"/>
      <c r="H3244" s="23"/>
      <c r="J3244" s="23"/>
      <c r="K3244" s="23"/>
      <c r="M3244" s="23"/>
      <c r="N3244" s="23"/>
      <c r="P3244" s="23"/>
    </row>
    <row r="3245" spans="2:16" x14ac:dyDescent="0.25">
      <c r="B3245" s="23"/>
      <c r="E3245" s="23"/>
      <c r="G3245" s="23"/>
      <c r="H3245" s="23"/>
      <c r="J3245" s="23"/>
      <c r="K3245" s="23"/>
      <c r="M3245" s="23"/>
      <c r="N3245" s="23"/>
      <c r="P3245" s="23"/>
    </row>
    <row r="3246" spans="2:16" x14ac:dyDescent="0.25">
      <c r="B3246" s="23"/>
      <c r="E3246" s="23"/>
      <c r="G3246" s="23"/>
      <c r="H3246" s="23"/>
      <c r="J3246" s="23"/>
      <c r="K3246" s="23"/>
      <c r="M3246" s="23"/>
      <c r="N3246" s="23"/>
      <c r="P3246" s="23"/>
    </row>
    <row r="3247" spans="2:16" x14ac:dyDescent="0.25">
      <c r="B3247" s="23"/>
      <c r="E3247" s="23"/>
      <c r="G3247" s="23"/>
      <c r="H3247" s="23"/>
      <c r="J3247" s="23"/>
      <c r="K3247" s="23"/>
      <c r="M3247" s="23"/>
      <c r="N3247" s="23"/>
      <c r="P3247" s="23"/>
    </row>
    <row r="3248" spans="2:16" x14ac:dyDescent="0.25">
      <c r="B3248" s="23"/>
      <c r="E3248" s="23"/>
      <c r="G3248" s="23"/>
      <c r="H3248" s="23"/>
      <c r="J3248" s="23"/>
      <c r="K3248" s="23"/>
      <c r="M3248" s="23"/>
      <c r="N3248" s="23"/>
      <c r="P3248" s="23"/>
    </row>
    <row r="3249" spans="2:16" x14ac:dyDescent="0.25">
      <c r="B3249" s="23"/>
      <c r="E3249" s="23"/>
      <c r="G3249" s="23"/>
      <c r="H3249" s="23"/>
      <c r="J3249" s="23"/>
      <c r="K3249" s="23"/>
      <c r="M3249" s="23"/>
      <c r="N3249" s="23"/>
      <c r="P3249" s="23"/>
    </row>
    <row r="3250" spans="2:16" x14ac:dyDescent="0.25">
      <c r="B3250" s="23"/>
      <c r="E3250" s="23"/>
      <c r="G3250" s="23"/>
      <c r="H3250" s="23"/>
      <c r="J3250" s="23"/>
      <c r="K3250" s="23"/>
      <c r="M3250" s="23"/>
      <c r="N3250" s="23"/>
      <c r="P3250" s="23"/>
    </row>
    <row r="3251" spans="2:16" x14ac:dyDescent="0.25">
      <c r="B3251" s="23"/>
      <c r="E3251" s="23"/>
      <c r="G3251" s="23"/>
      <c r="H3251" s="23"/>
      <c r="J3251" s="23"/>
      <c r="K3251" s="23"/>
      <c r="M3251" s="23"/>
      <c r="N3251" s="23"/>
      <c r="P3251" s="23"/>
    </row>
    <row r="3252" spans="2:16" x14ac:dyDescent="0.25">
      <c r="B3252" s="23"/>
      <c r="E3252" s="23"/>
      <c r="G3252" s="23"/>
      <c r="H3252" s="23"/>
      <c r="J3252" s="23"/>
      <c r="K3252" s="23"/>
      <c r="M3252" s="23"/>
      <c r="N3252" s="23"/>
      <c r="P3252" s="23"/>
    </row>
    <row r="3253" spans="2:16" x14ac:dyDescent="0.25">
      <c r="B3253" s="23"/>
      <c r="E3253" s="23"/>
      <c r="G3253" s="23"/>
      <c r="H3253" s="23"/>
      <c r="J3253" s="23"/>
      <c r="K3253" s="23"/>
      <c r="M3253" s="23"/>
      <c r="N3253" s="23"/>
      <c r="P3253" s="23"/>
    </row>
    <row r="3254" spans="2:16" x14ac:dyDescent="0.25">
      <c r="B3254" s="23"/>
      <c r="E3254" s="23"/>
      <c r="G3254" s="23"/>
      <c r="H3254" s="23"/>
      <c r="J3254" s="23"/>
      <c r="K3254" s="23"/>
      <c r="M3254" s="23"/>
      <c r="N3254" s="23"/>
      <c r="P3254" s="23"/>
    </row>
    <row r="3255" spans="2:16" x14ac:dyDescent="0.25">
      <c r="B3255" s="23"/>
      <c r="E3255" s="23"/>
      <c r="G3255" s="23"/>
      <c r="H3255" s="23"/>
      <c r="J3255" s="23"/>
      <c r="K3255" s="23"/>
      <c r="M3255" s="23"/>
      <c r="N3255" s="23"/>
      <c r="P3255" s="23"/>
    </row>
    <row r="3256" spans="2:16" x14ac:dyDescent="0.25">
      <c r="B3256" s="23"/>
      <c r="E3256" s="23"/>
      <c r="G3256" s="23"/>
      <c r="H3256" s="23"/>
      <c r="J3256" s="23"/>
      <c r="K3256" s="23"/>
      <c r="M3256" s="23"/>
      <c r="N3256" s="23"/>
      <c r="P3256" s="23"/>
    </row>
    <row r="3257" spans="2:16" x14ac:dyDescent="0.25">
      <c r="B3257" s="23"/>
      <c r="E3257" s="23"/>
      <c r="G3257" s="23"/>
      <c r="H3257" s="23"/>
      <c r="J3257" s="23"/>
      <c r="K3257" s="23"/>
      <c r="M3257" s="23"/>
      <c r="N3257" s="23"/>
      <c r="P3257" s="23"/>
    </row>
    <row r="3258" spans="2:16" x14ac:dyDescent="0.25">
      <c r="B3258" s="23"/>
      <c r="E3258" s="23"/>
      <c r="G3258" s="23"/>
      <c r="H3258" s="23"/>
      <c r="J3258" s="23"/>
      <c r="K3258" s="23"/>
      <c r="M3258" s="23"/>
      <c r="N3258" s="23"/>
      <c r="P3258" s="23"/>
    </row>
    <row r="3259" spans="2:16" x14ac:dyDescent="0.25">
      <c r="B3259" s="23"/>
      <c r="E3259" s="23"/>
      <c r="G3259" s="23"/>
      <c r="H3259" s="23"/>
      <c r="J3259" s="23"/>
      <c r="K3259" s="23"/>
      <c r="M3259" s="23"/>
      <c r="N3259" s="23"/>
      <c r="P3259" s="23"/>
    </row>
    <row r="3260" spans="2:16" x14ac:dyDescent="0.25">
      <c r="B3260" s="23"/>
      <c r="E3260" s="23"/>
      <c r="G3260" s="23"/>
      <c r="H3260" s="23"/>
      <c r="J3260" s="23"/>
      <c r="K3260" s="23"/>
      <c r="M3260" s="23"/>
      <c r="N3260" s="23"/>
      <c r="P3260" s="23"/>
    </row>
    <row r="3261" spans="2:16" x14ac:dyDescent="0.25">
      <c r="B3261" s="23"/>
      <c r="E3261" s="23"/>
      <c r="G3261" s="23"/>
      <c r="H3261" s="23"/>
      <c r="J3261" s="23"/>
      <c r="K3261" s="23"/>
      <c r="M3261" s="23"/>
      <c r="N3261" s="23"/>
      <c r="P3261" s="23"/>
    </row>
    <row r="3262" spans="2:16" x14ac:dyDescent="0.25">
      <c r="B3262" s="23"/>
      <c r="E3262" s="23"/>
      <c r="G3262" s="23"/>
      <c r="H3262" s="23"/>
      <c r="J3262" s="23"/>
      <c r="K3262" s="23"/>
      <c r="M3262" s="23"/>
      <c r="N3262" s="23"/>
      <c r="P3262" s="23"/>
    </row>
    <row r="3263" spans="2:16" x14ac:dyDescent="0.25">
      <c r="B3263" s="23"/>
      <c r="E3263" s="23"/>
      <c r="G3263" s="23"/>
      <c r="H3263" s="23"/>
      <c r="J3263" s="23"/>
      <c r="K3263" s="23"/>
      <c r="M3263" s="23"/>
      <c r="N3263" s="23"/>
      <c r="P3263" s="23"/>
    </row>
    <row r="3264" spans="2:16" x14ac:dyDescent="0.25">
      <c r="B3264" s="23"/>
      <c r="E3264" s="23"/>
      <c r="G3264" s="23"/>
      <c r="H3264" s="23"/>
      <c r="J3264" s="23"/>
      <c r="K3264" s="23"/>
      <c r="M3264" s="23"/>
      <c r="N3264" s="23"/>
      <c r="P3264" s="23"/>
    </row>
    <row r="3265" spans="2:16" x14ac:dyDescent="0.25">
      <c r="B3265" s="23"/>
      <c r="E3265" s="23"/>
      <c r="G3265" s="23"/>
      <c r="H3265" s="23"/>
      <c r="J3265" s="23"/>
      <c r="K3265" s="23"/>
      <c r="M3265" s="23"/>
      <c r="N3265" s="23"/>
      <c r="P3265" s="23"/>
    </row>
    <row r="3266" spans="2:16" x14ac:dyDescent="0.25">
      <c r="B3266" s="23"/>
      <c r="E3266" s="23"/>
      <c r="G3266" s="23"/>
      <c r="H3266" s="23"/>
      <c r="J3266" s="23"/>
      <c r="K3266" s="23"/>
      <c r="M3266" s="23"/>
      <c r="N3266" s="23"/>
      <c r="P3266" s="23"/>
    </row>
    <row r="3267" spans="2:16" x14ac:dyDescent="0.25">
      <c r="B3267" s="23"/>
      <c r="E3267" s="23"/>
      <c r="G3267" s="23"/>
      <c r="H3267" s="23"/>
      <c r="J3267" s="23"/>
      <c r="K3267" s="23"/>
      <c r="M3267" s="23"/>
      <c r="N3267" s="23"/>
      <c r="P3267" s="23"/>
    </row>
    <row r="3268" spans="2:16" x14ac:dyDescent="0.25">
      <c r="B3268" s="23"/>
      <c r="E3268" s="23"/>
      <c r="G3268" s="23"/>
      <c r="H3268" s="23"/>
      <c r="J3268" s="23"/>
      <c r="K3268" s="23"/>
      <c r="M3268" s="23"/>
      <c r="N3268" s="23"/>
      <c r="P3268" s="23"/>
    </row>
    <row r="3269" spans="2:16" x14ac:dyDescent="0.25">
      <c r="B3269" s="23"/>
      <c r="E3269" s="23"/>
      <c r="G3269" s="23"/>
      <c r="H3269" s="23"/>
      <c r="J3269" s="23"/>
      <c r="K3269" s="23"/>
      <c r="M3269" s="23"/>
      <c r="N3269" s="23"/>
      <c r="P3269" s="23"/>
    </row>
    <row r="3270" spans="2:16" x14ac:dyDescent="0.25">
      <c r="B3270" s="23"/>
      <c r="E3270" s="23"/>
      <c r="G3270" s="23"/>
      <c r="H3270" s="23"/>
      <c r="J3270" s="23"/>
      <c r="K3270" s="23"/>
      <c r="M3270" s="23"/>
      <c r="N3270" s="23"/>
      <c r="P3270" s="23"/>
    </row>
    <row r="3271" spans="2:16" x14ac:dyDescent="0.25">
      <c r="B3271" s="23"/>
      <c r="E3271" s="23"/>
      <c r="G3271" s="23"/>
      <c r="H3271" s="23"/>
      <c r="J3271" s="23"/>
      <c r="K3271" s="23"/>
      <c r="M3271" s="23"/>
      <c r="N3271" s="23"/>
      <c r="P3271" s="23"/>
    </row>
    <row r="3272" spans="2:16" x14ac:dyDescent="0.25">
      <c r="B3272" s="23"/>
      <c r="E3272" s="23"/>
      <c r="G3272" s="23"/>
      <c r="H3272" s="23"/>
      <c r="J3272" s="23"/>
      <c r="K3272" s="23"/>
      <c r="M3272" s="23"/>
      <c r="N3272" s="23"/>
      <c r="P3272" s="23"/>
    </row>
    <row r="3273" spans="2:16" x14ac:dyDescent="0.25">
      <c r="B3273" s="23"/>
      <c r="E3273" s="23"/>
      <c r="G3273" s="23"/>
      <c r="H3273" s="23"/>
      <c r="J3273" s="23"/>
      <c r="K3273" s="23"/>
      <c r="M3273" s="23"/>
      <c r="N3273" s="23"/>
      <c r="P3273" s="23"/>
    </row>
    <row r="3274" spans="2:16" x14ac:dyDescent="0.25">
      <c r="B3274" s="23"/>
      <c r="E3274" s="23"/>
      <c r="G3274" s="23"/>
      <c r="H3274" s="23"/>
      <c r="J3274" s="23"/>
      <c r="K3274" s="23"/>
      <c r="M3274" s="23"/>
      <c r="N3274" s="23"/>
      <c r="P3274" s="23"/>
    </row>
    <row r="3275" spans="2:16" x14ac:dyDescent="0.25">
      <c r="B3275" s="23"/>
      <c r="E3275" s="23"/>
      <c r="G3275" s="23"/>
      <c r="H3275" s="23"/>
      <c r="J3275" s="23"/>
      <c r="K3275" s="23"/>
      <c r="M3275" s="23"/>
      <c r="N3275" s="23"/>
      <c r="P3275" s="23"/>
    </row>
    <row r="3276" spans="2:16" x14ac:dyDescent="0.25">
      <c r="B3276" s="23"/>
      <c r="E3276" s="23"/>
      <c r="G3276" s="23"/>
      <c r="H3276" s="23"/>
      <c r="J3276" s="23"/>
      <c r="K3276" s="23"/>
      <c r="M3276" s="23"/>
      <c r="N3276" s="23"/>
      <c r="P3276" s="23"/>
    </row>
    <row r="3277" spans="2:16" x14ac:dyDescent="0.25">
      <c r="B3277" s="23"/>
      <c r="E3277" s="23"/>
      <c r="G3277" s="23"/>
      <c r="H3277" s="23"/>
      <c r="J3277" s="23"/>
      <c r="K3277" s="23"/>
      <c r="M3277" s="23"/>
      <c r="N3277" s="23"/>
      <c r="P3277" s="23"/>
    </row>
    <row r="3278" spans="2:16" x14ac:dyDescent="0.25">
      <c r="B3278" s="23"/>
      <c r="E3278" s="23"/>
      <c r="G3278" s="23"/>
      <c r="H3278" s="23"/>
      <c r="J3278" s="23"/>
      <c r="K3278" s="23"/>
      <c r="M3278" s="23"/>
      <c r="N3278" s="23"/>
      <c r="P3278" s="23"/>
    </row>
    <row r="3279" spans="2:16" x14ac:dyDescent="0.25">
      <c r="B3279" s="23"/>
      <c r="E3279" s="23"/>
      <c r="G3279" s="23"/>
      <c r="H3279" s="23"/>
      <c r="J3279" s="23"/>
      <c r="K3279" s="23"/>
      <c r="M3279" s="23"/>
      <c r="N3279" s="23"/>
      <c r="P3279" s="23"/>
    </row>
    <row r="3280" spans="2:16" x14ac:dyDescent="0.25">
      <c r="B3280" s="23"/>
      <c r="E3280" s="23"/>
      <c r="G3280" s="23"/>
      <c r="H3280" s="23"/>
      <c r="J3280" s="23"/>
      <c r="K3280" s="23"/>
      <c r="M3280" s="23"/>
      <c r="N3280" s="23"/>
      <c r="P3280" s="23"/>
    </row>
    <row r="3281" spans="2:16" x14ac:dyDescent="0.25">
      <c r="B3281" s="23"/>
      <c r="E3281" s="23"/>
      <c r="G3281" s="23"/>
      <c r="H3281" s="23"/>
      <c r="J3281" s="23"/>
      <c r="K3281" s="23"/>
      <c r="M3281" s="23"/>
      <c r="N3281" s="23"/>
      <c r="P3281" s="23"/>
    </row>
    <row r="3282" spans="2:16" x14ac:dyDescent="0.25">
      <c r="B3282" s="23"/>
      <c r="E3282" s="23"/>
      <c r="G3282" s="23"/>
      <c r="H3282" s="23"/>
      <c r="J3282" s="23"/>
      <c r="K3282" s="23"/>
      <c r="M3282" s="23"/>
      <c r="N3282" s="23"/>
      <c r="P3282" s="23"/>
    </row>
    <row r="3283" spans="2:16" x14ac:dyDescent="0.25">
      <c r="B3283" s="23"/>
      <c r="E3283" s="23"/>
      <c r="G3283" s="23"/>
      <c r="H3283" s="23"/>
      <c r="J3283" s="23"/>
      <c r="K3283" s="23"/>
      <c r="M3283" s="23"/>
      <c r="N3283" s="23"/>
      <c r="P3283" s="23"/>
    </row>
    <row r="3284" spans="2:16" x14ac:dyDescent="0.25">
      <c r="B3284" s="23"/>
      <c r="E3284" s="23"/>
      <c r="G3284" s="23"/>
      <c r="H3284" s="23"/>
      <c r="J3284" s="23"/>
      <c r="K3284" s="23"/>
      <c r="M3284" s="23"/>
      <c r="N3284" s="23"/>
      <c r="P3284" s="23"/>
    </row>
    <row r="3285" spans="2:16" x14ac:dyDescent="0.25">
      <c r="B3285" s="23"/>
      <c r="E3285" s="23"/>
      <c r="G3285" s="23"/>
      <c r="H3285" s="23"/>
      <c r="J3285" s="23"/>
      <c r="K3285" s="23"/>
      <c r="M3285" s="23"/>
      <c r="N3285" s="23"/>
      <c r="P3285" s="23"/>
    </row>
    <row r="3286" spans="2:16" x14ac:dyDescent="0.25">
      <c r="B3286" s="23"/>
      <c r="E3286" s="23"/>
      <c r="G3286" s="23"/>
      <c r="H3286" s="23"/>
      <c r="J3286" s="23"/>
      <c r="K3286" s="23"/>
      <c r="M3286" s="23"/>
      <c r="N3286" s="23"/>
      <c r="P3286" s="23"/>
    </row>
    <row r="3287" spans="2:16" x14ac:dyDescent="0.25">
      <c r="B3287" s="23"/>
      <c r="E3287" s="23"/>
      <c r="G3287" s="23"/>
      <c r="H3287" s="23"/>
      <c r="J3287" s="23"/>
      <c r="K3287" s="23"/>
      <c r="M3287" s="23"/>
      <c r="N3287" s="23"/>
      <c r="P3287" s="23"/>
    </row>
    <row r="3288" spans="2:16" x14ac:dyDescent="0.25">
      <c r="B3288" s="23"/>
      <c r="E3288" s="23"/>
      <c r="G3288" s="23"/>
      <c r="H3288" s="23"/>
      <c r="J3288" s="23"/>
      <c r="K3288" s="23"/>
      <c r="M3288" s="23"/>
      <c r="N3288" s="23"/>
      <c r="P3288" s="23"/>
    </row>
    <row r="3289" spans="2:16" x14ac:dyDescent="0.25">
      <c r="B3289" s="23"/>
      <c r="E3289" s="23"/>
      <c r="G3289" s="23"/>
      <c r="H3289" s="23"/>
      <c r="J3289" s="23"/>
      <c r="K3289" s="23"/>
      <c r="M3289" s="23"/>
      <c r="N3289" s="23"/>
      <c r="P3289" s="23"/>
    </row>
    <row r="3290" spans="2:16" x14ac:dyDescent="0.25">
      <c r="B3290" s="23"/>
      <c r="E3290" s="23"/>
      <c r="G3290" s="23"/>
      <c r="H3290" s="23"/>
      <c r="J3290" s="23"/>
      <c r="K3290" s="23"/>
      <c r="M3290" s="23"/>
      <c r="N3290" s="23"/>
      <c r="P3290" s="23"/>
    </row>
    <row r="3291" spans="2:16" x14ac:dyDescent="0.25">
      <c r="B3291" s="23"/>
      <c r="E3291" s="23"/>
      <c r="G3291" s="23"/>
      <c r="H3291" s="23"/>
      <c r="J3291" s="23"/>
      <c r="K3291" s="23"/>
      <c r="M3291" s="23"/>
      <c r="N3291" s="23"/>
      <c r="P3291" s="23"/>
    </row>
    <row r="3292" spans="2:16" x14ac:dyDescent="0.25">
      <c r="B3292" s="23"/>
      <c r="E3292" s="23"/>
      <c r="G3292" s="23"/>
      <c r="H3292" s="23"/>
      <c r="J3292" s="23"/>
      <c r="K3292" s="23"/>
      <c r="M3292" s="23"/>
      <c r="N3292" s="23"/>
      <c r="P3292" s="23"/>
    </row>
    <row r="3293" spans="2:16" x14ac:dyDescent="0.25">
      <c r="B3293" s="23"/>
      <c r="E3293" s="23"/>
      <c r="G3293" s="23"/>
      <c r="H3293" s="23"/>
      <c r="J3293" s="23"/>
      <c r="K3293" s="23"/>
      <c r="M3293" s="23"/>
      <c r="N3293" s="23"/>
      <c r="P3293" s="23"/>
    </row>
    <row r="3294" spans="2:16" x14ac:dyDescent="0.25">
      <c r="B3294" s="23"/>
      <c r="E3294" s="23"/>
      <c r="G3294" s="23"/>
      <c r="H3294" s="23"/>
      <c r="J3294" s="23"/>
      <c r="K3294" s="23"/>
      <c r="M3294" s="23"/>
      <c r="N3294" s="23"/>
      <c r="P3294" s="23"/>
    </row>
    <row r="3295" spans="2:16" x14ac:dyDescent="0.25">
      <c r="B3295" s="23"/>
      <c r="E3295" s="23"/>
      <c r="G3295" s="23"/>
      <c r="H3295" s="23"/>
      <c r="J3295" s="23"/>
      <c r="K3295" s="23"/>
      <c r="M3295" s="23"/>
      <c r="N3295" s="23"/>
      <c r="P3295" s="23"/>
    </row>
    <row r="3296" spans="2:16" x14ac:dyDescent="0.25">
      <c r="B3296" s="23"/>
      <c r="E3296" s="23"/>
      <c r="G3296" s="23"/>
      <c r="H3296" s="23"/>
      <c r="J3296" s="23"/>
      <c r="K3296" s="23"/>
      <c r="M3296" s="23"/>
      <c r="N3296" s="23"/>
      <c r="P3296" s="23"/>
    </row>
    <row r="3297" spans="2:16" x14ac:dyDescent="0.25">
      <c r="B3297" s="23"/>
      <c r="E3297" s="23"/>
      <c r="G3297" s="23"/>
      <c r="H3297" s="23"/>
      <c r="J3297" s="23"/>
      <c r="K3297" s="23"/>
      <c r="M3297" s="23"/>
      <c r="N3297" s="23"/>
      <c r="P3297" s="23"/>
    </row>
    <row r="3298" spans="2:16" x14ac:dyDescent="0.25">
      <c r="B3298" s="23"/>
      <c r="E3298" s="23"/>
      <c r="G3298" s="23"/>
      <c r="H3298" s="23"/>
      <c r="J3298" s="23"/>
      <c r="K3298" s="23"/>
      <c r="M3298" s="23"/>
      <c r="N3298" s="23"/>
      <c r="P3298" s="23"/>
    </row>
    <row r="3299" spans="2:16" x14ac:dyDescent="0.25">
      <c r="B3299" s="23"/>
      <c r="E3299" s="23"/>
      <c r="G3299" s="23"/>
      <c r="H3299" s="23"/>
      <c r="J3299" s="23"/>
      <c r="K3299" s="23"/>
      <c r="M3299" s="23"/>
      <c r="N3299" s="23"/>
      <c r="P3299" s="23"/>
    </row>
    <row r="3300" spans="2:16" x14ac:dyDescent="0.25">
      <c r="B3300" s="23"/>
      <c r="E3300" s="23"/>
      <c r="G3300" s="23"/>
      <c r="H3300" s="23"/>
      <c r="J3300" s="23"/>
      <c r="K3300" s="23"/>
      <c r="M3300" s="23"/>
      <c r="N3300" s="23"/>
      <c r="P3300" s="23"/>
    </row>
    <row r="3301" spans="2:16" x14ac:dyDescent="0.25">
      <c r="B3301" s="23"/>
      <c r="E3301" s="23"/>
      <c r="G3301" s="23"/>
      <c r="H3301" s="23"/>
      <c r="J3301" s="23"/>
      <c r="K3301" s="23"/>
      <c r="M3301" s="23"/>
      <c r="N3301" s="23"/>
      <c r="P3301" s="23"/>
    </row>
    <row r="3302" spans="2:16" x14ac:dyDescent="0.25">
      <c r="B3302" s="23"/>
      <c r="E3302" s="23"/>
      <c r="G3302" s="23"/>
      <c r="H3302" s="23"/>
      <c r="J3302" s="23"/>
      <c r="K3302" s="23"/>
      <c r="M3302" s="23"/>
      <c r="N3302" s="23"/>
      <c r="P3302" s="23"/>
    </row>
    <row r="3303" spans="2:16" x14ac:dyDescent="0.25">
      <c r="B3303" s="23"/>
      <c r="E3303" s="23"/>
      <c r="G3303" s="23"/>
      <c r="H3303" s="23"/>
      <c r="J3303" s="23"/>
      <c r="K3303" s="23"/>
      <c r="M3303" s="23"/>
      <c r="N3303" s="23"/>
      <c r="P3303" s="23"/>
    </row>
    <row r="3304" spans="2:16" x14ac:dyDescent="0.25">
      <c r="B3304" s="23"/>
      <c r="E3304" s="23"/>
      <c r="G3304" s="23"/>
      <c r="H3304" s="23"/>
      <c r="J3304" s="23"/>
      <c r="K3304" s="23"/>
      <c r="M3304" s="23"/>
      <c r="N3304" s="23"/>
      <c r="P3304" s="23"/>
    </row>
    <row r="3305" spans="2:16" x14ac:dyDescent="0.25">
      <c r="B3305" s="23"/>
      <c r="E3305" s="23"/>
      <c r="G3305" s="23"/>
      <c r="H3305" s="23"/>
      <c r="J3305" s="23"/>
      <c r="K3305" s="23"/>
      <c r="M3305" s="23"/>
      <c r="N3305" s="23"/>
      <c r="P3305" s="23"/>
    </row>
    <row r="3306" spans="2:16" x14ac:dyDescent="0.25">
      <c r="B3306" s="23"/>
      <c r="E3306" s="23"/>
      <c r="G3306" s="23"/>
      <c r="H3306" s="23"/>
      <c r="J3306" s="23"/>
      <c r="K3306" s="23"/>
      <c r="M3306" s="23"/>
      <c r="N3306" s="23"/>
      <c r="P3306" s="23"/>
    </row>
    <row r="3307" spans="2:16" x14ac:dyDescent="0.25">
      <c r="B3307" s="23"/>
      <c r="E3307" s="23"/>
      <c r="G3307" s="23"/>
      <c r="H3307" s="23"/>
      <c r="J3307" s="23"/>
      <c r="K3307" s="23"/>
      <c r="M3307" s="23"/>
      <c r="N3307" s="23"/>
      <c r="P3307" s="23"/>
    </row>
    <row r="3308" spans="2:16" x14ac:dyDescent="0.25">
      <c r="B3308" s="23"/>
      <c r="E3308" s="23"/>
      <c r="G3308" s="23"/>
      <c r="H3308" s="23"/>
      <c r="J3308" s="23"/>
      <c r="K3308" s="23"/>
      <c r="M3308" s="23"/>
      <c r="N3308" s="23"/>
      <c r="P3308" s="23"/>
    </row>
    <row r="3309" spans="2:16" x14ac:dyDescent="0.25">
      <c r="B3309" s="23"/>
      <c r="E3309" s="23"/>
      <c r="G3309" s="23"/>
      <c r="H3309" s="23"/>
      <c r="J3309" s="23"/>
      <c r="K3309" s="23"/>
      <c r="M3309" s="23"/>
      <c r="N3309" s="23"/>
      <c r="P3309" s="23"/>
    </row>
    <row r="3310" spans="2:16" x14ac:dyDescent="0.25">
      <c r="B3310" s="23"/>
      <c r="E3310" s="23"/>
      <c r="G3310" s="23"/>
      <c r="H3310" s="23"/>
      <c r="J3310" s="23"/>
      <c r="K3310" s="23"/>
      <c r="M3310" s="23"/>
      <c r="N3310" s="23"/>
      <c r="P3310" s="23"/>
    </row>
    <row r="3311" spans="2:16" x14ac:dyDescent="0.25">
      <c r="B3311" s="23"/>
      <c r="E3311" s="23"/>
      <c r="G3311" s="23"/>
      <c r="H3311" s="23"/>
      <c r="J3311" s="23"/>
      <c r="K3311" s="23"/>
      <c r="M3311" s="23"/>
      <c r="N3311" s="23"/>
      <c r="P3311" s="23"/>
    </row>
    <row r="3312" spans="2:16" x14ac:dyDescent="0.25">
      <c r="B3312" s="23"/>
      <c r="E3312" s="23"/>
      <c r="G3312" s="23"/>
      <c r="H3312" s="23"/>
      <c r="J3312" s="23"/>
      <c r="K3312" s="23"/>
      <c r="M3312" s="23"/>
      <c r="N3312" s="23"/>
      <c r="P3312" s="23"/>
    </row>
    <row r="3313" spans="2:16" x14ac:dyDescent="0.25">
      <c r="B3313" s="23"/>
      <c r="E3313" s="23"/>
      <c r="G3313" s="23"/>
      <c r="H3313" s="23"/>
      <c r="J3313" s="23"/>
      <c r="K3313" s="23"/>
      <c r="M3313" s="23"/>
      <c r="N3313" s="23"/>
      <c r="P3313" s="23"/>
    </row>
    <row r="3314" spans="2:16" x14ac:dyDescent="0.25">
      <c r="B3314" s="23"/>
      <c r="E3314" s="23"/>
      <c r="G3314" s="23"/>
      <c r="H3314" s="23"/>
      <c r="J3314" s="23"/>
      <c r="K3314" s="23"/>
      <c r="M3314" s="23"/>
      <c r="N3314" s="23"/>
      <c r="P3314" s="23"/>
    </row>
    <row r="3315" spans="2:16" x14ac:dyDescent="0.25">
      <c r="B3315" s="23"/>
      <c r="E3315" s="23"/>
      <c r="G3315" s="23"/>
      <c r="H3315" s="23"/>
      <c r="J3315" s="23"/>
      <c r="K3315" s="23"/>
      <c r="M3315" s="23"/>
      <c r="N3315" s="23"/>
      <c r="P3315" s="23"/>
    </row>
    <row r="3316" spans="2:16" x14ac:dyDescent="0.25">
      <c r="B3316" s="23"/>
      <c r="E3316" s="23"/>
      <c r="G3316" s="23"/>
      <c r="H3316" s="23"/>
      <c r="J3316" s="23"/>
      <c r="K3316" s="23"/>
      <c r="M3316" s="23"/>
      <c r="N3316" s="23"/>
      <c r="P3316" s="23"/>
    </row>
    <row r="3317" spans="2:16" x14ac:dyDescent="0.25">
      <c r="B3317" s="23"/>
      <c r="E3317" s="23"/>
      <c r="G3317" s="23"/>
      <c r="H3317" s="23"/>
      <c r="J3317" s="23"/>
      <c r="K3317" s="23"/>
      <c r="M3317" s="23"/>
      <c r="N3317" s="23"/>
      <c r="P3317" s="23"/>
    </row>
    <row r="3318" spans="2:16" x14ac:dyDescent="0.25">
      <c r="B3318" s="23"/>
      <c r="E3318" s="23"/>
      <c r="G3318" s="23"/>
      <c r="H3318" s="23"/>
      <c r="J3318" s="23"/>
      <c r="K3318" s="23"/>
      <c r="M3318" s="23"/>
      <c r="N3318" s="23"/>
      <c r="P3318" s="23"/>
    </row>
    <row r="3319" spans="2:16" x14ac:dyDescent="0.25">
      <c r="B3319" s="23"/>
      <c r="E3319" s="23"/>
      <c r="G3319" s="23"/>
      <c r="H3319" s="23"/>
      <c r="J3319" s="23"/>
      <c r="K3319" s="23"/>
      <c r="M3319" s="23"/>
      <c r="N3319" s="23"/>
      <c r="P3319" s="23"/>
    </row>
    <row r="3320" spans="2:16" x14ac:dyDescent="0.25">
      <c r="B3320" s="23"/>
      <c r="E3320" s="23"/>
      <c r="G3320" s="23"/>
      <c r="H3320" s="23"/>
      <c r="J3320" s="23"/>
      <c r="K3320" s="23"/>
      <c r="M3320" s="23"/>
      <c r="N3320" s="23"/>
      <c r="P3320" s="23"/>
    </row>
    <row r="3321" spans="2:16" x14ac:dyDescent="0.25">
      <c r="B3321" s="23"/>
      <c r="E3321" s="23"/>
      <c r="G3321" s="23"/>
      <c r="H3321" s="23"/>
      <c r="J3321" s="23"/>
      <c r="K3321" s="23"/>
      <c r="M3321" s="23"/>
      <c r="N3321" s="23"/>
      <c r="P3321" s="23"/>
    </row>
    <row r="3322" spans="2:16" x14ac:dyDescent="0.25">
      <c r="B3322" s="23"/>
      <c r="E3322" s="23"/>
      <c r="G3322" s="23"/>
      <c r="H3322" s="23"/>
      <c r="J3322" s="23"/>
      <c r="K3322" s="23"/>
      <c r="M3322" s="23"/>
      <c r="N3322" s="23"/>
      <c r="P3322" s="23"/>
    </row>
    <row r="3323" spans="2:16" x14ac:dyDescent="0.25">
      <c r="B3323" s="23"/>
      <c r="E3323" s="23"/>
      <c r="G3323" s="23"/>
      <c r="H3323" s="23"/>
      <c r="J3323" s="23"/>
      <c r="K3323" s="23"/>
      <c r="M3323" s="23"/>
      <c r="N3323" s="23"/>
      <c r="P3323" s="23"/>
    </row>
    <row r="3324" spans="2:16" x14ac:dyDescent="0.25">
      <c r="B3324" s="23"/>
      <c r="E3324" s="23"/>
      <c r="G3324" s="23"/>
      <c r="H3324" s="23"/>
      <c r="J3324" s="23"/>
      <c r="K3324" s="23"/>
      <c r="M3324" s="23"/>
      <c r="N3324" s="23"/>
      <c r="P3324" s="23"/>
    </row>
    <row r="3325" spans="2:16" x14ac:dyDescent="0.25">
      <c r="B3325" s="23"/>
      <c r="E3325" s="23"/>
      <c r="G3325" s="23"/>
      <c r="H3325" s="23"/>
      <c r="J3325" s="23"/>
      <c r="K3325" s="23"/>
      <c r="M3325" s="23"/>
      <c r="N3325" s="23"/>
      <c r="P3325" s="23"/>
    </row>
    <row r="3326" spans="2:16" x14ac:dyDescent="0.25">
      <c r="B3326" s="23"/>
      <c r="E3326" s="23"/>
      <c r="G3326" s="23"/>
      <c r="H3326" s="23"/>
      <c r="J3326" s="23"/>
      <c r="K3326" s="23"/>
      <c r="M3326" s="23"/>
      <c r="N3326" s="23"/>
      <c r="P3326" s="23"/>
    </row>
    <row r="3327" spans="2:16" x14ac:dyDescent="0.25">
      <c r="B3327" s="23"/>
      <c r="E3327" s="23"/>
      <c r="G3327" s="23"/>
      <c r="H3327" s="23"/>
      <c r="J3327" s="23"/>
      <c r="K3327" s="23"/>
      <c r="M3327" s="23"/>
      <c r="N3327" s="23"/>
      <c r="P3327" s="23"/>
    </row>
    <row r="3328" spans="2:16" x14ac:dyDescent="0.25">
      <c r="B3328" s="23"/>
      <c r="E3328" s="23"/>
      <c r="G3328" s="23"/>
      <c r="H3328" s="23"/>
      <c r="J3328" s="23"/>
      <c r="K3328" s="23"/>
      <c r="M3328" s="23"/>
      <c r="N3328" s="23"/>
      <c r="P3328" s="23"/>
    </row>
    <row r="3329" spans="2:16" x14ac:dyDescent="0.25">
      <c r="B3329" s="23"/>
      <c r="E3329" s="23"/>
      <c r="G3329" s="23"/>
      <c r="H3329" s="23"/>
      <c r="J3329" s="23"/>
      <c r="K3329" s="23"/>
      <c r="M3329" s="23"/>
      <c r="N3329" s="23"/>
      <c r="P3329" s="23"/>
    </row>
    <row r="3330" spans="2:16" x14ac:dyDescent="0.25">
      <c r="B3330" s="23"/>
      <c r="E3330" s="23"/>
      <c r="G3330" s="23"/>
      <c r="H3330" s="23"/>
      <c r="J3330" s="23"/>
      <c r="K3330" s="23"/>
      <c r="M3330" s="23"/>
      <c r="N3330" s="23"/>
      <c r="P3330" s="23"/>
    </row>
    <row r="3331" spans="2:16" x14ac:dyDescent="0.25">
      <c r="B3331" s="23"/>
      <c r="E3331" s="23"/>
      <c r="G3331" s="23"/>
      <c r="H3331" s="23"/>
      <c r="J3331" s="23"/>
      <c r="K3331" s="23"/>
      <c r="M3331" s="23"/>
      <c r="N3331" s="23"/>
      <c r="P3331" s="23"/>
    </row>
    <row r="3332" spans="2:16" x14ac:dyDescent="0.25">
      <c r="B3332" s="23"/>
      <c r="E3332" s="23"/>
      <c r="G3332" s="23"/>
      <c r="H3332" s="23"/>
      <c r="J3332" s="23"/>
      <c r="K3332" s="23"/>
      <c r="M3332" s="23"/>
      <c r="N3332" s="23"/>
      <c r="P3332" s="23"/>
    </row>
    <row r="3333" spans="2:16" x14ac:dyDescent="0.25">
      <c r="B3333" s="23"/>
      <c r="E3333" s="23"/>
      <c r="G3333" s="23"/>
      <c r="H3333" s="23"/>
      <c r="J3333" s="23"/>
      <c r="K3333" s="23"/>
      <c r="M3333" s="23"/>
      <c r="N3333" s="23"/>
      <c r="P3333" s="23"/>
    </row>
    <row r="3334" spans="2:16" x14ac:dyDescent="0.25">
      <c r="B3334" s="23"/>
      <c r="E3334" s="23"/>
      <c r="G3334" s="23"/>
      <c r="H3334" s="23"/>
      <c r="J3334" s="23"/>
      <c r="K3334" s="23"/>
      <c r="M3334" s="23"/>
      <c r="N3334" s="23"/>
      <c r="P3334" s="23"/>
    </row>
    <row r="3335" spans="2:16" x14ac:dyDescent="0.25">
      <c r="B3335" s="23"/>
      <c r="E3335" s="23"/>
      <c r="G3335" s="23"/>
      <c r="H3335" s="23"/>
      <c r="J3335" s="23"/>
      <c r="K3335" s="23"/>
      <c r="M3335" s="23"/>
      <c r="N3335" s="23"/>
      <c r="P3335" s="23"/>
    </row>
    <row r="3336" spans="2:16" x14ac:dyDescent="0.25">
      <c r="B3336" s="23"/>
      <c r="E3336" s="23"/>
      <c r="G3336" s="23"/>
      <c r="H3336" s="23"/>
      <c r="J3336" s="23"/>
      <c r="K3336" s="23"/>
      <c r="M3336" s="23"/>
      <c r="N3336" s="23"/>
      <c r="P3336" s="23"/>
    </row>
    <row r="3337" spans="2:16" x14ac:dyDescent="0.25">
      <c r="B3337" s="23"/>
      <c r="E3337" s="23"/>
      <c r="G3337" s="23"/>
      <c r="H3337" s="23"/>
      <c r="J3337" s="23"/>
      <c r="K3337" s="23"/>
      <c r="M3337" s="23"/>
      <c r="N3337" s="23"/>
      <c r="P3337" s="23"/>
    </row>
    <row r="3338" spans="2:16" x14ac:dyDescent="0.25">
      <c r="B3338" s="23"/>
      <c r="E3338" s="23"/>
      <c r="G3338" s="23"/>
      <c r="H3338" s="23"/>
      <c r="J3338" s="23"/>
      <c r="K3338" s="23"/>
      <c r="M3338" s="23"/>
      <c r="N3338" s="23"/>
      <c r="P3338" s="23"/>
    </row>
    <row r="3339" spans="2:16" x14ac:dyDescent="0.25">
      <c r="B3339" s="23"/>
      <c r="E3339" s="23"/>
      <c r="G3339" s="23"/>
      <c r="H3339" s="23"/>
      <c r="J3339" s="23"/>
      <c r="K3339" s="23"/>
      <c r="M3339" s="23"/>
      <c r="N3339" s="23"/>
      <c r="P3339" s="23"/>
    </row>
    <row r="3340" spans="2:16" x14ac:dyDescent="0.25">
      <c r="B3340" s="23"/>
      <c r="E3340" s="23"/>
      <c r="G3340" s="23"/>
      <c r="H3340" s="23"/>
      <c r="J3340" s="23"/>
      <c r="K3340" s="23"/>
      <c r="M3340" s="23"/>
      <c r="N3340" s="23"/>
      <c r="P3340" s="23"/>
    </row>
    <row r="3341" spans="2:16" x14ac:dyDescent="0.25">
      <c r="B3341" s="23"/>
      <c r="E3341" s="23"/>
      <c r="G3341" s="23"/>
      <c r="H3341" s="23"/>
      <c r="J3341" s="23"/>
      <c r="K3341" s="23"/>
      <c r="M3341" s="23"/>
      <c r="N3341" s="23"/>
      <c r="P3341" s="23"/>
    </row>
    <row r="3342" spans="2:16" x14ac:dyDescent="0.25">
      <c r="B3342" s="23"/>
      <c r="E3342" s="23"/>
      <c r="G3342" s="23"/>
      <c r="H3342" s="23"/>
      <c r="J3342" s="23"/>
      <c r="K3342" s="23"/>
      <c r="M3342" s="23"/>
      <c r="N3342" s="23"/>
      <c r="P3342" s="23"/>
    </row>
    <row r="3343" spans="2:16" x14ac:dyDescent="0.25">
      <c r="B3343" s="23"/>
      <c r="E3343" s="23"/>
      <c r="G3343" s="23"/>
      <c r="H3343" s="23"/>
      <c r="J3343" s="23"/>
      <c r="K3343" s="23"/>
      <c r="M3343" s="23"/>
      <c r="N3343" s="23"/>
      <c r="P3343" s="23"/>
    </row>
    <row r="3344" spans="2:16" x14ac:dyDescent="0.25">
      <c r="B3344" s="23"/>
      <c r="E3344" s="23"/>
      <c r="G3344" s="23"/>
      <c r="H3344" s="23"/>
      <c r="J3344" s="23"/>
      <c r="K3344" s="23"/>
      <c r="M3344" s="23"/>
      <c r="N3344" s="23"/>
      <c r="P3344" s="23"/>
    </row>
    <row r="3345" spans="2:16" x14ac:dyDescent="0.25">
      <c r="B3345" s="23"/>
      <c r="E3345" s="23"/>
      <c r="G3345" s="23"/>
      <c r="H3345" s="23"/>
      <c r="J3345" s="23"/>
      <c r="K3345" s="23"/>
      <c r="M3345" s="23"/>
      <c r="N3345" s="23"/>
      <c r="P3345" s="23"/>
    </row>
    <row r="3346" spans="2:16" x14ac:dyDescent="0.25">
      <c r="B3346" s="23"/>
      <c r="E3346" s="23"/>
      <c r="G3346" s="23"/>
      <c r="H3346" s="23"/>
      <c r="J3346" s="23"/>
      <c r="K3346" s="23"/>
      <c r="M3346" s="23"/>
      <c r="N3346" s="23"/>
      <c r="P3346" s="23"/>
    </row>
    <row r="3347" spans="2:16" x14ac:dyDescent="0.25">
      <c r="B3347" s="23"/>
      <c r="E3347" s="23"/>
      <c r="G3347" s="23"/>
      <c r="H3347" s="23"/>
      <c r="J3347" s="23"/>
      <c r="K3347" s="23"/>
      <c r="M3347" s="23"/>
      <c r="N3347" s="23"/>
      <c r="P3347" s="23"/>
    </row>
    <row r="3348" spans="2:16" x14ac:dyDescent="0.25">
      <c r="B3348" s="23"/>
      <c r="E3348" s="23"/>
      <c r="G3348" s="23"/>
      <c r="H3348" s="23"/>
      <c r="J3348" s="23"/>
      <c r="K3348" s="23"/>
      <c r="M3348" s="23"/>
      <c r="N3348" s="23"/>
      <c r="P3348" s="23"/>
    </row>
    <row r="3349" spans="2:16" x14ac:dyDescent="0.25">
      <c r="B3349" s="23"/>
      <c r="E3349" s="23"/>
      <c r="G3349" s="23"/>
      <c r="H3349" s="23"/>
      <c r="J3349" s="23"/>
      <c r="K3349" s="23"/>
      <c r="M3349" s="23"/>
      <c r="N3349" s="23"/>
      <c r="P3349" s="23"/>
    </row>
    <row r="3350" spans="2:16" x14ac:dyDescent="0.25">
      <c r="B3350" s="23"/>
      <c r="E3350" s="23"/>
      <c r="G3350" s="23"/>
      <c r="H3350" s="23"/>
      <c r="J3350" s="23"/>
      <c r="K3350" s="23"/>
      <c r="M3350" s="23"/>
      <c r="N3350" s="23"/>
      <c r="P3350" s="23"/>
    </row>
    <row r="3351" spans="2:16" x14ac:dyDescent="0.25">
      <c r="B3351" s="23"/>
      <c r="E3351" s="23"/>
      <c r="G3351" s="23"/>
      <c r="H3351" s="23"/>
      <c r="J3351" s="23"/>
      <c r="K3351" s="23"/>
      <c r="M3351" s="23"/>
      <c r="N3351" s="23"/>
      <c r="P3351" s="23"/>
    </row>
    <row r="3352" spans="2:16" x14ac:dyDescent="0.25">
      <c r="B3352" s="23"/>
      <c r="E3352" s="23"/>
      <c r="G3352" s="23"/>
      <c r="H3352" s="23"/>
      <c r="J3352" s="23"/>
      <c r="K3352" s="23"/>
      <c r="M3352" s="23"/>
      <c r="N3352" s="23"/>
      <c r="P3352" s="23"/>
    </row>
    <row r="3353" spans="2:16" x14ac:dyDescent="0.25">
      <c r="B3353" s="23"/>
      <c r="E3353" s="23"/>
      <c r="G3353" s="23"/>
      <c r="H3353" s="23"/>
      <c r="J3353" s="23"/>
      <c r="K3353" s="23"/>
      <c r="M3353" s="23"/>
      <c r="N3353" s="23"/>
      <c r="P3353" s="23"/>
    </row>
    <row r="3354" spans="2:16" x14ac:dyDescent="0.25">
      <c r="B3354" s="23"/>
      <c r="E3354" s="23"/>
      <c r="G3354" s="23"/>
      <c r="H3354" s="23"/>
      <c r="J3354" s="23"/>
      <c r="K3354" s="23"/>
      <c r="M3354" s="23"/>
      <c r="N3354" s="23"/>
      <c r="P3354" s="23"/>
    </row>
    <row r="3355" spans="2:16" x14ac:dyDescent="0.25">
      <c r="B3355" s="23"/>
      <c r="E3355" s="23"/>
      <c r="G3355" s="23"/>
      <c r="H3355" s="23"/>
      <c r="J3355" s="23"/>
      <c r="K3355" s="23"/>
      <c r="M3355" s="23"/>
      <c r="N3355" s="23"/>
      <c r="P3355" s="23"/>
    </row>
    <row r="3356" spans="2:16" x14ac:dyDescent="0.25">
      <c r="B3356" s="23"/>
      <c r="E3356" s="23"/>
      <c r="G3356" s="23"/>
      <c r="H3356" s="23"/>
      <c r="J3356" s="23"/>
      <c r="K3356" s="23"/>
      <c r="M3356" s="23"/>
      <c r="N3356" s="23"/>
      <c r="P3356" s="23"/>
    </row>
    <row r="3357" spans="2:16" x14ac:dyDescent="0.25">
      <c r="B3357" s="23"/>
      <c r="E3357" s="23"/>
      <c r="G3357" s="23"/>
      <c r="H3357" s="23"/>
      <c r="J3357" s="23"/>
      <c r="K3357" s="23"/>
      <c r="M3357" s="23"/>
      <c r="N3357" s="23"/>
      <c r="P3357" s="23"/>
    </row>
    <row r="3358" spans="2:16" x14ac:dyDescent="0.25">
      <c r="B3358" s="23"/>
      <c r="E3358" s="23"/>
      <c r="G3358" s="23"/>
      <c r="H3358" s="23"/>
      <c r="J3358" s="23"/>
      <c r="K3358" s="23"/>
      <c r="M3358" s="23"/>
      <c r="N3358" s="23"/>
      <c r="P3358" s="23"/>
    </row>
    <row r="3359" spans="2:16" x14ac:dyDescent="0.25">
      <c r="B3359" s="23"/>
      <c r="E3359" s="23"/>
      <c r="G3359" s="23"/>
      <c r="H3359" s="23"/>
      <c r="J3359" s="23"/>
      <c r="K3359" s="23"/>
      <c r="M3359" s="23"/>
      <c r="N3359" s="23"/>
      <c r="P3359" s="23"/>
    </row>
    <row r="3360" spans="2:16" x14ac:dyDescent="0.25">
      <c r="B3360" s="23"/>
      <c r="E3360" s="23"/>
      <c r="G3360" s="23"/>
      <c r="H3360" s="23"/>
      <c r="J3360" s="23"/>
      <c r="K3360" s="23"/>
      <c r="M3360" s="23"/>
      <c r="N3360" s="23"/>
      <c r="P3360" s="23"/>
    </row>
    <row r="3361" spans="2:16" x14ac:dyDescent="0.25">
      <c r="B3361" s="23"/>
      <c r="E3361" s="23"/>
      <c r="G3361" s="23"/>
      <c r="H3361" s="23"/>
      <c r="J3361" s="23"/>
      <c r="K3361" s="23"/>
      <c r="M3361" s="23"/>
      <c r="N3361" s="23"/>
      <c r="P3361" s="23"/>
    </row>
    <row r="3362" spans="2:16" x14ac:dyDescent="0.25">
      <c r="B3362" s="23"/>
      <c r="E3362" s="23"/>
      <c r="G3362" s="23"/>
      <c r="H3362" s="23"/>
      <c r="J3362" s="23"/>
      <c r="K3362" s="23"/>
      <c r="M3362" s="23"/>
      <c r="N3362" s="23"/>
      <c r="P3362" s="23"/>
    </row>
    <row r="3363" spans="2:16" x14ac:dyDescent="0.25">
      <c r="B3363" s="23"/>
      <c r="E3363" s="23"/>
      <c r="G3363" s="23"/>
      <c r="H3363" s="23"/>
      <c r="J3363" s="23"/>
      <c r="K3363" s="23"/>
      <c r="M3363" s="23"/>
      <c r="N3363" s="23"/>
      <c r="P3363" s="23"/>
    </row>
    <row r="3364" spans="2:16" x14ac:dyDescent="0.25">
      <c r="B3364" s="23"/>
      <c r="E3364" s="23"/>
      <c r="G3364" s="23"/>
      <c r="H3364" s="23"/>
      <c r="J3364" s="23"/>
      <c r="K3364" s="23"/>
      <c r="M3364" s="23"/>
      <c r="N3364" s="23"/>
      <c r="P3364" s="23"/>
    </row>
    <row r="3365" spans="2:16" x14ac:dyDescent="0.25">
      <c r="B3365" s="23"/>
      <c r="E3365" s="23"/>
      <c r="G3365" s="23"/>
      <c r="H3365" s="23"/>
      <c r="J3365" s="23"/>
      <c r="K3365" s="23"/>
      <c r="M3365" s="23"/>
      <c r="N3365" s="23"/>
      <c r="P3365" s="23"/>
    </row>
    <row r="3366" spans="2:16" x14ac:dyDescent="0.25">
      <c r="B3366" s="23"/>
      <c r="E3366" s="23"/>
      <c r="G3366" s="23"/>
      <c r="H3366" s="23"/>
      <c r="J3366" s="23"/>
      <c r="K3366" s="23"/>
      <c r="M3366" s="23"/>
      <c r="N3366" s="23"/>
      <c r="P3366" s="23"/>
    </row>
    <row r="3367" spans="2:16" x14ac:dyDescent="0.25">
      <c r="B3367" s="23"/>
      <c r="E3367" s="23"/>
      <c r="G3367" s="23"/>
      <c r="H3367" s="23"/>
      <c r="J3367" s="23"/>
      <c r="K3367" s="23"/>
      <c r="M3367" s="23"/>
      <c r="N3367" s="23"/>
      <c r="P3367" s="23"/>
    </row>
    <row r="3368" spans="2:16" x14ac:dyDescent="0.25">
      <c r="B3368" s="23"/>
      <c r="E3368" s="23"/>
      <c r="G3368" s="23"/>
      <c r="H3368" s="23"/>
      <c r="J3368" s="23"/>
      <c r="K3368" s="23"/>
      <c r="M3368" s="23"/>
      <c r="N3368" s="23"/>
      <c r="P3368" s="23"/>
    </row>
    <row r="3369" spans="2:16" x14ac:dyDescent="0.25">
      <c r="B3369" s="23"/>
      <c r="E3369" s="23"/>
      <c r="G3369" s="23"/>
      <c r="H3369" s="23"/>
      <c r="J3369" s="23"/>
      <c r="K3369" s="23"/>
      <c r="M3369" s="23"/>
      <c r="N3369" s="23"/>
      <c r="P3369" s="23"/>
    </row>
    <row r="3370" spans="2:16" x14ac:dyDescent="0.25">
      <c r="B3370" s="23"/>
      <c r="E3370" s="23"/>
      <c r="G3370" s="23"/>
      <c r="H3370" s="23"/>
      <c r="J3370" s="23"/>
      <c r="K3370" s="23"/>
      <c r="M3370" s="23"/>
      <c r="N3370" s="23"/>
      <c r="P3370" s="23"/>
    </row>
    <row r="3371" spans="2:16" x14ac:dyDescent="0.25">
      <c r="B3371" s="23"/>
      <c r="E3371" s="23"/>
      <c r="G3371" s="23"/>
      <c r="H3371" s="23"/>
      <c r="J3371" s="23"/>
      <c r="K3371" s="23"/>
      <c r="M3371" s="23"/>
      <c r="N3371" s="23"/>
      <c r="P3371" s="23"/>
    </row>
    <row r="3372" spans="2:16" x14ac:dyDescent="0.25">
      <c r="B3372" s="23"/>
      <c r="E3372" s="23"/>
      <c r="G3372" s="23"/>
      <c r="H3372" s="23"/>
      <c r="J3372" s="23"/>
      <c r="K3372" s="23"/>
      <c r="M3372" s="23"/>
      <c r="N3372" s="23"/>
      <c r="P3372" s="23"/>
    </row>
    <row r="3373" spans="2:16" x14ac:dyDescent="0.25">
      <c r="B3373" s="23"/>
      <c r="E3373" s="23"/>
      <c r="G3373" s="23"/>
      <c r="H3373" s="23"/>
      <c r="J3373" s="23"/>
      <c r="K3373" s="23"/>
      <c r="M3373" s="23"/>
      <c r="N3373" s="23"/>
      <c r="P3373" s="23"/>
    </row>
    <row r="3374" spans="2:16" x14ac:dyDescent="0.25">
      <c r="B3374" s="23"/>
      <c r="E3374" s="23"/>
      <c r="G3374" s="23"/>
      <c r="H3374" s="23"/>
      <c r="J3374" s="23"/>
      <c r="K3374" s="23"/>
      <c r="M3374" s="23"/>
      <c r="N3374" s="23"/>
      <c r="P3374" s="23"/>
    </row>
    <row r="3375" spans="2:16" x14ac:dyDescent="0.25">
      <c r="B3375" s="23"/>
      <c r="E3375" s="23"/>
      <c r="G3375" s="23"/>
      <c r="H3375" s="23"/>
      <c r="J3375" s="23"/>
      <c r="K3375" s="23"/>
      <c r="M3375" s="23"/>
      <c r="N3375" s="23"/>
      <c r="P3375" s="23"/>
    </row>
    <row r="3376" spans="2:16" x14ac:dyDescent="0.25">
      <c r="B3376" s="23"/>
      <c r="E3376" s="23"/>
      <c r="G3376" s="23"/>
      <c r="H3376" s="23"/>
      <c r="J3376" s="23"/>
      <c r="K3376" s="23"/>
      <c r="M3376" s="23"/>
      <c r="N3376" s="23"/>
      <c r="P3376" s="23"/>
    </row>
    <row r="3377" spans="2:16" x14ac:dyDescent="0.25">
      <c r="B3377" s="23"/>
      <c r="E3377" s="23"/>
      <c r="G3377" s="23"/>
      <c r="H3377" s="23"/>
      <c r="J3377" s="23"/>
      <c r="K3377" s="23"/>
      <c r="M3377" s="23"/>
      <c r="N3377" s="23"/>
      <c r="P3377" s="23"/>
    </row>
    <row r="3378" spans="2:16" x14ac:dyDescent="0.25">
      <c r="B3378" s="23"/>
      <c r="E3378" s="23"/>
      <c r="G3378" s="23"/>
      <c r="H3378" s="23"/>
      <c r="J3378" s="23"/>
      <c r="K3378" s="23"/>
      <c r="M3378" s="23"/>
      <c r="N3378" s="23"/>
      <c r="P3378" s="23"/>
    </row>
    <row r="3379" spans="2:16" x14ac:dyDescent="0.25">
      <c r="B3379" s="23"/>
      <c r="E3379" s="23"/>
      <c r="G3379" s="23"/>
      <c r="H3379" s="23"/>
      <c r="J3379" s="23"/>
      <c r="K3379" s="23"/>
      <c r="M3379" s="23"/>
      <c r="N3379" s="23"/>
      <c r="P3379" s="23"/>
    </row>
    <row r="3380" spans="2:16" x14ac:dyDescent="0.25">
      <c r="B3380" s="23"/>
      <c r="E3380" s="23"/>
      <c r="G3380" s="23"/>
      <c r="H3380" s="23"/>
      <c r="J3380" s="23"/>
      <c r="K3380" s="23"/>
      <c r="M3380" s="23"/>
      <c r="N3380" s="23"/>
      <c r="P3380" s="23"/>
    </row>
    <row r="3381" spans="2:16" x14ac:dyDescent="0.25">
      <c r="B3381" s="23"/>
      <c r="E3381" s="23"/>
      <c r="G3381" s="23"/>
      <c r="H3381" s="23"/>
      <c r="J3381" s="23"/>
      <c r="K3381" s="23"/>
      <c r="M3381" s="23"/>
      <c r="N3381" s="23"/>
      <c r="P3381" s="23"/>
    </row>
    <row r="3382" spans="2:16" x14ac:dyDescent="0.25">
      <c r="B3382" s="23"/>
      <c r="E3382" s="23"/>
      <c r="G3382" s="23"/>
      <c r="H3382" s="23"/>
      <c r="J3382" s="23"/>
      <c r="K3382" s="23"/>
      <c r="M3382" s="23"/>
      <c r="N3382" s="23"/>
      <c r="P3382" s="23"/>
    </row>
    <row r="3383" spans="2:16" x14ac:dyDescent="0.25">
      <c r="B3383" s="23"/>
      <c r="E3383" s="23"/>
      <c r="G3383" s="23"/>
      <c r="H3383" s="23"/>
      <c r="J3383" s="23"/>
      <c r="K3383" s="23"/>
      <c r="M3383" s="23"/>
      <c r="N3383" s="23"/>
      <c r="P3383" s="23"/>
    </row>
    <row r="3384" spans="2:16" x14ac:dyDescent="0.25">
      <c r="B3384" s="23"/>
      <c r="E3384" s="23"/>
      <c r="G3384" s="23"/>
      <c r="H3384" s="23"/>
      <c r="J3384" s="23"/>
      <c r="K3384" s="23"/>
      <c r="M3384" s="23"/>
      <c r="N3384" s="23"/>
      <c r="P3384" s="23"/>
    </row>
    <row r="3385" spans="2:16" x14ac:dyDescent="0.25">
      <c r="B3385" s="23"/>
      <c r="E3385" s="23"/>
      <c r="G3385" s="23"/>
      <c r="H3385" s="23"/>
      <c r="J3385" s="23"/>
      <c r="K3385" s="23"/>
      <c r="M3385" s="23"/>
      <c r="N3385" s="23"/>
      <c r="P3385" s="23"/>
    </row>
    <row r="3386" spans="2:16" x14ac:dyDescent="0.25">
      <c r="B3386" s="23"/>
      <c r="E3386" s="23"/>
      <c r="G3386" s="23"/>
      <c r="H3386" s="23"/>
      <c r="J3386" s="23"/>
      <c r="K3386" s="23"/>
      <c r="M3386" s="23"/>
      <c r="N3386" s="23"/>
      <c r="P3386" s="23"/>
    </row>
    <row r="3387" spans="2:16" x14ac:dyDescent="0.25">
      <c r="B3387" s="23"/>
      <c r="E3387" s="23"/>
      <c r="G3387" s="23"/>
      <c r="H3387" s="23"/>
      <c r="J3387" s="23"/>
      <c r="K3387" s="23"/>
      <c r="M3387" s="23"/>
      <c r="N3387" s="23"/>
      <c r="P3387" s="23"/>
    </row>
    <row r="3388" spans="2:16" x14ac:dyDescent="0.25">
      <c r="B3388" s="23"/>
      <c r="E3388" s="23"/>
      <c r="G3388" s="23"/>
      <c r="H3388" s="23"/>
      <c r="J3388" s="23"/>
      <c r="K3388" s="23"/>
      <c r="M3388" s="23"/>
      <c r="N3388" s="23"/>
      <c r="P3388" s="23"/>
    </row>
    <row r="3389" spans="2:16" x14ac:dyDescent="0.25">
      <c r="B3389" s="23"/>
      <c r="E3389" s="23"/>
      <c r="G3389" s="23"/>
      <c r="H3389" s="23"/>
      <c r="J3389" s="23"/>
      <c r="K3389" s="23"/>
      <c r="M3389" s="23"/>
      <c r="N3389" s="23"/>
      <c r="P3389" s="23"/>
    </row>
    <row r="3390" spans="2:16" x14ac:dyDescent="0.25">
      <c r="B3390" s="23"/>
      <c r="E3390" s="23"/>
      <c r="G3390" s="23"/>
      <c r="H3390" s="23"/>
      <c r="J3390" s="23"/>
      <c r="K3390" s="23"/>
      <c r="M3390" s="23"/>
      <c r="N3390" s="23"/>
      <c r="P3390" s="23"/>
    </row>
    <row r="3391" spans="2:16" x14ac:dyDescent="0.25">
      <c r="B3391" s="23"/>
      <c r="E3391" s="23"/>
      <c r="G3391" s="23"/>
      <c r="H3391" s="23"/>
      <c r="J3391" s="23"/>
      <c r="K3391" s="23"/>
      <c r="M3391" s="23"/>
      <c r="N3391" s="23"/>
      <c r="P3391" s="23"/>
    </row>
    <row r="3392" spans="2:16" x14ac:dyDescent="0.25">
      <c r="B3392" s="23"/>
      <c r="E3392" s="23"/>
      <c r="G3392" s="23"/>
      <c r="H3392" s="23"/>
      <c r="J3392" s="23"/>
      <c r="K3392" s="23"/>
      <c r="M3392" s="23"/>
      <c r="N3392" s="23"/>
      <c r="P3392" s="23"/>
    </row>
    <row r="3393" spans="2:16" x14ac:dyDescent="0.25">
      <c r="B3393" s="23"/>
      <c r="E3393" s="23"/>
      <c r="G3393" s="23"/>
      <c r="H3393" s="23"/>
      <c r="J3393" s="23"/>
      <c r="K3393" s="23"/>
      <c r="M3393" s="23"/>
      <c r="N3393" s="23"/>
      <c r="P3393" s="23"/>
    </row>
    <row r="3394" spans="2:16" x14ac:dyDescent="0.25">
      <c r="B3394" s="23"/>
      <c r="E3394" s="23"/>
      <c r="G3394" s="23"/>
      <c r="H3394" s="23"/>
      <c r="J3394" s="23"/>
      <c r="K3394" s="23"/>
      <c r="M3394" s="23"/>
      <c r="N3394" s="23"/>
      <c r="P3394" s="23"/>
    </row>
    <row r="3395" spans="2:16" x14ac:dyDescent="0.25">
      <c r="B3395" s="23"/>
      <c r="E3395" s="23"/>
      <c r="G3395" s="23"/>
      <c r="H3395" s="23"/>
      <c r="J3395" s="23"/>
      <c r="K3395" s="23"/>
      <c r="M3395" s="23"/>
      <c r="N3395" s="23"/>
      <c r="P3395" s="23"/>
    </row>
    <row r="3396" spans="2:16" x14ac:dyDescent="0.25">
      <c r="B3396" s="23"/>
      <c r="E3396" s="23"/>
      <c r="G3396" s="23"/>
      <c r="H3396" s="23"/>
      <c r="J3396" s="23"/>
      <c r="K3396" s="23"/>
      <c r="M3396" s="23"/>
      <c r="N3396" s="23"/>
      <c r="P3396" s="23"/>
    </row>
    <row r="3397" spans="2:16" x14ac:dyDescent="0.25">
      <c r="B3397" s="23"/>
      <c r="E3397" s="23"/>
      <c r="G3397" s="23"/>
      <c r="H3397" s="23"/>
      <c r="J3397" s="23"/>
      <c r="K3397" s="23"/>
      <c r="M3397" s="23"/>
      <c r="N3397" s="23"/>
      <c r="P3397" s="23"/>
    </row>
    <row r="3398" spans="2:16" x14ac:dyDescent="0.25">
      <c r="B3398" s="23"/>
      <c r="E3398" s="23"/>
      <c r="G3398" s="23"/>
      <c r="H3398" s="23"/>
      <c r="J3398" s="23"/>
      <c r="K3398" s="23"/>
      <c r="M3398" s="23"/>
      <c r="N3398" s="23"/>
      <c r="P3398" s="23"/>
    </row>
    <row r="3399" spans="2:16" x14ac:dyDescent="0.25">
      <c r="B3399" s="23"/>
      <c r="E3399" s="23"/>
      <c r="G3399" s="23"/>
      <c r="H3399" s="23"/>
      <c r="J3399" s="23"/>
      <c r="K3399" s="23"/>
      <c r="M3399" s="23"/>
      <c r="N3399" s="23"/>
      <c r="P3399" s="23"/>
    </row>
    <row r="3400" spans="2:16" x14ac:dyDescent="0.25">
      <c r="B3400" s="23"/>
      <c r="E3400" s="23"/>
      <c r="G3400" s="23"/>
      <c r="H3400" s="23"/>
      <c r="J3400" s="23"/>
      <c r="K3400" s="23"/>
      <c r="M3400" s="23"/>
      <c r="N3400" s="23"/>
      <c r="P3400" s="23"/>
    </row>
    <row r="3401" spans="2:16" x14ac:dyDescent="0.25">
      <c r="B3401" s="23"/>
      <c r="E3401" s="23"/>
      <c r="G3401" s="23"/>
      <c r="H3401" s="23"/>
      <c r="J3401" s="23"/>
      <c r="K3401" s="23"/>
      <c r="M3401" s="23"/>
      <c r="N3401" s="23"/>
      <c r="P3401" s="23"/>
    </row>
    <row r="3402" spans="2:16" x14ac:dyDescent="0.25">
      <c r="B3402" s="23"/>
      <c r="E3402" s="23"/>
      <c r="G3402" s="23"/>
      <c r="H3402" s="23"/>
      <c r="J3402" s="23"/>
      <c r="K3402" s="23"/>
      <c r="M3402" s="23"/>
      <c r="N3402" s="23"/>
      <c r="P3402" s="23"/>
    </row>
    <row r="3403" spans="2:16" x14ac:dyDescent="0.25">
      <c r="B3403" s="23"/>
      <c r="E3403" s="23"/>
      <c r="G3403" s="23"/>
      <c r="H3403" s="23"/>
      <c r="J3403" s="23"/>
      <c r="K3403" s="23"/>
      <c r="M3403" s="23"/>
      <c r="N3403" s="23"/>
      <c r="P3403" s="23"/>
    </row>
    <row r="3404" spans="2:16" x14ac:dyDescent="0.25">
      <c r="B3404" s="23"/>
      <c r="E3404" s="23"/>
      <c r="G3404" s="23"/>
      <c r="H3404" s="23"/>
      <c r="J3404" s="23"/>
      <c r="K3404" s="23"/>
      <c r="M3404" s="23"/>
      <c r="N3404" s="23"/>
      <c r="P3404" s="23"/>
    </row>
    <row r="3405" spans="2:16" x14ac:dyDescent="0.25">
      <c r="B3405" s="23"/>
      <c r="E3405" s="23"/>
      <c r="G3405" s="23"/>
      <c r="H3405" s="23"/>
      <c r="J3405" s="23"/>
      <c r="K3405" s="23"/>
      <c r="M3405" s="23"/>
      <c r="N3405" s="23"/>
      <c r="P3405" s="23"/>
    </row>
    <row r="3406" spans="2:16" x14ac:dyDescent="0.25">
      <c r="B3406" s="23"/>
      <c r="E3406" s="23"/>
      <c r="G3406" s="23"/>
      <c r="H3406" s="23"/>
      <c r="J3406" s="23"/>
      <c r="K3406" s="23"/>
      <c r="M3406" s="23"/>
      <c r="N3406" s="23"/>
      <c r="P3406" s="23"/>
    </row>
    <row r="3407" spans="2:16" x14ac:dyDescent="0.25">
      <c r="B3407" s="23"/>
      <c r="E3407" s="23"/>
      <c r="G3407" s="23"/>
      <c r="H3407" s="23"/>
      <c r="J3407" s="23"/>
      <c r="K3407" s="23"/>
      <c r="M3407" s="23"/>
      <c r="N3407" s="23"/>
      <c r="P3407" s="23"/>
    </row>
    <row r="3408" spans="2:16" x14ac:dyDescent="0.25">
      <c r="B3408" s="23"/>
      <c r="E3408" s="23"/>
      <c r="G3408" s="23"/>
      <c r="H3408" s="23"/>
      <c r="J3408" s="23"/>
      <c r="K3408" s="23"/>
      <c r="M3408" s="23"/>
      <c r="N3408" s="23"/>
      <c r="P3408" s="23"/>
    </row>
    <row r="3409" spans="2:16" x14ac:dyDescent="0.25">
      <c r="B3409" s="23"/>
      <c r="E3409" s="23"/>
      <c r="G3409" s="23"/>
      <c r="H3409" s="23"/>
      <c r="J3409" s="23"/>
      <c r="K3409" s="23"/>
      <c r="M3409" s="23"/>
      <c r="N3409" s="23"/>
      <c r="P3409" s="23"/>
    </row>
    <row r="3410" spans="2:16" x14ac:dyDescent="0.25">
      <c r="B3410" s="23"/>
      <c r="E3410" s="23"/>
      <c r="G3410" s="23"/>
      <c r="H3410" s="23"/>
      <c r="J3410" s="23"/>
      <c r="K3410" s="23"/>
      <c r="M3410" s="23"/>
      <c r="N3410" s="23"/>
      <c r="P3410" s="23"/>
    </row>
    <row r="3411" spans="2:16" x14ac:dyDescent="0.25">
      <c r="B3411" s="23"/>
      <c r="E3411" s="23"/>
      <c r="G3411" s="23"/>
      <c r="H3411" s="23"/>
      <c r="J3411" s="23"/>
      <c r="K3411" s="23"/>
      <c r="M3411" s="23"/>
      <c r="N3411" s="23"/>
      <c r="P3411" s="23"/>
    </row>
    <row r="3412" spans="2:16" x14ac:dyDescent="0.25">
      <c r="B3412" s="23"/>
      <c r="E3412" s="23"/>
      <c r="G3412" s="23"/>
      <c r="H3412" s="23"/>
      <c r="J3412" s="23"/>
      <c r="K3412" s="23"/>
      <c r="M3412" s="23"/>
      <c r="N3412" s="23"/>
      <c r="P3412" s="23"/>
    </row>
    <row r="3413" spans="2:16" x14ac:dyDescent="0.25">
      <c r="B3413" s="23"/>
      <c r="E3413" s="23"/>
      <c r="G3413" s="23"/>
      <c r="H3413" s="23"/>
      <c r="J3413" s="23"/>
      <c r="K3413" s="23"/>
      <c r="M3413" s="23"/>
      <c r="N3413" s="23"/>
      <c r="P3413" s="23"/>
    </row>
    <row r="3414" spans="2:16" x14ac:dyDescent="0.25">
      <c r="B3414" s="23"/>
      <c r="E3414" s="23"/>
      <c r="G3414" s="23"/>
      <c r="H3414" s="23"/>
      <c r="J3414" s="23"/>
      <c r="K3414" s="23"/>
      <c r="M3414" s="23"/>
      <c r="N3414" s="23"/>
      <c r="P3414" s="23"/>
    </row>
    <row r="3415" spans="2:16" x14ac:dyDescent="0.25">
      <c r="B3415" s="23"/>
      <c r="E3415" s="23"/>
      <c r="G3415" s="23"/>
      <c r="H3415" s="23"/>
      <c r="J3415" s="23"/>
      <c r="K3415" s="23"/>
      <c r="M3415" s="23"/>
      <c r="N3415" s="23"/>
      <c r="P3415" s="23"/>
    </row>
    <row r="3416" spans="2:16" x14ac:dyDescent="0.25">
      <c r="B3416" s="23"/>
      <c r="E3416" s="23"/>
      <c r="G3416" s="23"/>
      <c r="H3416" s="23"/>
      <c r="J3416" s="23"/>
      <c r="K3416" s="23"/>
      <c r="M3416" s="23"/>
      <c r="N3416" s="23"/>
      <c r="P3416" s="23"/>
    </row>
    <row r="3417" spans="2:16" x14ac:dyDescent="0.25">
      <c r="B3417" s="23"/>
      <c r="E3417" s="23"/>
      <c r="G3417" s="23"/>
      <c r="H3417" s="23"/>
      <c r="J3417" s="23"/>
      <c r="K3417" s="23"/>
      <c r="M3417" s="23"/>
      <c r="N3417" s="23"/>
      <c r="P3417" s="23"/>
    </row>
    <row r="3418" spans="2:16" x14ac:dyDescent="0.25">
      <c r="B3418" s="23"/>
      <c r="E3418" s="23"/>
      <c r="G3418" s="23"/>
      <c r="H3418" s="23"/>
      <c r="J3418" s="23"/>
      <c r="K3418" s="23"/>
      <c r="M3418" s="23"/>
      <c r="N3418" s="23"/>
      <c r="P3418" s="23"/>
    </row>
    <row r="3419" spans="2:16" x14ac:dyDescent="0.25">
      <c r="B3419" s="23"/>
      <c r="E3419" s="23"/>
      <c r="G3419" s="23"/>
      <c r="H3419" s="23"/>
      <c r="J3419" s="23"/>
      <c r="K3419" s="23"/>
      <c r="M3419" s="23"/>
      <c r="N3419" s="23"/>
      <c r="P3419" s="23"/>
    </row>
    <row r="3420" spans="2:16" x14ac:dyDescent="0.25">
      <c r="B3420" s="23"/>
      <c r="E3420" s="23"/>
      <c r="G3420" s="23"/>
      <c r="H3420" s="23"/>
      <c r="J3420" s="23"/>
      <c r="K3420" s="23"/>
      <c r="M3420" s="23"/>
      <c r="N3420" s="23"/>
      <c r="P3420" s="23"/>
    </row>
    <row r="3421" spans="2:16" x14ac:dyDescent="0.25">
      <c r="B3421" s="23"/>
      <c r="E3421" s="23"/>
      <c r="G3421" s="23"/>
      <c r="H3421" s="23"/>
      <c r="J3421" s="23"/>
      <c r="K3421" s="23"/>
      <c r="M3421" s="23"/>
      <c r="N3421" s="23"/>
      <c r="P3421" s="23"/>
    </row>
    <row r="3422" spans="2:16" x14ac:dyDescent="0.25">
      <c r="B3422" s="23"/>
      <c r="E3422" s="23"/>
      <c r="G3422" s="23"/>
      <c r="H3422" s="23"/>
      <c r="J3422" s="23"/>
      <c r="K3422" s="23"/>
      <c r="M3422" s="23"/>
      <c r="N3422" s="23"/>
      <c r="P3422" s="23"/>
    </row>
    <row r="3423" spans="2:16" x14ac:dyDescent="0.25">
      <c r="B3423" s="23"/>
      <c r="E3423" s="23"/>
      <c r="G3423" s="23"/>
      <c r="H3423" s="23"/>
      <c r="J3423" s="23"/>
      <c r="K3423" s="23"/>
      <c r="M3423" s="23"/>
      <c r="N3423" s="23"/>
      <c r="P3423" s="23"/>
    </row>
    <row r="3424" spans="2:16" x14ac:dyDescent="0.25">
      <c r="B3424" s="23"/>
      <c r="E3424" s="23"/>
      <c r="G3424" s="23"/>
      <c r="H3424" s="23"/>
      <c r="J3424" s="23"/>
      <c r="K3424" s="23"/>
      <c r="M3424" s="23"/>
      <c r="N3424" s="23"/>
      <c r="P3424" s="23"/>
    </row>
    <row r="3425" spans="2:16" x14ac:dyDescent="0.25">
      <c r="B3425" s="23"/>
      <c r="E3425" s="23"/>
      <c r="G3425" s="23"/>
      <c r="H3425" s="23"/>
      <c r="J3425" s="23"/>
      <c r="K3425" s="23"/>
      <c r="M3425" s="23"/>
      <c r="N3425" s="23"/>
      <c r="P3425" s="23"/>
    </row>
    <row r="3426" spans="2:16" x14ac:dyDescent="0.25">
      <c r="B3426" s="23"/>
      <c r="E3426" s="23"/>
      <c r="G3426" s="23"/>
      <c r="H3426" s="23"/>
      <c r="J3426" s="23"/>
      <c r="K3426" s="23"/>
      <c r="M3426" s="23"/>
      <c r="N3426" s="23"/>
      <c r="P3426" s="23"/>
    </row>
    <row r="3427" spans="2:16" x14ac:dyDescent="0.25">
      <c r="B3427" s="23"/>
      <c r="E3427" s="23"/>
      <c r="G3427" s="23"/>
      <c r="H3427" s="23"/>
      <c r="J3427" s="23"/>
      <c r="K3427" s="23"/>
      <c r="M3427" s="23"/>
      <c r="N3427" s="23"/>
      <c r="P3427" s="23"/>
    </row>
    <row r="3428" spans="2:16" x14ac:dyDescent="0.25">
      <c r="B3428" s="23"/>
      <c r="E3428" s="23"/>
      <c r="G3428" s="23"/>
      <c r="H3428" s="23"/>
      <c r="J3428" s="23"/>
      <c r="K3428" s="23"/>
      <c r="M3428" s="23"/>
      <c r="N3428" s="23"/>
      <c r="P3428" s="23"/>
    </row>
    <row r="3429" spans="2:16" x14ac:dyDescent="0.25">
      <c r="B3429" s="23"/>
      <c r="E3429" s="23"/>
      <c r="G3429" s="23"/>
      <c r="H3429" s="23"/>
      <c r="J3429" s="23"/>
      <c r="K3429" s="23"/>
      <c r="M3429" s="23"/>
      <c r="N3429" s="23"/>
      <c r="P3429" s="23"/>
    </row>
    <row r="3430" spans="2:16" x14ac:dyDescent="0.25">
      <c r="B3430" s="23"/>
      <c r="E3430" s="23"/>
      <c r="G3430" s="23"/>
      <c r="H3430" s="23"/>
      <c r="J3430" s="23"/>
      <c r="K3430" s="23"/>
      <c r="M3430" s="23"/>
      <c r="N3430" s="23"/>
      <c r="P3430" s="23"/>
    </row>
    <row r="3431" spans="2:16" x14ac:dyDescent="0.25">
      <c r="B3431" s="23"/>
      <c r="E3431" s="23"/>
      <c r="G3431" s="23"/>
      <c r="H3431" s="23"/>
      <c r="J3431" s="23"/>
      <c r="K3431" s="23"/>
      <c r="M3431" s="23"/>
      <c r="N3431" s="23"/>
      <c r="P3431" s="23"/>
    </row>
    <row r="3432" spans="2:16" x14ac:dyDescent="0.25">
      <c r="B3432" s="23"/>
      <c r="E3432" s="23"/>
      <c r="G3432" s="23"/>
      <c r="H3432" s="23"/>
      <c r="J3432" s="23"/>
      <c r="K3432" s="23"/>
      <c r="M3432" s="23"/>
      <c r="N3432" s="23"/>
      <c r="P3432" s="23"/>
    </row>
    <row r="3433" spans="2:16" x14ac:dyDescent="0.25">
      <c r="B3433" s="23"/>
      <c r="E3433" s="23"/>
      <c r="G3433" s="23"/>
      <c r="H3433" s="23"/>
      <c r="J3433" s="23"/>
      <c r="K3433" s="23"/>
      <c r="M3433" s="23"/>
      <c r="N3433" s="23"/>
      <c r="P3433" s="23"/>
    </row>
    <row r="3434" spans="2:16" x14ac:dyDescent="0.25">
      <c r="B3434" s="23"/>
      <c r="E3434" s="23"/>
      <c r="G3434" s="23"/>
      <c r="H3434" s="23"/>
      <c r="J3434" s="23"/>
      <c r="K3434" s="23"/>
      <c r="M3434" s="23"/>
      <c r="N3434" s="23"/>
      <c r="P3434" s="23"/>
    </row>
    <row r="3435" spans="2:16" x14ac:dyDescent="0.25">
      <c r="B3435" s="23"/>
      <c r="E3435" s="23"/>
      <c r="G3435" s="23"/>
      <c r="H3435" s="23"/>
      <c r="J3435" s="23"/>
      <c r="K3435" s="23"/>
      <c r="M3435" s="23"/>
      <c r="N3435" s="23"/>
      <c r="P3435" s="23"/>
    </row>
    <row r="3436" spans="2:16" x14ac:dyDescent="0.25">
      <c r="B3436" s="23"/>
      <c r="E3436" s="23"/>
      <c r="G3436" s="23"/>
      <c r="H3436" s="23"/>
      <c r="J3436" s="23"/>
      <c r="K3436" s="23"/>
      <c r="M3436" s="23"/>
      <c r="N3436" s="23"/>
      <c r="P3436" s="23"/>
    </row>
    <row r="3437" spans="2:16" x14ac:dyDescent="0.25">
      <c r="B3437" s="23"/>
      <c r="E3437" s="23"/>
      <c r="G3437" s="23"/>
      <c r="H3437" s="23"/>
      <c r="J3437" s="23"/>
      <c r="K3437" s="23"/>
      <c r="M3437" s="23"/>
      <c r="N3437" s="23"/>
      <c r="P3437" s="23"/>
    </row>
    <row r="3438" spans="2:16" x14ac:dyDescent="0.25">
      <c r="B3438" s="23"/>
      <c r="E3438" s="23"/>
      <c r="G3438" s="23"/>
      <c r="H3438" s="23"/>
      <c r="J3438" s="23"/>
      <c r="K3438" s="23"/>
      <c r="M3438" s="23"/>
      <c r="N3438" s="23"/>
      <c r="P3438" s="23"/>
    </row>
    <row r="3439" spans="2:16" x14ac:dyDescent="0.25">
      <c r="B3439" s="23"/>
      <c r="E3439" s="23"/>
      <c r="G3439" s="23"/>
      <c r="H3439" s="23"/>
      <c r="J3439" s="23"/>
      <c r="K3439" s="23"/>
      <c r="M3439" s="23"/>
      <c r="N3439" s="23"/>
      <c r="P3439" s="23"/>
    </row>
    <row r="3440" spans="2:16" x14ac:dyDescent="0.25">
      <c r="B3440" s="23"/>
      <c r="E3440" s="23"/>
      <c r="G3440" s="23"/>
      <c r="H3440" s="23"/>
      <c r="J3440" s="23"/>
      <c r="K3440" s="23"/>
      <c r="M3440" s="23"/>
      <c r="N3440" s="23"/>
      <c r="P3440" s="23"/>
    </row>
    <row r="3441" spans="2:16" x14ac:dyDescent="0.25">
      <c r="B3441" s="23"/>
      <c r="E3441" s="23"/>
      <c r="G3441" s="23"/>
      <c r="H3441" s="23"/>
      <c r="J3441" s="23"/>
      <c r="K3441" s="23"/>
      <c r="M3441" s="23"/>
      <c r="N3441" s="23"/>
      <c r="P3441" s="23"/>
    </row>
    <row r="3442" spans="2:16" x14ac:dyDescent="0.25">
      <c r="B3442" s="23"/>
      <c r="E3442" s="23"/>
      <c r="G3442" s="23"/>
      <c r="H3442" s="23"/>
      <c r="J3442" s="23"/>
      <c r="K3442" s="23"/>
      <c r="M3442" s="23"/>
      <c r="N3442" s="23"/>
      <c r="P3442" s="23"/>
    </row>
    <row r="3443" spans="2:16" x14ac:dyDescent="0.25">
      <c r="B3443" s="23"/>
      <c r="E3443" s="23"/>
      <c r="G3443" s="23"/>
      <c r="H3443" s="23"/>
      <c r="J3443" s="23"/>
      <c r="K3443" s="23"/>
      <c r="M3443" s="23"/>
      <c r="N3443" s="23"/>
      <c r="P3443" s="23"/>
    </row>
    <row r="3444" spans="2:16" x14ac:dyDescent="0.25">
      <c r="B3444" s="23"/>
      <c r="E3444" s="23"/>
      <c r="G3444" s="23"/>
      <c r="H3444" s="23"/>
      <c r="J3444" s="23"/>
      <c r="K3444" s="23"/>
      <c r="M3444" s="23"/>
      <c r="N3444" s="23"/>
      <c r="P3444" s="23"/>
    </row>
    <row r="3445" spans="2:16" x14ac:dyDescent="0.25">
      <c r="B3445" s="23"/>
      <c r="E3445" s="23"/>
      <c r="G3445" s="23"/>
      <c r="H3445" s="23"/>
      <c r="J3445" s="23"/>
      <c r="K3445" s="23"/>
      <c r="M3445" s="23"/>
      <c r="N3445" s="23"/>
      <c r="P3445" s="23"/>
    </row>
    <row r="3446" spans="2:16" x14ac:dyDescent="0.25">
      <c r="B3446" s="23"/>
      <c r="E3446" s="23"/>
      <c r="G3446" s="23"/>
      <c r="H3446" s="23"/>
      <c r="J3446" s="23"/>
      <c r="K3446" s="23"/>
      <c r="M3446" s="23"/>
      <c r="N3446" s="23"/>
      <c r="P3446" s="23"/>
    </row>
    <row r="3447" spans="2:16" x14ac:dyDescent="0.25">
      <c r="B3447" s="23"/>
      <c r="E3447" s="23"/>
      <c r="G3447" s="23"/>
      <c r="H3447" s="23"/>
      <c r="J3447" s="23"/>
      <c r="K3447" s="23"/>
      <c r="M3447" s="23"/>
      <c r="N3447" s="23"/>
      <c r="P3447" s="23"/>
    </row>
    <row r="3448" spans="2:16" x14ac:dyDescent="0.25">
      <c r="B3448" s="23"/>
      <c r="E3448" s="23"/>
      <c r="G3448" s="23"/>
      <c r="H3448" s="23"/>
      <c r="J3448" s="23"/>
      <c r="K3448" s="23"/>
      <c r="M3448" s="23"/>
      <c r="N3448" s="23"/>
      <c r="P3448" s="23"/>
    </row>
    <row r="3449" spans="2:16" x14ac:dyDescent="0.25">
      <c r="B3449" s="23"/>
      <c r="E3449" s="23"/>
      <c r="G3449" s="23"/>
      <c r="H3449" s="23"/>
      <c r="J3449" s="23"/>
      <c r="K3449" s="23"/>
      <c r="M3449" s="23"/>
      <c r="N3449" s="23"/>
      <c r="P3449" s="23"/>
    </row>
    <row r="3450" spans="2:16" x14ac:dyDescent="0.25">
      <c r="B3450" s="23"/>
      <c r="E3450" s="23"/>
      <c r="G3450" s="23"/>
      <c r="H3450" s="23"/>
      <c r="J3450" s="23"/>
      <c r="K3450" s="23"/>
      <c r="M3450" s="23"/>
      <c r="N3450" s="23"/>
      <c r="P3450" s="23"/>
    </row>
    <row r="3451" spans="2:16" x14ac:dyDescent="0.25">
      <c r="B3451" s="23"/>
      <c r="E3451" s="23"/>
      <c r="G3451" s="23"/>
      <c r="H3451" s="23"/>
      <c r="J3451" s="23"/>
      <c r="K3451" s="23"/>
      <c r="M3451" s="23"/>
      <c r="N3451" s="23"/>
      <c r="P3451" s="23"/>
    </row>
    <row r="3452" spans="2:16" x14ac:dyDescent="0.25">
      <c r="B3452" s="23"/>
      <c r="E3452" s="23"/>
      <c r="G3452" s="23"/>
      <c r="H3452" s="23"/>
      <c r="J3452" s="23"/>
      <c r="K3452" s="23"/>
      <c r="M3452" s="23"/>
      <c r="N3452" s="23"/>
      <c r="P3452" s="23"/>
    </row>
    <row r="3453" spans="2:16" x14ac:dyDescent="0.25">
      <c r="B3453" s="23"/>
      <c r="E3453" s="23"/>
      <c r="G3453" s="23"/>
      <c r="H3453" s="23"/>
      <c r="J3453" s="23"/>
      <c r="K3453" s="23"/>
      <c r="M3453" s="23"/>
      <c r="N3453" s="23"/>
      <c r="P3453" s="23"/>
    </row>
    <row r="3454" spans="2:16" x14ac:dyDescent="0.25">
      <c r="B3454" s="23"/>
      <c r="E3454" s="23"/>
      <c r="G3454" s="23"/>
      <c r="H3454" s="23"/>
      <c r="J3454" s="23"/>
      <c r="K3454" s="23"/>
      <c r="M3454" s="23"/>
      <c r="N3454" s="23"/>
      <c r="P3454" s="23"/>
    </row>
    <row r="3455" spans="2:16" x14ac:dyDescent="0.25">
      <c r="B3455" s="23"/>
      <c r="E3455" s="23"/>
      <c r="G3455" s="23"/>
      <c r="H3455" s="23"/>
      <c r="J3455" s="23"/>
      <c r="K3455" s="23"/>
      <c r="M3455" s="23"/>
      <c r="N3455" s="23"/>
      <c r="P3455" s="23"/>
    </row>
    <row r="3456" spans="2:16" x14ac:dyDescent="0.25">
      <c r="B3456" s="23"/>
      <c r="E3456" s="23"/>
      <c r="G3456" s="23"/>
      <c r="H3456" s="23"/>
      <c r="J3456" s="23"/>
      <c r="K3456" s="23"/>
      <c r="M3456" s="23"/>
      <c r="N3456" s="23"/>
      <c r="P3456" s="23"/>
    </row>
    <row r="3457" spans="2:16" x14ac:dyDescent="0.25">
      <c r="B3457" s="23"/>
      <c r="E3457" s="23"/>
      <c r="G3457" s="23"/>
      <c r="H3457" s="23"/>
      <c r="J3457" s="23"/>
      <c r="K3457" s="23"/>
      <c r="M3457" s="23"/>
      <c r="N3457" s="23"/>
      <c r="P3457" s="23"/>
    </row>
    <row r="3458" spans="2:16" x14ac:dyDescent="0.25">
      <c r="B3458" s="23"/>
      <c r="E3458" s="23"/>
      <c r="G3458" s="23"/>
      <c r="H3458" s="23"/>
      <c r="J3458" s="23"/>
      <c r="K3458" s="23"/>
      <c r="M3458" s="23"/>
      <c r="N3458" s="23"/>
      <c r="P3458" s="23"/>
    </row>
    <row r="3459" spans="2:16" x14ac:dyDescent="0.25">
      <c r="B3459" s="23"/>
      <c r="E3459" s="23"/>
      <c r="G3459" s="23"/>
      <c r="H3459" s="23"/>
      <c r="J3459" s="23"/>
      <c r="K3459" s="23"/>
      <c r="M3459" s="23"/>
      <c r="N3459" s="23"/>
      <c r="P3459" s="23"/>
    </row>
    <row r="3460" spans="2:16" x14ac:dyDescent="0.25">
      <c r="B3460" s="23"/>
      <c r="E3460" s="23"/>
      <c r="G3460" s="23"/>
      <c r="H3460" s="23"/>
      <c r="J3460" s="23"/>
      <c r="K3460" s="23"/>
      <c r="M3460" s="23"/>
      <c r="N3460" s="23"/>
      <c r="P3460" s="23"/>
    </row>
    <row r="3461" spans="2:16" x14ac:dyDescent="0.25">
      <c r="B3461" s="23"/>
      <c r="E3461" s="23"/>
      <c r="G3461" s="23"/>
      <c r="H3461" s="23"/>
      <c r="J3461" s="23"/>
      <c r="K3461" s="23"/>
      <c r="M3461" s="23"/>
      <c r="N3461" s="23"/>
      <c r="P3461" s="23"/>
    </row>
    <row r="3462" spans="2:16" x14ac:dyDescent="0.25">
      <c r="B3462" s="23"/>
      <c r="E3462" s="23"/>
      <c r="G3462" s="23"/>
      <c r="H3462" s="23"/>
      <c r="J3462" s="23"/>
      <c r="K3462" s="23"/>
      <c r="M3462" s="23"/>
      <c r="N3462" s="23"/>
      <c r="P3462" s="23"/>
    </row>
    <row r="3463" spans="2:16" x14ac:dyDescent="0.25">
      <c r="B3463" s="23"/>
      <c r="E3463" s="23"/>
      <c r="G3463" s="23"/>
      <c r="H3463" s="23"/>
      <c r="J3463" s="23"/>
      <c r="K3463" s="23"/>
      <c r="M3463" s="23"/>
      <c r="N3463" s="23"/>
      <c r="P3463" s="23"/>
    </row>
    <row r="3464" spans="2:16" x14ac:dyDescent="0.25">
      <c r="B3464" s="23"/>
      <c r="E3464" s="23"/>
      <c r="G3464" s="23"/>
      <c r="H3464" s="23"/>
      <c r="J3464" s="23"/>
      <c r="K3464" s="23"/>
      <c r="M3464" s="23"/>
      <c r="N3464" s="23"/>
      <c r="P3464" s="23"/>
    </row>
    <row r="3465" spans="2:16" x14ac:dyDescent="0.25">
      <c r="B3465" s="23"/>
      <c r="E3465" s="23"/>
      <c r="G3465" s="23"/>
      <c r="H3465" s="23"/>
      <c r="J3465" s="23"/>
      <c r="K3465" s="23"/>
      <c r="M3465" s="23"/>
      <c r="N3465" s="23"/>
      <c r="P3465" s="23"/>
    </row>
    <row r="3466" spans="2:16" x14ac:dyDescent="0.25">
      <c r="B3466" s="23"/>
      <c r="E3466" s="23"/>
      <c r="G3466" s="23"/>
      <c r="H3466" s="23"/>
      <c r="J3466" s="23"/>
      <c r="K3466" s="23"/>
      <c r="M3466" s="23"/>
      <c r="N3466" s="23"/>
      <c r="P3466" s="23"/>
    </row>
    <row r="3467" spans="2:16" x14ac:dyDescent="0.25">
      <c r="B3467" s="23"/>
      <c r="E3467" s="23"/>
      <c r="G3467" s="23"/>
      <c r="H3467" s="23"/>
      <c r="J3467" s="23"/>
      <c r="K3467" s="23"/>
      <c r="M3467" s="23"/>
      <c r="N3467" s="23"/>
      <c r="P3467" s="23"/>
    </row>
    <row r="3468" spans="2:16" x14ac:dyDescent="0.25">
      <c r="B3468" s="23"/>
      <c r="E3468" s="23"/>
      <c r="G3468" s="23"/>
      <c r="H3468" s="23"/>
      <c r="J3468" s="23"/>
      <c r="K3468" s="23"/>
      <c r="M3468" s="23"/>
      <c r="N3468" s="23"/>
      <c r="P3468" s="23"/>
    </row>
    <row r="3469" spans="2:16" x14ac:dyDescent="0.25">
      <c r="B3469" s="23"/>
      <c r="E3469" s="23"/>
      <c r="G3469" s="23"/>
      <c r="H3469" s="23"/>
      <c r="J3469" s="23"/>
      <c r="K3469" s="23"/>
      <c r="M3469" s="23"/>
      <c r="N3469" s="23"/>
      <c r="P3469" s="23"/>
    </row>
    <row r="3470" spans="2:16" x14ac:dyDescent="0.25">
      <c r="B3470" s="23"/>
      <c r="E3470" s="23"/>
      <c r="G3470" s="23"/>
      <c r="H3470" s="23"/>
      <c r="J3470" s="23"/>
      <c r="K3470" s="23"/>
      <c r="M3470" s="23"/>
      <c r="N3470" s="23"/>
      <c r="P3470" s="23"/>
    </row>
    <row r="3471" spans="2:16" x14ac:dyDescent="0.25">
      <c r="B3471" s="23"/>
      <c r="E3471" s="23"/>
      <c r="G3471" s="23"/>
      <c r="H3471" s="23"/>
      <c r="J3471" s="23"/>
      <c r="K3471" s="23"/>
      <c r="M3471" s="23"/>
      <c r="N3471" s="23"/>
      <c r="P3471" s="23"/>
    </row>
    <row r="3472" spans="2:16" x14ac:dyDescent="0.25">
      <c r="B3472" s="23"/>
      <c r="E3472" s="23"/>
      <c r="G3472" s="23"/>
      <c r="H3472" s="23"/>
      <c r="J3472" s="23"/>
      <c r="K3472" s="23"/>
      <c r="M3472" s="23"/>
      <c r="N3472" s="23"/>
      <c r="P3472" s="23"/>
    </row>
    <row r="3473" spans="2:16" x14ac:dyDescent="0.25">
      <c r="B3473" s="23"/>
      <c r="E3473" s="23"/>
      <c r="G3473" s="23"/>
      <c r="H3473" s="23"/>
      <c r="J3473" s="23"/>
      <c r="K3473" s="23"/>
      <c r="M3473" s="23"/>
      <c r="N3473" s="23"/>
      <c r="P3473" s="23"/>
    </row>
    <row r="3474" spans="2:16" x14ac:dyDescent="0.25">
      <c r="B3474" s="23"/>
      <c r="E3474" s="23"/>
      <c r="G3474" s="23"/>
      <c r="H3474" s="23"/>
      <c r="J3474" s="23"/>
      <c r="K3474" s="23"/>
      <c r="M3474" s="23"/>
      <c r="N3474" s="23"/>
      <c r="P3474" s="23"/>
    </row>
    <row r="3475" spans="2:16" x14ac:dyDescent="0.25">
      <c r="B3475" s="23"/>
      <c r="E3475" s="23"/>
      <c r="G3475" s="23"/>
      <c r="H3475" s="23"/>
      <c r="J3475" s="23"/>
      <c r="K3475" s="23"/>
      <c r="M3475" s="23"/>
      <c r="N3475" s="23"/>
      <c r="P3475" s="23"/>
    </row>
    <row r="3476" spans="2:16" x14ac:dyDescent="0.25">
      <c r="B3476" s="23"/>
      <c r="E3476" s="23"/>
      <c r="G3476" s="23"/>
      <c r="H3476" s="23"/>
      <c r="J3476" s="23"/>
      <c r="K3476" s="23"/>
      <c r="M3476" s="23"/>
      <c r="N3476" s="23"/>
      <c r="P3476" s="23"/>
    </row>
    <row r="3477" spans="2:16" x14ac:dyDescent="0.25">
      <c r="B3477" s="23"/>
      <c r="E3477" s="23"/>
      <c r="G3477" s="23"/>
      <c r="H3477" s="23"/>
      <c r="J3477" s="23"/>
      <c r="K3477" s="23"/>
      <c r="M3477" s="23"/>
      <c r="N3477" s="23"/>
      <c r="P3477" s="23"/>
    </row>
    <row r="3478" spans="2:16" x14ac:dyDescent="0.25">
      <c r="B3478" s="23"/>
      <c r="E3478" s="23"/>
      <c r="G3478" s="23"/>
      <c r="H3478" s="23"/>
      <c r="J3478" s="23"/>
      <c r="K3478" s="23"/>
      <c r="M3478" s="23"/>
      <c r="N3478" s="23"/>
      <c r="P3478" s="23"/>
    </row>
    <row r="3479" spans="2:16" x14ac:dyDescent="0.25">
      <c r="B3479" s="23"/>
      <c r="E3479" s="23"/>
      <c r="G3479" s="23"/>
      <c r="H3479" s="23"/>
      <c r="J3479" s="23"/>
      <c r="K3479" s="23"/>
      <c r="M3479" s="23"/>
      <c r="N3479" s="23"/>
      <c r="P3479" s="23"/>
    </row>
    <row r="3480" spans="2:16" x14ac:dyDescent="0.25">
      <c r="B3480" s="23"/>
      <c r="E3480" s="23"/>
      <c r="G3480" s="23"/>
      <c r="H3480" s="23"/>
      <c r="J3480" s="23"/>
      <c r="K3480" s="23"/>
      <c r="M3480" s="23"/>
      <c r="N3480" s="23"/>
      <c r="P3480" s="23"/>
    </row>
    <row r="3481" spans="2:16" x14ac:dyDescent="0.25">
      <c r="B3481" s="23"/>
      <c r="E3481" s="23"/>
      <c r="G3481" s="23"/>
      <c r="H3481" s="23"/>
      <c r="J3481" s="23"/>
      <c r="K3481" s="23"/>
      <c r="M3481" s="23"/>
      <c r="N3481" s="23"/>
      <c r="P3481" s="23"/>
    </row>
    <row r="3482" spans="2:16" x14ac:dyDescent="0.25">
      <c r="B3482" s="23"/>
      <c r="E3482" s="23"/>
      <c r="G3482" s="23"/>
      <c r="H3482" s="23"/>
      <c r="J3482" s="23"/>
      <c r="K3482" s="23"/>
      <c r="M3482" s="23"/>
      <c r="N3482" s="23"/>
      <c r="P3482" s="23"/>
    </row>
    <row r="3483" spans="2:16" x14ac:dyDescent="0.25">
      <c r="B3483" s="23"/>
      <c r="E3483" s="23"/>
      <c r="G3483" s="23"/>
      <c r="H3483" s="23"/>
      <c r="J3483" s="23"/>
      <c r="K3483" s="23"/>
      <c r="M3483" s="23"/>
      <c r="N3483" s="23"/>
      <c r="P3483" s="23"/>
    </row>
    <row r="3484" spans="2:16" x14ac:dyDescent="0.25">
      <c r="B3484" s="23"/>
      <c r="E3484" s="23"/>
      <c r="G3484" s="23"/>
      <c r="H3484" s="23"/>
      <c r="J3484" s="23"/>
      <c r="K3484" s="23"/>
      <c r="M3484" s="23"/>
      <c r="N3484" s="23"/>
      <c r="P3484" s="23"/>
    </row>
    <row r="3485" spans="2:16" x14ac:dyDescent="0.25">
      <c r="B3485" s="23"/>
      <c r="E3485" s="23"/>
      <c r="G3485" s="23"/>
      <c r="H3485" s="23"/>
      <c r="J3485" s="23"/>
      <c r="K3485" s="23"/>
      <c r="M3485" s="23"/>
      <c r="N3485" s="23"/>
      <c r="P3485" s="23"/>
    </row>
    <row r="3486" spans="2:16" x14ac:dyDescent="0.25">
      <c r="B3486" s="23"/>
      <c r="E3486" s="23"/>
      <c r="G3486" s="23"/>
      <c r="H3486" s="23"/>
      <c r="J3486" s="23"/>
      <c r="K3486" s="23"/>
      <c r="M3486" s="23"/>
      <c r="N3486" s="23"/>
      <c r="P3486" s="23"/>
    </row>
    <row r="3487" spans="2:16" x14ac:dyDescent="0.25">
      <c r="B3487" s="23"/>
      <c r="E3487" s="23"/>
      <c r="G3487" s="23"/>
      <c r="H3487" s="23"/>
      <c r="J3487" s="23"/>
      <c r="K3487" s="23"/>
      <c r="M3487" s="23"/>
      <c r="N3487" s="23"/>
      <c r="P3487" s="23"/>
    </row>
    <row r="3488" spans="2:16" x14ac:dyDescent="0.25">
      <c r="B3488" s="23"/>
      <c r="E3488" s="23"/>
      <c r="G3488" s="23"/>
      <c r="H3488" s="23"/>
      <c r="J3488" s="23"/>
      <c r="K3488" s="23"/>
      <c r="M3488" s="23"/>
      <c r="N3488" s="23"/>
      <c r="P3488" s="23"/>
    </row>
    <row r="3489" spans="2:16" x14ac:dyDescent="0.25">
      <c r="B3489" s="23"/>
      <c r="E3489" s="23"/>
      <c r="G3489" s="23"/>
      <c r="H3489" s="23"/>
      <c r="J3489" s="23"/>
      <c r="K3489" s="23"/>
      <c r="M3489" s="23"/>
      <c r="N3489" s="23"/>
      <c r="P3489" s="23"/>
    </row>
    <row r="3490" spans="2:16" x14ac:dyDescent="0.25">
      <c r="B3490" s="23"/>
      <c r="E3490" s="23"/>
      <c r="G3490" s="23"/>
      <c r="H3490" s="23"/>
      <c r="J3490" s="23"/>
      <c r="K3490" s="23"/>
      <c r="M3490" s="23"/>
      <c r="N3490" s="23"/>
      <c r="P3490" s="23"/>
    </row>
    <row r="3491" spans="2:16" x14ac:dyDescent="0.25">
      <c r="B3491" s="23"/>
      <c r="E3491" s="23"/>
      <c r="G3491" s="23"/>
      <c r="H3491" s="23"/>
      <c r="J3491" s="23"/>
      <c r="K3491" s="23"/>
      <c r="M3491" s="23"/>
      <c r="N3491" s="23"/>
      <c r="P3491" s="23"/>
    </row>
    <row r="3492" spans="2:16" x14ac:dyDescent="0.25">
      <c r="B3492" s="23"/>
      <c r="E3492" s="23"/>
      <c r="G3492" s="23"/>
      <c r="H3492" s="23"/>
      <c r="J3492" s="23"/>
      <c r="K3492" s="23"/>
      <c r="M3492" s="23"/>
      <c r="N3492" s="23"/>
      <c r="P3492" s="23"/>
    </row>
    <row r="3493" spans="2:16" x14ac:dyDescent="0.25">
      <c r="B3493" s="23"/>
      <c r="E3493" s="23"/>
      <c r="G3493" s="23"/>
      <c r="H3493" s="23"/>
      <c r="J3493" s="23"/>
      <c r="K3493" s="23"/>
      <c r="M3493" s="23"/>
      <c r="N3493" s="23"/>
      <c r="P3493" s="23"/>
    </row>
    <row r="3494" spans="2:16" x14ac:dyDescent="0.25">
      <c r="B3494" s="23"/>
      <c r="E3494" s="23"/>
      <c r="G3494" s="23"/>
      <c r="H3494" s="23"/>
      <c r="J3494" s="23"/>
      <c r="K3494" s="23"/>
      <c r="M3494" s="23"/>
      <c r="N3494" s="23"/>
      <c r="P3494" s="23"/>
    </row>
    <row r="3495" spans="2:16" x14ac:dyDescent="0.25">
      <c r="B3495" s="23"/>
      <c r="E3495" s="23"/>
      <c r="G3495" s="23"/>
      <c r="H3495" s="23"/>
      <c r="J3495" s="23"/>
      <c r="K3495" s="23"/>
      <c r="M3495" s="23"/>
      <c r="N3495" s="23"/>
      <c r="P3495" s="23"/>
    </row>
    <row r="3496" spans="2:16" x14ac:dyDescent="0.25">
      <c r="B3496" s="23"/>
      <c r="E3496" s="23"/>
      <c r="G3496" s="23"/>
      <c r="H3496" s="23"/>
      <c r="J3496" s="23"/>
      <c r="K3496" s="23"/>
      <c r="M3496" s="23"/>
      <c r="N3496" s="23"/>
      <c r="P3496" s="23"/>
    </row>
    <row r="3497" spans="2:16" x14ac:dyDescent="0.25">
      <c r="B3497" s="23"/>
      <c r="E3497" s="23"/>
      <c r="G3497" s="23"/>
      <c r="H3497" s="23"/>
      <c r="J3497" s="23"/>
      <c r="K3497" s="23"/>
      <c r="M3497" s="23"/>
      <c r="N3497" s="23"/>
      <c r="P3497" s="23"/>
    </row>
    <row r="3498" spans="2:16" x14ac:dyDescent="0.25">
      <c r="B3498" s="23"/>
      <c r="E3498" s="23"/>
      <c r="G3498" s="23"/>
      <c r="H3498" s="23"/>
      <c r="J3498" s="23"/>
      <c r="K3498" s="23"/>
      <c r="M3498" s="23"/>
      <c r="N3498" s="23"/>
      <c r="P3498" s="23"/>
    </row>
    <row r="3499" spans="2:16" x14ac:dyDescent="0.25">
      <c r="B3499" s="23"/>
      <c r="E3499" s="23"/>
      <c r="G3499" s="23"/>
      <c r="H3499" s="23"/>
      <c r="J3499" s="23"/>
      <c r="K3499" s="23"/>
      <c r="M3499" s="23"/>
      <c r="N3499" s="23"/>
      <c r="P3499" s="23"/>
    </row>
    <row r="3500" spans="2:16" x14ac:dyDescent="0.25">
      <c r="B3500" s="23"/>
      <c r="E3500" s="23"/>
      <c r="G3500" s="23"/>
      <c r="H3500" s="23"/>
      <c r="J3500" s="23"/>
      <c r="K3500" s="23"/>
      <c r="M3500" s="23"/>
      <c r="N3500" s="23"/>
      <c r="P3500" s="23"/>
    </row>
    <row r="3501" spans="2:16" x14ac:dyDescent="0.25">
      <c r="B3501" s="23"/>
      <c r="E3501" s="23"/>
      <c r="G3501" s="23"/>
      <c r="H3501" s="23"/>
      <c r="J3501" s="23"/>
      <c r="K3501" s="23"/>
      <c r="M3501" s="23"/>
      <c r="N3501" s="23"/>
      <c r="P3501" s="23"/>
    </row>
    <row r="3502" spans="2:16" x14ac:dyDescent="0.25">
      <c r="B3502" s="23"/>
      <c r="E3502" s="23"/>
      <c r="G3502" s="23"/>
      <c r="H3502" s="23"/>
      <c r="J3502" s="23"/>
      <c r="K3502" s="23"/>
      <c r="M3502" s="23"/>
      <c r="N3502" s="23"/>
      <c r="P3502" s="23"/>
    </row>
    <row r="3503" spans="2:16" x14ac:dyDescent="0.25">
      <c r="B3503" s="23"/>
      <c r="E3503" s="23"/>
      <c r="G3503" s="23"/>
      <c r="H3503" s="23"/>
      <c r="J3503" s="23"/>
      <c r="K3503" s="23"/>
      <c r="M3503" s="23"/>
      <c r="N3503" s="23"/>
      <c r="P3503" s="23"/>
    </row>
    <row r="3504" spans="2:16" x14ac:dyDescent="0.25">
      <c r="B3504" s="23"/>
      <c r="E3504" s="23"/>
      <c r="G3504" s="23"/>
      <c r="H3504" s="23"/>
      <c r="J3504" s="23"/>
      <c r="K3504" s="23"/>
      <c r="M3504" s="23"/>
      <c r="N3504" s="23"/>
      <c r="P3504" s="23"/>
    </row>
    <row r="3505" spans="2:16" x14ac:dyDescent="0.25">
      <c r="B3505" s="23"/>
      <c r="E3505" s="23"/>
      <c r="G3505" s="23"/>
      <c r="H3505" s="23"/>
      <c r="J3505" s="23"/>
      <c r="K3505" s="23"/>
      <c r="M3505" s="23"/>
      <c r="N3505" s="23"/>
      <c r="P3505" s="23"/>
    </row>
    <row r="3506" spans="2:16" x14ac:dyDescent="0.25">
      <c r="B3506" s="23"/>
      <c r="E3506" s="23"/>
      <c r="G3506" s="23"/>
      <c r="H3506" s="23"/>
      <c r="J3506" s="23"/>
      <c r="K3506" s="23"/>
      <c r="M3506" s="23"/>
      <c r="N3506" s="23"/>
      <c r="P3506" s="23"/>
    </row>
    <row r="3507" spans="2:16" x14ac:dyDescent="0.25">
      <c r="B3507" s="23"/>
      <c r="E3507" s="23"/>
      <c r="G3507" s="23"/>
      <c r="H3507" s="23"/>
      <c r="J3507" s="23"/>
      <c r="K3507" s="23"/>
      <c r="M3507" s="23"/>
      <c r="N3507" s="23"/>
      <c r="P3507" s="23"/>
    </row>
    <row r="3508" spans="2:16" x14ac:dyDescent="0.25">
      <c r="B3508" s="23"/>
      <c r="E3508" s="23"/>
      <c r="G3508" s="23"/>
      <c r="H3508" s="23"/>
      <c r="J3508" s="23"/>
      <c r="K3508" s="23"/>
      <c r="M3508" s="23"/>
      <c r="N3508" s="23"/>
      <c r="P3508" s="23"/>
    </row>
    <row r="3509" spans="2:16" x14ac:dyDescent="0.25">
      <c r="B3509" s="23"/>
      <c r="E3509" s="23"/>
      <c r="G3509" s="23"/>
      <c r="H3509" s="23"/>
      <c r="J3509" s="23"/>
      <c r="K3509" s="23"/>
      <c r="M3509" s="23"/>
      <c r="N3509" s="23"/>
      <c r="P3509" s="23"/>
    </row>
    <row r="3510" spans="2:16" x14ac:dyDescent="0.25">
      <c r="B3510" s="23"/>
      <c r="E3510" s="23"/>
      <c r="G3510" s="23"/>
      <c r="H3510" s="23"/>
      <c r="J3510" s="23"/>
      <c r="K3510" s="23"/>
      <c r="M3510" s="23"/>
      <c r="N3510" s="23"/>
      <c r="P3510" s="23"/>
    </row>
    <row r="3511" spans="2:16" x14ac:dyDescent="0.25">
      <c r="B3511" s="23"/>
      <c r="E3511" s="23"/>
      <c r="G3511" s="23"/>
      <c r="H3511" s="23"/>
      <c r="J3511" s="23"/>
      <c r="K3511" s="23"/>
      <c r="M3511" s="23"/>
      <c r="N3511" s="23"/>
      <c r="P3511" s="23"/>
    </row>
    <row r="3512" spans="2:16" x14ac:dyDescent="0.25">
      <c r="B3512" s="23"/>
      <c r="E3512" s="23"/>
      <c r="G3512" s="23"/>
      <c r="H3512" s="23"/>
      <c r="J3512" s="23"/>
      <c r="K3512" s="23"/>
      <c r="M3512" s="23"/>
      <c r="N3512" s="23"/>
      <c r="P3512" s="23"/>
    </row>
    <row r="3513" spans="2:16" x14ac:dyDescent="0.25">
      <c r="B3513" s="23"/>
      <c r="E3513" s="23"/>
      <c r="G3513" s="23"/>
      <c r="H3513" s="23"/>
      <c r="J3513" s="23"/>
      <c r="K3513" s="23"/>
      <c r="M3513" s="23"/>
      <c r="N3513" s="23"/>
      <c r="P3513" s="23"/>
    </row>
    <row r="3514" spans="2:16" x14ac:dyDescent="0.25">
      <c r="B3514" s="23"/>
      <c r="E3514" s="23"/>
      <c r="G3514" s="23"/>
      <c r="H3514" s="23"/>
      <c r="J3514" s="23"/>
      <c r="K3514" s="23"/>
      <c r="M3514" s="23"/>
      <c r="N3514" s="23"/>
      <c r="P3514" s="23"/>
    </row>
    <row r="3515" spans="2:16" x14ac:dyDescent="0.25">
      <c r="B3515" s="23"/>
      <c r="E3515" s="23"/>
      <c r="G3515" s="23"/>
      <c r="H3515" s="23"/>
      <c r="J3515" s="23"/>
      <c r="K3515" s="23"/>
      <c r="M3515" s="23"/>
      <c r="N3515" s="23"/>
      <c r="P3515" s="23"/>
    </row>
    <row r="3516" spans="2:16" x14ac:dyDescent="0.25">
      <c r="B3516" s="23"/>
      <c r="E3516" s="23"/>
      <c r="G3516" s="23"/>
      <c r="H3516" s="23"/>
      <c r="J3516" s="23"/>
      <c r="K3516" s="23"/>
      <c r="M3516" s="23"/>
      <c r="N3516" s="23"/>
      <c r="P3516" s="23"/>
    </row>
    <row r="3517" spans="2:16" x14ac:dyDescent="0.25">
      <c r="B3517" s="23"/>
      <c r="E3517" s="23"/>
      <c r="G3517" s="23"/>
      <c r="H3517" s="23"/>
      <c r="J3517" s="23"/>
      <c r="K3517" s="23"/>
      <c r="M3517" s="23"/>
      <c r="N3517" s="23"/>
      <c r="P3517" s="23"/>
    </row>
    <row r="3518" spans="2:16" x14ac:dyDescent="0.25">
      <c r="B3518" s="23"/>
      <c r="E3518" s="23"/>
      <c r="G3518" s="23"/>
      <c r="H3518" s="23"/>
      <c r="J3518" s="23"/>
      <c r="K3518" s="23"/>
      <c r="M3518" s="23"/>
      <c r="N3518" s="23"/>
      <c r="P3518" s="23"/>
    </row>
    <row r="3519" spans="2:16" x14ac:dyDescent="0.25">
      <c r="B3519" s="23"/>
      <c r="E3519" s="23"/>
      <c r="G3519" s="23"/>
      <c r="H3519" s="23"/>
      <c r="J3519" s="23"/>
      <c r="K3519" s="23"/>
      <c r="M3519" s="23"/>
      <c r="N3519" s="23"/>
      <c r="P3519" s="23"/>
    </row>
    <row r="3520" spans="2:16" x14ac:dyDescent="0.25">
      <c r="B3520" s="23"/>
      <c r="E3520" s="23"/>
      <c r="G3520" s="23"/>
      <c r="H3520" s="23"/>
      <c r="J3520" s="23"/>
      <c r="K3520" s="23"/>
      <c r="M3520" s="23"/>
      <c r="N3520" s="23"/>
      <c r="P3520" s="23"/>
    </row>
    <row r="3521" spans="2:16" x14ac:dyDescent="0.25">
      <c r="B3521" s="23"/>
      <c r="E3521" s="23"/>
      <c r="G3521" s="23"/>
      <c r="H3521" s="23"/>
      <c r="J3521" s="23"/>
      <c r="K3521" s="23"/>
      <c r="M3521" s="23"/>
      <c r="N3521" s="23"/>
      <c r="P3521" s="23"/>
    </row>
    <row r="3522" spans="2:16" x14ac:dyDescent="0.25">
      <c r="B3522" s="23"/>
      <c r="E3522" s="23"/>
      <c r="G3522" s="23"/>
      <c r="H3522" s="23"/>
      <c r="J3522" s="23"/>
      <c r="K3522" s="23"/>
      <c r="M3522" s="23"/>
      <c r="N3522" s="23"/>
      <c r="P3522" s="23"/>
    </row>
    <row r="3523" spans="2:16" x14ac:dyDescent="0.25">
      <c r="B3523" s="23"/>
      <c r="E3523" s="23"/>
      <c r="G3523" s="23"/>
      <c r="H3523" s="23"/>
      <c r="J3523" s="23"/>
      <c r="K3523" s="23"/>
      <c r="M3523" s="23"/>
      <c r="N3523" s="23"/>
      <c r="P3523" s="23"/>
    </row>
    <row r="3524" spans="2:16" x14ac:dyDescent="0.25">
      <c r="B3524" s="23"/>
      <c r="E3524" s="23"/>
      <c r="G3524" s="23"/>
      <c r="H3524" s="23"/>
      <c r="J3524" s="23"/>
      <c r="K3524" s="23"/>
      <c r="M3524" s="23"/>
      <c r="N3524" s="23"/>
      <c r="P3524" s="23"/>
    </row>
    <row r="3525" spans="2:16" x14ac:dyDescent="0.25">
      <c r="B3525" s="23"/>
      <c r="E3525" s="23"/>
      <c r="G3525" s="23"/>
      <c r="H3525" s="23"/>
      <c r="J3525" s="23"/>
      <c r="K3525" s="23"/>
      <c r="M3525" s="23"/>
      <c r="N3525" s="23"/>
      <c r="P3525" s="23"/>
    </row>
    <row r="3526" spans="2:16" x14ac:dyDescent="0.25">
      <c r="B3526" s="23"/>
      <c r="E3526" s="23"/>
      <c r="G3526" s="23"/>
      <c r="H3526" s="23"/>
      <c r="J3526" s="23"/>
      <c r="K3526" s="23"/>
      <c r="M3526" s="23"/>
      <c r="N3526" s="23"/>
      <c r="P3526" s="23"/>
    </row>
    <row r="3527" spans="2:16" x14ac:dyDescent="0.25">
      <c r="B3527" s="23"/>
      <c r="E3527" s="23"/>
      <c r="G3527" s="23"/>
      <c r="H3527" s="23"/>
      <c r="J3527" s="23"/>
      <c r="K3527" s="23"/>
      <c r="M3527" s="23"/>
      <c r="N3527" s="23"/>
      <c r="P3527" s="23"/>
    </row>
    <row r="3528" spans="2:16" x14ac:dyDescent="0.25">
      <c r="B3528" s="23"/>
      <c r="E3528" s="23"/>
      <c r="G3528" s="23"/>
      <c r="H3528" s="23"/>
      <c r="J3528" s="23"/>
      <c r="K3528" s="23"/>
      <c r="M3528" s="23"/>
      <c r="N3528" s="23"/>
      <c r="P3528" s="23"/>
    </row>
    <row r="3529" spans="2:16" x14ac:dyDescent="0.25">
      <c r="B3529" s="23"/>
      <c r="E3529" s="23"/>
      <c r="G3529" s="23"/>
      <c r="H3529" s="23"/>
      <c r="J3529" s="23"/>
      <c r="K3529" s="23"/>
      <c r="M3529" s="23"/>
      <c r="N3529" s="23"/>
      <c r="P3529" s="23"/>
    </row>
    <row r="3530" spans="2:16" x14ac:dyDescent="0.25">
      <c r="B3530" s="23"/>
      <c r="E3530" s="23"/>
      <c r="G3530" s="23"/>
      <c r="H3530" s="23"/>
      <c r="J3530" s="23"/>
      <c r="K3530" s="23"/>
      <c r="M3530" s="23"/>
      <c r="N3530" s="23"/>
      <c r="P3530" s="23"/>
    </row>
    <row r="3531" spans="2:16" x14ac:dyDescent="0.25">
      <c r="B3531" s="23"/>
      <c r="E3531" s="23"/>
      <c r="G3531" s="23"/>
      <c r="H3531" s="23"/>
      <c r="J3531" s="23"/>
      <c r="K3531" s="23"/>
      <c r="M3531" s="23"/>
      <c r="N3531" s="23"/>
      <c r="P3531" s="23"/>
    </row>
    <row r="3532" spans="2:16" x14ac:dyDescent="0.25">
      <c r="B3532" s="23"/>
      <c r="E3532" s="23"/>
      <c r="G3532" s="23"/>
      <c r="H3532" s="23"/>
      <c r="J3532" s="23"/>
      <c r="K3532" s="23"/>
      <c r="M3532" s="23"/>
      <c r="N3532" s="23"/>
      <c r="P3532" s="23"/>
    </row>
    <row r="3533" spans="2:16" x14ac:dyDescent="0.25">
      <c r="B3533" s="23"/>
      <c r="E3533" s="23"/>
      <c r="G3533" s="23"/>
      <c r="H3533" s="23"/>
      <c r="J3533" s="23"/>
      <c r="K3533" s="23"/>
      <c r="M3533" s="23"/>
      <c r="N3533" s="23"/>
      <c r="P3533" s="23"/>
    </row>
    <row r="3534" spans="2:16" x14ac:dyDescent="0.25">
      <c r="B3534" s="23"/>
      <c r="E3534" s="23"/>
      <c r="G3534" s="23"/>
      <c r="H3534" s="23"/>
      <c r="J3534" s="23"/>
      <c r="K3534" s="23"/>
      <c r="M3534" s="23"/>
      <c r="N3534" s="23"/>
      <c r="P3534" s="23"/>
    </row>
    <row r="3535" spans="2:16" x14ac:dyDescent="0.25">
      <c r="B3535" s="23"/>
      <c r="E3535" s="23"/>
      <c r="G3535" s="23"/>
      <c r="H3535" s="23"/>
      <c r="J3535" s="23"/>
      <c r="K3535" s="23"/>
      <c r="M3535" s="23"/>
      <c r="N3535" s="23"/>
      <c r="P3535" s="23"/>
    </row>
    <row r="3536" spans="2:16" x14ac:dyDescent="0.25">
      <c r="B3536" s="23"/>
      <c r="E3536" s="23"/>
      <c r="G3536" s="23"/>
      <c r="H3536" s="23"/>
      <c r="J3536" s="23"/>
      <c r="K3536" s="23"/>
      <c r="M3536" s="23"/>
      <c r="N3536" s="23"/>
      <c r="P3536" s="23"/>
    </row>
    <row r="3537" spans="2:16" x14ac:dyDescent="0.25">
      <c r="B3537" s="23"/>
      <c r="E3537" s="23"/>
      <c r="G3537" s="23"/>
      <c r="H3537" s="23"/>
      <c r="J3537" s="23"/>
      <c r="K3537" s="23"/>
      <c r="M3537" s="23"/>
      <c r="N3537" s="23"/>
      <c r="P3537" s="23"/>
    </row>
    <row r="3538" spans="2:16" x14ac:dyDescent="0.25">
      <c r="B3538" s="23"/>
      <c r="E3538" s="23"/>
      <c r="G3538" s="23"/>
      <c r="H3538" s="23"/>
      <c r="J3538" s="23"/>
      <c r="K3538" s="23"/>
      <c r="M3538" s="23"/>
      <c r="N3538" s="23"/>
      <c r="P3538" s="23"/>
    </row>
    <row r="3539" spans="2:16" x14ac:dyDescent="0.25">
      <c r="B3539" s="23"/>
      <c r="E3539" s="23"/>
      <c r="G3539" s="23"/>
      <c r="H3539" s="23"/>
      <c r="J3539" s="23"/>
      <c r="K3539" s="23"/>
      <c r="M3539" s="23"/>
      <c r="N3539" s="23"/>
      <c r="P3539" s="23"/>
    </row>
    <row r="3540" spans="2:16" x14ac:dyDescent="0.25">
      <c r="B3540" s="23"/>
      <c r="E3540" s="23"/>
      <c r="G3540" s="23"/>
      <c r="H3540" s="23"/>
      <c r="J3540" s="23"/>
      <c r="K3540" s="23"/>
      <c r="M3540" s="23"/>
      <c r="N3540" s="23"/>
      <c r="P3540" s="23"/>
    </row>
    <row r="3541" spans="2:16" x14ac:dyDescent="0.25">
      <c r="B3541" s="23"/>
      <c r="E3541" s="23"/>
      <c r="G3541" s="23"/>
      <c r="H3541" s="23"/>
      <c r="J3541" s="23"/>
      <c r="K3541" s="23"/>
      <c r="M3541" s="23"/>
      <c r="N3541" s="23"/>
      <c r="P3541" s="23"/>
    </row>
    <row r="3542" spans="2:16" x14ac:dyDescent="0.25">
      <c r="B3542" s="23"/>
      <c r="E3542" s="23"/>
      <c r="G3542" s="23"/>
      <c r="H3542" s="23"/>
      <c r="J3542" s="23"/>
      <c r="K3542" s="23"/>
      <c r="M3542" s="23"/>
      <c r="N3542" s="23"/>
      <c r="P3542" s="23"/>
    </row>
    <row r="3543" spans="2:16" x14ac:dyDescent="0.25">
      <c r="B3543" s="23"/>
      <c r="E3543" s="23"/>
      <c r="G3543" s="23"/>
      <c r="H3543" s="23"/>
      <c r="J3543" s="23"/>
      <c r="K3543" s="23"/>
      <c r="M3543" s="23"/>
      <c r="N3543" s="23"/>
      <c r="P3543" s="23"/>
    </row>
    <row r="3544" spans="2:16" x14ac:dyDescent="0.25">
      <c r="B3544" s="23"/>
      <c r="E3544" s="23"/>
      <c r="G3544" s="23"/>
      <c r="H3544" s="23"/>
      <c r="J3544" s="23"/>
      <c r="K3544" s="23"/>
      <c r="M3544" s="23"/>
      <c r="N3544" s="23"/>
      <c r="P3544" s="23"/>
    </row>
    <row r="3545" spans="2:16" x14ac:dyDescent="0.25">
      <c r="B3545" s="23"/>
      <c r="E3545" s="23"/>
      <c r="G3545" s="23"/>
      <c r="H3545" s="23"/>
      <c r="J3545" s="23"/>
      <c r="K3545" s="23"/>
      <c r="M3545" s="23"/>
      <c r="N3545" s="23"/>
      <c r="P3545" s="23"/>
    </row>
    <row r="3546" spans="2:16" x14ac:dyDescent="0.25">
      <c r="B3546" s="23"/>
      <c r="E3546" s="23"/>
      <c r="G3546" s="23"/>
      <c r="H3546" s="23"/>
      <c r="J3546" s="23"/>
      <c r="K3546" s="23"/>
      <c r="M3546" s="23"/>
      <c r="N3546" s="23"/>
      <c r="P3546" s="23"/>
    </row>
    <row r="3547" spans="2:16" x14ac:dyDescent="0.25">
      <c r="B3547" s="23"/>
      <c r="E3547" s="23"/>
      <c r="G3547" s="23"/>
      <c r="H3547" s="23"/>
      <c r="J3547" s="23"/>
      <c r="K3547" s="23"/>
      <c r="M3547" s="23"/>
      <c r="N3547" s="23"/>
      <c r="P3547" s="23"/>
    </row>
    <row r="3548" spans="2:16" x14ac:dyDescent="0.25">
      <c r="B3548" s="23"/>
      <c r="E3548" s="23"/>
      <c r="G3548" s="23"/>
      <c r="H3548" s="23"/>
      <c r="J3548" s="23"/>
      <c r="K3548" s="23"/>
      <c r="M3548" s="23"/>
      <c r="N3548" s="23"/>
      <c r="P3548" s="23"/>
    </row>
    <row r="3549" spans="2:16" x14ac:dyDescent="0.25">
      <c r="B3549" s="23"/>
      <c r="E3549" s="23"/>
      <c r="G3549" s="23"/>
      <c r="H3549" s="23"/>
      <c r="J3549" s="23"/>
      <c r="K3549" s="23"/>
      <c r="M3549" s="23"/>
      <c r="N3549" s="23"/>
      <c r="P3549" s="23"/>
    </row>
    <row r="3550" spans="2:16" x14ac:dyDescent="0.25">
      <c r="B3550" s="23"/>
      <c r="E3550" s="23"/>
      <c r="G3550" s="23"/>
      <c r="H3550" s="23"/>
      <c r="J3550" s="23"/>
      <c r="K3550" s="23"/>
      <c r="M3550" s="23"/>
      <c r="N3550" s="23"/>
      <c r="P3550" s="23"/>
    </row>
    <row r="3551" spans="2:16" x14ac:dyDescent="0.25">
      <c r="B3551" s="23"/>
      <c r="E3551" s="23"/>
      <c r="G3551" s="23"/>
      <c r="H3551" s="23"/>
      <c r="J3551" s="23"/>
      <c r="K3551" s="23"/>
      <c r="M3551" s="23"/>
      <c r="N3551" s="23"/>
      <c r="P3551" s="23"/>
    </row>
    <row r="3552" spans="2:16" x14ac:dyDescent="0.25">
      <c r="B3552" s="23"/>
      <c r="E3552" s="23"/>
      <c r="G3552" s="23"/>
      <c r="H3552" s="23"/>
      <c r="J3552" s="23"/>
      <c r="K3552" s="23"/>
      <c r="M3552" s="23"/>
      <c r="N3552" s="23"/>
      <c r="P3552" s="23"/>
    </row>
    <row r="3553" spans="2:16" x14ac:dyDescent="0.25">
      <c r="B3553" s="23"/>
      <c r="E3553" s="23"/>
      <c r="G3553" s="23"/>
      <c r="H3553" s="23"/>
      <c r="J3553" s="23"/>
      <c r="K3553" s="23"/>
      <c r="M3553" s="23"/>
      <c r="N3553" s="23"/>
      <c r="P3553" s="23"/>
    </row>
    <row r="3554" spans="2:16" x14ac:dyDescent="0.25">
      <c r="B3554" s="23"/>
      <c r="E3554" s="23"/>
      <c r="G3554" s="23"/>
      <c r="H3554" s="23"/>
      <c r="J3554" s="23"/>
      <c r="K3554" s="23"/>
      <c r="M3554" s="23"/>
      <c r="N3554" s="23"/>
      <c r="P3554" s="23"/>
    </row>
    <row r="3555" spans="2:16" x14ac:dyDescent="0.25">
      <c r="B3555" s="23"/>
      <c r="E3555" s="23"/>
      <c r="G3555" s="23"/>
      <c r="H3555" s="23"/>
      <c r="J3555" s="23"/>
      <c r="K3555" s="23"/>
      <c r="M3555" s="23"/>
      <c r="N3555" s="23"/>
      <c r="P3555" s="23"/>
    </row>
    <row r="3556" spans="2:16" x14ac:dyDescent="0.25">
      <c r="B3556" s="23"/>
      <c r="E3556" s="23"/>
      <c r="G3556" s="23"/>
      <c r="H3556" s="23"/>
      <c r="J3556" s="23"/>
      <c r="K3556" s="23"/>
      <c r="M3556" s="23"/>
      <c r="N3556" s="23"/>
      <c r="P3556" s="23"/>
    </row>
    <row r="3557" spans="2:16" x14ac:dyDescent="0.25">
      <c r="B3557" s="23"/>
      <c r="E3557" s="23"/>
      <c r="G3557" s="23"/>
      <c r="H3557" s="23"/>
      <c r="J3557" s="23"/>
      <c r="K3557" s="23"/>
      <c r="M3557" s="23"/>
      <c r="N3557" s="23"/>
      <c r="P3557" s="23"/>
    </row>
    <row r="3558" spans="2:16" x14ac:dyDescent="0.25">
      <c r="B3558" s="23"/>
      <c r="E3558" s="23"/>
      <c r="G3558" s="23"/>
      <c r="H3558" s="23"/>
      <c r="J3558" s="23"/>
      <c r="K3558" s="23"/>
      <c r="M3558" s="23"/>
      <c r="N3558" s="23"/>
      <c r="P3558" s="23"/>
    </row>
    <row r="3559" spans="2:16" x14ac:dyDescent="0.25">
      <c r="B3559" s="23"/>
      <c r="E3559" s="23"/>
      <c r="G3559" s="23"/>
      <c r="H3559" s="23"/>
      <c r="J3559" s="23"/>
      <c r="K3559" s="23"/>
      <c r="M3559" s="23"/>
      <c r="N3559" s="23"/>
      <c r="P3559" s="23"/>
    </row>
    <row r="3560" spans="2:16" x14ac:dyDescent="0.25">
      <c r="B3560" s="23"/>
      <c r="E3560" s="23"/>
      <c r="G3560" s="23"/>
      <c r="H3560" s="23"/>
      <c r="J3560" s="23"/>
      <c r="K3560" s="23"/>
      <c r="M3560" s="23"/>
      <c r="N3560" s="23"/>
      <c r="P3560" s="23"/>
    </row>
    <row r="3561" spans="2:16" x14ac:dyDescent="0.25">
      <c r="B3561" s="23"/>
      <c r="E3561" s="23"/>
      <c r="G3561" s="23"/>
      <c r="H3561" s="23"/>
      <c r="J3561" s="23"/>
      <c r="K3561" s="23"/>
      <c r="M3561" s="23"/>
      <c r="N3561" s="23"/>
      <c r="P3561" s="23"/>
    </row>
    <row r="3562" spans="2:16" x14ac:dyDescent="0.25">
      <c r="B3562" s="23"/>
      <c r="E3562" s="23"/>
      <c r="G3562" s="23"/>
      <c r="H3562" s="23"/>
      <c r="J3562" s="23"/>
      <c r="K3562" s="23"/>
      <c r="M3562" s="23"/>
      <c r="N3562" s="23"/>
      <c r="P3562" s="23"/>
    </row>
    <row r="3563" spans="2:16" x14ac:dyDescent="0.25">
      <c r="B3563" s="23"/>
      <c r="E3563" s="23"/>
      <c r="G3563" s="23"/>
      <c r="H3563" s="23"/>
      <c r="J3563" s="23"/>
      <c r="K3563" s="23"/>
      <c r="M3563" s="23"/>
      <c r="N3563" s="23"/>
      <c r="P3563" s="23"/>
    </row>
    <row r="3564" spans="2:16" x14ac:dyDescent="0.25">
      <c r="B3564" s="23"/>
      <c r="E3564" s="23"/>
      <c r="G3564" s="23"/>
      <c r="H3564" s="23"/>
      <c r="J3564" s="23"/>
      <c r="K3564" s="23"/>
      <c r="M3564" s="23"/>
      <c r="N3564" s="23"/>
      <c r="P3564" s="23"/>
    </row>
    <row r="3565" spans="2:16" x14ac:dyDescent="0.25">
      <c r="B3565" s="23"/>
      <c r="E3565" s="23"/>
      <c r="G3565" s="23"/>
      <c r="H3565" s="23"/>
      <c r="J3565" s="23"/>
      <c r="K3565" s="23"/>
      <c r="M3565" s="23"/>
      <c r="N3565" s="23"/>
      <c r="P3565" s="23"/>
    </row>
    <row r="3566" spans="2:16" x14ac:dyDescent="0.25">
      <c r="B3566" s="23"/>
      <c r="E3566" s="23"/>
      <c r="G3566" s="23"/>
      <c r="H3566" s="23"/>
      <c r="J3566" s="23"/>
      <c r="K3566" s="23"/>
      <c r="M3566" s="23"/>
      <c r="N3566" s="23"/>
      <c r="P3566" s="23"/>
    </row>
    <row r="3567" spans="2:16" x14ac:dyDescent="0.25">
      <c r="B3567" s="23"/>
      <c r="E3567" s="23"/>
      <c r="G3567" s="23"/>
      <c r="H3567" s="23"/>
      <c r="J3567" s="23"/>
      <c r="K3567" s="23"/>
      <c r="M3567" s="23"/>
      <c r="N3567" s="23"/>
      <c r="P3567" s="23"/>
    </row>
    <row r="3568" spans="2:16" x14ac:dyDescent="0.25">
      <c r="B3568" s="23"/>
      <c r="E3568" s="23"/>
      <c r="G3568" s="23"/>
      <c r="H3568" s="23"/>
      <c r="J3568" s="23"/>
      <c r="K3568" s="23"/>
      <c r="M3568" s="23"/>
      <c r="N3568" s="23"/>
      <c r="P3568" s="23"/>
    </row>
    <row r="3569" spans="2:16" x14ac:dyDescent="0.25">
      <c r="B3569" s="23"/>
      <c r="E3569" s="23"/>
      <c r="G3569" s="23"/>
      <c r="H3569" s="23"/>
      <c r="J3569" s="23"/>
      <c r="K3569" s="23"/>
      <c r="M3569" s="23"/>
      <c r="N3569" s="23"/>
      <c r="P3569" s="23"/>
    </row>
    <row r="3570" spans="2:16" x14ac:dyDescent="0.25">
      <c r="B3570" s="23"/>
      <c r="E3570" s="23"/>
      <c r="G3570" s="23"/>
      <c r="H3570" s="23"/>
      <c r="J3570" s="23"/>
      <c r="K3570" s="23"/>
      <c r="M3570" s="23"/>
      <c r="N3570" s="23"/>
      <c r="P3570" s="23"/>
    </row>
    <row r="3571" spans="2:16" x14ac:dyDescent="0.25">
      <c r="B3571" s="23"/>
      <c r="E3571" s="23"/>
      <c r="G3571" s="23"/>
      <c r="H3571" s="23"/>
      <c r="J3571" s="23"/>
      <c r="K3571" s="23"/>
      <c r="M3571" s="23"/>
      <c r="N3571" s="23"/>
      <c r="P3571" s="23"/>
    </row>
    <row r="3572" spans="2:16" x14ac:dyDescent="0.25">
      <c r="B3572" s="23"/>
      <c r="E3572" s="23"/>
      <c r="G3572" s="23"/>
      <c r="H3572" s="23"/>
      <c r="J3572" s="23"/>
      <c r="K3572" s="23"/>
      <c r="M3572" s="23"/>
      <c r="N3572" s="23"/>
      <c r="P3572" s="23"/>
    </row>
    <row r="3573" spans="2:16" x14ac:dyDescent="0.25">
      <c r="B3573" s="23"/>
      <c r="E3573" s="23"/>
      <c r="G3573" s="23"/>
      <c r="H3573" s="23"/>
      <c r="J3573" s="23"/>
      <c r="K3573" s="23"/>
      <c r="M3573" s="23"/>
      <c r="N3573" s="23"/>
      <c r="P3573" s="23"/>
    </row>
    <row r="3574" spans="2:16" x14ac:dyDescent="0.25">
      <c r="B3574" s="23"/>
      <c r="E3574" s="23"/>
      <c r="G3574" s="23"/>
      <c r="H3574" s="23"/>
      <c r="J3574" s="23"/>
      <c r="K3574" s="23"/>
      <c r="M3574" s="23"/>
      <c r="N3574" s="23"/>
      <c r="P3574" s="23"/>
    </row>
    <row r="3575" spans="2:16" x14ac:dyDescent="0.25">
      <c r="B3575" s="23"/>
      <c r="E3575" s="23"/>
      <c r="G3575" s="23"/>
      <c r="H3575" s="23"/>
      <c r="J3575" s="23"/>
      <c r="K3575" s="23"/>
      <c r="M3575" s="23"/>
      <c r="N3575" s="23"/>
      <c r="P3575" s="23"/>
    </row>
    <row r="3576" spans="2:16" x14ac:dyDescent="0.25">
      <c r="B3576" s="23"/>
      <c r="E3576" s="23"/>
      <c r="G3576" s="23"/>
      <c r="H3576" s="23"/>
      <c r="J3576" s="23"/>
      <c r="K3576" s="23"/>
      <c r="M3576" s="23"/>
      <c r="N3576" s="23"/>
      <c r="P3576" s="23"/>
    </row>
    <row r="3577" spans="2:16" x14ac:dyDescent="0.25">
      <c r="B3577" s="23"/>
      <c r="E3577" s="23"/>
      <c r="G3577" s="23"/>
      <c r="H3577" s="23"/>
      <c r="J3577" s="23"/>
      <c r="K3577" s="23"/>
      <c r="M3577" s="23"/>
      <c r="N3577" s="23"/>
      <c r="P3577" s="23"/>
    </row>
    <row r="3578" spans="2:16" x14ac:dyDescent="0.25">
      <c r="B3578" s="23"/>
      <c r="E3578" s="23"/>
      <c r="G3578" s="23"/>
      <c r="H3578" s="23"/>
      <c r="J3578" s="23"/>
      <c r="K3578" s="23"/>
      <c r="M3578" s="23"/>
      <c r="N3578" s="23"/>
      <c r="P3578" s="23"/>
    </row>
    <row r="3579" spans="2:16" x14ac:dyDescent="0.25">
      <c r="B3579" s="23"/>
      <c r="E3579" s="23"/>
      <c r="G3579" s="23"/>
      <c r="H3579" s="23"/>
      <c r="J3579" s="23"/>
      <c r="K3579" s="23"/>
      <c r="M3579" s="23"/>
      <c r="N3579" s="23"/>
      <c r="P3579" s="23"/>
    </row>
    <row r="3580" spans="2:16" x14ac:dyDescent="0.25">
      <c r="B3580" s="23"/>
      <c r="E3580" s="23"/>
      <c r="G3580" s="23"/>
      <c r="H3580" s="23"/>
      <c r="J3580" s="23"/>
      <c r="K3580" s="23"/>
      <c r="M3580" s="23"/>
      <c r="N3580" s="23"/>
      <c r="P3580" s="23"/>
    </row>
    <row r="3581" spans="2:16" x14ac:dyDescent="0.25">
      <c r="B3581" s="23"/>
      <c r="E3581" s="23"/>
      <c r="G3581" s="23"/>
      <c r="H3581" s="23"/>
      <c r="J3581" s="23"/>
      <c r="K3581" s="23"/>
      <c r="M3581" s="23"/>
      <c r="N3581" s="23"/>
      <c r="P3581" s="23"/>
    </row>
    <row r="3582" spans="2:16" x14ac:dyDescent="0.25">
      <c r="B3582" s="23"/>
      <c r="E3582" s="23"/>
      <c r="G3582" s="23"/>
      <c r="H3582" s="23"/>
      <c r="J3582" s="23"/>
      <c r="K3582" s="23"/>
      <c r="M3582" s="23"/>
      <c r="N3582" s="23"/>
      <c r="P3582" s="23"/>
    </row>
    <row r="3583" spans="2:16" x14ac:dyDescent="0.25">
      <c r="B3583" s="23"/>
      <c r="E3583" s="23"/>
      <c r="G3583" s="23"/>
      <c r="H3583" s="23"/>
      <c r="J3583" s="23"/>
      <c r="K3583" s="23"/>
      <c r="M3583" s="23"/>
      <c r="N3583" s="23"/>
      <c r="P3583" s="23"/>
    </row>
    <row r="3584" spans="2:16" x14ac:dyDescent="0.25">
      <c r="B3584" s="23"/>
      <c r="E3584" s="23"/>
      <c r="G3584" s="23"/>
      <c r="H3584" s="23"/>
      <c r="J3584" s="23"/>
      <c r="K3584" s="23"/>
      <c r="M3584" s="23"/>
      <c r="N3584" s="23"/>
      <c r="P3584" s="23"/>
    </row>
    <row r="3585" spans="2:16" x14ac:dyDescent="0.25">
      <c r="B3585" s="23"/>
      <c r="E3585" s="23"/>
      <c r="G3585" s="23"/>
      <c r="H3585" s="23"/>
      <c r="J3585" s="23"/>
      <c r="K3585" s="23"/>
      <c r="M3585" s="23"/>
      <c r="N3585" s="23"/>
      <c r="P3585" s="23"/>
    </row>
    <row r="3586" spans="2:16" x14ac:dyDescent="0.25">
      <c r="B3586" s="23"/>
      <c r="E3586" s="23"/>
      <c r="G3586" s="23"/>
      <c r="H3586" s="23"/>
      <c r="J3586" s="23"/>
      <c r="K3586" s="23"/>
      <c r="M3586" s="23"/>
      <c r="N3586" s="23"/>
      <c r="P3586" s="23"/>
    </row>
    <row r="3587" spans="2:16" x14ac:dyDescent="0.25">
      <c r="B3587" s="23"/>
      <c r="E3587" s="23"/>
      <c r="G3587" s="23"/>
      <c r="H3587" s="23"/>
      <c r="J3587" s="23"/>
      <c r="K3587" s="23"/>
      <c r="M3587" s="23"/>
      <c r="N3587" s="23"/>
      <c r="P3587" s="23"/>
    </row>
    <row r="3588" spans="2:16" x14ac:dyDescent="0.25">
      <c r="B3588" s="23"/>
      <c r="E3588" s="23"/>
      <c r="G3588" s="23"/>
      <c r="H3588" s="23"/>
      <c r="J3588" s="23"/>
      <c r="K3588" s="23"/>
      <c r="M3588" s="23"/>
      <c r="N3588" s="23"/>
      <c r="P3588" s="23"/>
    </row>
    <row r="3589" spans="2:16" x14ac:dyDescent="0.25">
      <c r="B3589" s="23"/>
      <c r="E3589" s="23"/>
      <c r="G3589" s="23"/>
      <c r="H3589" s="23"/>
      <c r="J3589" s="23"/>
      <c r="K3589" s="23"/>
      <c r="M3589" s="23"/>
      <c r="N3589" s="23"/>
      <c r="P3589" s="23"/>
    </row>
    <row r="3590" spans="2:16" x14ac:dyDescent="0.25">
      <c r="B3590" s="23"/>
      <c r="E3590" s="23"/>
      <c r="G3590" s="23"/>
      <c r="H3590" s="23"/>
      <c r="J3590" s="23"/>
      <c r="K3590" s="23"/>
      <c r="M3590" s="23"/>
      <c r="N3590" s="23"/>
      <c r="P3590" s="23"/>
    </row>
    <row r="3591" spans="2:16" x14ac:dyDescent="0.25">
      <c r="B3591" s="23"/>
      <c r="E3591" s="23"/>
      <c r="G3591" s="23"/>
      <c r="H3591" s="23"/>
      <c r="J3591" s="23"/>
      <c r="K3591" s="23"/>
      <c r="M3591" s="23"/>
      <c r="N3591" s="23"/>
      <c r="P3591" s="23"/>
    </row>
    <row r="3592" spans="2:16" x14ac:dyDescent="0.25">
      <c r="B3592" s="23"/>
      <c r="E3592" s="23"/>
      <c r="G3592" s="23"/>
      <c r="H3592" s="23"/>
      <c r="J3592" s="23"/>
      <c r="K3592" s="23"/>
      <c r="M3592" s="23"/>
      <c r="N3592" s="23"/>
      <c r="P3592" s="23"/>
    </row>
    <row r="3593" spans="2:16" x14ac:dyDescent="0.25">
      <c r="B3593" s="23"/>
      <c r="E3593" s="23"/>
      <c r="G3593" s="23"/>
      <c r="H3593" s="23"/>
      <c r="J3593" s="23"/>
      <c r="K3593" s="23"/>
      <c r="M3593" s="23"/>
      <c r="N3593" s="23"/>
      <c r="P3593" s="23"/>
    </row>
    <row r="3594" spans="2:16" x14ac:dyDescent="0.25">
      <c r="B3594" s="23"/>
      <c r="E3594" s="23"/>
      <c r="G3594" s="23"/>
      <c r="H3594" s="23"/>
      <c r="J3594" s="23"/>
      <c r="K3594" s="23"/>
      <c r="M3594" s="23"/>
      <c r="N3594" s="23"/>
      <c r="P3594" s="23"/>
    </row>
    <row r="3595" spans="2:16" x14ac:dyDescent="0.25">
      <c r="B3595" s="23"/>
      <c r="E3595" s="23"/>
      <c r="G3595" s="23"/>
      <c r="H3595" s="23"/>
      <c r="J3595" s="23"/>
      <c r="K3595" s="23"/>
      <c r="M3595" s="23"/>
      <c r="N3595" s="23"/>
      <c r="P3595" s="23"/>
    </row>
    <row r="3596" spans="2:16" x14ac:dyDescent="0.25">
      <c r="B3596" s="23"/>
      <c r="E3596" s="23"/>
      <c r="G3596" s="23"/>
      <c r="H3596" s="23"/>
      <c r="J3596" s="23"/>
      <c r="K3596" s="23"/>
      <c r="M3596" s="23"/>
      <c r="N3596" s="23"/>
      <c r="P3596" s="23"/>
    </row>
    <row r="3597" spans="2:16" x14ac:dyDescent="0.25">
      <c r="B3597" s="23"/>
      <c r="E3597" s="23"/>
      <c r="G3597" s="23"/>
      <c r="H3597" s="23"/>
      <c r="J3597" s="23"/>
      <c r="K3597" s="23"/>
      <c r="M3597" s="23"/>
      <c r="N3597" s="23"/>
      <c r="P3597" s="23"/>
    </row>
    <row r="3598" spans="2:16" x14ac:dyDescent="0.25">
      <c r="B3598" s="23"/>
      <c r="E3598" s="23"/>
      <c r="G3598" s="23"/>
      <c r="H3598" s="23"/>
      <c r="J3598" s="23"/>
      <c r="K3598" s="23"/>
      <c r="M3598" s="23"/>
      <c r="N3598" s="23"/>
      <c r="P3598" s="23"/>
    </row>
    <row r="3599" spans="2:16" x14ac:dyDescent="0.25">
      <c r="B3599" s="23"/>
      <c r="E3599" s="23"/>
      <c r="G3599" s="23"/>
      <c r="H3599" s="23"/>
      <c r="J3599" s="23"/>
      <c r="K3599" s="23"/>
      <c r="M3599" s="23"/>
      <c r="N3599" s="23"/>
      <c r="P3599" s="23"/>
    </row>
    <row r="3600" spans="2:16" x14ac:dyDescent="0.25">
      <c r="B3600" s="23"/>
      <c r="E3600" s="23"/>
      <c r="G3600" s="23"/>
      <c r="H3600" s="23"/>
      <c r="J3600" s="23"/>
      <c r="K3600" s="23"/>
      <c r="M3600" s="23"/>
      <c r="N3600" s="23"/>
      <c r="P3600" s="23"/>
    </row>
    <row r="3601" spans="2:16" x14ac:dyDescent="0.25">
      <c r="B3601" s="23"/>
      <c r="E3601" s="23"/>
      <c r="G3601" s="23"/>
      <c r="H3601" s="23"/>
      <c r="J3601" s="23"/>
      <c r="K3601" s="23"/>
      <c r="M3601" s="23"/>
      <c r="N3601" s="23"/>
      <c r="P3601" s="23"/>
    </row>
    <row r="3602" spans="2:16" x14ac:dyDescent="0.25">
      <c r="B3602" s="23"/>
      <c r="E3602" s="23"/>
      <c r="G3602" s="23"/>
      <c r="H3602" s="23"/>
      <c r="J3602" s="23"/>
      <c r="K3602" s="23"/>
      <c r="M3602" s="23"/>
      <c r="N3602" s="23"/>
      <c r="P3602" s="23"/>
    </row>
    <row r="3603" spans="2:16" x14ac:dyDescent="0.25">
      <c r="B3603" s="23"/>
      <c r="E3603" s="23"/>
      <c r="G3603" s="23"/>
      <c r="H3603" s="23"/>
      <c r="J3603" s="23"/>
      <c r="K3603" s="23"/>
      <c r="M3603" s="23"/>
      <c r="N3603" s="23"/>
      <c r="P3603" s="23"/>
    </row>
    <row r="3604" spans="2:16" x14ac:dyDescent="0.25">
      <c r="B3604" s="23"/>
      <c r="E3604" s="23"/>
      <c r="G3604" s="23"/>
      <c r="H3604" s="23"/>
      <c r="J3604" s="23"/>
      <c r="K3604" s="23"/>
      <c r="M3604" s="23"/>
      <c r="N3604" s="23"/>
      <c r="P3604" s="23"/>
    </row>
    <row r="3605" spans="2:16" x14ac:dyDescent="0.25">
      <c r="B3605" s="23"/>
      <c r="E3605" s="23"/>
      <c r="G3605" s="23"/>
      <c r="H3605" s="23"/>
      <c r="J3605" s="23"/>
      <c r="K3605" s="23"/>
      <c r="M3605" s="23"/>
      <c r="N3605" s="23"/>
      <c r="P3605" s="23"/>
    </row>
    <row r="3606" spans="2:16" x14ac:dyDescent="0.25">
      <c r="B3606" s="23"/>
      <c r="E3606" s="23"/>
      <c r="G3606" s="23"/>
      <c r="H3606" s="23"/>
      <c r="J3606" s="23"/>
      <c r="K3606" s="23"/>
      <c r="M3606" s="23"/>
      <c r="N3606" s="23"/>
      <c r="P3606" s="23"/>
    </row>
    <row r="3607" spans="2:16" x14ac:dyDescent="0.25">
      <c r="B3607" s="23"/>
      <c r="E3607" s="23"/>
      <c r="G3607" s="23"/>
      <c r="H3607" s="23"/>
      <c r="J3607" s="23"/>
      <c r="K3607" s="23"/>
      <c r="M3607" s="23"/>
      <c r="N3607" s="23"/>
      <c r="P3607" s="23"/>
    </row>
    <row r="3608" spans="2:16" x14ac:dyDescent="0.25">
      <c r="B3608" s="23"/>
      <c r="E3608" s="23"/>
      <c r="G3608" s="23"/>
      <c r="H3608" s="23"/>
      <c r="J3608" s="23"/>
      <c r="K3608" s="23"/>
      <c r="M3608" s="23"/>
      <c r="N3608" s="23"/>
      <c r="P3608" s="23"/>
    </row>
    <row r="3609" spans="2:16" x14ac:dyDescent="0.25">
      <c r="B3609" s="23"/>
      <c r="E3609" s="23"/>
      <c r="G3609" s="23"/>
      <c r="H3609" s="23"/>
      <c r="J3609" s="23"/>
      <c r="K3609" s="23"/>
      <c r="M3609" s="23"/>
      <c r="N3609" s="23"/>
      <c r="P3609" s="23"/>
    </row>
    <row r="3610" spans="2:16" x14ac:dyDescent="0.25">
      <c r="B3610" s="23"/>
      <c r="E3610" s="23"/>
      <c r="G3610" s="23"/>
      <c r="H3610" s="23"/>
      <c r="J3610" s="23"/>
      <c r="K3610" s="23"/>
      <c r="M3610" s="23"/>
      <c r="N3610" s="23"/>
      <c r="P3610" s="23"/>
    </row>
    <row r="3611" spans="2:16" x14ac:dyDescent="0.25">
      <c r="B3611" s="23"/>
      <c r="E3611" s="23"/>
      <c r="G3611" s="23"/>
      <c r="H3611" s="23"/>
      <c r="J3611" s="23"/>
      <c r="K3611" s="23"/>
      <c r="M3611" s="23"/>
      <c r="N3611" s="23"/>
      <c r="P3611" s="23"/>
    </row>
    <row r="3612" spans="2:16" x14ac:dyDescent="0.25">
      <c r="B3612" s="23"/>
      <c r="E3612" s="23"/>
      <c r="G3612" s="23"/>
      <c r="H3612" s="23"/>
      <c r="J3612" s="23"/>
      <c r="K3612" s="23"/>
      <c r="M3612" s="23"/>
      <c r="N3612" s="23"/>
      <c r="P3612" s="23"/>
    </row>
    <row r="3613" spans="2:16" x14ac:dyDescent="0.25">
      <c r="B3613" s="23"/>
      <c r="E3613" s="23"/>
      <c r="G3613" s="23"/>
      <c r="H3613" s="23"/>
      <c r="J3613" s="23"/>
      <c r="K3613" s="23"/>
      <c r="M3613" s="23"/>
      <c r="N3613" s="23"/>
      <c r="P3613" s="23"/>
    </row>
    <row r="3614" spans="2:16" x14ac:dyDescent="0.25">
      <c r="B3614" s="23"/>
      <c r="E3614" s="23"/>
      <c r="G3614" s="23"/>
      <c r="H3614" s="23"/>
      <c r="J3614" s="23"/>
      <c r="K3614" s="23"/>
      <c r="M3614" s="23"/>
      <c r="N3614" s="23"/>
      <c r="P3614" s="23"/>
    </row>
    <row r="3615" spans="2:16" x14ac:dyDescent="0.25">
      <c r="B3615" s="23"/>
      <c r="E3615" s="23"/>
      <c r="G3615" s="23"/>
      <c r="H3615" s="23"/>
      <c r="J3615" s="23"/>
      <c r="K3615" s="23"/>
      <c r="M3615" s="23"/>
      <c r="N3615" s="23"/>
      <c r="P3615" s="23"/>
    </row>
    <row r="3616" spans="2:16" x14ac:dyDescent="0.25">
      <c r="B3616" s="23"/>
      <c r="E3616" s="23"/>
      <c r="G3616" s="23"/>
      <c r="H3616" s="23"/>
      <c r="J3616" s="23"/>
      <c r="K3616" s="23"/>
      <c r="M3616" s="23"/>
      <c r="N3616" s="23"/>
      <c r="P3616" s="23"/>
    </row>
    <row r="3617" spans="2:16" x14ac:dyDescent="0.25">
      <c r="B3617" s="23"/>
      <c r="E3617" s="23"/>
      <c r="G3617" s="23"/>
      <c r="H3617" s="23"/>
      <c r="J3617" s="23"/>
      <c r="K3617" s="23"/>
      <c r="M3617" s="23"/>
      <c r="N3617" s="23"/>
      <c r="P3617" s="23"/>
    </row>
    <row r="3618" spans="2:16" x14ac:dyDescent="0.25">
      <c r="B3618" s="23"/>
      <c r="E3618" s="23"/>
      <c r="G3618" s="23"/>
      <c r="H3618" s="23"/>
      <c r="J3618" s="23"/>
      <c r="K3618" s="23"/>
      <c r="M3618" s="23"/>
      <c r="N3618" s="23"/>
      <c r="P3618" s="23"/>
    </row>
    <row r="3619" spans="2:16" x14ac:dyDescent="0.25">
      <c r="B3619" s="23"/>
      <c r="E3619" s="23"/>
      <c r="G3619" s="23"/>
      <c r="H3619" s="23"/>
      <c r="J3619" s="23"/>
      <c r="K3619" s="23"/>
      <c r="M3619" s="23"/>
      <c r="N3619" s="23"/>
      <c r="P3619" s="23"/>
    </row>
    <row r="3620" spans="2:16" x14ac:dyDescent="0.25">
      <c r="B3620" s="23"/>
      <c r="E3620" s="23"/>
      <c r="G3620" s="23"/>
      <c r="H3620" s="23"/>
      <c r="J3620" s="23"/>
      <c r="K3620" s="23"/>
      <c r="M3620" s="23"/>
      <c r="N3620" s="23"/>
      <c r="P3620" s="23"/>
    </row>
    <row r="3621" spans="2:16" x14ac:dyDescent="0.25">
      <c r="B3621" s="23"/>
      <c r="E3621" s="23"/>
      <c r="G3621" s="23"/>
      <c r="H3621" s="23"/>
      <c r="J3621" s="23"/>
      <c r="K3621" s="23"/>
      <c r="M3621" s="23"/>
      <c r="N3621" s="23"/>
      <c r="P3621" s="23"/>
    </row>
    <row r="3622" spans="2:16" x14ac:dyDescent="0.25">
      <c r="B3622" s="23"/>
      <c r="E3622" s="23"/>
      <c r="G3622" s="23"/>
      <c r="H3622" s="23"/>
      <c r="J3622" s="23"/>
      <c r="K3622" s="23"/>
      <c r="M3622" s="23"/>
      <c r="N3622" s="23"/>
      <c r="P3622" s="23"/>
    </row>
    <row r="3623" spans="2:16" x14ac:dyDescent="0.25">
      <c r="B3623" s="23"/>
      <c r="E3623" s="23"/>
      <c r="G3623" s="23"/>
      <c r="H3623" s="23"/>
      <c r="J3623" s="23"/>
      <c r="K3623" s="23"/>
      <c r="M3623" s="23"/>
      <c r="N3623" s="23"/>
      <c r="P3623" s="23"/>
    </row>
    <row r="3624" spans="2:16" x14ac:dyDescent="0.25">
      <c r="B3624" s="23"/>
      <c r="E3624" s="23"/>
      <c r="G3624" s="23"/>
      <c r="H3624" s="23"/>
      <c r="J3624" s="23"/>
      <c r="K3624" s="23"/>
      <c r="M3624" s="23"/>
      <c r="N3624" s="23"/>
      <c r="P3624" s="23"/>
    </row>
    <row r="3625" spans="2:16" x14ac:dyDescent="0.25">
      <c r="B3625" s="23"/>
      <c r="E3625" s="23"/>
      <c r="G3625" s="23"/>
      <c r="H3625" s="23"/>
      <c r="J3625" s="23"/>
      <c r="K3625" s="23"/>
      <c r="M3625" s="23"/>
      <c r="N3625" s="23"/>
      <c r="P3625" s="23"/>
    </row>
    <row r="3626" spans="2:16" x14ac:dyDescent="0.25">
      <c r="B3626" s="23"/>
      <c r="E3626" s="23"/>
      <c r="G3626" s="23"/>
      <c r="H3626" s="23"/>
      <c r="J3626" s="23"/>
      <c r="K3626" s="23"/>
      <c r="M3626" s="23"/>
      <c r="N3626" s="23"/>
      <c r="P3626" s="23"/>
    </row>
    <row r="3627" spans="2:16" x14ac:dyDescent="0.25">
      <c r="B3627" s="23"/>
      <c r="E3627" s="23"/>
      <c r="G3627" s="23"/>
      <c r="H3627" s="23"/>
      <c r="J3627" s="23"/>
      <c r="K3627" s="23"/>
      <c r="M3627" s="23"/>
      <c r="N3627" s="23"/>
      <c r="P3627" s="23"/>
    </row>
    <row r="3628" spans="2:16" x14ac:dyDescent="0.25">
      <c r="B3628" s="23"/>
      <c r="E3628" s="23"/>
      <c r="G3628" s="23"/>
      <c r="H3628" s="23"/>
      <c r="J3628" s="23"/>
      <c r="K3628" s="23"/>
      <c r="M3628" s="23"/>
      <c r="N3628" s="23"/>
      <c r="P3628" s="23"/>
    </row>
    <row r="3629" spans="2:16" x14ac:dyDescent="0.25">
      <c r="B3629" s="23"/>
      <c r="E3629" s="23"/>
      <c r="G3629" s="23"/>
      <c r="H3629" s="23"/>
      <c r="J3629" s="23"/>
      <c r="K3629" s="23"/>
      <c r="M3629" s="23"/>
      <c r="N3629" s="23"/>
      <c r="P3629" s="23"/>
    </row>
    <row r="3630" spans="2:16" x14ac:dyDescent="0.25">
      <c r="B3630" s="23"/>
      <c r="E3630" s="23"/>
      <c r="G3630" s="23"/>
      <c r="H3630" s="23"/>
      <c r="J3630" s="23"/>
      <c r="K3630" s="23"/>
      <c r="M3630" s="23"/>
      <c r="N3630" s="23"/>
      <c r="P3630" s="23"/>
    </row>
    <row r="3631" spans="2:16" x14ac:dyDescent="0.25">
      <c r="B3631" s="23"/>
      <c r="E3631" s="23"/>
      <c r="G3631" s="23"/>
      <c r="H3631" s="23"/>
      <c r="J3631" s="23"/>
      <c r="K3631" s="23"/>
      <c r="M3631" s="23"/>
      <c r="N3631" s="23"/>
      <c r="P3631" s="23"/>
    </row>
    <row r="3632" spans="2:16" x14ac:dyDescent="0.25">
      <c r="B3632" s="23"/>
      <c r="E3632" s="23"/>
      <c r="G3632" s="23"/>
      <c r="H3632" s="23"/>
      <c r="J3632" s="23"/>
      <c r="K3632" s="23"/>
      <c r="M3632" s="23"/>
      <c r="N3632" s="23"/>
      <c r="P3632" s="23"/>
    </row>
    <row r="3633" spans="2:16" x14ac:dyDescent="0.25">
      <c r="B3633" s="23"/>
      <c r="E3633" s="23"/>
      <c r="G3633" s="23"/>
      <c r="H3633" s="23"/>
      <c r="J3633" s="23"/>
      <c r="K3633" s="23"/>
      <c r="M3633" s="23"/>
      <c r="N3633" s="23"/>
      <c r="P3633" s="23"/>
    </row>
    <row r="3634" spans="2:16" x14ac:dyDescent="0.25">
      <c r="B3634" s="23"/>
      <c r="E3634" s="23"/>
      <c r="G3634" s="23"/>
      <c r="H3634" s="23"/>
      <c r="J3634" s="23"/>
      <c r="K3634" s="23"/>
      <c r="M3634" s="23"/>
      <c r="N3634" s="23"/>
      <c r="P3634" s="23"/>
    </row>
    <row r="3635" spans="2:16" x14ac:dyDescent="0.25">
      <c r="B3635" s="23"/>
      <c r="E3635" s="23"/>
      <c r="G3635" s="23"/>
      <c r="H3635" s="23"/>
      <c r="J3635" s="23"/>
      <c r="K3635" s="23"/>
      <c r="M3635" s="23"/>
      <c r="N3635" s="23"/>
      <c r="P3635" s="23"/>
    </row>
    <row r="3636" spans="2:16" x14ac:dyDescent="0.25">
      <c r="B3636" s="23"/>
      <c r="E3636" s="23"/>
      <c r="G3636" s="23"/>
      <c r="H3636" s="23"/>
      <c r="J3636" s="23"/>
      <c r="K3636" s="23"/>
      <c r="M3636" s="23"/>
      <c r="N3636" s="23"/>
      <c r="P3636" s="23"/>
    </row>
    <row r="3637" spans="2:16" x14ac:dyDescent="0.25">
      <c r="B3637" s="23"/>
      <c r="E3637" s="23"/>
      <c r="G3637" s="23"/>
      <c r="H3637" s="23"/>
      <c r="J3637" s="23"/>
      <c r="K3637" s="23"/>
      <c r="M3637" s="23"/>
      <c r="N3637" s="23"/>
      <c r="P3637" s="23"/>
    </row>
    <row r="3638" spans="2:16" x14ac:dyDescent="0.25">
      <c r="B3638" s="23"/>
      <c r="E3638" s="23"/>
      <c r="G3638" s="23"/>
      <c r="H3638" s="23"/>
      <c r="J3638" s="23"/>
      <c r="K3638" s="23"/>
      <c r="M3638" s="23"/>
      <c r="N3638" s="23"/>
      <c r="P3638" s="23"/>
    </row>
    <row r="3639" spans="2:16" x14ac:dyDescent="0.25">
      <c r="B3639" s="23"/>
      <c r="E3639" s="23"/>
      <c r="G3639" s="23"/>
      <c r="H3639" s="23"/>
      <c r="J3639" s="23"/>
      <c r="K3639" s="23"/>
      <c r="M3639" s="23"/>
      <c r="N3639" s="23"/>
      <c r="P3639" s="23"/>
    </row>
    <row r="3640" spans="2:16" x14ac:dyDescent="0.25">
      <c r="B3640" s="23"/>
      <c r="E3640" s="23"/>
      <c r="G3640" s="23"/>
      <c r="H3640" s="23"/>
      <c r="J3640" s="23"/>
      <c r="K3640" s="23"/>
      <c r="M3640" s="23"/>
      <c r="N3640" s="23"/>
      <c r="P3640" s="23"/>
    </row>
    <row r="3641" spans="2:16" x14ac:dyDescent="0.25">
      <c r="B3641" s="23"/>
      <c r="E3641" s="23"/>
      <c r="G3641" s="23"/>
      <c r="H3641" s="23"/>
      <c r="J3641" s="23"/>
      <c r="K3641" s="23"/>
      <c r="M3641" s="23"/>
      <c r="N3641" s="23"/>
      <c r="P3641" s="23"/>
    </row>
    <row r="3642" spans="2:16" x14ac:dyDescent="0.25">
      <c r="B3642" s="23"/>
      <c r="E3642" s="23"/>
      <c r="G3642" s="23"/>
      <c r="H3642" s="23"/>
      <c r="J3642" s="23"/>
      <c r="K3642" s="23"/>
      <c r="M3642" s="23"/>
      <c r="N3642" s="23"/>
      <c r="P3642" s="23"/>
    </row>
    <row r="3643" spans="2:16" x14ac:dyDescent="0.25">
      <c r="B3643" s="23"/>
      <c r="E3643" s="23"/>
      <c r="G3643" s="23"/>
      <c r="H3643" s="23"/>
      <c r="J3643" s="23"/>
      <c r="K3643" s="23"/>
      <c r="M3643" s="23"/>
      <c r="N3643" s="23"/>
      <c r="P3643" s="23"/>
    </row>
    <row r="3644" spans="2:16" x14ac:dyDescent="0.25">
      <c r="B3644" s="23"/>
      <c r="E3644" s="23"/>
      <c r="G3644" s="23"/>
      <c r="H3644" s="23"/>
      <c r="J3644" s="23"/>
      <c r="K3644" s="23"/>
      <c r="M3644" s="23"/>
      <c r="N3644" s="23"/>
      <c r="P3644" s="23"/>
    </row>
    <row r="3645" spans="2:16" x14ac:dyDescent="0.25">
      <c r="B3645" s="23"/>
      <c r="E3645" s="23"/>
      <c r="G3645" s="23"/>
      <c r="H3645" s="23"/>
      <c r="J3645" s="23"/>
      <c r="K3645" s="23"/>
      <c r="M3645" s="23"/>
      <c r="N3645" s="23"/>
      <c r="P3645" s="23"/>
    </row>
    <row r="3646" spans="2:16" x14ac:dyDescent="0.25">
      <c r="B3646" s="23"/>
      <c r="E3646" s="23"/>
      <c r="G3646" s="23"/>
      <c r="H3646" s="23"/>
      <c r="J3646" s="23"/>
      <c r="K3646" s="23"/>
      <c r="M3646" s="23"/>
      <c r="N3646" s="23"/>
      <c r="P3646" s="23"/>
    </row>
    <row r="3647" spans="2:16" x14ac:dyDescent="0.25">
      <c r="B3647" s="23"/>
      <c r="E3647" s="23"/>
      <c r="G3647" s="23"/>
      <c r="H3647" s="23"/>
      <c r="J3647" s="23"/>
      <c r="K3647" s="23"/>
      <c r="M3647" s="23"/>
      <c r="N3647" s="23"/>
      <c r="P3647" s="23"/>
    </row>
    <row r="3648" spans="2:16" x14ac:dyDescent="0.25">
      <c r="B3648" s="23"/>
      <c r="E3648" s="23"/>
      <c r="G3648" s="23"/>
      <c r="H3648" s="23"/>
      <c r="J3648" s="23"/>
      <c r="K3648" s="23"/>
      <c r="M3648" s="23"/>
      <c r="N3648" s="23"/>
      <c r="P3648" s="23"/>
    </row>
    <row r="3649" spans="2:16" x14ac:dyDescent="0.25">
      <c r="B3649" s="23"/>
      <c r="E3649" s="23"/>
      <c r="G3649" s="23"/>
      <c r="H3649" s="23"/>
      <c r="J3649" s="23"/>
      <c r="K3649" s="23"/>
      <c r="M3649" s="23"/>
      <c r="N3649" s="23"/>
      <c r="P3649" s="23"/>
    </row>
    <row r="3650" spans="2:16" x14ac:dyDescent="0.25">
      <c r="B3650" s="23"/>
      <c r="E3650" s="23"/>
      <c r="G3650" s="23"/>
      <c r="H3650" s="23"/>
      <c r="J3650" s="23"/>
      <c r="K3650" s="23"/>
      <c r="M3650" s="23"/>
      <c r="N3650" s="23"/>
      <c r="P3650" s="23"/>
    </row>
    <row r="3651" spans="2:16" x14ac:dyDescent="0.25">
      <c r="B3651" s="23"/>
      <c r="E3651" s="23"/>
      <c r="G3651" s="23"/>
      <c r="H3651" s="23"/>
      <c r="J3651" s="23"/>
      <c r="K3651" s="23"/>
      <c r="M3651" s="23"/>
      <c r="N3651" s="23"/>
      <c r="P3651" s="23"/>
    </row>
    <row r="3652" spans="2:16" x14ac:dyDescent="0.25">
      <c r="B3652" s="23"/>
      <c r="E3652" s="23"/>
      <c r="G3652" s="23"/>
      <c r="H3652" s="23"/>
      <c r="J3652" s="23"/>
      <c r="K3652" s="23"/>
      <c r="M3652" s="23"/>
      <c r="N3652" s="23"/>
      <c r="P3652" s="23"/>
    </row>
    <row r="3653" spans="2:16" x14ac:dyDescent="0.25">
      <c r="B3653" s="23"/>
      <c r="E3653" s="23"/>
      <c r="G3653" s="23"/>
      <c r="H3653" s="23"/>
      <c r="J3653" s="23"/>
      <c r="K3653" s="23"/>
      <c r="M3653" s="23"/>
      <c r="N3653" s="23"/>
      <c r="P3653" s="23"/>
    </row>
    <row r="3654" spans="2:16" x14ac:dyDescent="0.25">
      <c r="B3654" s="23"/>
      <c r="E3654" s="23"/>
      <c r="G3654" s="23"/>
      <c r="H3654" s="23"/>
      <c r="J3654" s="23"/>
      <c r="K3654" s="23"/>
      <c r="M3654" s="23"/>
      <c r="N3654" s="23"/>
      <c r="P3654" s="23"/>
    </row>
    <row r="3655" spans="2:16" x14ac:dyDescent="0.25">
      <c r="B3655" s="23"/>
      <c r="E3655" s="23"/>
      <c r="G3655" s="23"/>
      <c r="H3655" s="23"/>
      <c r="J3655" s="23"/>
      <c r="K3655" s="23"/>
      <c r="M3655" s="23"/>
      <c r="N3655" s="23"/>
      <c r="P3655" s="23"/>
    </row>
    <row r="3656" spans="2:16" x14ac:dyDescent="0.25">
      <c r="B3656" s="23"/>
      <c r="E3656" s="23"/>
      <c r="G3656" s="23"/>
      <c r="H3656" s="23"/>
      <c r="J3656" s="23"/>
      <c r="K3656" s="23"/>
      <c r="M3656" s="23"/>
      <c r="N3656" s="23"/>
      <c r="P3656" s="23"/>
    </row>
    <row r="3657" spans="2:16" x14ac:dyDescent="0.25">
      <c r="B3657" s="23"/>
      <c r="E3657" s="23"/>
      <c r="G3657" s="23"/>
      <c r="H3657" s="23"/>
      <c r="J3657" s="23"/>
      <c r="K3657" s="23"/>
      <c r="M3657" s="23"/>
      <c r="N3657" s="23"/>
      <c r="P3657" s="23"/>
    </row>
    <row r="3658" spans="2:16" x14ac:dyDescent="0.25">
      <c r="B3658" s="23"/>
      <c r="E3658" s="23"/>
      <c r="G3658" s="23"/>
      <c r="H3658" s="23"/>
      <c r="J3658" s="23"/>
      <c r="K3658" s="23"/>
      <c r="M3658" s="23"/>
      <c r="N3658" s="23"/>
      <c r="P3658" s="23"/>
    </row>
    <row r="3659" spans="2:16" x14ac:dyDescent="0.25">
      <c r="B3659" s="23"/>
      <c r="E3659" s="23"/>
      <c r="G3659" s="23"/>
      <c r="H3659" s="23"/>
      <c r="J3659" s="23"/>
      <c r="K3659" s="23"/>
      <c r="M3659" s="23"/>
      <c r="N3659" s="23"/>
      <c r="P3659" s="23"/>
    </row>
    <row r="3660" spans="2:16" x14ac:dyDescent="0.25">
      <c r="B3660" s="23"/>
      <c r="E3660" s="23"/>
      <c r="G3660" s="23"/>
      <c r="H3660" s="23"/>
      <c r="J3660" s="23"/>
      <c r="K3660" s="23"/>
      <c r="M3660" s="23"/>
      <c r="N3660" s="23"/>
      <c r="P3660" s="23"/>
    </row>
    <row r="3661" spans="2:16" x14ac:dyDescent="0.25">
      <c r="B3661" s="23"/>
      <c r="E3661" s="23"/>
      <c r="G3661" s="23"/>
      <c r="H3661" s="23"/>
      <c r="J3661" s="23"/>
      <c r="K3661" s="23"/>
      <c r="M3661" s="23"/>
      <c r="N3661" s="23"/>
      <c r="P3661" s="23"/>
    </row>
    <row r="3662" spans="2:16" x14ac:dyDescent="0.25">
      <c r="B3662" s="23"/>
      <c r="E3662" s="23"/>
      <c r="G3662" s="23"/>
      <c r="H3662" s="23"/>
      <c r="J3662" s="23"/>
      <c r="K3662" s="23"/>
      <c r="M3662" s="23"/>
      <c r="N3662" s="23"/>
      <c r="P3662" s="23"/>
    </row>
    <row r="3663" spans="2:16" x14ac:dyDescent="0.25">
      <c r="B3663" s="23"/>
      <c r="E3663" s="23"/>
      <c r="G3663" s="23"/>
      <c r="H3663" s="23"/>
      <c r="J3663" s="23"/>
      <c r="K3663" s="23"/>
      <c r="M3663" s="23"/>
      <c r="N3663" s="23"/>
      <c r="P3663" s="23"/>
    </row>
    <row r="3664" spans="2:16" x14ac:dyDescent="0.25">
      <c r="B3664" s="23"/>
      <c r="E3664" s="23"/>
      <c r="G3664" s="23"/>
      <c r="H3664" s="23"/>
      <c r="J3664" s="23"/>
      <c r="K3664" s="23"/>
      <c r="M3664" s="23"/>
      <c r="N3664" s="23"/>
      <c r="P3664" s="23"/>
    </row>
    <row r="3665" spans="2:16" x14ac:dyDescent="0.25">
      <c r="B3665" s="23"/>
      <c r="E3665" s="23"/>
      <c r="G3665" s="23"/>
      <c r="H3665" s="23"/>
      <c r="J3665" s="23"/>
      <c r="K3665" s="23"/>
      <c r="M3665" s="23"/>
      <c r="N3665" s="23"/>
      <c r="P3665" s="23"/>
    </row>
    <row r="3666" spans="2:16" x14ac:dyDescent="0.25">
      <c r="B3666" s="23"/>
      <c r="E3666" s="23"/>
      <c r="G3666" s="23"/>
      <c r="H3666" s="23"/>
      <c r="J3666" s="23"/>
      <c r="K3666" s="23"/>
      <c r="M3666" s="23"/>
      <c r="N3666" s="23"/>
      <c r="P3666" s="23"/>
    </row>
    <row r="3667" spans="2:16" x14ac:dyDescent="0.25">
      <c r="B3667" s="23"/>
      <c r="E3667" s="23"/>
      <c r="G3667" s="23"/>
      <c r="H3667" s="23"/>
      <c r="J3667" s="23"/>
      <c r="K3667" s="23"/>
      <c r="M3667" s="23"/>
      <c r="N3667" s="23"/>
      <c r="P3667" s="23"/>
    </row>
    <row r="3668" spans="2:16" x14ac:dyDescent="0.25">
      <c r="B3668" s="23"/>
      <c r="E3668" s="23"/>
      <c r="G3668" s="23"/>
      <c r="H3668" s="23"/>
      <c r="J3668" s="23"/>
      <c r="K3668" s="23"/>
      <c r="M3668" s="23"/>
      <c r="N3668" s="23"/>
      <c r="P3668" s="23"/>
    </row>
    <row r="3669" spans="2:16" x14ac:dyDescent="0.25">
      <c r="B3669" s="23"/>
      <c r="E3669" s="23"/>
      <c r="G3669" s="23"/>
      <c r="H3669" s="23"/>
      <c r="J3669" s="23"/>
      <c r="K3669" s="23"/>
      <c r="M3669" s="23"/>
      <c r="N3669" s="23"/>
      <c r="P3669" s="23"/>
    </row>
    <row r="3670" spans="2:16" x14ac:dyDescent="0.25">
      <c r="B3670" s="23"/>
      <c r="E3670" s="23"/>
      <c r="G3670" s="23"/>
      <c r="H3670" s="23"/>
      <c r="J3670" s="23"/>
      <c r="K3670" s="23"/>
      <c r="M3670" s="23"/>
      <c r="N3670" s="23"/>
      <c r="P3670" s="23"/>
    </row>
    <row r="3671" spans="2:16" x14ac:dyDescent="0.25">
      <c r="B3671" s="23"/>
      <c r="E3671" s="23"/>
      <c r="G3671" s="23"/>
      <c r="H3671" s="23"/>
      <c r="J3671" s="23"/>
      <c r="K3671" s="23"/>
      <c r="M3671" s="23"/>
      <c r="N3671" s="23"/>
      <c r="P3671" s="23"/>
    </row>
    <row r="3672" spans="2:16" x14ac:dyDescent="0.25">
      <c r="B3672" s="23"/>
      <c r="E3672" s="23"/>
      <c r="G3672" s="23"/>
      <c r="H3672" s="23"/>
      <c r="J3672" s="23"/>
      <c r="K3672" s="23"/>
      <c r="M3672" s="23"/>
      <c r="N3672" s="23"/>
      <c r="P3672" s="23"/>
    </row>
    <row r="3673" spans="2:16" x14ac:dyDescent="0.25">
      <c r="B3673" s="23"/>
      <c r="E3673" s="23"/>
      <c r="G3673" s="23"/>
      <c r="H3673" s="23"/>
      <c r="J3673" s="23"/>
      <c r="K3673" s="23"/>
      <c r="M3673" s="23"/>
      <c r="N3673" s="23"/>
      <c r="P3673" s="23"/>
    </row>
    <row r="3674" spans="2:16" x14ac:dyDescent="0.25">
      <c r="B3674" s="23"/>
      <c r="E3674" s="23"/>
      <c r="G3674" s="23"/>
      <c r="H3674" s="23"/>
      <c r="J3674" s="23"/>
      <c r="K3674" s="23"/>
      <c r="M3674" s="23"/>
      <c r="N3674" s="23"/>
      <c r="P3674" s="23"/>
    </row>
    <row r="3675" spans="2:16" x14ac:dyDescent="0.25">
      <c r="B3675" s="23"/>
      <c r="E3675" s="23"/>
      <c r="G3675" s="23"/>
      <c r="H3675" s="23"/>
      <c r="J3675" s="23"/>
      <c r="K3675" s="23"/>
      <c r="M3675" s="23"/>
      <c r="N3675" s="23"/>
      <c r="P3675" s="23"/>
    </row>
    <row r="3676" spans="2:16" x14ac:dyDescent="0.25">
      <c r="B3676" s="23"/>
      <c r="E3676" s="23"/>
      <c r="G3676" s="23"/>
      <c r="H3676" s="23"/>
      <c r="J3676" s="23"/>
      <c r="K3676" s="23"/>
      <c r="M3676" s="23"/>
      <c r="N3676" s="23"/>
      <c r="P3676" s="23"/>
    </row>
    <row r="3677" spans="2:16" x14ac:dyDescent="0.25">
      <c r="B3677" s="23"/>
      <c r="E3677" s="23"/>
      <c r="G3677" s="23"/>
      <c r="H3677" s="23"/>
      <c r="J3677" s="23"/>
      <c r="K3677" s="23"/>
      <c r="M3677" s="23"/>
      <c r="N3677" s="23"/>
      <c r="P3677" s="23"/>
    </row>
    <row r="3678" spans="2:16" x14ac:dyDescent="0.25">
      <c r="B3678" s="23"/>
      <c r="E3678" s="23"/>
      <c r="G3678" s="23"/>
      <c r="H3678" s="23"/>
      <c r="J3678" s="23"/>
      <c r="K3678" s="23"/>
      <c r="M3678" s="23"/>
      <c r="N3678" s="23"/>
      <c r="P3678" s="23"/>
    </row>
    <row r="3679" spans="2:16" x14ac:dyDescent="0.25">
      <c r="B3679" s="23"/>
      <c r="E3679" s="23"/>
      <c r="G3679" s="23"/>
      <c r="H3679" s="23"/>
      <c r="J3679" s="23"/>
      <c r="K3679" s="23"/>
      <c r="M3679" s="23"/>
      <c r="N3679" s="23"/>
      <c r="P3679" s="23"/>
    </row>
    <row r="3680" spans="2:16" x14ac:dyDescent="0.25">
      <c r="B3680" s="23"/>
      <c r="E3680" s="23"/>
      <c r="G3680" s="23"/>
      <c r="H3680" s="23"/>
      <c r="J3680" s="23"/>
      <c r="K3680" s="23"/>
      <c r="M3680" s="23"/>
      <c r="N3680" s="23"/>
      <c r="P3680" s="23"/>
    </row>
    <row r="3681" spans="2:16" x14ac:dyDescent="0.25">
      <c r="B3681" s="23"/>
      <c r="E3681" s="23"/>
      <c r="G3681" s="23"/>
      <c r="H3681" s="23"/>
      <c r="J3681" s="23"/>
      <c r="K3681" s="23"/>
      <c r="M3681" s="23"/>
      <c r="N3681" s="23"/>
      <c r="P3681" s="23"/>
    </row>
    <row r="3682" spans="2:16" x14ac:dyDescent="0.25">
      <c r="B3682" s="23"/>
      <c r="E3682" s="23"/>
      <c r="G3682" s="23"/>
      <c r="H3682" s="23"/>
      <c r="J3682" s="23"/>
      <c r="K3682" s="23"/>
      <c r="M3682" s="23"/>
      <c r="N3682" s="23"/>
      <c r="P3682" s="23"/>
    </row>
    <row r="3683" spans="2:16" x14ac:dyDescent="0.25">
      <c r="B3683" s="23"/>
      <c r="E3683" s="23"/>
      <c r="G3683" s="23"/>
      <c r="H3683" s="23"/>
      <c r="J3683" s="23"/>
      <c r="K3683" s="23"/>
      <c r="M3683" s="23"/>
      <c r="N3683" s="23"/>
      <c r="P3683" s="23"/>
    </row>
    <row r="3684" spans="2:16" x14ac:dyDescent="0.25">
      <c r="B3684" s="23"/>
      <c r="E3684" s="23"/>
      <c r="G3684" s="23"/>
      <c r="H3684" s="23"/>
      <c r="J3684" s="23"/>
      <c r="K3684" s="23"/>
      <c r="M3684" s="23"/>
      <c r="N3684" s="23"/>
      <c r="P3684" s="23"/>
    </row>
    <row r="3685" spans="2:16" x14ac:dyDescent="0.25">
      <c r="B3685" s="23"/>
      <c r="E3685" s="23"/>
      <c r="G3685" s="23"/>
      <c r="H3685" s="23"/>
      <c r="J3685" s="23"/>
      <c r="K3685" s="23"/>
      <c r="M3685" s="23"/>
      <c r="N3685" s="23"/>
      <c r="P3685" s="23"/>
    </row>
    <row r="3686" spans="2:16" x14ac:dyDescent="0.25">
      <c r="B3686" s="23"/>
      <c r="E3686" s="23"/>
      <c r="G3686" s="23"/>
      <c r="H3686" s="23"/>
      <c r="J3686" s="23"/>
      <c r="K3686" s="23"/>
      <c r="M3686" s="23"/>
      <c r="N3686" s="23"/>
      <c r="P3686" s="23"/>
    </row>
    <row r="3687" spans="2:16" x14ac:dyDescent="0.25">
      <c r="B3687" s="23"/>
      <c r="E3687" s="23"/>
      <c r="G3687" s="23"/>
      <c r="H3687" s="23"/>
      <c r="J3687" s="23"/>
      <c r="K3687" s="23"/>
      <c r="M3687" s="23"/>
      <c r="N3687" s="23"/>
      <c r="P3687" s="23"/>
    </row>
    <row r="3688" spans="2:16" x14ac:dyDescent="0.25">
      <c r="B3688" s="23"/>
      <c r="E3688" s="23"/>
      <c r="G3688" s="23"/>
      <c r="H3688" s="23"/>
      <c r="J3688" s="23"/>
      <c r="K3688" s="23"/>
      <c r="M3688" s="23"/>
      <c r="N3688" s="23"/>
      <c r="P3688" s="23"/>
    </row>
    <row r="3689" spans="2:16" x14ac:dyDescent="0.25">
      <c r="B3689" s="23"/>
      <c r="E3689" s="23"/>
      <c r="G3689" s="23"/>
      <c r="H3689" s="23"/>
      <c r="J3689" s="23"/>
      <c r="K3689" s="23"/>
      <c r="M3689" s="23"/>
      <c r="N3689" s="23"/>
      <c r="P3689" s="23"/>
    </row>
    <row r="3690" spans="2:16" x14ac:dyDescent="0.25">
      <c r="B3690" s="23"/>
      <c r="E3690" s="23"/>
      <c r="G3690" s="23"/>
      <c r="H3690" s="23"/>
      <c r="J3690" s="23"/>
      <c r="K3690" s="23"/>
      <c r="M3690" s="23"/>
      <c r="N3690" s="23"/>
      <c r="P3690" s="23"/>
    </row>
    <row r="3691" spans="2:16" x14ac:dyDescent="0.25">
      <c r="B3691" s="23"/>
      <c r="E3691" s="23"/>
      <c r="G3691" s="23"/>
      <c r="H3691" s="23"/>
      <c r="J3691" s="23"/>
      <c r="K3691" s="23"/>
      <c r="M3691" s="23"/>
      <c r="N3691" s="23"/>
      <c r="P3691" s="23"/>
    </row>
    <row r="3692" spans="2:16" x14ac:dyDescent="0.25">
      <c r="B3692" s="23"/>
      <c r="E3692" s="23"/>
      <c r="G3692" s="23"/>
      <c r="H3692" s="23"/>
      <c r="J3692" s="23"/>
      <c r="K3692" s="23"/>
      <c r="M3692" s="23"/>
      <c r="N3692" s="23"/>
      <c r="P3692" s="23"/>
    </row>
    <row r="3693" spans="2:16" x14ac:dyDescent="0.25">
      <c r="B3693" s="23"/>
      <c r="E3693" s="23"/>
      <c r="G3693" s="23"/>
      <c r="H3693" s="23"/>
      <c r="J3693" s="23"/>
      <c r="K3693" s="23"/>
      <c r="M3693" s="23"/>
      <c r="N3693" s="23"/>
      <c r="P3693" s="23"/>
    </row>
    <row r="3694" spans="2:16" x14ac:dyDescent="0.25">
      <c r="B3694" s="23"/>
      <c r="E3694" s="23"/>
      <c r="G3694" s="23"/>
      <c r="H3694" s="23"/>
      <c r="J3694" s="23"/>
      <c r="K3694" s="23"/>
      <c r="M3694" s="23"/>
      <c r="N3694" s="23"/>
      <c r="P3694" s="23"/>
    </row>
    <row r="3695" spans="2:16" x14ac:dyDescent="0.25">
      <c r="B3695" s="23"/>
      <c r="E3695" s="23"/>
      <c r="G3695" s="23"/>
      <c r="H3695" s="23"/>
      <c r="J3695" s="23"/>
      <c r="K3695" s="23"/>
      <c r="M3695" s="23"/>
      <c r="N3695" s="23"/>
      <c r="P3695" s="23"/>
    </row>
    <row r="3696" spans="2:16" x14ac:dyDescent="0.25">
      <c r="B3696" s="23"/>
      <c r="E3696" s="23"/>
      <c r="G3696" s="23"/>
      <c r="H3696" s="23"/>
      <c r="J3696" s="23"/>
      <c r="K3696" s="23"/>
      <c r="M3696" s="23"/>
      <c r="N3696" s="23"/>
      <c r="P3696" s="23"/>
    </row>
    <row r="3697" spans="2:16" x14ac:dyDescent="0.25">
      <c r="B3697" s="23"/>
      <c r="E3697" s="23"/>
      <c r="G3697" s="23"/>
      <c r="H3697" s="23"/>
      <c r="J3697" s="23"/>
      <c r="K3697" s="23"/>
      <c r="M3697" s="23"/>
      <c r="N3697" s="23"/>
      <c r="P3697" s="23"/>
    </row>
    <row r="3698" spans="2:16" x14ac:dyDescent="0.25">
      <c r="B3698" s="23"/>
      <c r="E3698" s="23"/>
      <c r="G3698" s="23"/>
      <c r="H3698" s="23"/>
      <c r="J3698" s="23"/>
      <c r="K3698" s="23"/>
      <c r="M3698" s="23"/>
      <c r="N3698" s="23"/>
      <c r="P3698" s="23"/>
    </row>
    <row r="3699" spans="2:16" x14ac:dyDescent="0.25">
      <c r="B3699" s="23"/>
      <c r="E3699" s="23"/>
      <c r="G3699" s="23"/>
      <c r="H3699" s="23"/>
      <c r="J3699" s="23"/>
      <c r="K3699" s="23"/>
      <c r="M3699" s="23"/>
      <c r="N3699" s="23"/>
      <c r="P3699" s="23"/>
    </row>
    <row r="3700" spans="2:16" x14ac:dyDescent="0.25">
      <c r="B3700" s="23"/>
      <c r="E3700" s="23"/>
      <c r="G3700" s="23"/>
      <c r="H3700" s="23"/>
      <c r="J3700" s="23"/>
      <c r="K3700" s="23"/>
      <c r="M3700" s="23"/>
      <c r="N3700" s="23"/>
      <c r="P3700" s="23"/>
    </row>
    <row r="3701" spans="2:16" x14ac:dyDescent="0.25">
      <c r="B3701" s="23"/>
      <c r="E3701" s="23"/>
      <c r="G3701" s="23"/>
      <c r="H3701" s="23"/>
      <c r="J3701" s="23"/>
      <c r="K3701" s="23"/>
      <c r="M3701" s="23"/>
      <c r="N3701" s="23"/>
      <c r="P3701" s="23"/>
    </row>
    <row r="3702" spans="2:16" x14ac:dyDescent="0.25">
      <c r="B3702" s="23"/>
      <c r="E3702" s="23"/>
      <c r="G3702" s="23"/>
      <c r="H3702" s="23"/>
      <c r="J3702" s="23"/>
      <c r="K3702" s="23"/>
      <c r="M3702" s="23"/>
      <c r="N3702" s="23"/>
      <c r="P3702" s="23"/>
    </row>
    <row r="3703" spans="2:16" x14ac:dyDescent="0.25">
      <c r="B3703" s="23"/>
      <c r="E3703" s="23"/>
      <c r="G3703" s="23"/>
      <c r="H3703" s="23"/>
      <c r="J3703" s="23"/>
      <c r="K3703" s="23"/>
      <c r="M3703" s="23"/>
      <c r="N3703" s="23"/>
      <c r="P3703" s="23"/>
    </row>
    <row r="3704" spans="2:16" x14ac:dyDescent="0.25">
      <c r="B3704" s="23"/>
      <c r="E3704" s="23"/>
      <c r="G3704" s="23"/>
      <c r="H3704" s="23"/>
      <c r="J3704" s="23"/>
      <c r="K3704" s="23"/>
      <c r="M3704" s="23"/>
      <c r="N3704" s="23"/>
      <c r="P3704" s="23"/>
    </row>
    <row r="3705" spans="2:16" x14ac:dyDescent="0.25">
      <c r="B3705" s="23"/>
      <c r="E3705" s="23"/>
      <c r="G3705" s="23"/>
      <c r="H3705" s="23"/>
      <c r="J3705" s="23"/>
      <c r="K3705" s="23"/>
      <c r="M3705" s="23"/>
      <c r="N3705" s="23"/>
      <c r="P3705" s="23"/>
    </row>
    <row r="3706" spans="2:16" x14ac:dyDescent="0.25">
      <c r="B3706" s="23"/>
      <c r="E3706" s="23"/>
      <c r="G3706" s="23"/>
      <c r="H3706" s="23"/>
      <c r="J3706" s="23"/>
      <c r="K3706" s="23"/>
      <c r="M3706" s="23"/>
      <c r="N3706" s="23"/>
      <c r="P3706" s="23"/>
    </row>
    <row r="3707" spans="2:16" x14ac:dyDescent="0.25">
      <c r="B3707" s="23"/>
      <c r="E3707" s="23"/>
      <c r="G3707" s="23"/>
      <c r="H3707" s="23"/>
      <c r="J3707" s="23"/>
      <c r="K3707" s="23"/>
      <c r="M3707" s="23"/>
      <c r="N3707" s="23"/>
      <c r="P3707" s="23"/>
    </row>
    <row r="3708" spans="2:16" x14ac:dyDescent="0.25">
      <c r="B3708" s="23"/>
      <c r="E3708" s="23"/>
      <c r="G3708" s="23"/>
      <c r="H3708" s="23"/>
      <c r="J3708" s="23"/>
      <c r="K3708" s="23"/>
      <c r="M3708" s="23"/>
      <c r="N3708" s="23"/>
      <c r="P3708" s="23"/>
    </row>
    <row r="3709" spans="2:16" x14ac:dyDescent="0.25">
      <c r="B3709" s="23"/>
      <c r="E3709" s="23"/>
      <c r="G3709" s="23"/>
      <c r="H3709" s="23"/>
      <c r="J3709" s="23"/>
      <c r="K3709" s="23"/>
      <c r="M3709" s="23"/>
      <c r="N3709" s="23"/>
      <c r="P3709" s="23"/>
    </row>
    <row r="3710" spans="2:16" x14ac:dyDescent="0.25">
      <c r="B3710" s="23"/>
      <c r="E3710" s="23"/>
      <c r="G3710" s="23"/>
      <c r="H3710" s="23"/>
      <c r="J3710" s="23"/>
      <c r="K3710" s="23"/>
      <c r="M3710" s="23"/>
      <c r="N3710" s="23"/>
      <c r="P3710" s="23"/>
    </row>
    <row r="3711" spans="2:16" x14ac:dyDescent="0.25">
      <c r="B3711" s="23"/>
      <c r="E3711" s="23"/>
      <c r="G3711" s="23"/>
      <c r="H3711" s="23"/>
      <c r="J3711" s="23"/>
      <c r="K3711" s="23"/>
      <c r="M3711" s="23"/>
      <c r="N3711" s="23"/>
      <c r="P3711" s="23"/>
    </row>
    <row r="3712" spans="2:16" x14ac:dyDescent="0.25">
      <c r="B3712" s="23"/>
      <c r="E3712" s="23"/>
      <c r="G3712" s="23"/>
      <c r="H3712" s="23"/>
      <c r="J3712" s="23"/>
      <c r="K3712" s="23"/>
      <c r="M3712" s="23"/>
      <c r="N3712" s="23"/>
      <c r="P3712" s="23"/>
    </row>
    <row r="3713" spans="2:16" x14ac:dyDescent="0.25">
      <c r="B3713" s="23"/>
      <c r="E3713" s="23"/>
      <c r="G3713" s="23"/>
      <c r="H3713" s="23"/>
      <c r="J3713" s="23"/>
      <c r="K3713" s="23"/>
      <c r="M3713" s="23"/>
      <c r="N3713" s="23"/>
      <c r="P3713" s="23"/>
    </row>
    <row r="3714" spans="2:16" x14ac:dyDescent="0.25">
      <c r="B3714" s="23"/>
      <c r="E3714" s="23"/>
      <c r="G3714" s="23"/>
      <c r="H3714" s="23"/>
      <c r="J3714" s="23"/>
      <c r="K3714" s="23"/>
      <c r="M3714" s="23"/>
      <c r="N3714" s="23"/>
      <c r="P3714" s="23"/>
    </row>
    <row r="3715" spans="2:16" x14ac:dyDescent="0.25">
      <c r="B3715" s="23"/>
      <c r="E3715" s="23"/>
      <c r="G3715" s="23"/>
      <c r="H3715" s="23"/>
      <c r="J3715" s="23"/>
      <c r="K3715" s="23"/>
      <c r="M3715" s="23"/>
      <c r="N3715" s="23"/>
      <c r="P3715" s="23"/>
    </row>
    <row r="3716" spans="2:16" x14ac:dyDescent="0.25">
      <c r="B3716" s="23"/>
      <c r="E3716" s="23"/>
      <c r="G3716" s="23"/>
      <c r="H3716" s="23"/>
      <c r="J3716" s="23"/>
      <c r="K3716" s="23"/>
      <c r="M3716" s="23"/>
      <c r="N3716" s="23"/>
      <c r="P3716" s="23"/>
    </row>
    <row r="3717" spans="2:16" x14ac:dyDescent="0.25">
      <c r="B3717" s="23"/>
      <c r="E3717" s="23"/>
      <c r="G3717" s="23"/>
      <c r="H3717" s="23"/>
      <c r="J3717" s="23"/>
      <c r="K3717" s="23"/>
      <c r="M3717" s="23"/>
      <c r="N3717" s="23"/>
      <c r="P3717" s="23"/>
    </row>
    <row r="3718" spans="2:16" x14ac:dyDescent="0.25">
      <c r="B3718" s="23"/>
      <c r="E3718" s="23"/>
      <c r="G3718" s="23"/>
      <c r="H3718" s="23"/>
      <c r="J3718" s="23"/>
      <c r="K3718" s="23"/>
      <c r="M3718" s="23"/>
      <c r="N3718" s="23"/>
      <c r="P3718" s="23"/>
    </row>
    <row r="3719" spans="2:16" x14ac:dyDescent="0.25">
      <c r="B3719" s="23"/>
      <c r="E3719" s="23"/>
      <c r="G3719" s="23"/>
      <c r="H3719" s="23"/>
      <c r="J3719" s="23"/>
      <c r="K3719" s="23"/>
      <c r="M3719" s="23"/>
      <c r="N3719" s="23"/>
      <c r="P3719" s="23"/>
    </row>
    <row r="3720" spans="2:16" x14ac:dyDescent="0.25">
      <c r="B3720" s="23"/>
      <c r="E3720" s="23"/>
      <c r="G3720" s="23"/>
      <c r="H3720" s="23"/>
      <c r="J3720" s="23"/>
      <c r="K3720" s="23"/>
      <c r="M3720" s="23"/>
      <c r="N3720" s="23"/>
      <c r="P3720" s="23"/>
    </row>
    <row r="3721" spans="2:16" x14ac:dyDescent="0.25">
      <c r="B3721" s="23"/>
      <c r="E3721" s="23"/>
      <c r="G3721" s="23"/>
      <c r="H3721" s="23"/>
      <c r="J3721" s="23"/>
      <c r="K3721" s="23"/>
      <c r="M3721" s="23"/>
      <c r="N3721" s="23"/>
      <c r="P3721" s="23"/>
    </row>
    <row r="3722" spans="2:16" x14ac:dyDescent="0.25">
      <c r="B3722" s="23"/>
      <c r="E3722" s="23"/>
      <c r="G3722" s="23"/>
      <c r="H3722" s="23"/>
      <c r="J3722" s="23"/>
      <c r="K3722" s="23"/>
      <c r="M3722" s="23"/>
      <c r="N3722" s="23"/>
      <c r="P3722" s="23"/>
    </row>
    <row r="3723" spans="2:16" x14ac:dyDescent="0.25">
      <c r="B3723" s="23"/>
      <c r="E3723" s="23"/>
      <c r="G3723" s="23"/>
      <c r="H3723" s="23"/>
      <c r="J3723" s="23"/>
      <c r="K3723" s="23"/>
      <c r="M3723" s="23"/>
      <c r="N3723" s="23"/>
      <c r="P3723" s="23"/>
    </row>
    <row r="3724" spans="2:16" x14ac:dyDescent="0.25">
      <c r="B3724" s="23"/>
      <c r="E3724" s="23"/>
      <c r="G3724" s="23"/>
      <c r="H3724" s="23"/>
      <c r="J3724" s="23"/>
      <c r="K3724" s="23"/>
      <c r="M3724" s="23"/>
      <c r="N3724" s="23"/>
      <c r="P3724" s="23"/>
    </row>
    <row r="3725" spans="2:16" x14ac:dyDescent="0.25">
      <c r="B3725" s="23"/>
      <c r="E3725" s="23"/>
      <c r="G3725" s="23"/>
      <c r="H3725" s="23"/>
      <c r="J3725" s="23"/>
      <c r="K3725" s="23"/>
      <c r="M3725" s="23"/>
      <c r="N3725" s="23"/>
      <c r="P3725" s="23"/>
    </row>
    <row r="3726" spans="2:16" x14ac:dyDescent="0.25">
      <c r="B3726" s="23"/>
      <c r="E3726" s="23"/>
      <c r="G3726" s="23"/>
      <c r="H3726" s="23"/>
      <c r="J3726" s="23"/>
      <c r="K3726" s="23"/>
      <c r="M3726" s="23"/>
      <c r="N3726" s="23"/>
      <c r="P3726" s="23"/>
    </row>
    <row r="3727" spans="2:16" x14ac:dyDescent="0.25">
      <c r="B3727" s="23"/>
      <c r="E3727" s="23"/>
      <c r="G3727" s="23"/>
      <c r="H3727" s="23"/>
      <c r="J3727" s="23"/>
      <c r="K3727" s="23"/>
      <c r="M3727" s="23"/>
      <c r="N3727" s="23"/>
      <c r="P3727" s="23"/>
    </row>
    <row r="3728" spans="2:16" x14ac:dyDescent="0.25">
      <c r="B3728" s="23"/>
      <c r="E3728" s="23"/>
      <c r="G3728" s="23"/>
      <c r="H3728" s="23"/>
      <c r="J3728" s="23"/>
      <c r="K3728" s="23"/>
      <c r="M3728" s="23"/>
      <c r="N3728" s="23"/>
      <c r="P3728" s="23"/>
    </row>
    <row r="3729" spans="2:16" x14ac:dyDescent="0.25">
      <c r="B3729" s="23"/>
      <c r="E3729" s="23"/>
      <c r="G3729" s="23"/>
      <c r="H3729" s="23"/>
      <c r="J3729" s="23"/>
      <c r="K3729" s="23"/>
      <c r="M3729" s="23"/>
      <c r="N3729" s="23"/>
      <c r="P3729" s="23"/>
    </row>
    <row r="3730" spans="2:16" x14ac:dyDescent="0.25">
      <c r="B3730" s="23"/>
      <c r="E3730" s="23"/>
      <c r="G3730" s="23"/>
      <c r="H3730" s="23"/>
      <c r="J3730" s="23"/>
      <c r="K3730" s="23"/>
      <c r="M3730" s="23"/>
      <c r="N3730" s="23"/>
      <c r="P3730" s="23"/>
    </row>
    <row r="3731" spans="2:16" x14ac:dyDescent="0.25">
      <c r="B3731" s="23"/>
      <c r="E3731" s="23"/>
      <c r="G3731" s="23"/>
      <c r="H3731" s="23"/>
      <c r="J3731" s="23"/>
      <c r="K3731" s="23"/>
      <c r="M3731" s="23"/>
      <c r="N3731" s="23"/>
      <c r="P3731" s="23"/>
    </row>
    <row r="3732" spans="2:16" x14ac:dyDescent="0.25">
      <c r="B3732" s="23"/>
      <c r="E3732" s="23"/>
      <c r="G3732" s="23"/>
      <c r="H3732" s="23"/>
      <c r="J3732" s="23"/>
      <c r="K3732" s="23"/>
      <c r="M3732" s="23"/>
      <c r="N3732" s="23"/>
      <c r="P3732" s="23"/>
    </row>
    <row r="3733" spans="2:16" x14ac:dyDescent="0.25">
      <c r="B3733" s="23"/>
      <c r="E3733" s="23"/>
      <c r="G3733" s="23"/>
      <c r="H3733" s="23"/>
      <c r="J3733" s="23"/>
      <c r="K3733" s="23"/>
      <c r="M3733" s="23"/>
      <c r="N3733" s="23"/>
      <c r="P3733" s="23"/>
    </row>
    <row r="3734" spans="2:16" x14ac:dyDescent="0.25">
      <c r="B3734" s="23"/>
      <c r="E3734" s="23"/>
      <c r="G3734" s="23"/>
      <c r="H3734" s="23"/>
      <c r="J3734" s="23"/>
      <c r="K3734" s="23"/>
      <c r="M3734" s="23"/>
      <c r="N3734" s="23"/>
      <c r="P3734" s="23"/>
    </row>
    <row r="3735" spans="2:16" x14ac:dyDescent="0.25">
      <c r="B3735" s="23"/>
      <c r="E3735" s="23"/>
      <c r="G3735" s="23"/>
      <c r="H3735" s="23"/>
      <c r="J3735" s="23"/>
      <c r="K3735" s="23"/>
      <c r="M3735" s="23"/>
      <c r="N3735" s="23"/>
      <c r="P3735" s="23"/>
    </row>
    <row r="3736" spans="2:16" x14ac:dyDescent="0.25">
      <c r="B3736" s="23"/>
      <c r="E3736" s="23"/>
      <c r="G3736" s="23"/>
      <c r="H3736" s="23"/>
      <c r="J3736" s="23"/>
      <c r="K3736" s="23"/>
      <c r="M3736" s="23"/>
      <c r="N3736" s="23"/>
      <c r="P3736" s="23"/>
    </row>
    <row r="3737" spans="2:16" x14ac:dyDescent="0.25">
      <c r="B3737" s="23"/>
      <c r="E3737" s="23"/>
      <c r="G3737" s="23"/>
      <c r="H3737" s="23"/>
      <c r="J3737" s="23"/>
      <c r="K3737" s="23"/>
      <c r="M3737" s="23"/>
      <c r="N3737" s="23"/>
      <c r="P3737" s="23"/>
    </row>
    <row r="3738" spans="2:16" x14ac:dyDescent="0.25">
      <c r="B3738" s="23"/>
      <c r="E3738" s="23"/>
      <c r="G3738" s="23"/>
      <c r="H3738" s="23"/>
      <c r="J3738" s="23"/>
      <c r="K3738" s="23"/>
      <c r="M3738" s="23"/>
      <c r="N3738" s="23"/>
      <c r="P3738" s="23"/>
    </row>
    <row r="3739" spans="2:16" x14ac:dyDescent="0.25">
      <c r="B3739" s="23"/>
      <c r="E3739" s="23"/>
      <c r="G3739" s="23"/>
      <c r="H3739" s="23"/>
      <c r="J3739" s="23"/>
      <c r="K3739" s="23"/>
      <c r="M3739" s="23"/>
      <c r="N3739" s="23"/>
      <c r="P3739" s="23"/>
    </row>
    <row r="3740" spans="2:16" x14ac:dyDescent="0.25">
      <c r="B3740" s="23"/>
      <c r="E3740" s="23"/>
      <c r="G3740" s="23"/>
      <c r="H3740" s="23"/>
      <c r="J3740" s="23"/>
      <c r="K3740" s="23"/>
      <c r="M3740" s="23"/>
      <c r="N3740" s="23"/>
      <c r="P3740" s="23"/>
    </row>
    <row r="3741" spans="2:16" x14ac:dyDescent="0.25">
      <c r="B3741" s="23"/>
      <c r="E3741" s="23"/>
      <c r="G3741" s="23"/>
      <c r="H3741" s="23"/>
      <c r="J3741" s="23"/>
      <c r="K3741" s="23"/>
      <c r="M3741" s="23"/>
      <c r="N3741" s="23"/>
      <c r="P3741" s="23"/>
    </row>
    <row r="3742" spans="2:16" x14ac:dyDescent="0.25">
      <c r="B3742" s="23"/>
      <c r="E3742" s="23"/>
      <c r="G3742" s="23"/>
      <c r="H3742" s="23"/>
      <c r="J3742" s="23"/>
      <c r="K3742" s="23"/>
      <c r="M3742" s="23"/>
      <c r="N3742" s="23"/>
      <c r="P3742" s="23"/>
    </row>
    <row r="3743" spans="2:16" x14ac:dyDescent="0.25">
      <c r="B3743" s="23"/>
      <c r="E3743" s="23"/>
      <c r="G3743" s="23"/>
      <c r="H3743" s="23"/>
      <c r="J3743" s="23"/>
      <c r="K3743" s="23"/>
      <c r="M3743" s="23"/>
      <c r="N3743" s="23"/>
      <c r="P3743" s="23"/>
    </row>
    <row r="3744" spans="2:16" x14ac:dyDescent="0.25">
      <c r="B3744" s="23"/>
      <c r="E3744" s="23"/>
      <c r="G3744" s="23"/>
      <c r="H3744" s="23"/>
      <c r="J3744" s="23"/>
      <c r="K3744" s="23"/>
      <c r="M3744" s="23"/>
      <c r="N3744" s="23"/>
      <c r="P3744" s="23"/>
    </row>
    <row r="3745" spans="2:16" x14ac:dyDescent="0.25">
      <c r="B3745" s="23"/>
      <c r="E3745" s="23"/>
      <c r="G3745" s="23"/>
      <c r="H3745" s="23"/>
      <c r="J3745" s="23"/>
      <c r="K3745" s="23"/>
      <c r="M3745" s="23"/>
      <c r="N3745" s="23"/>
      <c r="P3745" s="23"/>
    </row>
    <row r="3746" spans="2:16" x14ac:dyDescent="0.25">
      <c r="B3746" s="23"/>
      <c r="E3746" s="23"/>
      <c r="G3746" s="23"/>
      <c r="H3746" s="23"/>
      <c r="J3746" s="23"/>
      <c r="K3746" s="23"/>
      <c r="M3746" s="23"/>
      <c r="N3746" s="23"/>
      <c r="P3746" s="23"/>
    </row>
    <row r="3747" spans="2:16" x14ac:dyDescent="0.25">
      <c r="B3747" s="23"/>
      <c r="E3747" s="23"/>
      <c r="G3747" s="23"/>
      <c r="H3747" s="23"/>
      <c r="J3747" s="23"/>
      <c r="K3747" s="23"/>
      <c r="M3747" s="23"/>
      <c r="N3747" s="23"/>
      <c r="P3747" s="23"/>
    </row>
    <row r="3748" spans="2:16" x14ac:dyDescent="0.25">
      <c r="B3748" s="23"/>
      <c r="E3748" s="23"/>
      <c r="G3748" s="23"/>
      <c r="H3748" s="23"/>
      <c r="J3748" s="23"/>
      <c r="K3748" s="23"/>
      <c r="M3748" s="23"/>
      <c r="N3748" s="23"/>
      <c r="P3748" s="23"/>
    </row>
    <row r="3749" spans="2:16" x14ac:dyDescent="0.25">
      <c r="B3749" s="23"/>
      <c r="E3749" s="23"/>
      <c r="G3749" s="23"/>
      <c r="H3749" s="23"/>
      <c r="J3749" s="23"/>
      <c r="K3749" s="23"/>
      <c r="M3749" s="23"/>
      <c r="N3749" s="23"/>
      <c r="P3749" s="23"/>
    </row>
    <row r="3750" spans="2:16" x14ac:dyDescent="0.25">
      <c r="B3750" s="23"/>
      <c r="E3750" s="23"/>
      <c r="G3750" s="23"/>
      <c r="H3750" s="23"/>
      <c r="J3750" s="23"/>
      <c r="K3750" s="23"/>
      <c r="M3750" s="23"/>
      <c r="N3750" s="23"/>
      <c r="P3750" s="23"/>
    </row>
    <row r="3751" spans="2:16" x14ac:dyDescent="0.25">
      <c r="B3751" s="23"/>
      <c r="E3751" s="23"/>
      <c r="G3751" s="23"/>
      <c r="H3751" s="23"/>
      <c r="J3751" s="23"/>
      <c r="K3751" s="23"/>
      <c r="M3751" s="23"/>
      <c r="N3751" s="23"/>
      <c r="P3751" s="23"/>
    </row>
    <row r="3752" spans="2:16" x14ac:dyDescent="0.25">
      <c r="B3752" s="23"/>
      <c r="E3752" s="23"/>
      <c r="G3752" s="23"/>
      <c r="H3752" s="23"/>
      <c r="J3752" s="23"/>
      <c r="K3752" s="23"/>
      <c r="M3752" s="23"/>
      <c r="N3752" s="23"/>
      <c r="P3752" s="23"/>
    </row>
    <row r="3753" spans="2:16" x14ac:dyDescent="0.25">
      <c r="B3753" s="23"/>
      <c r="E3753" s="23"/>
      <c r="G3753" s="23"/>
      <c r="H3753" s="23"/>
      <c r="J3753" s="23"/>
      <c r="K3753" s="23"/>
      <c r="M3753" s="23"/>
      <c r="N3753" s="23"/>
      <c r="P3753" s="23"/>
    </row>
    <row r="3754" spans="2:16" x14ac:dyDescent="0.25">
      <c r="B3754" s="23"/>
      <c r="E3754" s="23"/>
      <c r="G3754" s="23"/>
      <c r="H3754" s="23"/>
      <c r="J3754" s="23"/>
      <c r="K3754" s="23"/>
      <c r="M3754" s="23"/>
      <c r="N3754" s="23"/>
      <c r="P3754" s="23"/>
    </row>
    <row r="3755" spans="2:16" x14ac:dyDescent="0.25">
      <c r="B3755" s="23"/>
      <c r="E3755" s="23"/>
      <c r="G3755" s="23"/>
      <c r="H3755" s="23"/>
      <c r="J3755" s="23"/>
      <c r="K3755" s="23"/>
      <c r="M3755" s="23"/>
      <c r="N3755" s="23"/>
      <c r="P3755" s="23"/>
    </row>
    <row r="3756" spans="2:16" x14ac:dyDescent="0.25">
      <c r="B3756" s="23"/>
      <c r="E3756" s="23"/>
      <c r="G3756" s="23"/>
      <c r="H3756" s="23"/>
      <c r="J3756" s="23"/>
      <c r="K3756" s="23"/>
      <c r="M3756" s="23"/>
      <c r="N3756" s="23"/>
      <c r="P3756" s="23"/>
    </row>
    <row r="3757" spans="2:16" x14ac:dyDescent="0.25">
      <c r="B3757" s="23"/>
      <c r="E3757" s="23"/>
      <c r="G3757" s="23"/>
      <c r="H3757" s="23"/>
      <c r="J3757" s="23"/>
      <c r="K3757" s="23"/>
      <c r="M3757" s="23"/>
      <c r="N3757" s="23"/>
      <c r="P3757" s="23"/>
    </row>
    <row r="3758" spans="2:16" x14ac:dyDescent="0.25">
      <c r="B3758" s="23"/>
      <c r="E3758" s="23"/>
      <c r="G3758" s="23"/>
      <c r="H3758" s="23"/>
      <c r="J3758" s="23"/>
      <c r="K3758" s="23"/>
      <c r="M3758" s="23"/>
      <c r="N3758" s="23"/>
      <c r="P3758" s="23"/>
    </row>
    <row r="3759" spans="2:16" x14ac:dyDescent="0.25">
      <c r="B3759" s="23"/>
      <c r="E3759" s="23"/>
      <c r="G3759" s="23"/>
      <c r="H3759" s="23"/>
      <c r="J3759" s="23"/>
      <c r="K3759" s="23"/>
      <c r="M3759" s="23"/>
      <c r="N3759" s="23"/>
      <c r="P3759" s="23"/>
    </row>
    <row r="3760" spans="2:16" x14ac:dyDescent="0.25">
      <c r="B3760" s="23"/>
      <c r="E3760" s="23"/>
      <c r="G3760" s="23"/>
      <c r="H3760" s="23"/>
      <c r="J3760" s="23"/>
      <c r="K3760" s="23"/>
      <c r="M3760" s="23"/>
      <c r="N3760" s="23"/>
      <c r="P3760" s="23"/>
    </row>
    <row r="3761" spans="2:16" x14ac:dyDescent="0.25">
      <c r="B3761" s="23"/>
      <c r="E3761" s="23"/>
      <c r="G3761" s="23"/>
      <c r="H3761" s="23"/>
      <c r="J3761" s="23"/>
      <c r="K3761" s="23"/>
      <c r="M3761" s="23"/>
      <c r="N3761" s="23"/>
      <c r="P3761" s="23"/>
    </row>
    <row r="3762" spans="2:16" x14ac:dyDescent="0.25">
      <c r="B3762" s="23"/>
      <c r="E3762" s="23"/>
      <c r="G3762" s="23"/>
      <c r="H3762" s="23"/>
      <c r="J3762" s="23"/>
      <c r="K3762" s="23"/>
      <c r="M3762" s="23"/>
      <c r="N3762" s="23"/>
      <c r="P3762" s="23"/>
    </row>
    <row r="3763" spans="2:16" x14ac:dyDescent="0.25">
      <c r="B3763" s="23"/>
      <c r="E3763" s="23"/>
      <c r="G3763" s="23"/>
      <c r="H3763" s="23"/>
      <c r="J3763" s="23"/>
      <c r="K3763" s="23"/>
      <c r="M3763" s="23"/>
      <c r="N3763" s="23"/>
      <c r="P3763" s="23"/>
    </row>
    <row r="3764" spans="2:16" x14ac:dyDescent="0.25">
      <c r="B3764" s="23"/>
      <c r="E3764" s="23"/>
      <c r="G3764" s="23"/>
      <c r="H3764" s="23"/>
      <c r="J3764" s="23"/>
      <c r="K3764" s="23"/>
      <c r="M3764" s="23"/>
      <c r="N3764" s="23"/>
      <c r="P3764" s="23"/>
    </row>
    <row r="3765" spans="2:16" x14ac:dyDescent="0.25">
      <c r="B3765" s="23"/>
      <c r="E3765" s="23"/>
      <c r="G3765" s="23"/>
      <c r="H3765" s="23"/>
      <c r="J3765" s="23"/>
      <c r="K3765" s="23"/>
      <c r="M3765" s="23"/>
      <c r="N3765" s="23"/>
      <c r="P3765" s="23"/>
    </row>
    <row r="3766" spans="2:16" x14ac:dyDescent="0.25">
      <c r="B3766" s="23"/>
      <c r="E3766" s="23"/>
      <c r="G3766" s="23"/>
      <c r="H3766" s="23"/>
      <c r="J3766" s="23"/>
      <c r="K3766" s="23"/>
      <c r="M3766" s="23"/>
      <c r="N3766" s="23"/>
      <c r="P3766" s="23"/>
    </row>
    <row r="3767" spans="2:16" x14ac:dyDescent="0.25">
      <c r="B3767" s="23"/>
      <c r="E3767" s="23"/>
      <c r="G3767" s="23"/>
      <c r="H3767" s="23"/>
      <c r="J3767" s="23"/>
      <c r="K3767" s="23"/>
      <c r="M3767" s="23"/>
      <c r="N3767" s="23"/>
      <c r="P3767" s="23"/>
    </row>
    <row r="3768" spans="2:16" x14ac:dyDescent="0.25">
      <c r="B3768" s="23"/>
      <c r="E3768" s="23"/>
      <c r="G3768" s="23"/>
      <c r="H3768" s="23"/>
      <c r="J3768" s="23"/>
      <c r="K3768" s="23"/>
      <c r="M3768" s="23"/>
      <c r="N3768" s="23"/>
      <c r="P3768" s="23"/>
    </row>
    <row r="3769" spans="2:16" x14ac:dyDescent="0.25">
      <c r="B3769" s="23"/>
      <c r="E3769" s="23"/>
      <c r="G3769" s="23"/>
      <c r="H3769" s="23"/>
      <c r="J3769" s="23"/>
      <c r="K3769" s="23"/>
      <c r="M3769" s="23"/>
      <c r="N3769" s="23"/>
      <c r="P3769" s="23"/>
    </row>
    <row r="3770" spans="2:16" x14ac:dyDescent="0.25">
      <c r="B3770" s="23"/>
      <c r="E3770" s="23"/>
      <c r="G3770" s="23"/>
      <c r="H3770" s="23"/>
      <c r="J3770" s="23"/>
      <c r="K3770" s="23"/>
      <c r="M3770" s="23"/>
      <c r="N3770" s="23"/>
      <c r="P3770" s="23"/>
    </row>
    <row r="3771" spans="2:16" x14ac:dyDescent="0.25">
      <c r="B3771" s="23"/>
      <c r="E3771" s="23"/>
      <c r="G3771" s="23"/>
      <c r="H3771" s="23"/>
      <c r="J3771" s="23"/>
      <c r="K3771" s="23"/>
      <c r="M3771" s="23"/>
      <c r="N3771" s="23"/>
      <c r="P3771" s="23"/>
    </row>
    <row r="3772" spans="2:16" x14ac:dyDescent="0.25">
      <c r="B3772" s="23"/>
      <c r="E3772" s="23"/>
      <c r="G3772" s="23"/>
      <c r="H3772" s="23"/>
      <c r="J3772" s="23"/>
      <c r="K3772" s="23"/>
      <c r="M3772" s="23"/>
      <c r="N3772" s="23"/>
      <c r="P3772" s="23"/>
    </row>
    <row r="3773" spans="2:16" x14ac:dyDescent="0.25">
      <c r="B3773" s="23"/>
      <c r="E3773" s="23"/>
      <c r="G3773" s="23"/>
      <c r="H3773" s="23"/>
      <c r="J3773" s="23"/>
      <c r="K3773" s="23"/>
      <c r="M3773" s="23"/>
      <c r="N3773" s="23"/>
      <c r="P3773" s="23"/>
    </row>
    <row r="3774" spans="2:16" x14ac:dyDescent="0.25">
      <c r="B3774" s="23"/>
      <c r="E3774" s="23"/>
      <c r="G3774" s="23"/>
      <c r="H3774" s="23"/>
      <c r="J3774" s="23"/>
      <c r="K3774" s="23"/>
      <c r="M3774" s="23"/>
      <c r="N3774" s="23"/>
      <c r="P3774" s="23"/>
    </row>
    <row r="3775" spans="2:16" x14ac:dyDescent="0.25">
      <c r="B3775" s="23"/>
      <c r="E3775" s="23"/>
      <c r="G3775" s="23"/>
      <c r="H3775" s="23"/>
      <c r="J3775" s="23"/>
      <c r="K3775" s="23"/>
      <c r="M3775" s="23"/>
      <c r="N3775" s="23"/>
      <c r="P3775" s="23"/>
    </row>
    <row r="3776" spans="2:16" x14ac:dyDescent="0.25">
      <c r="B3776" s="23"/>
      <c r="E3776" s="23"/>
      <c r="G3776" s="23"/>
      <c r="H3776" s="23"/>
      <c r="J3776" s="23"/>
      <c r="K3776" s="23"/>
      <c r="M3776" s="23"/>
      <c r="N3776" s="23"/>
      <c r="P3776" s="23"/>
    </row>
    <row r="3777" spans="2:16" x14ac:dyDescent="0.25">
      <c r="B3777" s="23"/>
      <c r="E3777" s="23"/>
      <c r="G3777" s="23"/>
      <c r="H3777" s="23"/>
      <c r="J3777" s="23"/>
      <c r="K3777" s="23"/>
      <c r="M3777" s="23"/>
      <c r="N3777" s="23"/>
      <c r="P3777" s="23"/>
    </row>
    <row r="3778" spans="2:16" x14ac:dyDescent="0.25">
      <c r="B3778" s="23"/>
      <c r="E3778" s="23"/>
      <c r="G3778" s="23"/>
      <c r="H3778" s="23"/>
      <c r="J3778" s="23"/>
      <c r="K3778" s="23"/>
      <c r="M3778" s="23"/>
      <c r="N3778" s="23"/>
      <c r="P3778" s="23"/>
    </row>
    <row r="3779" spans="2:16" x14ac:dyDescent="0.25">
      <c r="B3779" s="23"/>
      <c r="E3779" s="23"/>
      <c r="G3779" s="23"/>
      <c r="H3779" s="23"/>
      <c r="J3779" s="23"/>
      <c r="K3779" s="23"/>
      <c r="M3779" s="23"/>
      <c r="N3779" s="23"/>
      <c r="P3779" s="23"/>
    </row>
    <row r="3780" spans="2:16" x14ac:dyDescent="0.25">
      <c r="B3780" s="23"/>
      <c r="E3780" s="23"/>
      <c r="G3780" s="23"/>
      <c r="H3780" s="23"/>
      <c r="J3780" s="23"/>
      <c r="K3780" s="23"/>
      <c r="M3780" s="23"/>
      <c r="N3780" s="23"/>
      <c r="P3780" s="23"/>
    </row>
    <row r="3781" spans="2:16" x14ac:dyDescent="0.25">
      <c r="B3781" s="23"/>
      <c r="E3781" s="23"/>
      <c r="G3781" s="23"/>
      <c r="H3781" s="23"/>
      <c r="J3781" s="23"/>
      <c r="K3781" s="23"/>
      <c r="M3781" s="23"/>
      <c r="N3781" s="23"/>
      <c r="P3781" s="23"/>
    </row>
    <row r="3782" spans="2:16" x14ac:dyDescent="0.25">
      <c r="B3782" s="23"/>
      <c r="E3782" s="23"/>
      <c r="G3782" s="23"/>
      <c r="H3782" s="23"/>
      <c r="J3782" s="23"/>
      <c r="K3782" s="23"/>
      <c r="M3782" s="23"/>
      <c r="N3782" s="23"/>
      <c r="P3782" s="23"/>
    </row>
    <row r="3783" spans="2:16" x14ac:dyDescent="0.25">
      <c r="B3783" s="23"/>
      <c r="E3783" s="23"/>
      <c r="G3783" s="23"/>
      <c r="H3783" s="23"/>
      <c r="J3783" s="23"/>
      <c r="K3783" s="23"/>
      <c r="M3783" s="23"/>
      <c r="N3783" s="23"/>
      <c r="P3783" s="23"/>
    </row>
    <row r="3784" spans="2:16" x14ac:dyDescent="0.25">
      <c r="B3784" s="23"/>
      <c r="E3784" s="23"/>
      <c r="G3784" s="23"/>
      <c r="H3784" s="23"/>
      <c r="J3784" s="23"/>
      <c r="K3784" s="23"/>
      <c r="M3784" s="23"/>
      <c r="N3784" s="23"/>
      <c r="P3784" s="23"/>
    </row>
    <row r="3785" spans="2:16" x14ac:dyDescent="0.25">
      <c r="B3785" s="23"/>
      <c r="E3785" s="23"/>
      <c r="G3785" s="23"/>
      <c r="H3785" s="23"/>
      <c r="J3785" s="23"/>
      <c r="K3785" s="23"/>
      <c r="M3785" s="23"/>
      <c r="N3785" s="23"/>
      <c r="P3785" s="23"/>
    </row>
    <row r="3786" spans="2:16" x14ac:dyDescent="0.25">
      <c r="B3786" s="23"/>
      <c r="E3786" s="23"/>
      <c r="G3786" s="23"/>
      <c r="H3786" s="23"/>
      <c r="J3786" s="23"/>
      <c r="K3786" s="23"/>
      <c r="M3786" s="23"/>
      <c r="N3786" s="23"/>
      <c r="P3786" s="23"/>
    </row>
    <row r="3787" spans="2:16" x14ac:dyDescent="0.25">
      <c r="B3787" s="23"/>
      <c r="E3787" s="23"/>
      <c r="G3787" s="23"/>
      <c r="H3787" s="23"/>
      <c r="J3787" s="23"/>
      <c r="K3787" s="23"/>
      <c r="M3787" s="23"/>
      <c r="N3787" s="23"/>
      <c r="P3787" s="23"/>
    </row>
    <row r="3788" spans="2:16" x14ac:dyDescent="0.25">
      <c r="B3788" s="23"/>
      <c r="E3788" s="23"/>
      <c r="G3788" s="23"/>
      <c r="H3788" s="23"/>
      <c r="J3788" s="23"/>
      <c r="K3788" s="23"/>
      <c r="M3788" s="23"/>
      <c r="N3788" s="23"/>
      <c r="P3788" s="23"/>
    </row>
    <row r="3789" spans="2:16" x14ac:dyDescent="0.25">
      <c r="B3789" s="23"/>
      <c r="E3789" s="23"/>
      <c r="G3789" s="23"/>
      <c r="H3789" s="23"/>
      <c r="J3789" s="23"/>
      <c r="K3789" s="23"/>
      <c r="M3789" s="23"/>
      <c r="N3789" s="23"/>
      <c r="P3789" s="23"/>
    </row>
    <row r="3790" spans="2:16" x14ac:dyDescent="0.25">
      <c r="B3790" s="23"/>
      <c r="E3790" s="23"/>
      <c r="G3790" s="23"/>
      <c r="H3790" s="23"/>
      <c r="J3790" s="23"/>
      <c r="K3790" s="23"/>
      <c r="M3790" s="23"/>
      <c r="N3790" s="23"/>
      <c r="P3790" s="23"/>
    </row>
    <row r="3791" spans="2:16" x14ac:dyDescent="0.25">
      <c r="B3791" s="23"/>
      <c r="E3791" s="23"/>
      <c r="G3791" s="23"/>
      <c r="H3791" s="23"/>
      <c r="J3791" s="23"/>
      <c r="K3791" s="23"/>
      <c r="M3791" s="23"/>
      <c r="N3791" s="23"/>
      <c r="P3791" s="23"/>
    </row>
    <row r="3792" spans="2:16" x14ac:dyDescent="0.25">
      <c r="B3792" s="23"/>
      <c r="E3792" s="23"/>
      <c r="G3792" s="23"/>
      <c r="H3792" s="23"/>
      <c r="J3792" s="23"/>
      <c r="K3792" s="23"/>
      <c r="M3792" s="23"/>
      <c r="N3792" s="23"/>
      <c r="P3792" s="23"/>
    </row>
    <row r="3793" spans="2:16" x14ac:dyDescent="0.25">
      <c r="B3793" s="23"/>
      <c r="E3793" s="23"/>
      <c r="G3793" s="23"/>
      <c r="H3793" s="23"/>
      <c r="J3793" s="23"/>
      <c r="K3793" s="23"/>
      <c r="M3793" s="23"/>
      <c r="N3793" s="23"/>
      <c r="P3793" s="23"/>
    </row>
    <row r="3794" spans="2:16" x14ac:dyDescent="0.25">
      <c r="B3794" s="23"/>
      <c r="E3794" s="23"/>
      <c r="G3794" s="23"/>
      <c r="H3794" s="23"/>
      <c r="J3794" s="23"/>
      <c r="K3794" s="23"/>
      <c r="M3794" s="23"/>
      <c r="N3794" s="23"/>
      <c r="P3794" s="23"/>
    </row>
    <row r="3795" spans="2:16" x14ac:dyDescent="0.25">
      <c r="B3795" s="23"/>
      <c r="E3795" s="23"/>
      <c r="G3795" s="23"/>
      <c r="H3795" s="23"/>
      <c r="J3795" s="23"/>
      <c r="K3795" s="23"/>
      <c r="M3795" s="23"/>
      <c r="N3795" s="23"/>
      <c r="P3795" s="23"/>
    </row>
    <row r="3796" spans="2:16" x14ac:dyDescent="0.25">
      <c r="B3796" s="23"/>
      <c r="E3796" s="23"/>
      <c r="G3796" s="23"/>
      <c r="H3796" s="23"/>
      <c r="J3796" s="23"/>
      <c r="K3796" s="23"/>
      <c r="M3796" s="23"/>
      <c r="N3796" s="23"/>
      <c r="P3796" s="23"/>
    </row>
    <row r="3797" spans="2:16" x14ac:dyDescent="0.25">
      <c r="B3797" s="23"/>
      <c r="E3797" s="23"/>
      <c r="G3797" s="23"/>
      <c r="H3797" s="23"/>
      <c r="J3797" s="23"/>
      <c r="K3797" s="23"/>
      <c r="M3797" s="23"/>
      <c r="N3797" s="23"/>
      <c r="P3797" s="23"/>
    </row>
    <row r="3798" spans="2:16" x14ac:dyDescent="0.25">
      <c r="B3798" s="23"/>
      <c r="E3798" s="23"/>
      <c r="G3798" s="23"/>
      <c r="H3798" s="23"/>
      <c r="J3798" s="23"/>
      <c r="K3798" s="23"/>
      <c r="M3798" s="23"/>
      <c r="N3798" s="23"/>
      <c r="P3798" s="23"/>
    </row>
    <row r="3799" spans="2:16" x14ac:dyDescent="0.25">
      <c r="B3799" s="23"/>
      <c r="E3799" s="23"/>
      <c r="G3799" s="23"/>
      <c r="H3799" s="23"/>
      <c r="J3799" s="23"/>
      <c r="K3799" s="23"/>
      <c r="M3799" s="23"/>
      <c r="N3799" s="23"/>
      <c r="P3799" s="23"/>
    </row>
    <row r="3800" spans="2:16" x14ac:dyDescent="0.25">
      <c r="B3800" s="23"/>
      <c r="E3800" s="23"/>
      <c r="G3800" s="23"/>
      <c r="H3800" s="23"/>
      <c r="J3800" s="23"/>
      <c r="K3800" s="23"/>
      <c r="M3800" s="23"/>
      <c r="N3800" s="23"/>
      <c r="P3800" s="23"/>
    </row>
    <row r="3801" spans="2:16" x14ac:dyDescent="0.25">
      <c r="B3801" s="23"/>
      <c r="E3801" s="23"/>
      <c r="G3801" s="23"/>
      <c r="H3801" s="23"/>
      <c r="J3801" s="23"/>
      <c r="K3801" s="23"/>
      <c r="M3801" s="23"/>
      <c r="N3801" s="23"/>
      <c r="P3801" s="23"/>
    </row>
    <row r="3802" spans="2:16" x14ac:dyDescent="0.25">
      <c r="B3802" s="23"/>
      <c r="E3802" s="23"/>
      <c r="G3802" s="23"/>
      <c r="H3802" s="23"/>
      <c r="J3802" s="23"/>
      <c r="K3802" s="23"/>
      <c r="M3802" s="23"/>
      <c r="N3802" s="23"/>
      <c r="P3802" s="23"/>
    </row>
    <row r="3803" spans="2:16" x14ac:dyDescent="0.25">
      <c r="B3803" s="23"/>
      <c r="E3803" s="23"/>
      <c r="G3803" s="23"/>
      <c r="H3803" s="23"/>
      <c r="J3803" s="23"/>
      <c r="K3803" s="23"/>
      <c r="M3803" s="23"/>
      <c r="N3803" s="23"/>
      <c r="P3803" s="23"/>
    </row>
    <row r="3804" spans="2:16" x14ac:dyDescent="0.25">
      <c r="B3804" s="23"/>
      <c r="E3804" s="23"/>
      <c r="G3804" s="23"/>
      <c r="H3804" s="23"/>
      <c r="J3804" s="23"/>
      <c r="K3804" s="23"/>
      <c r="M3804" s="23"/>
      <c r="N3804" s="23"/>
      <c r="P3804" s="23"/>
    </row>
    <row r="3805" spans="2:16" x14ac:dyDescent="0.25">
      <c r="B3805" s="23"/>
      <c r="E3805" s="23"/>
      <c r="G3805" s="23"/>
      <c r="H3805" s="23"/>
      <c r="J3805" s="23"/>
      <c r="K3805" s="23"/>
      <c r="M3805" s="23"/>
      <c r="N3805" s="23"/>
      <c r="P3805" s="23"/>
    </row>
    <row r="3806" spans="2:16" x14ac:dyDescent="0.25">
      <c r="B3806" s="23"/>
      <c r="E3806" s="23"/>
      <c r="G3806" s="23"/>
      <c r="H3806" s="23"/>
      <c r="J3806" s="23"/>
      <c r="K3806" s="23"/>
      <c r="M3806" s="23"/>
      <c r="N3806" s="23"/>
      <c r="P3806" s="23"/>
    </row>
    <row r="3807" spans="2:16" x14ac:dyDescent="0.25">
      <c r="B3807" s="23"/>
      <c r="E3807" s="23"/>
      <c r="G3807" s="23"/>
      <c r="H3807" s="23"/>
      <c r="J3807" s="23"/>
      <c r="K3807" s="23"/>
      <c r="M3807" s="23"/>
      <c r="N3807" s="23"/>
      <c r="P3807" s="23"/>
    </row>
    <row r="3808" spans="2:16" x14ac:dyDescent="0.25">
      <c r="B3808" s="23"/>
      <c r="E3808" s="23"/>
      <c r="G3808" s="23"/>
      <c r="H3808" s="23"/>
      <c r="J3808" s="23"/>
      <c r="K3808" s="23"/>
      <c r="M3808" s="23"/>
      <c r="N3808" s="23"/>
      <c r="P3808" s="23"/>
    </row>
    <row r="3809" spans="2:16" x14ac:dyDescent="0.25">
      <c r="B3809" s="23"/>
      <c r="E3809" s="23"/>
      <c r="G3809" s="23"/>
      <c r="H3809" s="23"/>
      <c r="J3809" s="23"/>
      <c r="K3809" s="23"/>
      <c r="M3809" s="23"/>
      <c r="N3809" s="23"/>
      <c r="P3809" s="23"/>
    </row>
    <row r="3810" spans="2:16" x14ac:dyDescent="0.25">
      <c r="B3810" s="23"/>
      <c r="E3810" s="23"/>
      <c r="G3810" s="23"/>
      <c r="H3810" s="23"/>
      <c r="J3810" s="23"/>
      <c r="K3810" s="23"/>
      <c r="M3810" s="23"/>
      <c r="N3810" s="23"/>
      <c r="P3810" s="23"/>
    </row>
    <row r="3811" spans="2:16" x14ac:dyDescent="0.25">
      <c r="B3811" s="23"/>
      <c r="E3811" s="23"/>
      <c r="G3811" s="23"/>
      <c r="H3811" s="23"/>
      <c r="J3811" s="23"/>
      <c r="K3811" s="23"/>
      <c r="M3811" s="23"/>
      <c r="N3811" s="23"/>
      <c r="P3811" s="23"/>
    </row>
    <row r="3812" spans="2:16" x14ac:dyDescent="0.25">
      <c r="B3812" s="23"/>
      <c r="E3812" s="23"/>
      <c r="G3812" s="23"/>
      <c r="H3812" s="23"/>
      <c r="J3812" s="23"/>
      <c r="K3812" s="23"/>
      <c r="M3812" s="23"/>
      <c r="N3812" s="23"/>
      <c r="P3812" s="23"/>
    </row>
    <row r="3813" spans="2:16" x14ac:dyDescent="0.25">
      <c r="B3813" s="23"/>
      <c r="E3813" s="23"/>
      <c r="G3813" s="23"/>
      <c r="H3813" s="23"/>
      <c r="J3813" s="23"/>
      <c r="K3813" s="23"/>
      <c r="M3813" s="23"/>
      <c r="N3813" s="23"/>
      <c r="P3813" s="23"/>
    </row>
    <row r="3814" spans="2:16" x14ac:dyDescent="0.25">
      <c r="B3814" s="23"/>
      <c r="E3814" s="23"/>
      <c r="G3814" s="23"/>
      <c r="H3814" s="23"/>
      <c r="J3814" s="23"/>
      <c r="K3814" s="23"/>
      <c r="M3814" s="23"/>
      <c r="N3814" s="23"/>
      <c r="P3814" s="23"/>
    </row>
    <row r="3815" spans="2:16" x14ac:dyDescent="0.25">
      <c r="B3815" s="23"/>
      <c r="E3815" s="23"/>
      <c r="G3815" s="23"/>
      <c r="H3815" s="23"/>
      <c r="J3815" s="23"/>
      <c r="K3815" s="23"/>
      <c r="M3815" s="23"/>
      <c r="N3815" s="23"/>
      <c r="P3815" s="23"/>
    </row>
    <row r="3816" spans="2:16" x14ac:dyDescent="0.25">
      <c r="B3816" s="23"/>
      <c r="E3816" s="23"/>
      <c r="G3816" s="23"/>
      <c r="H3816" s="23"/>
      <c r="J3816" s="23"/>
      <c r="K3816" s="23"/>
      <c r="M3816" s="23"/>
      <c r="N3816" s="23"/>
      <c r="P3816" s="23"/>
    </row>
    <row r="3817" spans="2:16" x14ac:dyDescent="0.25">
      <c r="B3817" s="23"/>
      <c r="E3817" s="23"/>
      <c r="G3817" s="23"/>
      <c r="H3817" s="23"/>
      <c r="J3817" s="23"/>
      <c r="K3817" s="23"/>
      <c r="M3817" s="23"/>
      <c r="N3817" s="23"/>
      <c r="P3817" s="23"/>
    </row>
    <row r="3818" spans="2:16" x14ac:dyDescent="0.25">
      <c r="B3818" s="23"/>
      <c r="E3818" s="23"/>
      <c r="G3818" s="23"/>
      <c r="H3818" s="23"/>
      <c r="J3818" s="23"/>
      <c r="K3818" s="23"/>
      <c r="M3818" s="23"/>
      <c r="N3818" s="23"/>
      <c r="P3818" s="23"/>
    </row>
    <row r="3819" spans="2:16" x14ac:dyDescent="0.25">
      <c r="B3819" s="23"/>
      <c r="E3819" s="23"/>
      <c r="G3819" s="23"/>
      <c r="H3819" s="23"/>
      <c r="J3819" s="23"/>
      <c r="K3819" s="23"/>
      <c r="M3819" s="23"/>
      <c r="N3819" s="23"/>
      <c r="P3819" s="23"/>
    </row>
    <row r="3820" spans="2:16" x14ac:dyDescent="0.25">
      <c r="B3820" s="23"/>
      <c r="E3820" s="23"/>
      <c r="G3820" s="23"/>
      <c r="H3820" s="23"/>
      <c r="J3820" s="23"/>
      <c r="K3820" s="23"/>
      <c r="M3820" s="23"/>
      <c r="N3820" s="23"/>
      <c r="P3820" s="23"/>
    </row>
    <row r="3821" spans="2:16" x14ac:dyDescent="0.25">
      <c r="B3821" s="23"/>
      <c r="E3821" s="23"/>
      <c r="G3821" s="23"/>
      <c r="H3821" s="23"/>
      <c r="J3821" s="23"/>
      <c r="K3821" s="23"/>
      <c r="M3821" s="23"/>
      <c r="N3821" s="23"/>
      <c r="P3821" s="23"/>
    </row>
    <row r="3822" spans="2:16" x14ac:dyDescent="0.25">
      <c r="B3822" s="23"/>
      <c r="E3822" s="23"/>
      <c r="G3822" s="23"/>
      <c r="H3822" s="23"/>
      <c r="J3822" s="23"/>
      <c r="K3822" s="23"/>
      <c r="M3822" s="23"/>
      <c r="N3822" s="23"/>
      <c r="P3822" s="23"/>
    </row>
    <row r="3823" spans="2:16" x14ac:dyDescent="0.25">
      <c r="B3823" s="23"/>
      <c r="E3823" s="23"/>
      <c r="G3823" s="23"/>
      <c r="H3823" s="23"/>
      <c r="J3823" s="23"/>
      <c r="K3823" s="23"/>
      <c r="M3823" s="23"/>
      <c r="N3823" s="23"/>
      <c r="P3823" s="23"/>
    </row>
    <row r="3824" spans="2:16" x14ac:dyDescent="0.25">
      <c r="B3824" s="23"/>
      <c r="E3824" s="23"/>
      <c r="G3824" s="23"/>
      <c r="H3824" s="23"/>
      <c r="J3824" s="23"/>
      <c r="K3824" s="23"/>
      <c r="M3824" s="23"/>
      <c r="N3824" s="23"/>
      <c r="P3824" s="23"/>
    </row>
    <row r="3825" spans="2:16" x14ac:dyDescent="0.25">
      <c r="B3825" s="23"/>
      <c r="E3825" s="23"/>
      <c r="G3825" s="23"/>
      <c r="H3825" s="23"/>
      <c r="J3825" s="23"/>
      <c r="K3825" s="23"/>
      <c r="M3825" s="23"/>
      <c r="N3825" s="23"/>
      <c r="P3825" s="23"/>
    </row>
    <row r="3826" spans="2:16" x14ac:dyDescent="0.25">
      <c r="B3826" s="23"/>
      <c r="E3826" s="23"/>
      <c r="G3826" s="23"/>
      <c r="H3826" s="23"/>
      <c r="J3826" s="23"/>
      <c r="K3826" s="23"/>
      <c r="M3826" s="23"/>
      <c r="N3826" s="23"/>
      <c r="P3826" s="23"/>
    </row>
    <row r="3827" spans="2:16" x14ac:dyDescent="0.25">
      <c r="B3827" s="23"/>
      <c r="E3827" s="23"/>
      <c r="G3827" s="23"/>
      <c r="H3827" s="23"/>
      <c r="J3827" s="23"/>
      <c r="K3827" s="23"/>
      <c r="M3827" s="23"/>
      <c r="N3827" s="23"/>
      <c r="P3827" s="23"/>
    </row>
    <row r="3828" spans="2:16" x14ac:dyDescent="0.25">
      <c r="B3828" s="23"/>
      <c r="E3828" s="23"/>
      <c r="G3828" s="23"/>
      <c r="H3828" s="23"/>
      <c r="J3828" s="23"/>
      <c r="K3828" s="23"/>
      <c r="M3828" s="23"/>
      <c r="N3828" s="23"/>
      <c r="P3828" s="23"/>
    </row>
    <row r="3829" spans="2:16" x14ac:dyDescent="0.25">
      <c r="B3829" s="23"/>
      <c r="E3829" s="23"/>
      <c r="G3829" s="23"/>
      <c r="H3829" s="23"/>
      <c r="J3829" s="23"/>
      <c r="K3829" s="23"/>
      <c r="M3829" s="23"/>
      <c r="N3829" s="23"/>
      <c r="P3829" s="23"/>
    </row>
    <row r="3830" spans="2:16" x14ac:dyDescent="0.25">
      <c r="B3830" s="23"/>
      <c r="E3830" s="23"/>
      <c r="G3830" s="23"/>
      <c r="H3830" s="23"/>
      <c r="J3830" s="23"/>
      <c r="K3830" s="23"/>
      <c r="M3830" s="23"/>
      <c r="N3830" s="23"/>
      <c r="P3830" s="23"/>
    </row>
    <row r="3831" spans="2:16" x14ac:dyDescent="0.25">
      <c r="B3831" s="23"/>
      <c r="E3831" s="23"/>
      <c r="G3831" s="23"/>
      <c r="H3831" s="23"/>
      <c r="J3831" s="23"/>
      <c r="K3831" s="23"/>
      <c r="M3831" s="23"/>
      <c r="N3831" s="23"/>
      <c r="P3831" s="23"/>
    </row>
    <row r="3832" spans="2:16" x14ac:dyDescent="0.25">
      <c r="B3832" s="23"/>
      <c r="E3832" s="23"/>
      <c r="G3832" s="23"/>
      <c r="H3832" s="23"/>
      <c r="J3832" s="23"/>
      <c r="K3832" s="23"/>
      <c r="M3832" s="23"/>
      <c r="N3832" s="23"/>
      <c r="P3832" s="23"/>
    </row>
    <row r="3833" spans="2:16" x14ac:dyDescent="0.25">
      <c r="B3833" s="23"/>
      <c r="E3833" s="23"/>
      <c r="G3833" s="23"/>
      <c r="H3833" s="23"/>
      <c r="J3833" s="23"/>
      <c r="K3833" s="23"/>
      <c r="M3833" s="23"/>
      <c r="N3833" s="23"/>
      <c r="P3833" s="23"/>
    </row>
    <row r="3834" spans="2:16" x14ac:dyDescent="0.25">
      <c r="B3834" s="23"/>
      <c r="E3834" s="23"/>
      <c r="G3834" s="23"/>
      <c r="H3834" s="23"/>
      <c r="J3834" s="23"/>
      <c r="K3834" s="23"/>
      <c r="M3834" s="23"/>
      <c r="N3834" s="23"/>
      <c r="P3834" s="23"/>
    </row>
    <row r="3835" spans="2:16" x14ac:dyDescent="0.25">
      <c r="B3835" s="23"/>
      <c r="E3835" s="23"/>
      <c r="G3835" s="23"/>
      <c r="H3835" s="23"/>
      <c r="J3835" s="23"/>
      <c r="K3835" s="23"/>
      <c r="M3835" s="23"/>
      <c r="N3835" s="23"/>
      <c r="P3835" s="23"/>
    </row>
    <row r="3836" spans="2:16" x14ac:dyDescent="0.25">
      <c r="B3836" s="23"/>
      <c r="E3836" s="23"/>
      <c r="G3836" s="23"/>
      <c r="H3836" s="23"/>
      <c r="J3836" s="23"/>
      <c r="K3836" s="23"/>
      <c r="M3836" s="23"/>
      <c r="N3836" s="23"/>
      <c r="P3836" s="23"/>
    </row>
    <row r="3837" spans="2:16" x14ac:dyDescent="0.25">
      <c r="B3837" s="23"/>
      <c r="E3837" s="23"/>
      <c r="G3837" s="23"/>
      <c r="H3837" s="23"/>
      <c r="J3837" s="23"/>
      <c r="K3837" s="23"/>
      <c r="M3837" s="23"/>
      <c r="N3837" s="23"/>
      <c r="P3837" s="23"/>
    </row>
    <row r="3838" spans="2:16" x14ac:dyDescent="0.25">
      <c r="B3838" s="23"/>
      <c r="E3838" s="23"/>
      <c r="G3838" s="23"/>
      <c r="H3838" s="23"/>
      <c r="J3838" s="23"/>
      <c r="K3838" s="23"/>
      <c r="M3838" s="23"/>
      <c r="N3838" s="23"/>
      <c r="P3838" s="23"/>
    </row>
    <row r="3839" spans="2:16" x14ac:dyDescent="0.25">
      <c r="B3839" s="23"/>
      <c r="E3839" s="23"/>
      <c r="G3839" s="23"/>
      <c r="H3839" s="23"/>
      <c r="J3839" s="23"/>
      <c r="K3839" s="23"/>
      <c r="M3839" s="23"/>
      <c r="N3839" s="23"/>
      <c r="P3839" s="23"/>
    </row>
    <row r="3840" spans="2:16" x14ac:dyDescent="0.25">
      <c r="B3840" s="23"/>
      <c r="E3840" s="23"/>
      <c r="G3840" s="23"/>
      <c r="H3840" s="23"/>
      <c r="J3840" s="23"/>
      <c r="K3840" s="23"/>
      <c r="M3840" s="23"/>
      <c r="N3840" s="23"/>
      <c r="P3840" s="23"/>
    </row>
    <row r="3841" spans="2:16" x14ac:dyDescent="0.25">
      <c r="B3841" s="23"/>
      <c r="E3841" s="23"/>
      <c r="G3841" s="23"/>
      <c r="H3841" s="23"/>
      <c r="J3841" s="23"/>
      <c r="K3841" s="23"/>
      <c r="M3841" s="23"/>
      <c r="N3841" s="23"/>
      <c r="P3841" s="23"/>
    </row>
    <row r="3842" spans="2:16" x14ac:dyDescent="0.25">
      <c r="B3842" s="23"/>
      <c r="E3842" s="23"/>
      <c r="G3842" s="23"/>
      <c r="H3842" s="23"/>
      <c r="J3842" s="23"/>
      <c r="K3842" s="23"/>
      <c r="M3842" s="23"/>
      <c r="N3842" s="23"/>
      <c r="P3842" s="23"/>
    </row>
    <row r="3843" spans="2:16" x14ac:dyDescent="0.25">
      <c r="B3843" s="23"/>
      <c r="E3843" s="23"/>
      <c r="G3843" s="23"/>
      <c r="H3843" s="23"/>
      <c r="J3843" s="23"/>
      <c r="K3843" s="23"/>
      <c r="M3843" s="23"/>
      <c r="N3843" s="23"/>
      <c r="P3843" s="23"/>
    </row>
    <row r="3844" spans="2:16" x14ac:dyDescent="0.25">
      <c r="B3844" s="23"/>
      <c r="E3844" s="23"/>
      <c r="G3844" s="23"/>
      <c r="H3844" s="23"/>
      <c r="J3844" s="23"/>
      <c r="K3844" s="23"/>
      <c r="M3844" s="23"/>
      <c r="N3844" s="23"/>
      <c r="P3844" s="23"/>
    </row>
    <row r="3845" spans="2:16" x14ac:dyDescent="0.25">
      <c r="B3845" s="23"/>
      <c r="E3845" s="23"/>
      <c r="G3845" s="23"/>
      <c r="H3845" s="23"/>
      <c r="J3845" s="23"/>
      <c r="K3845" s="23"/>
      <c r="M3845" s="23"/>
      <c r="N3845" s="23"/>
      <c r="P3845" s="23"/>
    </row>
    <row r="3846" spans="2:16" x14ac:dyDescent="0.25">
      <c r="B3846" s="23"/>
      <c r="E3846" s="23"/>
      <c r="G3846" s="23"/>
      <c r="H3846" s="23"/>
      <c r="J3846" s="23"/>
      <c r="K3846" s="23"/>
      <c r="M3846" s="23"/>
      <c r="N3846" s="23"/>
      <c r="P3846" s="23"/>
    </row>
    <row r="3847" spans="2:16" x14ac:dyDescent="0.25">
      <c r="B3847" s="23"/>
      <c r="E3847" s="23"/>
      <c r="G3847" s="23"/>
      <c r="H3847" s="23"/>
      <c r="J3847" s="23"/>
      <c r="K3847" s="23"/>
      <c r="M3847" s="23"/>
      <c r="N3847" s="23"/>
      <c r="P3847" s="23"/>
    </row>
    <row r="3848" spans="2:16" x14ac:dyDescent="0.25">
      <c r="B3848" s="23"/>
      <c r="E3848" s="23"/>
      <c r="G3848" s="23"/>
      <c r="H3848" s="23"/>
      <c r="J3848" s="23"/>
      <c r="K3848" s="23"/>
      <c r="M3848" s="23"/>
      <c r="N3848" s="23"/>
      <c r="P3848" s="23"/>
    </row>
    <row r="3849" spans="2:16" x14ac:dyDescent="0.25">
      <c r="B3849" s="23"/>
      <c r="E3849" s="23"/>
      <c r="G3849" s="23"/>
      <c r="H3849" s="23"/>
      <c r="J3849" s="23"/>
      <c r="K3849" s="23"/>
      <c r="M3849" s="23"/>
      <c r="N3849" s="23"/>
      <c r="P3849" s="23"/>
    </row>
    <row r="3850" spans="2:16" x14ac:dyDescent="0.25">
      <c r="B3850" s="23"/>
      <c r="E3850" s="23"/>
      <c r="G3850" s="23"/>
      <c r="H3850" s="23"/>
      <c r="J3850" s="23"/>
      <c r="K3850" s="23"/>
      <c r="M3850" s="23"/>
      <c r="N3850" s="23"/>
      <c r="P3850" s="23"/>
    </row>
    <row r="3851" spans="2:16" x14ac:dyDescent="0.25">
      <c r="B3851" s="23"/>
      <c r="E3851" s="23"/>
      <c r="G3851" s="23"/>
      <c r="H3851" s="23"/>
      <c r="J3851" s="23"/>
      <c r="K3851" s="23"/>
      <c r="M3851" s="23"/>
      <c r="N3851" s="23"/>
      <c r="P3851" s="23"/>
    </row>
    <row r="3852" spans="2:16" x14ac:dyDescent="0.25">
      <c r="B3852" s="23"/>
      <c r="E3852" s="23"/>
      <c r="G3852" s="23"/>
      <c r="H3852" s="23"/>
      <c r="J3852" s="23"/>
      <c r="K3852" s="23"/>
      <c r="M3852" s="23"/>
      <c r="N3852" s="23"/>
      <c r="P3852" s="23"/>
    </row>
    <row r="3853" spans="2:16" x14ac:dyDescent="0.25">
      <c r="B3853" s="23"/>
      <c r="E3853" s="23"/>
      <c r="G3853" s="23"/>
      <c r="H3853" s="23"/>
      <c r="J3853" s="23"/>
      <c r="K3853" s="23"/>
      <c r="M3853" s="23"/>
      <c r="N3853" s="23"/>
      <c r="P3853" s="23"/>
    </row>
    <row r="3854" spans="2:16" x14ac:dyDescent="0.25">
      <c r="B3854" s="23"/>
      <c r="E3854" s="23"/>
      <c r="G3854" s="23"/>
      <c r="H3854" s="23"/>
      <c r="J3854" s="23"/>
      <c r="K3854" s="23"/>
      <c r="M3854" s="23"/>
      <c r="N3854" s="23"/>
      <c r="P3854" s="23"/>
    </row>
    <row r="3855" spans="2:16" x14ac:dyDescent="0.25">
      <c r="B3855" s="23"/>
      <c r="E3855" s="23"/>
      <c r="G3855" s="23"/>
      <c r="H3855" s="23"/>
      <c r="J3855" s="23"/>
      <c r="K3855" s="23"/>
      <c r="M3855" s="23"/>
      <c r="N3855" s="23"/>
      <c r="P3855" s="23"/>
    </row>
    <row r="3856" spans="2:16" x14ac:dyDescent="0.25">
      <c r="B3856" s="23"/>
      <c r="E3856" s="23"/>
      <c r="G3856" s="23"/>
      <c r="H3856" s="23"/>
      <c r="J3856" s="23"/>
      <c r="K3856" s="23"/>
      <c r="M3856" s="23"/>
      <c r="N3856" s="23"/>
      <c r="P3856" s="23"/>
    </row>
    <row r="3857" spans="2:16" x14ac:dyDescent="0.25">
      <c r="B3857" s="23"/>
      <c r="E3857" s="23"/>
      <c r="G3857" s="23"/>
      <c r="H3857" s="23"/>
      <c r="J3857" s="23"/>
      <c r="K3857" s="23"/>
      <c r="M3857" s="23"/>
      <c r="N3857" s="23"/>
      <c r="P3857" s="23"/>
    </row>
    <row r="3858" spans="2:16" x14ac:dyDescent="0.25">
      <c r="B3858" s="23"/>
      <c r="E3858" s="23"/>
      <c r="G3858" s="23"/>
      <c r="H3858" s="23"/>
      <c r="J3858" s="23"/>
      <c r="K3858" s="23"/>
      <c r="M3858" s="23"/>
      <c r="N3858" s="23"/>
      <c r="P3858" s="23"/>
    </row>
    <row r="3859" spans="2:16" x14ac:dyDescent="0.25">
      <c r="B3859" s="23"/>
      <c r="E3859" s="23"/>
      <c r="G3859" s="23"/>
      <c r="H3859" s="23"/>
      <c r="J3859" s="23"/>
      <c r="K3859" s="23"/>
      <c r="M3859" s="23"/>
      <c r="N3859" s="23"/>
      <c r="P3859" s="23"/>
    </row>
    <row r="3860" spans="2:16" x14ac:dyDescent="0.25">
      <c r="B3860" s="23"/>
      <c r="E3860" s="23"/>
      <c r="G3860" s="23"/>
      <c r="H3860" s="23"/>
      <c r="J3860" s="23"/>
      <c r="K3860" s="23"/>
      <c r="M3860" s="23"/>
      <c r="N3860" s="23"/>
      <c r="P3860" s="23"/>
    </row>
    <row r="3861" spans="2:16" x14ac:dyDescent="0.25">
      <c r="B3861" s="23"/>
      <c r="E3861" s="23"/>
      <c r="G3861" s="23"/>
      <c r="H3861" s="23"/>
      <c r="J3861" s="23"/>
      <c r="K3861" s="23"/>
      <c r="M3861" s="23"/>
      <c r="N3861" s="23"/>
      <c r="P3861" s="23"/>
    </row>
    <row r="3862" spans="2:16" x14ac:dyDescent="0.25">
      <c r="B3862" s="23"/>
      <c r="E3862" s="23"/>
      <c r="G3862" s="23"/>
      <c r="H3862" s="23"/>
      <c r="J3862" s="23"/>
      <c r="K3862" s="23"/>
      <c r="M3862" s="23"/>
      <c r="N3862" s="23"/>
      <c r="P3862" s="23"/>
    </row>
    <row r="3863" spans="2:16" x14ac:dyDescent="0.25">
      <c r="B3863" s="23"/>
      <c r="E3863" s="23"/>
      <c r="G3863" s="23"/>
      <c r="H3863" s="23"/>
      <c r="J3863" s="23"/>
      <c r="K3863" s="23"/>
      <c r="M3863" s="23"/>
      <c r="N3863" s="23"/>
      <c r="P3863" s="23"/>
    </row>
    <row r="3864" spans="2:16" x14ac:dyDescent="0.25">
      <c r="B3864" s="23"/>
      <c r="E3864" s="23"/>
      <c r="G3864" s="23"/>
      <c r="H3864" s="23"/>
      <c r="J3864" s="23"/>
      <c r="K3864" s="23"/>
      <c r="M3864" s="23"/>
      <c r="N3864" s="23"/>
      <c r="P3864" s="23"/>
    </row>
    <row r="3865" spans="2:16" x14ac:dyDescent="0.25">
      <c r="B3865" s="23"/>
      <c r="E3865" s="23"/>
      <c r="G3865" s="23"/>
      <c r="H3865" s="23"/>
      <c r="J3865" s="23"/>
      <c r="K3865" s="23"/>
      <c r="M3865" s="23"/>
      <c r="N3865" s="23"/>
      <c r="P3865" s="23"/>
    </row>
    <row r="3866" spans="2:16" x14ac:dyDescent="0.25">
      <c r="B3866" s="23"/>
      <c r="E3866" s="23"/>
      <c r="G3866" s="23"/>
      <c r="H3866" s="23"/>
      <c r="J3866" s="23"/>
      <c r="K3866" s="23"/>
      <c r="M3866" s="23"/>
      <c r="N3866" s="23"/>
      <c r="P3866" s="23"/>
    </row>
    <row r="3867" spans="2:16" x14ac:dyDescent="0.25">
      <c r="B3867" s="23"/>
      <c r="E3867" s="23"/>
      <c r="G3867" s="23"/>
      <c r="H3867" s="23"/>
      <c r="J3867" s="23"/>
      <c r="K3867" s="23"/>
      <c r="M3867" s="23"/>
      <c r="N3867" s="23"/>
      <c r="P3867" s="23"/>
    </row>
    <row r="3868" spans="2:16" x14ac:dyDescent="0.25">
      <c r="B3868" s="23"/>
      <c r="E3868" s="23"/>
      <c r="G3868" s="23"/>
      <c r="H3868" s="23"/>
      <c r="J3868" s="23"/>
      <c r="K3868" s="23"/>
      <c r="M3868" s="23"/>
      <c r="N3868" s="23"/>
      <c r="P3868" s="23"/>
    </row>
    <row r="3869" spans="2:16" x14ac:dyDescent="0.25">
      <c r="B3869" s="23"/>
      <c r="E3869" s="23"/>
      <c r="G3869" s="23"/>
      <c r="H3869" s="23"/>
      <c r="J3869" s="23"/>
      <c r="K3869" s="23"/>
      <c r="M3869" s="23"/>
      <c r="N3869" s="23"/>
      <c r="P3869" s="23"/>
    </row>
    <row r="3870" spans="2:16" x14ac:dyDescent="0.25">
      <c r="B3870" s="23"/>
      <c r="E3870" s="23"/>
      <c r="G3870" s="23"/>
      <c r="H3870" s="23"/>
      <c r="J3870" s="23"/>
      <c r="K3870" s="23"/>
      <c r="M3870" s="23"/>
      <c r="N3870" s="23"/>
      <c r="P3870" s="23"/>
    </row>
    <row r="3871" spans="2:16" x14ac:dyDescent="0.25">
      <c r="B3871" s="23"/>
      <c r="E3871" s="23"/>
      <c r="G3871" s="23"/>
      <c r="H3871" s="23"/>
      <c r="J3871" s="23"/>
      <c r="K3871" s="23"/>
      <c r="M3871" s="23"/>
      <c r="N3871" s="23"/>
      <c r="P3871" s="23"/>
    </row>
    <row r="3872" spans="2:16" x14ac:dyDescent="0.25">
      <c r="B3872" s="23"/>
      <c r="E3872" s="23"/>
      <c r="G3872" s="23"/>
      <c r="H3872" s="23"/>
      <c r="J3872" s="23"/>
      <c r="K3872" s="23"/>
      <c r="M3872" s="23"/>
      <c r="N3872" s="23"/>
      <c r="P3872" s="23"/>
    </row>
    <row r="3873" spans="2:16" x14ac:dyDescent="0.25">
      <c r="B3873" s="23"/>
      <c r="E3873" s="23"/>
      <c r="G3873" s="23"/>
      <c r="H3873" s="23"/>
      <c r="J3873" s="23"/>
      <c r="K3873" s="23"/>
      <c r="M3873" s="23"/>
      <c r="N3873" s="23"/>
      <c r="P3873" s="23"/>
    </row>
    <row r="3874" spans="2:16" x14ac:dyDescent="0.25">
      <c r="B3874" s="23"/>
      <c r="E3874" s="23"/>
      <c r="G3874" s="23"/>
      <c r="H3874" s="23"/>
      <c r="J3874" s="23"/>
      <c r="K3874" s="23"/>
      <c r="M3874" s="23"/>
      <c r="N3874" s="23"/>
      <c r="P3874" s="23"/>
    </row>
    <row r="3875" spans="2:16" x14ac:dyDescent="0.25">
      <c r="B3875" s="23"/>
      <c r="E3875" s="23"/>
      <c r="G3875" s="23"/>
      <c r="H3875" s="23"/>
      <c r="J3875" s="23"/>
      <c r="K3875" s="23"/>
      <c r="M3875" s="23"/>
      <c r="N3875" s="23"/>
      <c r="P3875" s="23"/>
    </row>
    <row r="3876" spans="2:16" x14ac:dyDescent="0.25">
      <c r="B3876" s="23"/>
      <c r="E3876" s="23"/>
      <c r="G3876" s="23"/>
      <c r="H3876" s="23"/>
      <c r="J3876" s="23"/>
      <c r="K3876" s="23"/>
      <c r="M3876" s="23"/>
      <c r="N3876" s="23"/>
      <c r="P3876" s="23"/>
    </row>
    <row r="3877" spans="2:16" x14ac:dyDescent="0.25">
      <c r="B3877" s="23"/>
      <c r="E3877" s="23"/>
      <c r="G3877" s="23"/>
      <c r="H3877" s="23"/>
      <c r="J3877" s="23"/>
      <c r="K3877" s="23"/>
      <c r="M3877" s="23"/>
      <c r="N3877" s="23"/>
      <c r="P3877" s="23"/>
    </row>
    <row r="3878" spans="2:16" x14ac:dyDescent="0.25">
      <c r="B3878" s="23"/>
      <c r="E3878" s="23"/>
      <c r="G3878" s="23"/>
      <c r="H3878" s="23"/>
      <c r="J3878" s="23"/>
      <c r="K3878" s="23"/>
      <c r="M3878" s="23"/>
      <c r="N3878" s="23"/>
      <c r="P3878" s="23"/>
    </row>
    <row r="3879" spans="2:16" x14ac:dyDescent="0.25">
      <c r="B3879" s="23"/>
      <c r="E3879" s="23"/>
      <c r="G3879" s="23"/>
      <c r="H3879" s="23"/>
      <c r="J3879" s="23"/>
      <c r="K3879" s="23"/>
      <c r="M3879" s="23"/>
      <c r="N3879" s="23"/>
      <c r="P3879" s="23"/>
    </row>
    <row r="3880" spans="2:16" x14ac:dyDescent="0.25">
      <c r="B3880" s="23"/>
      <c r="E3880" s="23"/>
      <c r="G3880" s="23"/>
      <c r="H3880" s="23"/>
      <c r="J3880" s="23"/>
      <c r="K3880" s="23"/>
      <c r="M3880" s="23"/>
      <c r="N3880" s="23"/>
      <c r="P3880" s="23"/>
    </row>
    <row r="3881" spans="2:16" x14ac:dyDescent="0.25">
      <c r="B3881" s="23"/>
      <c r="E3881" s="23"/>
      <c r="G3881" s="23"/>
      <c r="H3881" s="23"/>
      <c r="J3881" s="23"/>
      <c r="K3881" s="23"/>
      <c r="M3881" s="23"/>
      <c r="N3881" s="23"/>
      <c r="P3881" s="23"/>
    </row>
    <row r="3882" spans="2:16" x14ac:dyDescent="0.25">
      <c r="B3882" s="23"/>
      <c r="E3882" s="23"/>
      <c r="G3882" s="23"/>
      <c r="H3882" s="23"/>
      <c r="J3882" s="23"/>
      <c r="K3882" s="23"/>
      <c r="M3882" s="23"/>
      <c r="N3882" s="23"/>
      <c r="P3882" s="23"/>
    </row>
    <row r="3883" spans="2:16" x14ac:dyDescent="0.25">
      <c r="B3883" s="23"/>
      <c r="E3883" s="23"/>
      <c r="G3883" s="23"/>
      <c r="H3883" s="23"/>
      <c r="J3883" s="23"/>
      <c r="K3883" s="23"/>
      <c r="M3883" s="23"/>
      <c r="N3883" s="23"/>
      <c r="P3883" s="23"/>
    </row>
    <row r="3884" spans="2:16" x14ac:dyDescent="0.25">
      <c r="B3884" s="23"/>
      <c r="E3884" s="23"/>
      <c r="G3884" s="23"/>
      <c r="H3884" s="23"/>
      <c r="J3884" s="23"/>
      <c r="K3884" s="23"/>
      <c r="M3884" s="23"/>
      <c r="N3884" s="23"/>
      <c r="P3884" s="23"/>
    </row>
    <row r="3885" spans="2:16" x14ac:dyDescent="0.25">
      <c r="B3885" s="23"/>
      <c r="E3885" s="23"/>
      <c r="G3885" s="23"/>
      <c r="H3885" s="23"/>
      <c r="J3885" s="23"/>
      <c r="K3885" s="23"/>
      <c r="M3885" s="23"/>
      <c r="N3885" s="23"/>
      <c r="P3885" s="23"/>
    </row>
    <row r="3886" spans="2:16" x14ac:dyDescent="0.25">
      <c r="B3886" s="23"/>
      <c r="E3886" s="23"/>
      <c r="G3886" s="23"/>
      <c r="H3886" s="23"/>
      <c r="J3886" s="23"/>
      <c r="K3886" s="23"/>
      <c r="M3886" s="23"/>
      <c r="N3886" s="23"/>
      <c r="P3886" s="23"/>
    </row>
    <row r="3887" spans="2:16" x14ac:dyDescent="0.25">
      <c r="B3887" s="23"/>
      <c r="E3887" s="23"/>
      <c r="G3887" s="23"/>
      <c r="H3887" s="23"/>
      <c r="J3887" s="23"/>
      <c r="K3887" s="23"/>
      <c r="M3887" s="23"/>
      <c r="N3887" s="23"/>
      <c r="P3887" s="23"/>
    </row>
    <row r="3888" spans="2:16" x14ac:dyDescent="0.25">
      <c r="B3888" s="23"/>
      <c r="E3888" s="23"/>
      <c r="G3888" s="23"/>
      <c r="H3888" s="23"/>
      <c r="J3888" s="23"/>
      <c r="K3888" s="23"/>
      <c r="M3888" s="23"/>
      <c r="N3888" s="23"/>
      <c r="P3888" s="23"/>
    </row>
    <row r="3889" spans="2:16" x14ac:dyDescent="0.25">
      <c r="B3889" s="23"/>
      <c r="E3889" s="23"/>
      <c r="G3889" s="23"/>
      <c r="H3889" s="23"/>
      <c r="J3889" s="23"/>
      <c r="K3889" s="23"/>
      <c r="M3889" s="23"/>
      <c r="N3889" s="23"/>
      <c r="P3889" s="23"/>
    </row>
    <row r="3890" spans="2:16" x14ac:dyDescent="0.25">
      <c r="B3890" s="23"/>
      <c r="E3890" s="23"/>
      <c r="G3890" s="23"/>
      <c r="H3890" s="23"/>
      <c r="J3890" s="23"/>
      <c r="K3890" s="23"/>
      <c r="M3890" s="23"/>
      <c r="N3890" s="23"/>
      <c r="P3890" s="23"/>
    </row>
    <row r="3891" spans="2:16" x14ac:dyDescent="0.25">
      <c r="B3891" s="23"/>
      <c r="E3891" s="23"/>
      <c r="G3891" s="23"/>
      <c r="H3891" s="23"/>
      <c r="J3891" s="23"/>
      <c r="K3891" s="23"/>
      <c r="M3891" s="23"/>
      <c r="N3891" s="23"/>
      <c r="P3891" s="23"/>
    </row>
    <row r="3892" spans="2:16" x14ac:dyDescent="0.25">
      <c r="B3892" s="23"/>
      <c r="E3892" s="23"/>
      <c r="G3892" s="23"/>
      <c r="H3892" s="23"/>
      <c r="J3892" s="23"/>
      <c r="K3892" s="23"/>
      <c r="M3892" s="23"/>
      <c r="N3892" s="23"/>
      <c r="P3892" s="23"/>
    </row>
    <row r="3893" spans="2:16" x14ac:dyDescent="0.25">
      <c r="B3893" s="23"/>
      <c r="E3893" s="23"/>
      <c r="G3893" s="23"/>
      <c r="H3893" s="23"/>
      <c r="J3893" s="23"/>
      <c r="K3893" s="23"/>
      <c r="M3893" s="23"/>
      <c r="N3893" s="23"/>
      <c r="P3893" s="23"/>
    </row>
    <row r="3894" spans="2:16" x14ac:dyDescent="0.25">
      <c r="B3894" s="23"/>
      <c r="E3894" s="23"/>
      <c r="G3894" s="23"/>
      <c r="H3894" s="23"/>
      <c r="J3894" s="23"/>
      <c r="K3894" s="23"/>
      <c r="M3894" s="23"/>
      <c r="N3894" s="23"/>
      <c r="P3894" s="23"/>
    </row>
    <row r="3895" spans="2:16" x14ac:dyDescent="0.25">
      <c r="B3895" s="23"/>
      <c r="E3895" s="23"/>
      <c r="G3895" s="23"/>
      <c r="H3895" s="23"/>
      <c r="J3895" s="23"/>
      <c r="K3895" s="23"/>
      <c r="M3895" s="23"/>
      <c r="N3895" s="23"/>
      <c r="P3895" s="23"/>
    </row>
    <row r="3896" spans="2:16" x14ac:dyDescent="0.25">
      <c r="B3896" s="23"/>
      <c r="E3896" s="23"/>
      <c r="G3896" s="23"/>
      <c r="H3896" s="23"/>
      <c r="J3896" s="23"/>
      <c r="K3896" s="23"/>
      <c r="M3896" s="23"/>
      <c r="N3896" s="23"/>
      <c r="P3896" s="23"/>
    </row>
    <row r="3897" spans="2:16" x14ac:dyDescent="0.25">
      <c r="B3897" s="23"/>
      <c r="E3897" s="23"/>
      <c r="G3897" s="23"/>
      <c r="H3897" s="23"/>
      <c r="J3897" s="23"/>
      <c r="K3897" s="23"/>
      <c r="M3897" s="23"/>
      <c r="N3897" s="23"/>
      <c r="P3897" s="23"/>
    </row>
    <row r="3898" spans="2:16" x14ac:dyDescent="0.25">
      <c r="B3898" s="23"/>
      <c r="E3898" s="23"/>
      <c r="G3898" s="23"/>
      <c r="H3898" s="23"/>
      <c r="J3898" s="23"/>
      <c r="K3898" s="23"/>
      <c r="M3898" s="23"/>
      <c r="N3898" s="23"/>
      <c r="P3898" s="23"/>
    </row>
    <row r="3899" spans="2:16" x14ac:dyDescent="0.25">
      <c r="B3899" s="23"/>
      <c r="E3899" s="23"/>
      <c r="G3899" s="23"/>
      <c r="H3899" s="23"/>
      <c r="J3899" s="23"/>
      <c r="K3899" s="23"/>
      <c r="M3899" s="23"/>
      <c r="N3899" s="23"/>
      <c r="P3899" s="23"/>
    </row>
    <row r="3900" spans="2:16" x14ac:dyDescent="0.25">
      <c r="B3900" s="23"/>
      <c r="E3900" s="23"/>
      <c r="G3900" s="23"/>
      <c r="H3900" s="23"/>
      <c r="J3900" s="23"/>
      <c r="K3900" s="23"/>
      <c r="M3900" s="23"/>
      <c r="N3900" s="23"/>
      <c r="P3900" s="23"/>
    </row>
    <row r="3901" spans="2:16" x14ac:dyDescent="0.25">
      <c r="B3901" s="23"/>
      <c r="E3901" s="23"/>
      <c r="G3901" s="23"/>
      <c r="H3901" s="23"/>
      <c r="J3901" s="23"/>
      <c r="K3901" s="23"/>
      <c r="M3901" s="23"/>
      <c r="N3901" s="23"/>
      <c r="P3901" s="23"/>
    </row>
    <row r="3902" spans="2:16" x14ac:dyDescent="0.25">
      <c r="B3902" s="23"/>
      <c r="E3902" s="23"/>
      <c r="G3902" s="23"/>
      <c r="H3902" s="23"/>
      <c r="J3902" s="23"/>
      <c r="K3902" s="23"/>
      <c r="M3902" s="23"/>
      <c r="N3902" s="23"/>
      <c r="P3902" s="23"/>
    </row>
    <row r="3903" spans="2:16" x14ac:dyDescent="0.25">
      <c r="B3903" s="23"/>
      <c r="E3903" s="23"/>
      <c r="G3903" s="23"/>
      <c r="H3903" s="23"/>
      <c r="J3903" s="23"/>
      <c r="K3903" s="23"/>
      <c r="M3903" s="23"/>
      <c r="N3903" s="23"/>
      <c r="P3903" s="23"/>
    </row>
    <row r="3904" spans="2:16" x14ac:dyDescent="0.25">
      <c r="B3904" s="23"/>
      <c r="E3904" s="23"/>
      <c r="G3904" s="23"/>
      <c r="H3904" s="23"/>
      <c r="J3904" s="23"/>
      <c r="K3904" s="23"/>
      <c r="M3904" s="23"/>
      <c r="N3904" s="23"/>
      <c r="P3904" s="23"/>
    </row>
    <row r="3905" spans="2:16" x14ac:dyDescent="0.25">
      <c r="B3905" s="23"/>
      <c r="E3905" s="23"/>
      <c r="G3905" s="23"/>
      <c r="H3905" s="23"/>
      <c r="J3905" s="23"/>
      <c r="K3905" s="23"/>
      <c r="M3905" s="23"/>
      <c r="N3905" s="23"/>
      <c r="P3905" s="23"/>
    </row>
    <row r="3906" spans="2:16" x14ac:dyDescent="0.25">
      <c r="B3906" s="23"/>
      <c r="E3906" s="23"/>
      <c r="G3906" s="23"/>
      <c r="H3906" s="23"/>
      <c r="J3906" s="23"/>
      <c r="K3906" s="23"/>
      <c r="M3906" s="23"/>
      <c r="N3906" s="23"/>
      <c r="P3906" s="23"/>
    </row>
    <row r="3907" spans="2:16" x14ac:dyDescent="0.25">
      <c r="B3907" s="23"/>
      <c r="E3907" s="23"/>
      <c r="G3907" s="23"/>
      <c r="H3907" s="23"/>
      <c r="J3907" s="23"/>
      <c r="K3907" s="23"/>
      <c r="M3907" s="23"/>
      <c r="N3907" s="23"/>
      <c r="P3907" s="23"/>
    </row>
    <row r="3908" spans="2:16" x14ac:dyDescent="0.25">
      <c r="B3908" s="23"/>
      <c r="E3908" s="23"/>
      <c r="G3908" s="23"/>
      <c r="H3908" s="23"/>
      <c r="J3908" s="23"/>
      <c r="K3908" s="23"/>
      <c r="M3908" s="23"/>
      <c r="N3908" s="23"/>
      <c r="P3908" s="23"/>
    </row>
    <row r="3909" spans="2:16" x14ac:dyDescent="0.25">
      <c r="B3909" s="23"/>
      <c r="E3909" s="23"/>
      <c r="G3909" s="23"/>
      <c r="H3909" s="23"/>
      <c r="J3909" s="23"/>
      <c r="K3909" s="23"/>
      <c r="M3909" s="23"/>
      <c r="N3909" s="23"/>
      <c r="P3909" s="23"/>
    </row>
    <row r="3910" spans="2:16" x14ac:dyDescent="0.25">
      <c r="B3910" s="23"/>
      <c r="E3910" s="23"/>
      <c r="G3910" s="23"/>
      <c r="H3910" s="23"/>
      <c r="J3910" s="23"/>
      <c r="K3910" s="23"/>
      <c r="M3910" s="23"/>
      <c r="N3910" s="23"/>
      <c r="P3910" s="23"/>
    </row>
    <row r="3911" spans="2:16" x14ac:dyDescent="0.25">
      <c r="B3911" s="23"/>
      <c r="E3911" s="23"/>
      <c r="G3911" s="23"/>
      <c r="H3911" s="23"/>
      <c r="J3911" s="23"/>
      <c r="K3911" s="23"/>
      <c r="M3911" s="23"/>
      <c r="N3911" s="23"/>
      <c r="P3911" s="23"/>
    </row>
    <row r="3912" spans="2:16" x14ac:dyDescent="0.25">
      <c r="B3912" s="23"/>
      <c r="E3912" s="23"/>
      <c r="G3912" s="23"/>
      <c r="H3912" s="23"/>
      <c r="J3912" s="23"/>
      <c r="K3912" s="23"/>
      <c r="M3912" s="23"/>
      <c r="N3912" s="23"/>
      <c r="P3912" s="23"/>
    </row>
    <row r="3913" spans="2:16" x14ac:dyDescent="0.25">
      <c r="B3913" s="23"/>
      <c r="E3913" s="23"/>
      <c r="G3913" s="23"/>
      <c r="H3913" s="23"/>
      <c r="J3913" s="23"/>
      <c r="K3913" s="23"/>
      <c r="M3913" s="23"/>
      <c r="N3913" s="23"/>
      <c r="P3913" s="23"/>
    </row>
    <row r="3914" spans="2:16" x14ac:dyDescent="0.25">
      <c r="B3914" s="23"/>
      <c r="E3914" s="23"/>
      <c r="G3914" s="23"/>
      <c r="H3914" s="23"/>
      <c r="J3914" s="23"/>
      <c r="K3914" s="23"/>
      <c r="M3914" s="23"/>
      <c r="N3914" s="23"/>
      <c r="P3914" s="23"/>
    </row>
    <row r="3915" spans="2:16" x14ac:dyDescent="0.25">
      <c r="B3915" s="23"/>
      <c r="E3915" s="23"/>
      <c r="G3915" s="23"/>
      <c r="H3915" s="23"/>
      <c r="J3915" s="23"/>
      <c r="K3915" s="23"/>
      <c r="M3915" s="23"/>
      <c r="N3915" s="23"/>
      <c r="P3915" s="23"/>
    </row>
    <row r="3916" spans="2:16" x14ac:dyDescent="0.25">
      <c r="B3916" s="23"/>
      <c r="E3916" s="23"/>
      <c r="G3916" s="23"/>
      <c r="H3916" s="23"/>
      <c r="J3916" s="23"/>
      <c r="K3916" s="23"/>
      <c r="M3916" s="23"/>
      <c r="N3916" s="23"/>
      <c r="P3916" s="23"/>
    </row>
    <row r="3917" spans="2:16" x14ac:dyDescent="0.25">
      <c r="B3917" s="23"/>
      <c r="E3917" s="23"/>
      <c r="G3917" s="23"/>
      <c r="H3917" s="23"/>
      <c r="J3917" s="23"/>
      <c r="K3917" s="23"/>
      <c r="M3917" s="23"/>
      <c r="N3917" s="23"/>
      <c r="P3917" s="23"/>
    </row>
    <row r="3918" spans="2:16" x14ac:dyDescent="0.25">
      <c r="B3918" s="23"/>
      <c r="E3918" s="23"/>
      <c r="G3918" s="23"/>
      <c r="H3918" s="23"/>
      <c r="J3918" s="23"/>
      <c r="K3918" s="23"/>
      <c r="M3918" s="23"/>
      <c r="N3918" s="23"/>
      <c r="P3918" s="23"/>
    </row>
    <row r="3919" spans="2:16" x14ac:dyDescent="0.25">
      <c r="B3919" s="23"/>
      <c r="E3919" s="23"/>
      <c r="G3919" s="23"/>
      <c r="H3919" s="23"/>
      <c r="J3919" s="23"/>
      <c r="K3919" s="23"/>
      <c r="M3919" s="23"/>
      <c r="N3919" s="23"/>
      <c r="P3919" s="23"/>
    </row>
    <row r="3920" spans="2:16" x14ac:dyDescent="0.25">
      <c r="B3920" s="23"/>
      <c r="E3920" s="23"/>
      <c r="G3920" s="23"/>
      <c r="H3920" s="23"/>
      <c r="J3920" s="23"/>
      <c r="K3920" s="23"/>
      <c r="M3920" s="23"/>
      <c r="N3920" s="23"/>
      <c r="P3920" s="23"/>
    </row>
    <row r="3921" spans="2:16" x14ac:dyDescent="0.25">
      <c r="B3921" s="23"/>
      <c r="E3921" s="23"/>
      <c r="G3921" s="23"/>
      <c r="H3921" s="23"/>
      <c r="J3921" s="23"/>
      <c r="K3921" s="23"/>
      <c r="M3921" s="23"/>
      <c r="N3921" s="23"/>
      <c r="P3921" s="23"/>
    </row>
    <row r="3922" spans="2:16" x14ac:dyDescent="0.25">
      <c r="B3922" s="23"/>
      <c r="E3922" s="23"/>
      <c r="G3922" s="23"/>
      <c r="H3922" s="23"/>
      <c r="J3922" s="23"/>
      <c r="K3922" s="23"/>
      <c r="M3922" s="23"/>
      <c r="N3922" s="23"/>
      <c r="P3922" s="23"/>
    </row>
    <row r="3923" spans="2:16" x14ac:dyDescent="0.25">
      <c r="B3923" s="23"/>
      <c r="E3923" s="23"/>
      <c r="G3923" s="23"/>
      <c r="H3923" s="23"/>
      <c r="J3923" s="23"/>
      <c r="K3923" s="23"/>
      <c r="M3923" s="23"/>
      <c r="N3923" s="23"/>
      <c r="P3923" s="23"/>
    </row>
    <row r="3924" spans="2:16" x14ac:dyDescent="0.25">
      <c r="B3924" s="23"/>
      <c r="E3924" s="23"/>
      <c r="G3924" s="23"/>
      <c r="H3924" s="23"/>
      <c r="J3924" s="23"/>
      <c r="K3924" s="23"/>
      <c r="M3924" s="23"/>
      <c r="N3924" s="23"/>
      <c r="P3924" s="23"/>
    </row>
    <row r="3925" spans="2:16" x14ac:dyDescent="0.25">
      <c r="B3925" s="23"/>
      <c r="E3925" s="23"/>
      <c r="G3925" s="23"/>
      <c r="H3925" s="23"/>
      <c r="J3925" s="23"/>
      <c r="K3925" s="23"/>
      <c r="M3925" s="23"/>
      <c r="N3925" s="23"/>
      <c r="P3925" s="23"/>
    </row>
    <row r="3926" spans="2:16" x14ac:dyDescent="0.25">
      <c r="B3926" s="23"/>
      <c r="E3926" s="23"/>
      <c r="G3926" s="23"/>
      <c r="H3926" s="23"/>
      <c r="J3926" s="23"/>
      <c r="K3926" s="23"/>
      <c r="M3926" s="23"/>
      <c r="N3926" s="23"/>
      <c r="P3926" s="23"/>
    </row>
    <row r="3927" spans="2:16" x14ac:dyDescent="0.25">
      <c r="B3927" s="23"/>
      <c r="E3927" s="23"/>
      <c r="G3927" s="23"/>
      <c r="H3927" s="23"/>
      <c r="J3927" s="23"/>
      <c r="K3927" s="23"/>
      <c r="M3927" s="23"/>
      <c r="N3927" s="23"/>
      <c r="P3927" s="23"/>
    </row>
    <row r="3928" spans="2:16" x14ac:dyDescent="0.25">
      <c r="B3928" s="23"/>
      <c r="E3928" s="23"/>
      <c r="G3928" s="23"/>
      <c r="H3928" s="23"/>
      <c r="J3928" s="23"/>
      <c r="K3928" s="23"/>
      <c r="M3928" s="23"/>
      <c r="N3928" s="23"/>
      <c r="P3928" s="23"/>
    </row>
    <row r="3929" spans="2:16" x14ac:dyDescent="0.25">
      <c r="B3929" s="23"/>
      <c r="E3929" s="23"/>
      <c r="G3929" s="23"/>
      <c r="H3929" s="23"/>
      <c r="J3929" s="23"/>
      <c r="K3929" s="23"/>
      <c r="M3929" s="23"/>
      <c r="N3929" s="23"/>
      <c r="P3929" s="23"/>
    </row>
    <row r="3930" spans="2:16" x14ac:dyDescent="0.25">
      <c r="B3930" s="23"/>
      <c r="E3930" s="23"/>
      <c r="G3930" s="23"/>
      <c r="H3930" s="23"/>
      <c r="J3930" s="23"/>
      <c r="K3930" s="23"/>
      <c r="M3930" s="23"/>
      <c r="N3930" s="23"/>
      <c r="P3930" s="23"/>
    </row>
    <row r="3931" spans="2:16" x14ac:dyDescent="0.25">
      <c r="B3931" s="23"/>
      <c r="E3931" s="23"/>
      <c r="G3931" s="23"/>
      <c r="H3931" s="23"/>
      <c r="J3931" s="23"/>
      <c r="K3931" s="23"/>
      <c r="M3931" s="23"/>
      <c r="N3931" s="23"/>
      <c r="P3931" s="23"/>
    </row>
    <row r="3932" spans="2:16" x14ac:dyDescent="0.25">
      <c r="B3932" s="23"/>
      <c r="E3932" s="23"/>
      <c r="G3932" s="23"/>
      <c r="H3932" s="23"/>
      <c r="J3932" s="23"/>
      <c r="K3932" s="23"/>
      <c r="M3932" s="23"/>
      <c r="N3932" s="23"/>
      <c r="P3932" s="23"/>
    </row>
    <row r="3933" spans="2:16" x14ac:dyDescent="0.25">
      <c r="B3933" s="23"/>
      <c r="E3933" s="23"/>
      <c r="G3933" s="23"/>
      <c r="H3933" s="23"/>
      <c r="J3933" s="23"/>
      <c r="K3933" s="23"/>
      <c r="M3933" s="23"/>
      <c r="N3933" s="23"/>
      <c r="P3933" s="23"/>
    </row>
    <row r="3934" spans="2:16" x14ac:dyDescent="0.25">
      <c r="B3934" s="23"/>
      <c r="E3934" s="23"/>
      <c r="G3934" s="23"/>
      <c r="H3934" s="23"/>
      <c r="J3934" s="23"/>
      <c r="K3934" s="23"/>
      <c r="M3934" s="23"/>
      <c r="N3934" s="23"/>
      <c r="P3934" s="23"/>
    </row>
    <row r="3935" spans="2:16" x14ac:dyDescent="0.25">
      <c r="B3935" s="23"/>
      <c r="E3935" s="23"/>
      <c r="G3935" s="23"/>
      <c r="H3935" s="23"/>
      <c r="J3935" s="23"/>
      <c r="K3935" s="23"/>
      <c r="M3935" s="23"/>
      <c r="N3935" s="23"/>
      <c r="P3935" s="23"/>
    </row>
    <row r="3936" spans="2:16" x14ac:dyDescent="0.25">
      <c r="B3936" s="23"/>
      <c r="E3936" s="23"/>
      <c r="G3936" s="23"/>
      <c r="H3936" s="23"/>
      <c r="J3936" s="23"/>
      <c r="K3936" s="23"/>
      <c r="M3936" s="23"/>
      <c r="N3936" s="23"/>
      <c r="P3936" s="23"/>
    </row>
    <row r="3937" spans="2:16" x14ac:dyDescent="0.25">
      <c r="B3937" s="23"/>
      <c r="E3937" s="23"/>
      <c r="G3937" s="23"/>
      <c r="H3937" s="23"/>
      <c r="J3937" s="23"/>
      <c r="K3937" s="23"/>
      <c r="M3937" s="23"/>
      <c r="N3937" s="23"/>
      <c r="P3937" s="23"/>
    </row>
    <row r="3938" spans="2:16" x14ac:dyDescent="0.25">
      <c r="B3938" s="23"/>
      <c r="E3938" s="23"/>
      <c r="G3938" s="23"/>
      <c r="H3938" s="23"/>
      <c r="J3938" s="23"/>
      <c r="K3938" s="23"/>
      <c r="M3938" s="23"/>
      <c r="N3938" s="23"/>
      <c r="P3938" s="23"/>
    </row>
    <row r="3939" spans="2:16" x14ac:dyDescent="0.25">
      <c r="B3939" s="23"/>
      <c r="E3939" s="23"/>
      <c r="G3939" s="23"/>
      <c r="H3939" s="23"/>
      <c r="J3939" s="23"/>
      <c r="K3939" s="23"/>
      <c r="M3939" s="23"/>
      <c r="N3939" s="23"/>
      <c r="P3939" s="23"/>
    </row>
    <row r="3940" spans="2:16" x14ac:dyDescent="0.25">
      <c r="B3940" s="23"/>
      <c r="E3940" s="23"/>
      <c r="G3940" s="23"/>
      <c r="H3940" s="23"/>
      <c r="J3940" s="23"/>
      <c r="K3940" s="23"/>
      <c r="M3940" s="23"/>
      <c r="N3940" s="23"/>
      <c r="P3940" s="23"/>
    </row>
    <row r="3941" spans="2:16" x14ac:dyDescent="0.25">
      <c r="B3941" s="23"/>
      <c r="E3941" s="23"/>
      <c r="G3941" s="23"/>
      <c r="H3941" s="23"/>
      <c r="J3941" s="23"/>
      <c r="K3941" s="23"/>
      <c r="M3941" s="23"/>
      <c r="N3941" s="23"/>
      <c r="P3941" s="23"/>
    </row>
    <row r="3942" spans="2:16" x14ac:dyDescent="0.25">
      <c r="B3942" s="23"/>
      <c r="E3942" s="23"/>
      <c r="G3942" s="23"/>
      <c r="H3942" s="23"/>
      <c r="J3942" s="23"/>
      <c r="K3942" s="23"/>
      <c r="M3942" s="23"/>
      <c r="N3942" s="23"/>
      <c r="P3942" s="23"/>
    </row>
    <row r="3943" spans="2:16" x14ac:dyDescent="0.25">
      <c r="B3943" s="23"/>
      <c r="E3943" s="23"/>
      <c r="G3943" s="23"/>
      <c r="H3943" s="23"/>
      <c r="J3943" s="23"/>
      <c r="K3943" s="23"/>
      <c r="M3943" s="23"/>
      <c r="N3943" s="23"/>
      <c r="P3943" s="23"/>
    </row>
    <row r="3944" spans="2:16" x14ac:dyDescent="0.25">
      <c r="B3944" s="23"/>
      <c r="E3944" s="23"/>
      <c r="G3944" s="23"/>
      <c r="H3944" s="23"/>
      <c r="J3944" s="23"/>
      <c r="K3944" s="23"/>
      <c r="M3944" s="23"/>
      <c r="N3944" s="23"/>
      <c r="P3944" s="23"/>
    </row>
    <row r="3945" spans="2:16" x14ac:dyDescent="0.25">
      <c r="B3945" s="23"/>
      <c r="E3945" s="23"/>
      <c r="G3945" s="23"/>
      <c r="H3945" s="23"/>
      <c r="J3945" s="23"/>
      <c r="K3945" s="23"/>
      <c r="M3945" s="23"/>
      <c r="N3945" s="23"/>
      <c r="P3945" s="23"/>
    </row>
    <row r="3946" spans="2:16" x14ac:dyDescent="0.25">
      <c r="B3946" s="23"/>
      <c r="E3946" s="23"/>
      <c r="G3946" s="23"/>
      <c r="H3946" s="23"/>
      <c r="J3946" s="23"/>
      <c r="K3946" s="23"/>
      <c r="M3946" s="23"/>
      <c r="N3946" s="23"/>
      <c r="P3946" s="23"/>
    </row>
    <row r="3947" spans="2:16" x14ac:dyDescent="0.25">
      <c r="B3947" s="23"/>
      <c r="E3947" s="23"/>
      <c r="G3947" s="23"/>
      <c r="H3947" s="23"/>
      <c r="J3947" s="23"/>
      <c r="K3947" s="23"/>
      <c r="M3947" s="23"/>
      <c r="N3947" s="23"/>
      <c r="P3947" s="23"/>
    </row>
    <row r="3948" spans="2:16" x14ac:dyDescent="0.25">
      <c r="B3948" s="23"/>
      <c r="E3948" s="23"/>
      <c r="G3948" s="23"/>
      <c r="H3948" s="23"/>
      <c r="J3948" s="23"/>
      <c r="K3948" s="23"/>
      <c r="M3948" s="23"/>
      <c r="N3948" s="23"/>
      <c r="P3948" s="23"/>
    </row>
    <row r="3949" spans="2:16" x14ac:dyDescent="0.25">
      <c r="B3949" s="23"/>
      <c r="E3949" s="23"/>
      <c r="G3949" s="23"/>
      <c r="H3949" s="23"/>
      <c r="J3949" s="23"/>
      <c r="K3949" s="23"/>
      <c r="M3949" s="23"/>
      <c r="N3949" s="23"/>
      <c r="P3949" s="23"/>
    </row>
    <row r="3950" spans="2:16" x14ac:dyDescent="0.25">
      <c r="B3950" s="23"/>
      <c r="E3950" s="23"/>
      <c r="G3950" s="23"/>
      <c r="H3950" s="23"/>
      <c r="J3950" s="23"/>
      <c r="K3950" s="23"/>
      <c r="M3950" s="23"/>
      <c r="N3950" s="23"/>
      <c r="P3950" s="23"/>
    </row>
    <row r="3951" spans="2:16" x14ac:dyDescent="0.25">
      <c r="B3951" s="23"/>
      <c r="E3951" s="23"/>
      <c r="G3951" s="23"/>
      <c r="H3951" s="23"/>
      <c r="J3951" s="23"/>
      <c r="K3951" s="23"/>
      <c r="M3951" s="23"/>
      <c r="N3951" s="23"/>
      <c r="P3951" s="23"/>
    </row>
    <row r="3952" spans="2:16" x14ac:dyDescent="0.25">
      <c r="B3952" s="23"/>
      <c r="E3952" s="23"/>
      <c r="G3952" s="23"/>
      <c r="H3952" s="23"/>
      <c r="J3952" s="23"/>
      <c r="K3952" s="23"/>
      <c r="M3952" s="23"/>
      <c r="N3952" s="23"/>
      <c r="P3952" s="23"/>
    </row>
    <row r="3953" spans="2:16" x14ac:dyDescent="0.25">
      <c r="B3953" s="23"/>
      <c r="E3953" s="23"/>
      <c r="G3953" s="23"/>
      <c r="H3953" s="23"/>
      <c r="J3953" s="23"/>
      <c r="K3953" s="23"/>
      <c r="M3953" s="23"/>
      <c r="N3953" s="23"/>
      <c r="P3953" s="23"/>
    </row>
    <row r="3954" spans="2:16" x14ac:dyDescent="0.25">
      <c r="B3954" s="23"/>
      <c r="E3954" s="23"/>
      <c r="G3954" s="23"/>
      <c r="H3954" s="23"/>
      <c r="J3954" s="23"/>
      <c r="K3954" s="23"/>
      <c r="M3954" s="23"/>
      <c r="N3954" s="23"/>
      <c r="P3954" s="23"/>
    </row>
    <row r="3955" spans="2:16" x14ac:dyDescent="0.25">
      <c r="B3955" s="23"/>
      <c r="E3955" s="23"/>
      <c r="G3955" s="23"/>
      <c r="H3955" s="23"/>
      <c r="J3955" s="23"/>
      <c r="K3955" s="23"/>
      <c r="M3955" s="23"/>
      <c r="N3955" s="23"/>
      <c r="P3955" s="23"/>
    </row>
    <row r="3956" spans="2:16" x14ac:dyDescent="0.25">
      <c r="B3956" s="23"/>
      <c r="E3956" s="23"/>
      <c r="G3956" s="23"/>
      <c r="H3956" s="23"/>
      <c r="J3956" s="23"/>
      <c r="K3956" s="23"/>
      <c r="M3956" s="23"/>
      <c r="N3956" s="23"/>
      <c r="P3956" s="23"/>
    </row>
    <row r="3957" spans="2:16" x14ac:dyDescent="0.25">
      <c r="B3957" s="23"/>
      <c r="E3957" s="23"/>
      <c r="G3957" s="23"/>
      <c r="H3957" s="23"/>
      <c r="J3957" s="23"/>
      <c r="K3957" s="23"/>
      <c r="M3957" s="23"/>
      <c r="N3957" s="23"/>
      <c r="P3957" s="23"/>
    </row>
    <row r="3958" spans="2:16" x14ac:dyDescent="0.25">
      <c r="B3958" s="23"/>
      <c r="E3958" s="23"/>
      <c r="G3958" s="23"/>
      <c r="H3958" s="23"/>
      <c r="J3958" s="23"/>
      <c r="K3958" s="23"/>
      <c r="M3958" s="23"/>
      <c r="N3958" s="23"/>
      <c r="P3958" s="23"/>
    </row>
    <row r="3959" spans="2:16" x14ac:dyDescent="0.25">
      <c r="B3959" s="23"/>
      <c r="E3959" s="23"/>
      <c r="G3959" s="23"/>
      <c r="H3959" s="23"/>
      <c r="J3959" s="23"/>
      <c r="K3959" s="23"/>
      <c r="M3959" s="23"/>
      <c r="N3959" s="23"/>
      <c r="P3959" s="23"/>
    </row>
    <row r="3960" spans="2:16" x14ac:dyDescent="0.25">
      <c r="B3960" s="23"/>
      <c r="E3960" s="23"/>
      <c r="G3960" s="23"/>
      <c r="H3960" s="23"/>
      <c r="J3960" s="23"/>
      <c r="K3960" s="23"/>
      <c r="M3960" s="23"/>
      <c r="N3960" s="23"/>
      <c r="P3960" s="23"/>
    </row>
    <row r="3961" spans="2:16" x14ac:dyDescent="0.25">
      <c r="B3961" s="23"/>
      <c r="E3961" s="23"/>
      <c r="G3961" s="23"/>
      <c r="H3961" s="23"/>
      <c r="J3961" s="23"/>
      <c r="K3961" s="23"/>
      <c r="M3961" s="23"/>
      <c r="N3961" s="23"/>
      <c r="P3961" s="23"/>
    </row>
    <row r="3962" spans="2:16" x14ac:dyDescent="0.25">
      <c r="B3962" s="23"/>
      <c r="E3962" s="23"/>
      <c r="G3962" s="23"/>
      <c r="H3962" s="23"/>
      <c r="J3962" s="23"/>
      <c r="K3962" s="23"/>
      <c r="M3962" s="23"/>
      <c r="N3962" s="23"/>
      <c r="P3962" s="23"/>
    </row>
    <row r="3963" spans="2:16" x14ac:dyDescent="0.25">
      <c r="B3963" s="23"/>
      <c r="E3963" s="23"/>
      <c r="G3963" s="23"/>
      <c r="H3963" s="23"/>
      <c r="J3963" s="23"/>
      <c r="K3963" s="23"/>
      <c r="M3963" s="23"/>
      <c r="N3963" s="23"/>
      <c r="P3963" s="23"/>
    </row>
    <row r="3964" spans="2:16" x14ac:dyDescent="0.25">
      <c r="B3964" s="23"/>
      <c r="E3964" s="23"/>
      <c r="G3964" s="23"/>
      <c r="H3964" s="23"/>
      <c r="J3964" s="23"/>
      <c r="K3964" s="23"/>
      <c r="M3964" s="23"/>
      <c r="N3964" s="23"/>
      <c r="P3964" s="23"/>
    </row>
    <row r="3965" spans="2:16" x14ac:dyDescent="0.25">
      <c r="B3965" s="23"/>
      <c r="E3965" s="23"/>
      <c r="G3965" s="23"/>
      <c r="H3965" s="23"/>
      <c r="J3965" s="23"/>
      <c r="K3965" s="23"/>
      <c r="M3965" s="23"/>
      <c r="N3965" s="23"/>
      <c r="P3965" s="23"/>
    </row>
    <row r="3966" spans="2:16" x14ac:dyDescent="0.25">
      <c r="B3966" s="23"/>
      <c r="E3966" s="23"/>
      <c r="G3966" s="23"/>
      <c r="H3966" s="23"/>
      <c r="J3966" s="23"/>
      <c r="K3966" s="23"/>
      <c r="M3966" s="23"/>
      <c r="N3966" s="23"/>
      <c r="P3966" s="23"/>
    </row>
    <row r="3967" spans="2:16" x14ac:dyDescent="0.25">
      <c r="B3967" s="23"/>
      <c r="E3967" s="23"/>
      <c r="G3967" s="23"/>
      <c r="H3967" s="23"/>
      <c r="J3967" s="23"/>
      <c r="K3967" s="23"/>
      <c r="M3967" s="23"/>
      <c r="N3967" s="23"/>
      <c r="P3967" s="23"/>
    </row>
    <row r="3968" spans="2:16" x14ac:dyDescent="0.25">
      <c r="B3968" s="23"/>
      <c r="E3968" s="23"/>
      <c r="G3968" s="23"/>
      <c r="H3968" s="23"/>
      <c r="J3968" s="23"/>
      <c r="K3968" s="23"/>
      <c r="M3968" s="23"/>
      <c r="N3968" s="23"/>
      <c r="P3968" s="23"/>
    </row>
    <row r="3969" spans="2:16" x14ac:dyDescent="0.25">
      <c r="B3969" s="23"/>
      <c r="E3969" s="23"/>
      <c r="G3969" s="23"/>
      <c r="H3969" s="23"/>
      <c r="J3969" s="23"/>
      <c r="K3969" s="23"/>
      <c r="M3969" s="23"/>
      <c r="N3969" s="23"/>
      <c r="P3969" s="23"/>
    </row>
    <row r="3970" spans="2:16" x14ac:dyDescent="0.25">
      <c r="B3970" s="23"/>
      <c r="E3970" s="23"/>
      <c r="G3970" s="23"/>
      <c r="H3970" s="23"/>
      <c r="J3970" s="23"/>
      <c r="K3970" s="23"/>
      <c r="M3970" s="23"/>
      <c r="N3970" s="23"/>
      <c r="P3970" s="23"/>
    </row>
    <row r="3971" spans="2:16" x14ac:dyDescent="0.25">
      <c r="B3971" s="23"/>
      <c r="E3971" s="23"/>
      <c r="G3971" s="23"/>
      <c r="H3971" s="23"/>
      <c r="J3971" s="23"/>
      <c r="K3971" s="23"/>
      <c r="M3971" s="23"/>
      <c r="N3971" s="23"/>
      <c r="P3971" s="23"/>
    </row>
    <row r="3972" spans="2:16" x14ac:dyDescent="0.25">
      <c r="B3972" s="23"/>
      <c r="E3972" s="23"/>
      <c r="G3972" s="23"/>
      <c r="H3972" s="23"/>
      <c r="J3972" s="23"/>
      <c r="K3972" s="23"/>
      <c r="M3972" s="23"/>
      <c r="N3972" s="23"/>
      <c r="P3972" s="23"/>
    </row>
    <row r="3973" spans="2:16" x14ac:dyDescent="0.25">
      <c r="B3973" s="23"/>
      <c r="E3973" s="23"/>
      <c r="G3973" s="23"/>
      <c r="H3973" s="23"/>
      <c r="J3973" s="23"/>
      <c r="K3973" s="23"/>
      <c r="M3973" s="23"/>
      <c r="N3973" s="23"/>
      <c r="P3973" s="23"/>
    </row>
    <row r="3974" spans="2:16" x14ac:dyDescent="0.25">
      <c r="B3974" s="23"/>
      <c r="E3974" s="23"/>
      <c r="G3974" s="23"/>
      <c r="H3974" s="23"/>
      <c r="J3974" s="23"/>
      <c r="K3974" s="23"/>
      <c r="M3974" s="23"/>
      <c r="N3974" s="23"/>
      <c r="P3974" s="23"/>
    </row>
    <row r="3975" spans="2:16" x14ac:dyDescent="0.25">
      <c r="B3975" s="23"/>
      <c r="E3975" s="23"/>
      <c r="G3975" s="23"/>
      <c r="H3975" s="23"/>
      <c r="J3975" s="23"/>
      <c r="K3975" s="23"/>
      <c r="M3975" s="23"/>
      <c r="N3975" s="23"/>
      <c r="P3975" s="23"/>
    </row>
    <row r="3976" spans="2:16" x14ac:dyDescent="0.25">
      <c r="B3976" s="23"/>
      <c r="E3976" s="23"/>
      <c r="G3976" s="23"/>
      <c r="H3976" s="23"/>
      <c r="J3976" s="23"/>
      <c r="K3976" s="23"/>
      <c r="M3976" s="23"/>
      <c r="N3976" s="23"/>
      <c r="P3976" s="23"/>
    </row>
    <row r="3977" spans="2:16" x14ac:dyDescent="0.25">
      <c r="B3977" s="23"/>
      <c r="E3977" s="23"/>
      <c r="G3977" s="23"/>
      <c r="H3977" s="23"/>
      <c r="J3977" s="23"/>
      <c r="K3977" s="23"/>
      <c r="M3977" s="23"/>
      <c r="N3977" s="23"/>
      <c r="P3977" s="23"/>
    </row>
    <row r="3978" spans="2:16" x14ac:dyDescent="0.25">
      <c r="B3978" s="23"/>
      <c r="E3978" s="23"/>
      <c r="G3978" s="23"/>
      <c r="H3978" s="23"/>
      <c r="J3978" s="23"/>
      <c r="K3978" s="23"/>
      <c r="M3978" s="23"/>
      <c r="N3978" s="23"/>
      <c r="P3978" s="23"/>
    </row>
    <row r="3979" spans="2:16" x14ac:dyDescent="0.25">
      <c r="B3979" s="23"/>
      <c r="E3979" s="23"/>
      <c r="G3979" s="23"/>
      <c r="H3979" s="23"/>
      <c r="J3979" s="23"/>
      <c r="K3979" s="23"/>
      <c r="M3979" s="23"/>
      <c r="N3979" s="23"/>
      <c r="P3979" s="23"/>
    </row>
    <row r="3980" spans="2:16" x14ac:dyDescent="0.25">
      <c r="B3980" s="23"/>
      <c r="E3980" s="23"/>
      <c r="G3980" s="23"/>
      <c r="H3980" s="23"/>
      <c r="J3980" s="23"/>
      <c r="K3980" s="23"/>
      <c r="M3980" s="23"/>
      <c r="N3980" s="23"/>
      <c r="P3980" s="23"/>
    </row>
    <row r="3981" spans="2:16" x14ac:dyDescent="0.25">
      <c r="B3981" s="23"/>
      <c r="E3981" s="23"/>
      <c r="G3981" s="23"/>
      <c r="H3981" s="23"/>
      <c r="J3981" s="23"/>
      <c r="K3981" s="23"/>
      <c r="M3981" s="23"/>
      <c r="N3981" s="23"/>
      <c r="P3981" s="23"/>
    </row>
    <row r="3982" spans="2:16" x14ac:dyDescent="0.25">
      <c r="B3982" s="23"/>
      <c r="E3982" s="23"/>
      <c r="G3982" s="23"/>
      <c r="H3982" s="23"/>
      <c r="J3982" s="23"/>
      <c r="K3982" s="23"/>
      <c r="M3982" s="23"/>
      <c r="N3982" s="23"/>
      <c r="P3982" s="23"/>
    </row>
    <row r="3983" spans="2:16" x14ac:dyDescent="0.25">
      <c r="B3983" s="23"/>
      <c r="E3983" s="23"/>
      <c r="G3983" s="23"/>
      <c r="H3983" s="23"/>
      <c r="J3983" s="23"/>
      <c r="K3983" s="23"/>
      <c r="M3983" s="23"/>
      <c r="N3983" s="23"/>
      <c r="P3983" s="23"/>
    </row>
    <row r="3984" spans="2:16" x14ac:dyDescent="0.25">
      <c r="B3984" s="23"/>
      <c r="E3984" s="23"/>
      <c r="G3984" s="23"/>
      <c r="H3984" s="23"/>
      <c r="J3984" s="23"/>
      <c r="K3984" s="23"/>
      <c r="M3984" s="23"/>
      <c r="N3984" s="23"/>
      <c r="P3984" s="23"/>
    </row>
    <row r="3985" spans="2:16" x14ac:dyDescent="0.25">
      <c r="B3985" s="23"/>
      <c r="E3985" s="23"/>
      <c r="G3985" s="23"/>
      <c r="H3985" s="23"/>
      <c r="J3985" s="23"/>
      <c r="K3985" s="23"/>
      <c r="M3985" s="23"/>
      <c r="N3985" s="23"/>
      <c r="P3985" s="23"/>
    </row>
    <row r="3986" spans="2:16" x14ac:dyDescent="0.25">
      <c r="B3986" s="23"/>
      <c r="E3986" s="23"/>
      <c r="G3986" s="23"/>
      <c r="H3986" s="23"/>
      <c r="J3986" s="23"/>
      <c r="K3986" s="23"/>
      <c r="M3986" s="23"/>
      <c r="N3986" s="23"/>
      <c r="P3986" s="23"/>
    </row>
    <row r="3987" spans="2:16" x14ac:dyDescent="0.25">
      <c r="B3987" s="23"/>
      <c r="E3987" s="23"/>
      <c r="G3987" s="23"/>
      <c r="H3987" s="23"/>
      <c r="J3987" s="23"/>
      <c r="K3987" s="23"/>
      <c r="M3987" s="23"/>
      <c r="N3987" s="23"/>
      <c r="P3987" s="23"/>
    </row>
    <row r="3988" spans="2:16" x14ac:dyDescent="0.25">
      <c r="B3988" s="23"/>
      <c r="E3988" s="23"/>
      <c r="G3988" s="23"/>
      <c r="H3988" s="23"/>
      <c r="J3988" s="23"/>
      <c r="K3988" s="23"/>
      <c r="M3988" s="23"/>
      <c r="N3988" s="23"/>
      <c r="P3988" s="23"/>
    </row>
    <row r="3989" spans="2:16" x14ac:dyDescent="0.25">
      <c r="B3989" s="23"/>
      <c r="E3989" s="23"/>
      <c r="G3989" s="23"/>
      <c r="H3989" s="23"/>
      <c r="J3989" s="23"/>
      <c r="K3989" s="23"/>
      <c r="M3989" s="23"/>
      <c r="N3989" s="23"/>
      <c r="P3989" s="23"/>
    </row>
    <row r="3990" spans="2:16" x14ac:dyDescent="0.25">
      <c r="B3990" s="23"/>
      <c r="E3990" s="23"/>
      <c r="G3990" s="23"/>
      <c r="H3990" s="23"/>
      <c r="J3990" s="23"/>
      <c r="K3990" s="23"/>
      <c r="M3990" s="23"/>
      <c r="N3990" s="23"/>
      <c r="P3990" s="23"/>
    </row>
    <row r="3991" spans="2:16" x14ac:dyDescent="0.25">
      <c r="B3991" s="23"/>
      <c r="E3991" s="23"/>
      <c r="G3991" s="23"/>
      <c r="H3991" s="23"/>
      <c r="J3991" s="23"/>
      <c r="K3991" s="23"/>
      <c r="M3991" s="23"/>
      <c r="N3991" s="23"/>
      <c r="P3991" s="23"/>
    </row>
    <row r="3992" spans="2:16" x14ac:dyDescent="0.25">
      <c r="B3992" s="23"/>
      <c r="E3992" s="23"/>
      <c r="G3992" s="23"/>
      <c r="H3992" s="23"/>
      <c r="J3992" s="23"/>
      <c r="K3992" s="23"/>
      <c r="M3992" s="23"/>
      <c r="N3992" s="23"/>
      <c r="P3992" s="23"/>
    </row>
    <row r="3993" spans="2:16" x14ac:dyDescent="0.25">
      <c r="B3993" s="23"/>
      <c r="E3993" s="23"/>
      <c r="G3993" s="23"/>
      <c r="H3993" s="23"/>
      <c r="J3993" s="23"/>
      <c r="K3993" s="23"/>
      <c r="M3993" s="23"/>
      <c r="N3993" s="23"/>
      <c r="P3993" s="23"/>
    </row>
    <row r="3994" spans="2:16" x14ac:dyDescent="0.25">
      <c r="B3994" s="23"/>
      <c r="E3994" s="23"/>
      <c r="G3994" s="23"/>
      <c r="H3994" s="23"/>
      <c r="J3994" s="23"/>
      <c r="K3994" s="23"/>
      <c r="M3994" s="23"/>
      <c r="N3994" s="23"/>
      <c r="P3994" s="23"/>
    </row>
    <row r="3995" spans="2:16" x14ac:dyDescent="0.25">
      <c r="B3995" s="23"/>
      <c r="E3995" s="23"/>
      <c r="G3995" s="23"/>
      <c r="H3995" s="23"/>
      <c r="J3995" s="23"/>
      <c r="K3995" s="23"/>
      <c r="M3995" s="23"/>
      <c r="N3995" s="23"/>
      <c r="P3995" s="23"/>
    </row>
    <row r="3996" spans="2:16" x14ac:dyDescent="0.25">
      <c r="B3996" s="23"/>
      <c r="E3996" s="23"/>
      <c r="G3996" s="23"/>
      <c r="H3996" s="23"/>
      <c r="J3996" s="23"/>
      <c r="K3996" s="23"/>
      <c r="M3996" s="23"/>
      <c r="N3996" s="23"/>
      <c r="P3996" s="23"/>
    </row>
    <row r="3997" spans="2:16" x14ac:dyDescent="0.25">
      <c r="B3997" s="23"/>
      <c r="E3997" s="23"/>
      <c r="G3997" s="23"/>
      <c r="H3997" s="23"/>
      <c r="J3997" s="23"/>
      <c r="K3997" s="23"/>
      <c r="M3997" s="23"/>
      <c r="N3997" s="23"/>
      <c r="P3997" s="23"/>
    </row>
    <row r="3998" spans="2:16" x14ac:dyDescent="0.25">
      <c r="B3998" s="23"/>
      <c r="E3998" s="23"/>
      <c r="G3998" s="23"/>
      <c r="H3998" s="23"/>
      <c r="J3998" s="23"/>
      <c r="K3998" s="23"/>
      <c r="M3998" s="23"/>
      <c r="N3998" s="23"/>
      <c r="P3998" s="23"/>
    </row>
    <row r="3999" spans="2:16" x14ac:dyDescent="0.25">
      <c r="B3999" s="23"/>
      <c r="E3999" s="23"/>
      <c r="G3999" s="23"/>
      <c r="H3999" s="23"/>
      <c r="J3999" s="23"/>
      <c r="K3999" s="23"/>
      <c r="M3999" s="23"/>
      <c r="N3999" s="23"/>
      <c r="P3999" s="23"/>
    </row>
    <row r="4000" spans="2:16" x14ac:dyDescent="0.25">
      <c r="B4000" s="23"/>
      <c r="E4000" s="23"/>
      <c r="G4000" s="23"/>
      <c r="H4000" s="23"/>
      <c r="J4000" s="23"/>
      <c r="K4000" s="23"/>
      <c r="M4000" s="23"/>
      <c r="N4000" s="23"/>
      <c r="P4000" s="23"/>
    </row>
    <row r="4001" spans="2:16" x14ac:dyDescent="0.25">
      <c r="B4001" s="23"/>
      <c r="E4001" s="23"/>
      <c r="G4001" s="23"/>
      <c r="H4001" s="23"/>
      <c r="J4001" s="23"/>
      <c r="K4001" s="23"/>
      <c r="M4001" s="23"/>
      <c r="N4001" s="23"/>
      <c r="P4001" s="23"/>
    </row>
    <row r="4002" spans="2:16" x14ac:dyDescent="0.25">
      <c r="B4002" s="23"/>
      <c r="E4002" s="23"/>
      <c r="G4002" s="23"/>
      <c r="H4002" s="23"/>
      <c r="J4002" s="23"/>
      <c r="K4002" s="23"/>
      <c r="M4002" s="23"/>
      <c r="N4002" s="23"/>
      <c r="P4002" s="23"/>
    </row>
    <row r="4003" spans="2:16" x14ac:dyDescent="0.25">
      <c r="B4003" s="23"/>
      <c r="E4003" s="23"/>
      <c r="G4003" s="23"/>
      <c r="H4003" s="23"/>
      <c r="J4003" s="23"/>
      <c r="K4003" s="23"/>
      <c r="M4003" s="23"/>
      <c r="N4003" s="23"/>
      <c r="P4003" s="23"/>
    </row>
    <row r="4004" spans="2:16" x14ac:dyDescent="0.25">
      <c r="B4004" s="23"/>
      <c r="E4004" s="23"/>
      <c r="G4004" s="23"/>
      <c r="H4004" s="23"/>
      <c r="J4004" s="23"/>
      <c r="K4004" s="23"/>
      <c r="M4004" s="23"/>
      <c r="N4004" s="23"/>
      <c r="P4004" s="23"/>
    </row>
    <row r="4005" spans="2:16" x14ac:dyDescent="0.25">
      <c r="B4005" s="23"/>
      <c r="E4005" s="23"/>
      <c r="G4005" s="23"/>
      <c r="H4005" s="23"/>
      <c r="J4005" s="23"/>
      <c r="K4005" s="23"/>
      <c r="M4005" s="23"/>
      <c r="N4005" s="23"/>
      <c r="P4005" s="23"/>
    </row>
    <row r="4006" spans="2:16" x14ac:dyDescent="0.25">
      <c r="B4006" s="23"/>
      <c r="E4006" s="23"/>
      <c r="G4006" s="23"/>
      <c r="H4006" s="23"/>
      <c r="J4006" s="23"/>
      <c r="K4006" s="23"/>
      <c r="M4006" s="23"/>
      <c r="N4006" s="23"/>
      <c r="P4006" s="23"/>
    </row>
    <row r="4007" spans="2:16" x14ac:dyDescent="0.25">
      <c r="B4007" s="23"/>
      <c r="E4007" s="23"/>
      <c r="G4007" s="23"/>
      <c r="H4007" s="23"/>
      <c r="J4007" s="23"/>
      <c r="K4007" s="23"/>
      <c r="M4007" s="23"/>
      <c r="N4007" s="23"/>
      <c r="P4007" s="23"/>
    </row>
    <row r="4008" spans="2:16" x14ac:dyDescent="0.25">
      <c r="B4008" s="23"/>
      <c r="E4008" s="23"/>
      <c r="G4008" s="23"/>
      <c r="H4008" s="23"/>
      <c r="J4008" s="23"/>
      <c r="K4008" s="23"/>
      <c r="M4008" s="23"/>
      <c r="N4008" s="23"/>
      <c r="P4008" s="23"/>
    </row>
    <row r="4009" spans="2:16" x14ac:dyDescent="0.25">
      <c r="B4009" s="23"/>
      <c r="E4009" s="23"/>
      <c r="G4009" s="23"/>
      <c r="H4009" s="23"/>
      <c r="J4009" s="23"/>
      <c r="K4009" s="23"/>
      <c r="M4009" s="23"/>
      <c r="N4009" s="23"/>
      <c r="P4009" s="23"/>
    </row>
    <row r="4010" spans="2:16" x14ac:dyDescent="0.25">
      <c r="B4010" s="23"/>
      <c r="E4010" s="23"/>
      <c r="G4010" s="23"/>
      <c r="H4010" s="23"/>
      <c r="J4010" s="23"/>
      <c r="K4010" s="23"/>
      <c r="M4010" s="23"/>
      <c r="N4010" s="23"/>
      <c r="P4010" s="23"/>
    </row>
    <row r="4011" spans="2:16" x14ac:dyDescent="0.25">
      <c r="B4011" s="23"/>
      <c r="E4011" s="23"/>
      <c r="G4011" s="23"/>
      <c r="H4011" s="23"/>
      <c r="J4011" s="23"/>
      <c r="K4011" s="23"/>
      <c r="M4011" s="23"/>
      <c r="N4011" s="23"/>
      <c r="P4011" s="23"/>
    </row>
    <row r="4012" spans="2:16" x14ac:dyDescent="0.25">
      <c r="B4012" s="23"/>
      <c r="E4012" s="23"/>
      <c r="G4012" s="23"/>
      <c r="H4012" s="23"/>
      <c r="J4012" s="23"/>
      <c r="K4012" s="23"/>
      <c r="M4012" s="23"/>
      <c r="N4012" s="23"/>
      <c r="P4012" s="23"/>
    </row>
    <row r="4013" spans="2:16" x14ac:dyDescent="0.25">
      <c r="B4013" s="23"/>
      <c r="E4013" s="23"/>
      <c r="G4013" s="23"/>
      <c r="H4013" s="23"/>
      <c r="J4013" s="23"/>
      <c r="K4013" s="23"/>
      <c r="M4013" s="23"/>
      <c r="N4013" s="23"/>
      <c r="P4013" s="23"/>
    </row>
    <row r="4014" spans="2:16" x14ac:dyDescent="0.25">
      <c r="B4014" s="23"/>
      <c r="E4014" s="23"/>
      <c r="G4014" s="23"/>
      <c r="H4014" s="23"/>
      <c r="J4014" s="23"/>
      <c r="K4014" s="23"/>
      <c r="M4014" s="23"/>
      <c r="N4014" s="23"/>
      <c r="P4014" s="23"/>
    </row>
    <row r="4015" spans="2:16" x14ac:dyDescent="0.25">
      <c r="B4015" s="23"/>
      <c r="E4015" s="23"/>
      <c r="G4015" s="23"/>
      <c r="H4015" s="23"/>
      <c r="J4015" s="23"/>
      <c r="K4015" s="23"/>
      <c r="M4015" s="23"/>
      <c r="N4015" s="23"/>
      <c r="P4015" s="23"/>
    </row>
    <row r="4016" spans="2:16" x14ac:dyDescent="0.25">
      <c r="B4016" s="23"/>
      <c r="E4016" s="23"/>
      <c r="G4016" s="23"/>
      <c r="H4016" s="23"/>
      <c r="J4016" s="23"/>
      <c r="K4016" s="23"/>
      <c r="M4016" s="23"/>
      <c r="N4016" s="23"/>
      <c r="P4016" s="23"/>
    </row>
    <row r="4017" spans="2:16" x14ac:dyDescent="0.25">
      <c r="B4017" s="23"/>
      <c r="E4017" s="23"/>
      <c r="G4017" s="23"/>
      <c r="H4017" s="23"/>
      <c r="J4017" s="23"/>
      <c r="K4017" s="23"/>
      <c r="M4017" s="23"/>
      <c r="N4017" s="23"/>
      <c r="P4017" s="23"/>
    </row>
    <row r="4018" spans="2:16" x14ac:dyDescent="0.25">
      <c r="B4018" s="23"/>
      <c r="E4018" s="23"/>
      <c r="G4018" s="23"/>
      <c r="H4018" s="23"/>
      <c r="J4018" s="23"/>
      <c r="K4018" s="23"/>
      <c r="M4018" s="23"/>
      <c r="N4018" s="23"/>
      <c r="P4018" s="23"/>
    </row>
    <row r="4019" spans="2:16" x14ac:dyDescent="0.25">
      <c r="B4019" s="23"/>
      <c r="E4019" s="23"/>
      <c r="G4019" s="23"/>
      <c r="H4019" s="23"/>
      <c r="J4019" s="23"/>
      <c r="K4019" s="23"/>
      <c r="M4019" s="23"/>
      <c r="N4019" s="23"/>
      <c r="P4019" s="23"/>
    </row>
    <row r="4020" spans="2:16" x14ac:dyDescent="0.25">
      <c r="B4020" s="23"/>
      <c r="E4020" s="23"/>
      <c r="G4020" s="23"/>
      <c r="H4020" s="23"/>
      <c r="J4020" s="23"/>
      <c r="K4020" s="23"/>
      <c r="M4020" s="23"/>
      <c r="N4020" s="23"/>
      <c r="P4020" s="23"/>
    </row>
    <row r="4021" spans="2:16" x14ac:dyDescent="0.25">
      <c r="B4021" s="23"/>
      <c r="E4021" s="23"/>
      <c r="G4021" s="23"/>
      <c r="H4021" s="23"/>
      <c r="J4021" s="23"/>
      <c r="K4021" s="23"/>
      <c r="M4021" s="23"/>
      <c r="N4021" s="23"/>
      <c r="P4021" s="23"/>
    </row>
    <row r="4022" spans="2:16" x14ac:dyDescent="0.25">
      <c r="B4022" s="23"/>
      <c r="E4022" s="23"/>
      <c r="G4022" s="23"/>
      <c r="H4022" s="23"/>
      <c r="J4022" s="23"/>
      <c r="K4022" s="23"/>
      <c r="M4022" s="23"/>
      <c r="N4022" s="23"/>
      <c r="P4022" s="23"/>
    </row>
    <row r="4023" spans="2:16" x14ac:dyDescent="0.25">
      <c r="B4023" s="23"/>
      <c r="E4023" s="23"/>
      <c r="G4023" s="23"/>
      <c r="H4023" s="23"/>
      <c r="J4023" s="23"/>
      <c r="K4023" s="23"/>
      <c r="M4023" s="23"/>
      <c r="N4023" s="23"/>
      <c r="P4023" s="23"/>
    </row>
    <row r="4024" spans="2:16" x14ac:dyDescent="0.25">
      <c r="B4024" s="23"/>
      <c r="E4024" s="23"/>
      <c r="G4024" s="23"/>
      <c r="H4024" s="23"/>
      <c r="J4024" s="23"/>
      <c r="K4024" s="23"/>
      <c r="M4024" s="23"/>
      <c r="N4024" s="23"/>
      <c r="P4024" s="23"/>
    </row>
    <row r="4025" spans="2:16" x14ac:dyDescent="0.25">
      <c r="B4025" s="23"/>
      <c r="E4025" s="23"/>
      <c r="G4025" s="23"/>
      <c r="H4025" s="23"/>
      <c r="J4025" s="23"/>
      <c r="K4025" s="23"/>
      <c r="M4025" s="23"/>
      <c r="N4025" s="23"/>
      <c r="P4025" s="23"/>
    </row>
    <row r="4026" spans="2:16" x14ac:dyDescent="0.25">
      <c r="B4026" s="23"/>
      <c r="E4026" s="23"/>
      <c r="G4026" s="23"/>
      <c r="H4026" s="23"/>
      <c r="J4026" s="23"/>
      <c r="K4026" s="23"/>
      <c r="M4026" s="23"/>
      <c r="N4026" s="23"/>
      <c r="P4026" s="23"/>
    </row>
    <row r="4027" spans="2:16" x14ac:dyDescent="0.25">
      <c r="B4027" s="23"/>
      <c r="E4027" s="23"/>
      <c r="G4027" s="23"/>
      <c r="H4027" s="23"/>
      <c r="J4027" s="23"/>
      <c r="K4027" s="23"/>
      <c r="M4027" s="23"/>
      <c r="N4027" s="23"/>
      <c r="P4027" s="23"/>
    </row>
    <row r="4028" spans="2:16" x14ac:dyDescent="0.25">
      <c r="B4028" s="23"/>
      <c r="E4028" s="23"/>
      <c r="G4028" s="23"/>
      <c r="H4028" s="23"/>
      <c r="J4028" s="23"/>
      <c r="K4028" s="23"/>
      <c r="M4028" s="23"/>
      <c r="N4028" s="23"/>
      <c r="P4028" s="23"/>
    </row>
    <row r="4029" spans="2:16" x14ac:dyDescent="0.25">
      <c r="B4029" s="23"/>
      <c r="E4029" s="23"/>
      <c r="G4029" s="23"/>
      <c r="H4029" s="23"/>
      <c r="J4029" s="23"/>
      <c r="K4029" s="23"/>
      <c r="M4029" s="23"/>
      <c r="N4029" s="23"/>
      <c r="P4029" s="23"/>
    </row>
    <row r="4030" spans="2:16" x14ac:dyDescent="0.25">
      <c r="B4030" s="23"/>
      <c r="E4030" s="23"/>
      <c r="G4030" s="23"/>
      <c r="H4030" s="23"/>
      <c r="J4030" s="23"/>
      <c r="K4030" s="23"/>
      <c r="M4030" s="23"/>
      <c r="N4030" s="23"/>
      <c r="P4030" s="23"/>
    </row>
    <row r="4031" spans="2:16" x14ac:dyDescent="0.25">
      <c r="B4031" s="23"/>
      <c r="E4031" s="23"/>
      <c r="G4031" s="23"/>
      <c r="H4031" s="23"/>
      <c r="J4031" s="23"/>
      <c r="K4031" s="23"/>
      <c r="M4031" s="23"/>
      <c r="N4031" s="23"/>
      <c r="P4031" s="23"/>
    </row>
    <row r="4032" spans="2:16" x14ac:dyDescent="0.25">
      <c r="B4032" s="23"/>
      <c r="E4032" s="23"/>
      <c r="G4032" s="23"/>
      <c r="H4032" s="23"/>
      <c r="J4032" s="23"/>
      <c r="K4032" s="23"/>
      <c r="M4032" s="23"/>
      <c r="N4032" s="23"/>
      <c r="P4032" s="23"/>
    </row>
    <row r="4033" spans="2:16" x14ac:dyDescent="0.25">
      <c r="B4033" s="23"/>
      <c r="E4033" s="23"/>
      <c r="G4033" s="23"/>
      <c r="H4033" s="23"/>
      <c r="J4033" s="23"/>
      <c r="K4033" s="23"/>
      <c r="M4033" s="23"/>
      <c r="N4033" s="23"/>
      <c r="P4033" s="23"/>
    </row>
    <row r="4034" spans="2:16" x14ac:dyDescent="0.25">
      <c r="B4034" s="23"/>
      <c r="E4034" s="23"/>
      <c r="G4034" s="23"/>
      <c r="H4034" s="23"/>
      <c r="J4034" s="23"/>
      <c r="K4034" s="23"/>
      <c r="M4034" s="23"/>
      <c r="N4034" s="23"/>
      <c r="P4034" s="23"/>
    </row>
    <row r="4035" spans="2:16" x14ac:dyDescent="0.25">
      <c r="B4035" s="23"/>
      <c r="E4035" s="23"/>
      <c r="G4035" s="23"/>
      <c r="H4035" s="23"/>
      <c r="J4035" s="23"/>
      <c r="K4035" s="23"/>
      <c r="M4035" s="23"/>
      <c r="N4035" s="23"/>
      <c r="P4035" s="23"/>
    </row>
    <row r="4036" spans="2:16" x14ac:dyDescent="0.25">
      <c r="B4036" s="23"/>
      <c r="E4036" s="23"/>
      <c r="G4036" s="23"/>
      <c r="H4036" s="23"/>
      <c r="J4036" s="23"/>
      <c r="K4036" s="23"/>
      <c r="M4036" s="23"/>
      <c r="N4036" s="23"/>
      <c r="P4036" s="23"/>
    </row>
    <row r="4037" spans="2:16" x14ac:dyDescent="0.25">
      <c r="B4037" s="23"/>
      <c r="E4037" s="23"/>
      <c r="G4037" s="23"/>
      <c r="H4037" s="23"/>
      <c r="J4037" s="23"/>
      <c r="K4037" s="23"/>
      <c r="M4037" s="23"/>
      <c r="N4037" s="23"/>
      <c r="P4037" s="23"/>
    </row>
    <row r="4038" spans="2:16" x14ac:dyDescent="0.25">
      <c r="B4038" s="23"/>
      <c r="E4038" s="23"/>
      <c r="G4038" s="23"/>
      <c r="H4038" s="23"/>
      <c r="J4038" s="23"/>
      <c r="K4038" s="23"/>
      <c r="M4038" s="23"/>
      <c r="N4038" s="23"/>
      <c r="P4038" s="23"/>
    </row>
    <row r="4039" spans="2:16" x14ac:dyDescent="0.25">
      <c r="B4039" s="23"/>
      <c r="E4039" s="23"/>
      <c r="G4039" s="23"/>
      <c r="H4039" s="23"/>
      <c r="J4039" s="23"/>
      <c r="K4039" s="23"/>
      <c r="M4039" s="23"/>
      <c r="N4039" s="23"/>
      <c r="P4039" s="23"/>
    </row>
    <row r="4040" spans="2:16" x14ac:dyDescent="0.25">
      <c r="B4040" s="23"/>
      <c r="E4040" s="23"/>
      <c r="G4040" s="23"/>
      <c r="H4040" s="23"/>
      <c r="J4040" s="23"/>
      <c r="K4040" s="23"/>
      <c r="M4040" s="23"/>
      <c r="N4040" s="23"/>
      <c r="P4040" s="23"/>
    </row>
    <row r="4041" spans="2:16" x14ac:dyDescent="0.25">
      <c r="B4041" s="23"/>
      <c r="E4041" s="23"/>
      <c r="G4041" s="23"/>
      <c r="H4041" s="23"/>
      <c r="J4041" s="23"/>
      <c r="K4041" s="23"/>
      <c r="M4041" s="23"/>
      <c r="N4041" s="23"/>
      <c r="P4041" s="23"/>
    </row>
    <row r="4042" spans="2:16" x14ac:dyDescent="0.25">
      <c r="B4042" s="23"/>
      <c r="E4042" s="23"/>
      <c r="G4042" s="23"/>
      <c r="H4042" s="23"/>
      <c r="J4042" s="23"/>
      <c r="K4042" s="23"/>
      <c r="M4042" s="23"/>
      <c r="N4042" s="23"/>
      <c r="P4042" s="23"/>
    </row>
    <row r="4043" spans="2:16" x14ac:dyDescent="0.25">
      <c r="B4043" s="23"/>
      <c r="E4043" s="23"/>
      <c r="G4043" s="23"/>
      <c r="H4043" s="23"/>
      <c r="J4043" s="23"/>
      <c r="K4043" s="23"/>
      <c r="M4043" s="23"/>
      <c r="N4043" s="23"/>
      <c r="P4043" s="23"/>
    </row>
    <row r="4044" spans="2:16" x14ac:dyDescent="0.25">
      <c r="B4044" s="23"/>
      <c r="E4044" s="23"/>
      <c r="G4044" s="23"/>
      <c r="H4044" s="23"/>
      <c r="J4044" s="23"/>
      <c r="K4044" s="23"/>
      <c r="M4044" s="23"/>
      <c r="N4044" s="23"/>
      <c r="P4044" s="23"/>
    </row>
    <row r="4045" spans="2:16" x14ac:dyDescent="0.25">
      <c r="B4045" s="23"/>
      <c r="E4045" s="23"/>
      <c r="G4045" s="23"/>
      <c r="H4045" s="23"/>
      <c r="J4045" s="23"/>
      <c r="K4045" s="23"/>
      <c r="M4045" s="23"/>
      <c r="N4045" s="23"/>
      <c r="P4045" s="23"/>
    </row>
    <row r="4046" spans="2:16" x14ac:dyDescent="0.25">
      <c r="B4046" s="23"/>
      <c r="E4046" s="23"/>
      <c r="G4046" s="23"/>
      <c r="H4046" s="23"/>
      <c r="J4046" s="23"/>
      <c r="K4046" s="23"/>
      <c r="M4046" s="23"/>
      <c r="N4046" s="23"/>
      <c r="P4046" s="23"/>
    </row>
    <row r="4047" spans="2:16" x14ac:dyDescent="0.25">
      <c r="B4047" s="23"/>
      <c r="E4047" s="23"/>
      <c r="G4047" s="23"/>
      <c r="H4047" s="23"/>
      <c r="J4047" s="23"/>
      <c r="K4047" s="23"/>
      <c r="M4047" s="23"/>
      <c r="N4047" s="23"/>
      <c r="P4047" s="23"/>
    </row>
    <row r="4048" spans="2:16" x14ac:dyDescent="0.25">
      <c r="B4048" s="23"/>
      <c r="E4048" s="23"/>
      <c r="G4048" s="23"/>
      <c r="H4048" s="23"/>
      <c r="J4048" s="23"/>
      <c r="K4048" s="23"/>
      <c r="M4048" s="23"/>
      <c r="N4048" s="23"/>
      <c r="P4048" s="23"/>
    </row>
    <row r="4049" spans="2:16" x14ac:dyDescent="0.25">
      <c r="B4049" s="23"/>
      <c r="E4049" s="23"/>
      <c r="G4049" s="23"/>
      <c r="H4049" s="23"/>
      <c r="J4049" s="23"/>
      <c r="K4049" s="23"/>
      <c r="M4049" s="23"/>
      <c r="N4049" s="23"/>
      <c r="P4049" s="23"/>
    </row>
    <row r="4050" spans="2:16" x14ac:dyDescent="0.25">
      <c r="B4050" s="23"/>
      <c r="E4050" s="23"/>
      <c r="G4050" s="23"/>
      <c r="H4050" s="23"/>
      <c r="J4050" s="23"/>
      <c r="K4050" s="23"/>
      <c r="M4050" s="23"/>
      <c r="N4050" s="23"/>
      <c r="P4050" s="23"/>
    </row>
    <row r="4051" spans="2:16" x14ac:dyDescent="0.25">
      <c r="B4051" s="23"/>
      <c r="E4051" s="23"/>
      <c r="G4051" s="23"/>
      <c r="H4051" s="23"/>
      <c r="J4051" s="23"/>
      <c r="K4051" s="23"/>
      <c r="M4051" s="23"/>
      <c r="N4051" s="23"/>
      <c r="P4051" s="23"/>
    </row>
    <row r="4052" spans="2:16" x14ac:dyDescent="0.25">
      <c r="B4052" s="23"/>
      <c r="E4052" s="23"/>
      <c r="G4052" s="23"/>
      <c r="H4052" s="23"/>
      <c r="J4052" s="23"/>
      <c r="K4052" s="23"/>
      <c r="M4052" s="23"/>
      <c r="N4052" s="23"/>
      <c r="P4052" s="23"/>
    </row>
    <row r="4053" spans="2:16" x14ac:dyDescent="0.25">
      <c r="B4053" s="23"/>
      <c r="E4053" s="23"/>
      <c r="G4053" s="23"/>
      <c r="H4053" s="23"/>
      <c r="J4053" s="23"/>
      <c r="K4053" s="23"/>
      <c r="M4053" s="23"/>
      <c r="N4053" s="23"/>
      <c r="P4053" s="23"/>
    </row>
    <row r="4054" spans="2:16" x14ac:dyDescent="0.25">
      <c r="B4054" s="23"/>
      <c r="E4054" s="23"/>
      <c r="G4054" s="23"/>
      <c r="H4054" s="23"/>
      <c r="J4054" s="23"/>
      <c r="K4054" s="23"/>
      <c r="M4054" s="23"/>
      <c r="N4054" s="23"/>
      <c r="P4054" s="23"/>
    </row>
    <row r="4055" spans="2:16" x14ac:dyDescent="0.25">
      <c r="B4055" s="23"/>
      <c r="E4055" s="23"/>
      <c r="G4055" s="23"/>
      <c r="H4055" s="23"/>
      <c r="J4055" s="23"/>
      <c r="K4055" s="23"/>
      <c r="M4055" s="23"/>
      <c r="N4055" s="23"/>
      <c r="P4055" s="23"/>
    </row>
    <row r="4056" spans="2:16" x14ac:dyDescent="0.25">
      <c r="B4056" s="23"/>
      <c r="E4056" s="23"/>
      <c r="G4056" s="23"/>
      <c r="H4056" s="23"/>
      <c r="J4056" s="23"/>
      <c r="K4056" s="23"/>
      <c r="M4056" s="23"/>
      <c r="N4056" s="23"/>
      <c r="P4056" s="23"/>
    </row>
    <row r="4057" spans="2:16" x14ac:dyDescent="0.25">
      <c r="B4057" s="23"/>
      <c r="E4057" s="23"/>
      <c r="G4057" s="23"/>
      <c r="H4057" s="23"/>
      <c r="J4057" s="23"/>
      <c r="K4057" s="23"/>
      <c r="M4057" s="23"/>
      <c r="N4057" s="23"/>
      <c r="P4057" s="23"/>
    </row>
    <row r="4058" spans="2:16" x14ac:dyDescent="0.25">
      <c r="B4058" s="23"/>
      <c r="E4058" s="23"/>
      <c r="G4058" s="23"/>
      <c r="H4058" s="23"/>
      <c r="J4058" s="23"/>
      <c r="K4058" s="23"/>
      <c r="M4058" s="23"/>
      <c r="N4058" s="23"/>
      <c r="P4058" s="23"/>
    </row>
    <row r="4059" spans="2:16" x14ac:dyDescent="0.25">
      <c r="B4059" s="23"/>
      <c r="E4059" s="23"/>
      <c r="G4059" s="23"/>
      <c r="H4059" s="23"/>
      <c r="J4059" s="23"/>
      <c r="K4059" s="23"/>
      <c r="M4059" s="23"/>
      <c r="N4059" s="23"/>
      <c r="P4059" s="23"/>
    </row>
    <row r="4060" spans="2:16" x14ac:dyDescent="0.25">
      <c r="B4060" s="23"/>
      <c r="E4060" s="23"/>
      <c r="G4060" s="23"/>
      <c r="H4060" s="23"/>
      <c r="J4060" s="23"/>
      <c r="K4060" s="23"/>
      <c r="M4060" s="23"/>
      <c r="N4060" s="23"/>
      <c r="P4060" s="23"/>
    </row>
    <row r="4061" spans="2:16" x14ac:dyDescent="0.25">
      <c r="B4061" s="23"/>
      <c r="E4061" s="23"/>
      <c r="G4061" s="23"/>
      <c r="H4061" s="23"/>
      <c r="J4061" s="23"/>
      <c r="K4061" s="23"/>
      <c r="M4061" s="23"/>
      <c r="N4061" s="23"/>
      <c r="P4061" s="23"/>
    </row>
    <row r="4062" spans="2:16" x14ac:dyDescent="0.25">
      <c r="B4062" s="23"/>
      <c r="E4062" s="23"/>
      <c r="G4062" s="23"/>
      <c r="H4062" s="23"/>
      <c r="J4062" s="23"/>
      <c r="K4062" s="23"/>
      <c r="M4062" s="23"/>
      <c r="N4062" s="23"/>
      <c r="P4062" s="23"/>
    </row>
    <row r="4063" spans="2:16" x14ac:dyDescent="0.25">
      <c r="B4063" s="23"/>
      <c r="E4063" s="23"/>
      <c r="G4063" s="23"/>
      <c r="H4063" s="23"/>
      <c r="J4063" s="23"/>
      <c r="K4063" s="23"/>
      <c r="M4063" s="23"/>
      <c r="N4063" s="23"/>
      <c r="P4063" s="23"/>
    </row>
    <row r="4064" spans="2:16" x14ac:dyDescent="0.25">
      <c r="B4064" s="23"/>
      <c r="E4064" s="23"/>
      <c r="G4064" s="23"/>
      <c r="H4064" s="23"/>
      <c r="J4064" s="23"/>
      <c r="K4064" s="23"/>
      <c r="M4064" s="23"/>
      <c r="N4064" s="23"/>
      <c r="P4064" s="23"/>
    </row>
    <row r="4065" spans="2:16" x14ac:dyDescent="0.25">
      <c r="B4065" s="23"/>
      <c r="E4065" s="23"/>
      <c r="G4065" s="23"/>
      <c r="H4065" s="23"/>
      <c r="J4065" s="23"/>
      <c r="K4065" s="23"/>
      <c r="M4065" s="23"/>
      <c r="N4065" s="23"/>
      <c r="P4065" s="23"/>
    </row>
    <row r="4066" spans="2:16" x14ac:dyDescent="0.25">
      <c r="B4066" s="23"/>
      <c r="E4066" s="23"/>
      <c r="G4066" s="23"/>
      <c r="H4066" s="23"/>
      <c r="J4066" s="23"/>
      <c r="K4066" s="23"/>
      <c r="M4066" s="23"/>
      <c r="N4066" s="23"/>
      <c r="P4066" s="23"/>
    </row>
    <row r="4067" spans="2:16" x14ac:dyDescent="0.25">
      <c r="B4067" s="23"/>
      <c r="E4067" s="23"/>
      <c r="G4067" s="23"/>
      <c r="H4067" s="23"/>
      <c r="J4067" s="23"/>
      <c r="K4067" s="23"/>
      <c r="M4067" s="23"/>
      <c r="N4067" s="23"/>
      <c r="P4067" s="23"/>
    </row>
    <row r="4068" spans="2:16" x14ac:dyDescent="0.25">
      <c r="B4068" s="23"/>
      <c r="E4068" s="23"/>
      <c r="G4068" s="23"/>
      <c r="H4068" s="23"/>
      <c r="J4068" s="23"/>
      <c r="K4068" s="23"/>
      <c r="M4068" s="23"/>
      <c r="N4068" s="23"/>
      <c r="P4068" s="23"/>
    </row>
    <row r="4069" spans="2:16" x14ac:dyDescent="0.25">
      <c r="B4069" s="23"/>
      <c r="E4069" s="23"/>
      <c r="G4069" s="23"/>
      <c r="H4069" s="23"/>
      <c r="J4069" s="23"/>
      <c r="K4069" s="23"/>
      <c r="M4069" s="23"/>
      <c r="N4069" s="23"/>
      <c r="P4069" s="23"/>
    </row>
    <row r="4070" spans="2:16" x14ac:dyDescent="0.25">
      <c r="B4070" s="23"/>
      <c r="E4070" s="23"/>
      <c r="G4070" s="23"/>
      <c r="H4070" s="23"/>
      <c r="J4070" s="23"/>
      <c r="K4070" s="23"/>
      <c r="M4070" s="23"/>
      <c r="N4070" s="23"/>
      <c r="P4070" s="23"/>
    </row>
    <row r="4071" spans="2:16" x14ac:dyDescent="0.25">
      <c r="B4071" s="23"/>
      <c r="E4071" s="23"/>
      <c r="G4071" s="23"/>
      <c r="H4071" s="23"/>
      <c r="J4071" s="23"/>
      <c r="K4071" s="23"/>
      <c r="M4071" s="23"/>
      <c r="N4071" s="23"/>
      <c r="P4071" s="23"/>
    </row>
    <row r="4072" spans="2:16" x14ac:dyDescent="0.25">
      <c r="B4072" s="23"/>
      <c r="E4072" s="23"/>
      <c r="G4072" s="23"/>
      <c r="H4072" s="23"/>
      <c r="J4072" s="23"/>
      <c r="K4072" s="23"/>
      <c r="M4072" s="23"/>
      <c r="N4072" s="23"/>
      <c r="P4072" s="23"/>
    </row>
    <row r="4073" spans="2:16" x14ac:dyDescent="0.25">
      <c r="B4073" s="23"/>
      <c r="E4073" s="23"/>
      <c r="G4073" s="23"/>
      <c r="H4073" s="23"/>
      <c r="J4073" s="23"/>
      <c r="K4073" s="23"/>
      <c r="M4073" s="23"/>
      <c r="N4073" s="23"/>
      <c r="P4073" s="23"/>
    </row>
    <row r="4074" spans="2:16" x14ac:dyDescent="0.25">
      <c r="B4074" s="23"/>
      <c r="E4074" s="23"/>
      <c r="G4074" s="23"/>
      <c r="H4074" s="23"/>
      <c r="J4074" s="23"/>
      <c r="K4074" s="23"/>
      <c r="M4074" s="23"/>
      <c r="N4074" s="23"/>
      <c r="P4074" s="23"/>
    </row>
    <row r="4075" spans="2:16" x14ac:dyDescent="0.25">
      <c r="B4075" s="23"/>
      <c r="E4075" s="23"/>
      <c r="G4075" s="23"/>
      <c r="H4075" s="23"/>
      <c r="J4075" s="23"/>
      <c r="K4075" s="23"/>
      <c r="M4075" s="23"/>
      <c r="N4075" s="23"/>
      <c r="P4075" s="23"/>
    </row>
    <row r="4076" spans="2:16" x14ac:dyDescent="0.25">
      <c r="B4076" s="23"/>
      <c r="E4076" s="23"/>
      <c r="G4076" s="23"/>
      <c r="H4076" s="23"/>
      <c r="J4076" s="23"/>
      <c r="K4076" s="23"/>
      <c r="M4076" s="23"/>
      <c r="N4076" s="23"/>
      <c r="P4076" s="23"/>
    </row>
    <row r="4077" spans="2:16" x14ac:dyDescent="0.25">
      <c r="B4077" s="23"/>
      <c r="E4077" s="23"/>
      <c r="G4077" s="23"/>
      <c r="H4077" s="23"/>
      <c r="J4077" s="23"/>
      <c r="K4077" s="23"/>
      <c r="M4077" s="23"/>
      <c r="N4077" s="23"/>
      <c r="P4077" s="23"/>
    </row>
    <row r="4078" spans="2:16" x14ac:dyDescent="0.25">
      <c r="B4078" s="23"/>
      <c r="E4078" s="23"/>
      <c r="G4078" s="23"/>
      <c r="H4078" s="23"/>
      <c r="J4078" s="23"/>
      <c r="K4078" s="23"/>
      <c r="M4078" s="23"/>
      <c r="N4078" s="23"/>
      <c r="P4078" s="23"/>
    </row>
    <row r="4079" spans="2:16" x14ac:dyDescent="0.25">
      <c r="B4079" s="23"/>
      <c r="E4079" s="23"/>
      <c r="G4079" s="23"/>
      <c r="H4079" s="23"/>
      <c r="J4079" s="23"/>
      <c r="K4079" s="23"/>
      <c r="M4079" s="23"/>
      <c r="N4079" s="23"/>
      <c r="P4079" s="23"/>
    </row>
    <row r="4080" spans="2:16" x14ac:dyDescent="0.25">
      <c r="B4080" s="23"/>
      <c r="E4080" s="23"/>
      <c r="G4080" s="23"/>
      <c r="H4080" s="23"/>
      <c r="J4080" s="23"/>
      <c r="K4080" s="23"/>
      <c r="M4080" s="23"/>
      <c r="N4080" s="23"/>
      <c r="P4080" s="23"/>
    </row>
    <row r="4081" spans="2:16" x14ac:dyDescent="0.25">
      <c r="B4081" s="23"/>
      <c r="E4081" s="23"/>
      <c r="G4081" s="23"/>
      <c r="H4081" s="23"/>
      <c r="J4081" s="23"/>
      <c r="K4081" s="23"/>
      <c r="M4081" s="23"/>
      <c r="N4081" s="23"/>
      <c r="P4081" s="23"/>
    </row>
    <row r="4082" spans="2:16" x14ac:dyDescent="0.25">
      <c r="B4082" s="23"/>
      <c r="E4082" s="23"/>
      <c r="G4082" s="23"/>
      <c r="H4082" s="23"/>
      <c r="J4082" s="23"/>
      <c r="K4082" s="23"/>
      <c r="M4082" s="23"/>
      <c r="N4082" s="23"/>
      <c r="P4082" s="23"/>
    </row>
    <row r="4083" spans="2:16" x14ac:dyDescent="0.25">
      <c r="B4083" s="23"/>
      <c r="E4083" s="23"/>
      <c r="G4083" s="23"/>
      <c r="H4083" s="23"/>
      <c r="J4083" s="23"/>
      <c r="K4083" s="23"/>
      <c r="M4083" s="23"/>
      <c r="N4083" s="23"/>
      <c r="P4083" s="23"/>
    </row>
    <row r="4084" spans="2:16" x14ac:dyDescent="0.25">
      <c r="B4084" s="23"/>
      <c r="E4084" s="23"/>
      <c r="G4084" s="23"/>
      <c r="H4084" s="23"/>
      <c r="J4084" s="23"/>
      <c r="K4084" s="23"/>
      <c r="M4084" s="23"/>
      <c r="N4084" s="23"/>
      <c r="P4084" s="23"/>
    </row>
    <row r="4085" spans="2:16" x14ac:dyDescent="0.25">
      <c r="B4085" s="23"/>
      <c r="E4085" s="23"/>
      <c r="G4085" s="23"/>
      <c r="H4085" s="23"/>
      <c r="J4085" s="23"/>
      <c r="K4085" s="23"/>
      <c r="M4085" s="23"/>
      <c r="N4085" s="23"/>
      <c r="P4085" s="23"/>
    </row>
    <row r="4086" spans="2:16" x14ac:dyDescent="0.25">
      <c r="B4086" s="23"/>
      <c r="E4086" s="23"/>
      <c r="G4086" s="23"/>
      <c r="H4086" s="23"/>
      <c r="J4086" s="23"/>
      <c r="K4086" s="23"/>
      <c r="M4086" s="23"/>
      <c r="N4086" s="23"/>
      <c r="P4086" s="23"/>
    </row>
    <row r="4087" spans="2:16" x14ac:dyDescent="0.25">
      <c r="B4087" s="23"/>
      <c r="E4087" s="23"/>
      <c r="G4087" s="23"/>
      <c r="H4087" s="23"/>
      <c r="J4087" s="23"/>
      <c r="K4087" s="23"/>
      <c r="M4087" s="23"/>
      <c r="N4087" s="23"/>
      <c r="P4087" s="23"/>
    </row>
    <row r="4088" spans="2:16" x14ac:dyDescent="0.25">
      <c r="B4088" s="23"/>
      <c r="E4088" s="23"/>
      <c r="G4088" s="23"/>
      <c r="H4088" s="23"/>
      <c r="J4088" s="23"/>
      <c r="K4088" s="23"/>
      <c r="M4088" s="23"/>
      <c r="N4088" s="23"/>
      <c r="P4088" s="23"/>
    </row>
    <row r="4089" spans="2:16" x14ac:dyDescent="0.25">
      <c r="B4089" s="23"/>
      <c r="E4089" s="23"/>
      <c r="G4089" s="23"/>
      <c r="H4089" s="23"/>
      <c r="J4089" s="23"/>
      <c r="K4089" s="23"/>
      <c r="M4089" s="23"/>
      <c r="N4089" s="23"/>
      <c r="P4089" s="23"/>
    </row>
    <row r="4090" spans="2:16" x14ac:dyDescent="0.25">
      <c r="B4090" s="23"/>
      <c r="E4090" s="23"/>
      <c r="G4090" s="23"/>
      <c r="H4090" s="23"/>
      <c r="J4090" s="23"/>
      <c r="K4090" s="23"/>
      <c r="M4090" s="23"/>
      <c r="N4090" s="23"/>
      <c r="P4090" s="23"/>
    </row>
    <row r="4091" spans="2:16" x14ac:dyDescent="0.25">
      <c r="B4091" s="23"/>
      <c r="E4091" s="23"/>
      <c r="G4091" s="23"/>
      <c r="H4091" s="23"/>
      <c r="J4091" s="23"/>
      <c r="K4091" s="23"/>
      <c r="M4091" s="23"/>
      <c r="N4091" s="23"/>
      <c r="P4091" s="23"/>
    </row>
    <row r="4092" spans="2:16" x14ac:dyDescent="0.25">
      <c r="B4092" s="23"/>
      <c r="E4092" s="23"/>
      <c r="G4092" s="23"/>
      <c r="H4092" s="23"/>
      <c r="J4092" s="23"/>
      <c r="K4092" s="23"/>
      <c r="M4092" s="23"/>
      <c r="N4092" s="23"/>
      <c r="P4092" s="23"/>
    </row>
    <row r="4093" spans="2:16" x14ac:dyDescent="0.25">
      <c r="B4093" s="23"/>
      <c r="E4093" s="23"/>
      <c r="G4093" s="23"/>
      <c r="H4093" s="23"/>
      <c r="J4093" s="23"/>
      <c r="K4093" s="23"/>
      <c r="M4093" s="23"/>
      <c r="N4093" s="23"/>
      <c r="P4093" s="23"/>
    </row>
    <row r="4094" spans="2:16" x14ac:dyDescent="0.25">
      <c r="B4094" s="23"/>
      <c r="E4094" s="23"/>
      <c r="G4094" s="23"/>
      <c r="H4094" s="23"/>
      <c r="J4094" s="23"/>
      <c r="K4094" s="23"/>
      <c r="M4094" s="23"/>
      <c r="N4094" s="23"/>
      <c r="P4094" s="23"/>
    </row>
    <row r="4095" spans="2:16" x14ac:dyDescent="0.25">
      <c r="B4095" s="23"/>
      <c r="E4095" s="23"/>
      <c r="G4095" s="23"/>
      <c r="H4095" s="23"/>
      <c r="J4095" s="23"/>
      <c r="K4095" s="23"/>
      <c r="M4095" s="23"/>
      <c r="N4095" s="23"/>
      <c r="P4095" s="23"/>
    </row>
    <row r="4096" spans="2:16" x14ac:dyDescent="0.25">
      <c r="B4096" s="23"/>
      <c r="E4096" s="23"/>
      <c r="G4096" s="23"/>
      <c r="H4096" s="23"/>
      <c r="J4096" s="23"/>
      <c r="K4096" s="23"/>
      <c r="M4096" s="23"/>
      <c r="N4096" s="23"/>
      <c r="P4096" s="23"/>
    </row>
    <row r="4097" spans="2:16" x14ac:dyDescent="0.25">
      <c r="B4097" s="23"/>
      <c r="E4097" s="23"/>
      <c r="G4097" s="23"/>
      <c r="H4097" s="23"/>
      <c r="J4097" s="23"/>
      <c r="K4097" s="23"/>
      <c r="M4097" s="23"/>
      <c r="N4097" s="23"/>
      <c r="P4097" s="23"/>
    </row>
    <row r="4098" spans="2:16" x14ac:dyDescent="0.25">
      <c r="B4098" s="23"/>
      <c r="E4098" s="23"/>
      <c r="G4098" s="23"/>
      <c r="H4098" s="23"/>
      <c r="J4098" s="23"/>
      <c r="K4098" s="23"/>
      <c r="M4098" s="23"/>
      <c r="N4098" s="23"/>
      <c r="P4098" s="23"/>
    </row>
    <row r="4099" spans="2:16" x14ac:dyDescent="0.25">
      <c r="B4099" s="23"/>
      <c r="E4099" s="23"/>
      <c r="G4099" s="23"/>
      <c r="H4099" s="23"/>
      <c r="J4099" s="23"/>
      <c r="K4099" s="23"/>
      <c r="M4099" s="23"/>
      <c r="N4099" s="23"/>
      <c r="P4099" s="23"/>
    </row>
    <row r="4100" spans="2:16" x14ac:dyDescent="0.25">
      <c r="B4100" s="23"/>
      <c r="E4100" s="23"/>
      <c r="G4100" s="23"/>
      <c r="H4100" s="23"/>
      <c r="J4100" s="23"/>
      <c r="K4100" s="23"/>
      <c r="M4100" s="23"/>
      <c r="N4100" s="23"/>
      <c r="P4100" s="23"/>
    </row>
    <row r="4101" spans="2:16" x14ac:dyDescent="0.25">
      <c r="B4101" s="23"/>
      <c r="E4101" s="23"/>
      <c r="G4101" s="23"/>
      <c r="H4101" s="23"/>
      <c r="J4101" s="23"/>
      <c r="K4101" s="23"/>
      <c r="M4101" s="23"/>
      <c r="N4101" s="23"/>
      <c r="P4101" s="23"/>
    </row>
    <row r="4102" spans="2:16" x14ac:dyDescent="0.25">
      <c r="B4102" s="23"/>
      <c r="E4102" s="23"/>
      <c r="G4102" s="23"/>
      <c r="H4102" s="23"/>
      <c r="J4102" s="23"/>
      <c r="K4102" s="23"/>
      <c r="M4102" s="23"/>
      <c r="N4102" s="23"/>
      <c r="P4102" s="23"/>
    </row>
    <row r="4103" spans="2:16" x14ac:dyDescent="0.25">
      <c r="B4103" s="23"/>
      <c r="E4103" s="23"/>
      <c r="G4103" s="23"/>
      <c r="H4103" s="23"/>
      <c r="J4103" s="23"/>
      <c r="K4103" s="23"/>
      <c r="M4103" s="23"/>
      <c r="N4103" s="23"/>
      <c r="P4103" s="23"/>
    </row>
    <row r="4104" spans="2:16" x14ac:dyDescent="0.25">
      <c r="B4104" s="23"/>
      <c r="E4104" s="23"/>
      <c r="G4104" s="23"/>
      <c r="H4104" s="23"/>
      <c r="J4104" s="23"/>
      <c r="K4104" s="23"/>
      <c r="M4104" s="23"/>
      <c r="N4104" s="23"/>
      <c r="P4104" s="23"/>
    </row>
    <row r="4105" spans="2:16" x14ac:dyDescent="0.25">
      <c r="B4105" s="23"/>
      <c r="E4105" s="23"/>
      <c r="G4105" s="23"/>
      <c r="H4105" s="23"/>
      <c r="J4105" s="23"/>
      <c r="K4105" s="23"/>
      <c r="M4105" s="23"/>
      <c r="N4105" s="23"/>
      <c r="P4105" s="23"/>
    </row>
    <row r="4106" spans="2:16" x14ac:dyDescent="0.25">
      <c r="B4106" s="23"/>
      <c r="E4106" s="23"/>
      <c r="G4106" s="23"/>
      <c r="H4106" s="23"/>
      <c r="J4106" s="23"/>
      <c r="K4106" s="23"/>
      <c r="M4106" s="23"/>
      <c r="N4106" s="23"/>
      <c r="P4106" s="23"/>
    </row>
    <row r="4107" spans="2:16" x14ac:dyDescent="0.25">
      <c r="B4107" s="23"/>
      <c r="E4107" s="23"/>
      <c r="G4107" s="23"/>
      <c r="H4107" s="23"/>
      <c r="J4107" s="23"/>
      <c r="K4107" s="23"/>
      <c r="M4107" s="23"/>
      <c r="N4107" s="23"/>
      <c r="P4107" s="23"/>
    </row>
    <row r="4108" spans="2:16" x14ac:dyDescent="0.25">
      <c r="B4108" s="23"/>
      <c r="E4108" s="23"/>
      <c r="G4108" s="23"/>
      <c r="H4108" s="23"/>
      <c r="J4108" s="23"/>
      <c r="K4108" s="23"/>
      <c r="M4108" s="23"/>
      <c r="N4108" s="23"/>
      <c r="P4108" s="23"/>
    </row>
    <row r="4109" spans="2:16" x14ac:dyDescent="0.25">
      <c r="B4109" s="23"/>
      <c r="E4109" s="23"/>
      <c r="G4109" s="23"/>
      <c r="H4109" s="23"/>
      <c r="J4109" s="23"/>
      <c r="K4109" s="23"/>
      <c r="M4109" s="23"/>
      <c r="N4109" s="23"/>
      <c r="P4109" s="23"/>
    </row>
    <row r="4110" spans="2:16" x14ac:dyDescent="0.25">
      <c r="B4110" s="23"/>
      <c r="E4110" s="23"/>
      <c r="G4110" s="23"/>
      <c r="H4110" s="23"/>
      <c r="J4110" s="23"/>
      <c r="K4110" s="23"/>
      <c r="M4110" s="23"/>
      <c r="N4110" s="23"/>
      <c r="P4110" s="23"/>
    </row>
    <row r="4111" spans="2:16" x14ac:dyDescent="0.25">
      <c r="B4111" s="23"/>
      <c r="E4111" s="23"/>
      <c r="G4111" s="23"/>
      <c r="H4111" s="23"/>
      <c r="J4111" s="23"/>
      <c r="K4111" s="23"/>
      <c r="M4111" s="23"/>
      <c r="N4111" s="23"/>
      <c r="P4111" s="23"/>
    </row>
    <row r="4112" spans="2:16" x14ac:dyDescent="0.25">
      <c r="B4112" s="23"/>
      <c r="E4112" s="23"/>
      <c r="G4112" s="23"/>
      <c r="H4112" s="23"/>
      <c r="J4112" s="23"/>
      <c r="K4112" s="23"/>
      <c r="M4112" s="23"/>
      <c r="N4112" s="23"/>
      <c r="P4112" s="23"/>
    </row>
    <row r="4113" spans="2:16" x14ac:dyDescent="0.25">
      <c r="B4113" s="23"/>
      <c r="E4113" s="23"/>
      <c r="G4113" s="23"/>
      <c r="H4113" s="23"/>
      <c r="J4113" s="23"/>
      <c r="K4113" s="23"/>
      <c r="M4113" s="23"/>
      <c r="N4113" s="23"/>
      <c r="P4113" s="23"/>
    </row>
    <row r="4114" spans="2:16" x14ac:dyDescent="0.25">
      <c r="B4114" s="23"/>
      <c r="E4114" s="23"/>
      <c r="G4114" s="23"/>
      <c r="H4114" s="23"/>
      <c r="J4114" s="23"/>
      <c r="K4114" s="23"/>
      <c r="M4114" s="23"/>
      <c r="N4114" s="23"/>
      <c r="P4114" s="23"/>
    </row>
    <row r="4115" spans="2:16" x14ac:dyDescent="0.25">
      <c r="B4115" s="23"/>
      <c r="E4115" s="23"/>
      <c r="G4115" s="23"/>
      <c r="H4115" s="23"/>
      <c r="J4115" s="23"/>
      <c r="K4115" s="23"/>
      <c r="M4115" s="23"/>
      <c r="N4115" s="23"/>
      <c r="P4115" s="23"/>
    </row>
    <row r="4116" spans="2:16" x14ac:dyDescent="0.25">
      <c r="B4116" s="23"/>
      <c r="E4116" s="23"/>
      <c r="G4116" s="23"/>
      <c r="H4116" s="23"/>
      <c r="J4116" s="23"/>
      <c r="K4116" s="23"/>
      <c r="M4116" s="23"/>
      <c r="N4116" s="23"/>
      <c r="P4116" s="23"/>
    </row>
    <row r="4117" spans="2:16" x14ac:dyDescent="0.25">
      <c r="B4117" s="23"/>
      <c r="E4117" s="23"/>
      <c r="G4117" s="23"/>
      <c r="H4117" s="23"/>
      <c r="J4117" s="23"/>
      <c r="K4117" s="23"/>
      <c r="M4117" s="23"/>
      <c r="N4117" s="23"/>
      <c r="P4117" s="23"/>
    </row>
    <row r="4118" spans="2:16" x14ac:dyDescent="0.25">
      <c r="B4118" s="23"/>
      <c r="E4118" s="23"/>
      <c r="G4118" s="23"/>
      <c r="H4118" s="23"/>
      <c r="J4118" s="23"/>
      <c r="K4118" s="23"/>
      <c r="M4118" s="23"/>
      <c r="N4118" s="23"/>
      <c r="P4118" s="23"/>
    </row>
    <row r="4119" spans="2:16" x14ac:dyDescent="0.25">
      <c r="B4119" s="23"/>
      <c r="E4119" s="23"/>
      <c r="G4119" s="23"/>
      <c r="H4119" s="23"/>
      <c r="J4119" s="23"/>
      <c r="K4119" s="23"/>
      <c r="M4119" s="23"/>
      <c r="N4119" s="23"/>
      <c r="P4119" s="23"/>
    </row>
    <row r="4120" spans="2:16" x14ac:dyDescent="0.25">
      <c r="B4120" s="23"/>
      <c r="E4120" s="23"/>
      <c r="G4120" s="23"/>
      <c r="H4120" s="23"/>
      <c r="J4120" s="23"/>
      <c r="K4120" s="23"/>
      <c r="M4120" s="23"/>
      <c r="N4120" s="23"/>
      <c r="P4120" s="23"/>
    </row>
    <row r="4121" spans="2:16" x14ac:dyDescent="0.25">
      <c r="B4121" s="23"/>
      <c r="E4121" s="23"/>
      <c r="G4121" s="23"/>
      <c r="H4121" s="23"/>
      <c r="J4121" s="23"/>
      <c r="K4121" s="23"/>
      <c r="M4121" s="23"/>
      <c r="N4121" s="23"/>
      <c r="P4121" s="23"/>
    </row>
    <row r="4122" spans="2:16" x14ac:dyDescent="0.25">
      <c r="B4122" s="23"/>
      <c r="E4122" s="23"/>
      <c r="G4122" s="23"/>
      <c r="H4122" s="23"/>
      <c r="J4122" s="23"/>
      <c r="K4122" s="23"/>
      <c r="M4122" s="23"/>
      <c r="N4122" s="23"/>
      <c r="P4122" s="23"/>
    </row>
    <row r="4123" spans="2:16" x14ac:dyDescent="0.25">
      <c r="B4123" s="23"/>
      <c r="E4123" s="23"/>
      <c r="G4123" s="23"/>
      <c r="H4123" s="23"/>
      <c r="J4123" s="23"/>
      <c r="K4123" s="23"/>
      <c r="M4123" s="23"/>
      <c r="N4123" s="23"/>
      <c r="P4123" s="23"/>
    </row>
    <row r="4124" spans="2:16" x14ac:dyDescent="0.25">
      <c r="B4124" s="23"/>
      <c r="E4124" s="23"/>
      <c r="G4124" s="23"/>
      <c r="H4124" s="23"/>
      <c r="J4124" s="23"/>
      <c r="K4124" s="23"/>
      <c r="M4124" s="23"/>
      <c r="N4124" s="23"/>
      <c r="P4124" s="23"/>
    </row>
    <row r="4125" spans="2:16" x14ac:dyDescent="0.25">
      <c r="B4125" s="23"/>
      <c r="E4125" s="23"/>
      <c r="G4125" s="23"/>
      <c r="H4125" s="23"/>
      <c r="J4125" s="23"/>
      <c r="K4125" s="23"/>
      <c r="M4125" s="23"/>
      <c r="N4125" s="23"/>
      <c r="P4125" s="23"/>
    </row>
    <row r="4126" spans="2:16" x14ac:dyDescent="0.25">
      <c r="B4126" s="23"/>
      <c r="E4126" s="23"/>
      <c r="G4126" s="23"/>
      <c r="H4126" s="23"/>
      <c r="J4126" s="23"/>
      <c r="K4126" s="23"/>
      <c r="M4126" s="23"/>
      <c r="N4126" s="23"/>
      <c r="P4126" s="23"/>
    </row>
    <row r="4127" spans="2:16" x14ac:dyDescent="0.25">
      <c r="B4127" s="23"/>
      <c r="E4127" s="23"/>
      <c r="G4127" s="23"/>
      <c r="H4127" s="23"/>
      <c r="J4127" s="23"/>
      <c r="K4127" s="23"/>
      <c r="M4127" s="23"/>
      <c r="N4127" s="23"/>
      <c r="P4127" s="23"/>
    </row>
    <row r="4128" spans="2:16" x14ac:dyDescent="0.25">
      <c r="B4128" s="23"/>
      <c r="E4128" s="23"/>
      <c r="G4128" s="23"/>
      <c r="H4128" s="23"/>
      <c r="J4128" s="23"/>
      <c r="K4128" s="23"/>
      <c r="M4128" s="23"/>
      <c r="N4128" s="23"/>
      <c r="P4128" s="23"/>
    </row>
    <row r="4129" spans="2:16" x14ac:dyDescent="0.25">
      <c r="B4129" s="23"/>
      <c r="E4129" s="23"/>
      <c r="G4129" s="23"/>
      <c r="H4129" s="23"/>
      <c r="J4129" s="23"/>
      <c r="K4129" s="23"/>
      <c r="M4129" s="23"/>
      <c r="N4129" s="23"/>
      <c r="P4129" s="23"/>
    </row>
    <row r="4130" spans="2:16" x14ac:dyDescent="0.25">
      <c r="B4130" s="23"/>
      <c r="E4130" s="23"/>
      <c r="G4130" s="23"/>
      <c r="H4130" s="23"/>
      <c r="J4130" s="23"/>
      <c r="K4130" s="23"/>
      <c r="M4130" s="23"/>
      <c r="N4130" s="23"/>
      <c r="P4130" s="23"/>
    </row>
    <row r="4131" spans="2:16" x14ac:dyDescent="0.25">
      <c r="B4131" s="23"/>
      <c r="E4131" s="23"/>
      <c r="G4131" s="23"/>
      <c r="H4131" s="23"/>
      <c r="J4131" s="23"/>
      <c r="K4131" s="23"/>
      <c r="M4131" s="23"/>
      <c r="N4131" s="23"/>
      <c r="P4131" s="23"/>
    </row>
    <row r="4132" spans="2:16" x14ac:dyDescent="0.25">
      <c r="B4132" s="23"/>
      <c r="E4132" s="23"/>
      <c r="G4132" s="23"/>
      <c r="H4132" s="23"/>
      <c r="J4132" s="23"/>
      <c r="K4132" s="23"/>
      <c r="M4132" s="23"/>
      <c r="N4132" s="23"/>
      <c r="P4132" s="23"/>
    </row>
    <row r="4133" spans="2:16" x14ac:dyDescent="0.25">
      <c r="B4133" s="23"/>
      <c r="E4133" s="23"/>
      <c r="G4133" s="23"/>
      <c r="H4133" s="23"/>
      <c r="J4133" s="23"/>
      <c r="K4133" s="23"/>
      <c r="M4133" s="23"/>
      <c r="N4133" s="23"/>
      <c r="P4133" s="23"/>
    </row>
    <row r="4134" spans="2:16" x14ac:dyDescent="0.25">
      <c r="B4134" s="23"/>
      <c r="E4134" s="23"/>
      <c r="G4134" s="23"/>
      <c r="H4134" s="23"/>
      <c r="J4134" s="23"/>
      <c r="K4134" s="23"/>
      <c r="M4134" s="23"/>
      <c r="N4134" s="23"/>
      <c r="P4134" s="23"/>
    </row>
    <row r="4135" spans="2:16" x14ac:dyDescent="0.25">
      <c r="B4135" s="23"/>
      <c r="E4135" s="23"/>
      <c r="G4135" s="23"/>
      <c r="H4135" s="23"/>
      <c r="J4135" s="23"/>
      <c r="K4135" s="23"/>
      <c r="M4135" s="23"/>
      <c r="N4135" s="23"/>
      <c r="P4135" s="23"/>
    </row>
    <row r="4136" spans="2:16" x14ac:dyDescent="0.25">
      <c r="B4136" s="23"/>
      <c r="E4136" s="23"/>
      <c r="G4136" s="23"/>
      <c r="H4136" s="23"/>
      <c r="J4136" s="23"/>
      <c r="K4136" s="23"/>
      <c r="M4136" s="23"/>
      <c r="N4136" s="23"/>
      <c r="P4136" s="23"/>
    </row>
    <row r="4137" spans="2:16" x14ac:dyDescent="0.25">
      <c r="B4137" s="23"/>
      <c r="E4137" s="23"/>
      <c r="G4137" s="23"/>
      <c r="H4137" s="23"/>
      <c r="J4137" s="23"/>
      <c r="K4137" s="23"/>
      <c r="M4137" s="23"/>
      <c r="N4137" s="23"/>
      <c r="P4137" s="23"/>
    </row>
    <row r="4138" spans="2:16" x14ac:dyDescent="0.25">
      <c r="B4138" s="23"/>
      <c r="E4138" s="23"/>
      <c r="G4138" s="23"/>
      <c r="H4138" s="23"/>
      <c r="J4138" s="23"/>
      <c r="K4138" s="23"/>
      <c r="M4138" s="23"/>
      <c r="N4138" s="23"/>
      <c r="P4138" s="23"/>
    </row>
    <row r="4139" spans="2:16" x14ac:dyDescent="0.25">
      <c r="B4139" s="23"/>
      <c r="E4139" s="23"/>
      <c r="G4139" s="23"/>
      <c r="H4139" s="23"/>
      <c r="J4139" s="23"/>
      <c r="K4139" s="23"/>
      <c r="M4139" s="23"/>
      <c r="N4139" s="23"/>
      <c r="P4139" s="23"/>
    </row>
    <row r="4140" spans="2:16" x14ac:dyDescent="0.25">
      <c r="B4140" s="23"/>
      <c r="E4140" s="23"/>
      <c r="G4140" s="23"/>
      <c r="H4140" s="23"/>
      <c r="J4140" s="23"/>
      <c r="K4140" s="23"/>
      <c r="M4140" s="23"/>
      <c r="N4140" s="23"/>
      <c r="P4140" s="23"/>
    </row>
    <row r="4141" spans="2:16" x14ac:dyDescent="0.25">
      <c r="B4141" s="23"/>
      <c r="E4141" s="23"/>
      <c r="G4141" s="23"/>
      <c r="H4141" s="23"/>
      <c r="J4141" s="23"/>
      <c r="K4141" s="23"/>
      <c r="M4141" s="23"/>
      <c r="N4141" s="23"/>
      <c r="P4141" s="23"/>
    </row>
    <row r="4142" spans="2:16" x14ac:dyDescent="0.25">
      <c r="B4142" s="23"/>
      <c r="E4142" s="23"/>
      <c r="G4142" s="23"/>
      <c r="H4142" s="23"/>
      <c r="J4142" s="23"/>
      <c r="K4142" s="23"/>
      <c r="M4142" s="23"/>
      <c r="N4142" s="23"/>
      <c r="P4142" s="23"/>
    </row>
    <row r="4143" spans="2:16" x14ac:dyDescent="0.25">
      <c r="B4143" s="23"/>
      <c r="E4143" s="23"/>
      <c r="G4143" s="23"/>
      <c r="H4143" s="23"/>
      <c r="J4143" s="23"/>
      <c r="K4143" s="23"/>
      <c r="M4143" s="23"/>
      <c r="N4143" s="23"/>
      <c r="P4143" s="23"/>
    </row>
    <row r="4144" spans="2:16" x14ac:dyDescent="0.25">
      <c r="B4144" s="23"/>
      <c r="E4144" s="23"/>
      <c r="G4144" s="23"/>
      <c r="H4144" s="23"/>
      <c r="J4144" s="23"/>
      <c r="K4144" s="23"/>
      <c r="M4144" s="23"/>
      <c r="N4144" s="23"/>
      <c r="P4144" s="23"/>
    </row>
    <row r="4145" spans="2:16" x14ac:dyDescent="0.25">
      <c r="B4145" s="23"/>
      <c r="E4145" s="23"/>
      <c r="G4145" s="23"/>
      <c r="H4145" s="23"/>
      <c r="J4145" s="23"/>
      <c r="K4145" s="23"/>
      <c r="M4145" s="23"/>
      <c r="N4145" s="23"/>
      <c r="P4145" s="23"/>
    </row>
    <row r="4146" spans="2:16" x14ac:dyDescent="0.25">
      <c r="B4146" s="23"/>
      <c r="E4146" s="23"/>
      <c r="G4146" s="23"/>
      <c r="H4146" s="23"/>
      <c r="J4146" s="23"/>
      <c r="K4146" s="23"/>
      <c r="M4146" s="23"/>
      <c r="N4146" s="23"/>
      <c r="P4146" s="23"/>
    </row>
    <row r="4147" spans="2:16" x14ac:dyDescent="0.25">
      <c r="B4147" s="23"/>
      <c r="E4147" s="23"/>
      <c r="G4147" s="23"/>
      <c r="H4147" s="23"/>
      <c r="J4147" s="23"/>
      <c r="K4147" s="23"/>
      <c r="M4147" s="23"/>
      <c r="N4147" s="23"/>
      <c r="P4147" s="23"/>
    </row>
    <row r="4148" spans="2:16" x14ac:dyDescent="0.25">
      <c r="B4148" s="23"/>
      <c r="E4148" s="23"/>
      <c r="G4148" s="23"/>
      <c r="H4148" s="23"/>
      <c r="J4148" s="23"/>
      <c r="K4148" s="23"/>
      <c r="M4148" s="23"/>
      <c r="N4148" s="23"/>
      <c r="P4148" s="23"/>
    </row>
    <row r="4149" spans="2:16" x14ac:dyDescent="0.25">
      <c r="B4149" s="23"/>
      <c r="E4149" s="23"/>
      <c r="G4149" s="23"/>
      <c r="H4149" s="23"/>
      <c r="J4149" s="23"/>
      <c r="K4149" s="23"/>
      <c r="M4149" s="23"/>
      <c r="N4149" s="23"/>
      <c r="P4149" s="23"/>
    </row>
    <row r="4150" spans="2:16" x14ac:dyDescent="0.25">
      <c r="B4150" s="23"/>
      <c r="E4150" s="23"/>
      <c r="G4150" s="23"/>
      <c r="H4150" s="23"/>
      <c r="J4150" s="23"/>
      <c r="K4150" s="23"/>
      <c r="M4150" s="23"/>
      <c r="N4150" s="23"/>
      <c r="P4150" s="23"/>
    </row>
    <row r="4151" spans="2:16" x14ac:dyDescent="0.25">
      <c r="B4151" s="23"/>
      <c r="E4151" s="23"/>
      <c r="G4151" s="23"/>
      <c r="H4151" s="23"/>
      <c r="J4151" s="23"/>
      <c r="K4151" s="23"/>
      <c r="M4151" s="23"/>
      <c r="N4151" s="23"/>
      <c r="P4151" s="23"/>
    </row>
    <row r="4152" spans="2:16" x14ac:dyDescent="0.25">
      <c r="B4152" s="23"/>
      <c r="E4152" s="23"/>
      <c r="G4152" s="23"/>
      <c r="H4152" s="23"/>
      <c r="J4152" s="23"/>
      <c r="K4152" s="23"/>
      <c r="M4152" s="23"/>
      <c r="N4152" s="23"/>
      <c r="P4152" s="23"/>
    </row>
    <row r="4153" spans="2:16" x14ac:dyDescent="0.25">
      <c r="B4153" s="23"/>
      <c r="E4153" s="23"/>
      <c r="G4153" s="23"/>
      <c r="H4153" s="23"/>
      <c r="J4153" s="23"/>
      <c r="K4153" s="23"/>
      <c r="M4153" s="23"/>
      <c r="N4153" s="23"/>
      <c r="P4153" s="23"/>
    </row>
    <row r="4154" spans="2:16" x14ac:dyDescent="0.25">
      <c r="B4154" s="23"/>
      <c r="E4154" s="23"/>
      <c r="G4154" s="23"/>
      <c r="H4154" s="23"/>
      <c r="J4154" s="23"/>
      <c r="K4154" s="23"/>
      <c r="M4154" s="23"/>
      <c r="N4154" s="23"/>
      <c r="P4154" s="23"/>
    </row>
    <row r="4155" spans="2:16" x14ac:dyDescent="0.25">
      <c r="B4155" s="23"/>
      <c r="E4155" s="23"/>
      <c r="G4155" s="23"/>
      <c r="H4155" s="23"/>
      <c r="J4155" s="23"/>
      <c r="K4155" s="23"/>
      <c r="M4155" s="23"/>
      <c r="N4155" s="23"/>
      <c r="P4155" s="23"/>
    </row>
    <row r="4156" spans="2:16" x14ac:dyDescent="0.25">
      <c r="B4156" s="23"/>
      <c r="E4156" s="23"/>
      <c r="G4156" s="23"/>
      <c r="H4156" s="23"/>
      <c r="J4156" s="23"/>
      <c r="K4156" s="23"/>
      <c r="M4156" s="23"/>
      <c r="N4156" s="23"/>
      <c r="P4156" s="23"/>
    </row>
    <row r="4157" spans="2:16" x14ac:dyDescent="0.25">
      <c r="B4157" s="23"/>
      <c r="E4157" s="23"/>
      <c r="G4157" s="23"/>
      <c r="H4157" s="23"/>
      <c r="J4157" s="23"/>
      <c r="K4157" s="23"/>
      <c r="M4157" s="23"/>
      <c r="N4157" s="23"/>
      <c r="P4157" s="23"/>
    </row>
    <row r="4158" spans="2:16" x14ac:dyDescent="0.25">
      <c r="B4158" s="23"/>
      <c r="E4158" s="23"/>
      <c r="G4158" s="23"/>
      <c r="H4158" s="23"/>
      <c r="J4158" s="23"/>
      <c r="K4158" s="23"/>
      <c r="M4158" s="23"/>
      <c r="N4158" s="23"/>
      <c r="P4158" s="23"/>
    </row>
    <row r="4159" spans="2:16" x14ac:dyDescent="0.25">
      <c r="B4159" s="23"/>
      <c r="E4159" s="23"/>
      <c r="G4159" s="23"/>
      <c r="H4159" s="23"/>
      <c r="J4159" s="23"/>
      <c r="K4159" s="23"/>
      <c r="M4159" s="23"/>
      <c r="N4159" s="23"/>
      <c r="P4159" s="23"/>
    </row>
    <row r="4160" spans="2:16" x14ac:dyDescent="0.25">
      <c r="B4160" s="23"/>
      <c r="E4160" s="23"/>
      <c r="G4160" s="23"/>
      <c r="H4160" s="23"/>
      <c r="J4160" s="23"/>
      <c r="K4160" s="23"/>
      <c r="M4160" s="23"/>
      <c r="N4160" s="23"/>
      <c r="P4160" s="23"/>
    </row>
    <row r="4161" spans="2:16" x14ac:dyDescent="0.25">
      <c r="B4161" s="23"/>
      <c r="E4161" s="23"/>
      <c r="G4161" s="23"/>
      <c r="H4161" s="23"/>
      <c r="J4161" s="23"/>
      <c r="K4161" s="23"/>
      <c r="M4161" s="23"/>
      <c r="N4161" s="23"/>
      <c r="P4161" s="23"/>
    </row>
    <row r="4162" spans="2:16" x14ac:dyDescent="0.25">
      <c r="B4162" s="23"/>
      <c r="E4162" s="23"/>
      <c r="G4162" s="23"/>
      <c r="H4162" s="23"/>
      <c r="J4162" s="23"/>
      <c r="K4162" s="23"/>
      <c r="M4162" s="23"/>
      <c r="N4162" s="23"/>
      <c r="P4162" s="23"/>
    </row>
    <row r="4163" spans="2:16" x14ac:dyDescent="0.25">
      <c r="B4163" s="23"/>
      <c r="E4163" s="23"/>
      <c r="G4163" s="23"/>
      <c r="H4163" s="23"/>
      <c r="J4163" s="23"/>
      <c r="K4163" s="23"/>
      <c r="M4163" s="23"/>
      <c r="N4163" s="23"/>
      <c r="P4163" s="23"/>
    </row>
    <row r="4164" spans="2:16" x14ac:dyDescent="0.25">
      <c r="B4164" s="23"/>
      <c r="E4164" s="23"/>
      <c r="G4164" s="23"/>
      <c r="H4164" s="23"/>
      <c r="J4164" s="23"/>
      <c r="K4164" s="23"/>
      <c r="M4164" s="23"/>
      <c r="N4164" s="23"/>
      <c r="P4164" s="23"/>
    </row>
    <row r="4165" spans="2:16" x14ac:dyDescent="0.25">
      <c r="B4165" s="23"/>
      <c r="E4165" s="23"/>
      <c r="G4165" s="23"/>
      <c r="H4165" s="23"/>
      <c r="J4165" s="23"/>
      <c r="K4165" s="23"/>
      <c r="M4165" s="23"/>
      <c r="N4165" s="23"/>
      <c r="P4165" s="23"/>
    </row>
    <row r="4166" spans="2:16" x14ac:dyDescent="0.25">
      <c r="B4166" s="23"/>
      <c r="E4166" s="23"/>
      <c r="G4166" s="23"/>
      <c r="H4166" s="23"/>
      <c r="J4166" s="23"/>
      <c r="K4166" s="23"/>
      <c r="M4166" s="23"/>
      <c r="N4166" s="23"/>
      <c r="P4166" s="23"/>
    </row>
    <row r="4167" spans="2:16" x14ac:dyDescent="0.25">
      <c r="B4167" s="23"/>
      <c r="E4167" s="23"/>
      <c r="G4167" s="23"/>
      <c r="H4167" s="23"/>
      <c r="J4167" s="23"/>
      <c r="K4167" s="23"/>
      <c r="M4167" s="23"/>
      <c r="N4167" s="23"/>
      <c r="P4167" s="23"/>
    </row>
    <row r="4168" spans="2:16" x14ac:dyDescent="0.25">
      <c r="B4168" s="23"/>
      <c r="E4168" s="23"/>
      <c r="G4168" s="23"/>
      <c r="H4168" s="23"/>
      <c r="J4168" s="23"/>
      <c r="K4168" s="23"/>
      <c r="M4168" s="23"/>
      <c r="N4168" s="23"/>
      <c r="P4168" s="23"/>
    </row>
    <row r="4169" spans="2:16" x14ac:dyDescent="0.25">
      <c r="B4169" s="23"/>
      <c r="E4169" s="23"/>
      <c r="G4169" s="23"/>
      <c r="H4169" s="23"/>
      <c r="J4169" s="23"/>
      <c r="K4169" s="23"/>
      <c r="M4169" s="23"/>
      <c r="N4169" s="23"/>
      <c r="P4169" s="23"/>
    </row>
    <row r="4170" spans="2:16" x14ac:dyDescent="0.25">
      <c r="B4170" s="23"/>
      <c r="E4170" s="23"/>
      <c r="G4170" s="23"/>
      <c r="H4170" s="23"/>
      <c r="J4170" s="23"/>
      <c r="K4170" s="23"/>
      <c r="M4170" s="23"/>
      <c r="N4170" s="23"/>
      <c r="P4170" s="23"/>
    </row>
    <row r="4171" spans="2:16" x14ac:dyDescent="0.25">
      <c r="B4171" s="23"/>
      <c r="E4171" s="23"/>
      <c r="G4171" s="23"/>
      <c r="H4171" s="23"/>
      <c r="J4171" s="23"/>
      <c r="K4171" s="23"/>
      <c r="M4171" s="23"/>
      <c r="N4171" s="23"/>
      <c r="P4171" s="23"/>
    </row>
    <row r="4172" spans="2:16" x14ac:dyDescent="0.25">
      <c r="B4172" s="23"/>
      <c r="E4172" s="23"/>
      <c r="G4172" s="23"/>
      <c r="H4172" s="23"/>
      <c r="J4172" s="23"/>
      <c r="K4172" s="23"/>
      <c r="M4172" s="23"/>
      <c r="N4172" s="23"/>
      <c r="P4172" s="23"/>
    </row>
    <row r="4173" spans="2:16" x14ac:dyDescent="0.25">
      <c r="B4173" s="23"/>
      <c r="E4173" s="23"/>
      <c r="G4173" s="23"/>
      <c r="H4173" s="23"/>
      <c r="J4173" s="23"/>
      <c r="K4173" s="23"/>
      <c r="M4173" s="23"/>
      <c r="N4173" s="23"/>
      <c r="P4173" s="23"/>
    </row>
    <row r="4174" spans="2:16" x14ac:dyDescent="0.25">
      <c r="B4174" s="23"/>
      <c r="E4174" s="23"/>
      <c r="G4174" s="23"/>
      <c r="H4174" s="23"/>
      <c r="J4174" s="23"/>
      <c r="K4174" s="23"/>
      <c r="M4174" s="23"/>
      <c r="N4174" s="23"/>
      <c r="P4174" s="23"/>
    </row>
    <row r="4175" spans="2:16" x14ac:dyDescent="0.25">
      <c r="B4175" s="23"/>
      <c r="E4175" s="23"/>
      <c r="G4175" s="23"/>
      <c r="H4175" s="23"/>
      <c r="J4175" s="23"/>
      <c r="K4175" s="23"/>
      <c r="M4175" s="23"/>
      <c r="N4175" s="23"/>
      <c r="P4175" s="23"/>
    </row>
    <row r="4176" spans="2:16" x14ac:dyDescent="0.25">
      <c r="B4176" s="23"/>
      <c r="E4176" s="23"/>
      <c r="G4176" s="23"/>
      <c r="H4176" s="23"/>
      <c r="J4176" s="23"/>
      <c r="K4176" s="23"/>
      <c r="M4176" s="23"/>
      <c r="N4176" s="23"/>
      <c r="P4176" s="23"/>
    </row>
    <row r="4177" spans="2:16" x14ac:dyDescent="0.25">
      <c r="B4177" s="23"/>
      <c r="E4177" s="23"/>
      <c r="G4177" s="23"/>
      <c r="H4177" s="23"/>
      <c r="J4177" s="23"/>
      <c r="K4177" s="23"/>
      <c r="M4177" s="23"/>
      <c r="N4177" s="23"/>
      <c r="P4177" s="23"/>
    </row>
    <row r="4178" spans="2:16" x14ac:dyDescent="0.25">
      <c r="B4178" s="23"/>
      <c r="E4178" s="23"/>
      <c r="G4178" s="23"/>
      <c r="H4178" s="23"/>
      <c r="J4178" s="23"/>
      <c r="K4178" s="23"/>
      <c r="M4178" s="23"/>
      <c r="N4178" s="23"/>
      <c r="P4178" s="23"/>
    </row>
    <row r="4179" spans="2:16" x14ac:dyDescent="0.25">
      <c r="B4179" s="23"/>
      <c r="E4179" s="23"/>
      <c r="G4179" s="23"/>
      <c r="H4179" s="23"/>
      <c r="J4179" s="23"/>
      <c r="K4179" s="23"/>
      <c r="M4179" s="23"/>
      <c r="N4179" s="23"/>
      <c r="P4179" s="23"/>
    </row>
    <row r="4180" spans="2:16" x14ac:dyDescent="0.25">
      <c r="B4180" s="23"/>
      <c r="E4180" s="23"/>
      <c r="G4180" s="23"/>
      <c r="H4180" s="23"/>
      <c r="J4180" s="23"/>
      <c r="K4180" s="23"/>
      <c r="M4180" s="23"/>
      <c r="N4180" s="23"/>
      <c r="P4180" s="23"/>
    </row>
    <row r="4181" spans="2:16" x14ac:dyDescent="0.25">
      <c r="B4181" s="23"/>
      <c r="E4181" s="23"/>
      <c r="G4181" s="23"/>
      <c r="H4181" s="23"/>
      <c r="J4181" s="23"/>
      <c r="K4181" s="23"/>
      <c r="M4181" s="23"/>
      <c r="N4181" s="23"/>
      <c r="P4181" s="23"/>
    </row>
    <row r="4182" spans="2:16" x14ac:dyDescent="0.25">
      <c r="B4182" s="23"/>
      <c r="E4182" s="23"/>
      <c r="G4182" s="23"/>
      <c r="H4182" s="23"/>
      <c r="J4182" s="23"/>
      <c r="K4182" s="23"/>
      <c r="M4182" s="23"/>
      <c r="N4182" s="23"/>
      <c r="P4182" s="23"/>
    </row>
    <row r="4183" spans="2:16" x14ac:dyDescent="0.25">
      <c r="B4183" s="23"/>
      <c r="E4183" s="23"/>
      <c r="G4183" s="23"/>
      <c r="H4183" s="23"/>
      <c r="J4183" s="23"/>
      <c r="K4183" s="23"/>
      <c r="M4183" s="23"/>
      <c r="N4183" s="23"/>
      <c r="P4183" s="23"/>
    </row>
    <row r="4184" spans="2:16" x14ac:dyDescent="0.25">
      <c r="B4184" s="23"/>
      <c r="E4184" s="23"/>
      <c r="G4184" s="23"/>
      <c r="H4184" s="23"/>
      <c r="J4184" s="23"/>
      <c r="K4184" s="23"/>
      <c r="M4184" s="23"/>
      <c r="N4184" s="23"/>
      <c r="P4184" s="23"/>
    </row>
    <row r="4185" spans="2:16" x14ac:dyDescent="0.25">
      <c r="B4185" s="23"/>
      <c r="E4185" s="23"/>
      <c r="G4185" s="23"/>
      <c r="H4185" s="23"/>
      <c r="J4185" s="23"/>
      <c r="K4185" s="23"/>
      <c r="M4185" s="23"/>
      <c r="N4185" s="23"/>
      <c r="P4185" s="23"/>
    </row>
    <row r="4186" spans="2:16" x14ac:dyDescent="0.25">
      <c r="B4186" s="23"/>
      <c r="E4186" s="23"/>
      <c r="G4186" s="23"/>
      <c r="H4186" s="23"/>
      <c r="J4186" s="23"/>
      <c r="K4186" s="23"/>
      <c r="M4186" s="23"/>
      <c r="N4186" s="23"/>
      <c r="P4186" s="23"/>
    </row>
    <row r="4187" spans="2:16" x14ac:dyDescent="0.25">
      <c r="B4187" s="23"/>
      <c r="E4187" s="23"/>
      <c r="G4187" s="23"/>
      <c r="H4187" s="23"/>
      <c r="J4187" s="23"/>
      <c r="K4187" s="23"/>
      <c r="M4187" s="23"/>
      <c r="N4187" s="23"/>
      <c r="P4187" s="23"/>
    </row>
    <row r="4188" spans="2:16" x14ac:dyDescent="0.25">
      <c r="B4188" s="23"/>
      <c r="E4188" s="23"/>
      <c r="G4188" s="23"/>
      <c r="H4188" s="23"/>
      <c r="J4188" s="23"/>
      <c r="K4188" s="23"/>
      <c r="M4188" s="23"/>
      <c r="N4188" s="23"/>
      <c r="P4188" s="23"/>
    </row>
    <row r="4189" spans="2:16" x14ac:dyDescent="0.25">
      <c r="B4189" s="23"/>
      <c r="E4189" s="23"/>
      <c r="G4189" s="23"/>
      <c r="H4189" s="23"/>
      <c r="J4189" s="23"/>
      <c r="K4189" s="23"/>
      <c r="M4189" s="23"/>
      <c r="N4189" s="23"/>
      <c r="P4189" s="23"/>
    </row>
    <row r="4190" spans="2:16" x14ac:dyDescent="0.25">
      <c r="B4190" s="23"/>
      <c r="E4190" s="23"/>
      <c r="G4190" s="23"/>
      <c r="H4190" s="23"/>
      <c r="J4190" s="23"/>
      <c r="K4190" s="23"/>
      <c r="M4190" s="23"/>
      <c r="N4190" s="23"/>
      <c r="P4190" s="23"/>
    </row>
    <row r="4191" spans="2:16" x14ac:dyDescent="0.25">
      <c r="B4191" s="23"/>
      <c r="E4191" s="23"/>
      <c r="G4191" s="23"/>
      <c r="H4191" s="23"/>
      <c r="J4191" s="23"/>
      <c r="K4191" s="23"/>
      <c r="M4191" s="23"/>
      <c r="N4191" s="23"/>
      <c r="P4191" s="23"/>
    </row>
    <row r="4192" spans="2:16" x14ac:dyDescent="0.25">
      <c r="B4192" s="23"/>
      <c r="E4192" s="23"/>
      <c r="G4192" s="23"/>
      <c r="H4192" s="23"/>
      <c r="J4192" s="23"/>
      <c r="K4192" s="23"/>
      <c r="M4192" s="23"/>
      <c r="N4192" s="23"/>
      <c r="P4192" s="23"/>
    </row>
    <row r="4193" spans="2:16" x14ac:dyDescent="0.25">
      <c r="B4193" s="23"/>
      <c r="E4193" s="23"/>
      <c r="G4193" s="23"/>
      <c r="H4193" s="23"/>
      <c r="J4193" s="23"/>
      <c r="K4193" s="23"/>
      <c r="M4193" s="23"/>
      <c r="N4193" s="23"/>
      <c r="P4193" s="23"/>
    </row>
    <row r="4194" spans="2:16" x14ac:dyDescent="0.25">
      <c r="B4194" s="23"/>
      <c r="E4194" s="23"/>
      <c r="G4194" s="23"/>
      <c r="H4194" s="23"/>
      <c r="J4194" s="23"/>
      <c r="K4194" s="23"/>
      <c r="M4194" s="23"/>
      <c r="N4194" s="23"/>
      <c r="P4194" s="23"/>
    </row>
    <row r="4195" spans="2:16" x14ac:dyDescent="0.25">
      <c r="B4195" s="23"/>
      <c r="E4195" s="23"/>
      <c r="G4195" s="23"/>
      <c r="H4195" s="23"/>
      <c r="J4195" s="23"/>
      <c r="K4195" s="23"/>
      <c r="M4195" s="23"/>
      <c r="N4195" s="23"/>
      <c r="P4195" s="23"/>
    </row>
    <row r="4196" spans="2:16" x14ac:dyDescent="0.25">
      <c r="B4196" s="23"/>
      <c r="E4196" s="23"/>
      <c r="G4196" s="23"/>
      <c r="H4196" s="23"/>
      <c r="J4196" s="23"/>
      <c r="K4196" s="23"/>
      <c r="M4196" s="23"/>
      <c r="N4196" s="23"/>
      <c r="P4196" s="23"/>
    </row>
    <row r="4197" spans="2:16" x14ac:dyDescent="0.25">
      <c r="B4197" s="23"/>
      <c r="E4197" s="23"/>
      <c r="G4197" s="23"/>
      <c r="H4197" s="23"/>
      <c r="J4197" s="23"/>
      <c r="K4197" s="23"/>
      <c r="M4197" s="23"/>
      <c r="N4197" s="23"/>
      <c r="P4197" s="23"/>
    </row>
    <row r="4198" spans="2:16" x14ac:dyDescent="0.25">
      <c r="B4198" s="23"/>
      <c r="E4198" s="23"/>
      <c r="G4198" s="23"/>
      <c r="H4198" s="23"/>
      <c r="J4198" s="23"/>
      <c r="K4198" s="23"/>
      <c r="M4198" s="23"/>
      <c r="N4198" s="23"/>
      <c r="P4198" s="23"/>
    </row>
    <row r="4199" spans="2:16" x14ac:dyDescent="0.25">
      <c r="B4199" s="23"/>
      <c r="E4199" s="23"/>
      <c r="G4199" s="23"/>
      <c r="H4199" s="23"/>
      <c r="J4199" s="23"/>
      <c r="K4199" s="23"/>
      <c r="M4199" s="23"/>
      <c r="N4199" s="23"/>
      <c r="P4199" s="23"/>
    </row>
    <row r="4200" spans="2:16" x14ac:dyDescent="0.25">
      <c r="B4200" s="23"/>
      <c r="E4200" s="23"/>
      <c r="G4200" s="23"/>
      <c r="H4200" s="23"/>
      <c r="J4200" s="23"/>
      <c r="K4200" s="23"/>
      <c r="M4200" s="23"/>
      <c r="N4200" s="23"/>
      <c r="P4200" s="23"/>
    </row>
    <row r="4201" spans="2:16" x14ac:dyDescent="0.25">
      <c r="B4201" s="23"/>
      <c r="E4201" s="23"/>
      <c r="G4201" s="23"/>
      <c r="H4201" s="23"/>
      <c r="J4201" s="23"/>
      <c r="K4201" s="23"/>
      <c r="M4201" s="23"/>
      <c r="N4201" s="23"/>
      <c r="P4201" s="23"/>
    </row>
    <row r="4202" spans="2:16" x14ac:dyDescent="0.25">
      <c r="B4202" s="23"/>
      <c r="E4202" s="23"/>
      <c r="G4202" s="23"/>
      <c r="H4202" s="23"/>
      <c r="J4202" s="23"/>
      <c r="K4202" s="23"/>
      <c r="M4202" s="23"/>
      <c r="N4202" s="23"/>
      <c r="P4202" s="23"/>
    </row>
    <row r="4203" spans="2:16" x14ac:dyDescent="0.25">
      <c r="B4203" s="23"/>
      <c r="E4203" s="23"/>
      <c r="G4203" s="23"/>
      <c r="H4203" s="23"/>
      <c r="J4203" s="23"/>
      <c r="K4203" s="23"/>
      <c r="M4203" s="23"/>
      <c r="N4203" s="23"/>
      <c r="P4203" s="23"/>
    </row>
    <row r="4204" spans="2:16" x14ac:dyDescent="0.25">
      <c r="B4204" s="23"/>
      <c r="E4204" s="23"/>
      <c r="G4204" s="23"/>
      <c r="H4204" s="23"/>
      <c r="J4204" s="23"/>
      <c r="K4204" s="23"/>
      <c r="M4204" s="23"/>
      <c r="N4204" s="23"/>
      <c r="P4204" s="23"/>
    </row>
    <row r="4205" spans="2:16" x14ac:dyDescent="0.25">
      <c r="B4205" s="23"/>
      <c r="E4205" s="23"/>
      <c r="G4205" s="23"/>
      <c r="H4205" s="23"/>
      <c r="J4205" s="23"/>
      <c r="K4205" s="23"/>
      <c r="M4205" s="23"/>
      <c r="N4205" s="23"/>
      <c r="P4205" s="23"/>
    </row>
    <row r="4206" spans="2:16" x14ac:dyDescent="0.25">
      <c r="B4206" s="23"/>
      <c r="E4206" s="23"/>
      <c r="G4206" s="23"/>
      <c r="H4206" s="23"/>
      <c r="J4206" s="23"/>
      <c r="K4206" s="23"/>
      <c r="M4206" s="23"/>
      <c r="N4206" s="23"/>
      <c r="P4206" s="23"/>
    </row>
    <row r="4207" spans="2:16" x14ac:dyDescent="0.25">
      <c r="B4207" s="23"/>
      <c r="E4207" s="23"/>
      <c r="G4207" s="23"/>
      <c r="H4207" s="23"/>
      <c r="J4207" s="23"/>
      <c r="K4207" s="23"/>
      <c r="M4207" s="23"/>
      <c r="N4207" s="23"/>
      <c r="P4207" s="23"/>
    </row>
    <row r="4208" spans="2:16" x14ac:dyDescent="0.25">
      <c r="B4208" s="23"/>
      <c r="E4208" s="23"/>
      <c r="G4208" s="23"/>
      <c r="H4208" s="23"/>
      <c r="J4208" s="23"/>
      <c r="K4208" s="23"/>
      <c r="M4208" s="23"/>
      <c r="N4208" s="23"/>
      <c r="P4208" s="23"/>
    </row>
    <row r="4209" spans="2:16" x14ac:dyDescent="0.25">
      <c r="B4209" s="23"/>
      <c r="E4209" s="23"/>
      <c r="G4209" s="23"/>
      <c r="H4209" s="23"/>
      <c r="J4209" s="23"/>
      <c r="K4209" s="23"/>
      <c r="M4209" s="23"/>
      <c r="N4209" s="23"/>
      <c r="P4209" s="23"/>
    </row>
    <row r="4210" spans="2:16" x14ac:dyDescent="0.25">
      <c r="B4210" s="23"/>
      <c r="E4210" s="23"/>
      <c r="G4210" s="23"/>
      <c r="H4210" s="23"/>
      <c r="J4210" s="23"/>
      <c r="K4210" s="23"/>
      <c r="M4210" s="23"/>
      <c r="N4210" s="23"/>
      <c r="P4210" s="23"/>
    </row>
    <row r="4211" spans="2:16" x14ac:dyDescent="0.25">
      <c r="B4211" s="23"/>
      <c r="E4211" s="23"/>
      <c r="G4211" s="23"/>
      <c r="H4211" s="23"/>
      <c r="J4211" s="23"/>
      <c r="K4211" s="23"/>
      <c r="M4211" s="23"/>
      <c r="N4211" s="23"/>
      <c r="P4211" s="23"/>
    </row>
    <row r="4212" spans="2:16" x14ac:dyDescent="0.25">
      <c r="B4212" s="23"/>
      <c r="E4212" s="23"/>
      <c r="G4212" s="23"/>
      <c r="H4212" s="23"/>
      <c r="J4212" s="23"/>
      <c r="K4212" s="23"/>
      <c r="M4212" s="23"/>
      <c r="N4212" s="23"/>
      <c r="P4212" s="23"/>
    </row>
    <row r="4213" spans="2:16" x14ac:dyDescent="0.25">
      <c r="B4213" s="23"/>
      <c r="E4213" s="23"/>
      <c r="G4213" s="23"/>
      <c r="H4213" s="23"/>
      <c r="J4213" s="23"/>
      <c r="K4213" s="23"/>
      <c r="M4213" s="23"/>
      <c r="N4213" s="23"/>
      <c r="P4213" s="23"/>
    </row>
    <row r="4214" spans="2:16" x14ac:dyDescent="0.25">
      <c r="B4214" s="23"/>
      <c r="E4214" s="23"/>
      <c r="G4214" s="23"/>
      <c r="H4214" s="23"/>
      <c r="J4214" s="23"/>
      <c r="K4214" s="23"/>
      <c r="M4214" s="23"/>
      <c r="N4214" s="23"/>
      <c r="P4214" s="23"/>
    </row>
    <row r="4215" spans="2:16" x14ac:dyDescent="0.25">
      <c r="B4215" s="23"/>
      <c r="E4215" s="23"/>
      <c r="G4215" s="23"/>
      <c r="H4215" s="23"/>
      <c r="J4215" s="23"/>
      <c r="K4215" s="23"/>
      <c r="M4215" s="23"/>
      <c r="N4215" s="23"/>
      <c r="P4215" s="23"/>
    </row>
    <row r="4216" spans="2:16" x14ac:dyDescent="0.25">
      <c r="B4216" s="23"/>
      <c r="E4216" s="23"/>
      <c r="G4216" s="23"/>
      <c r="H4216" s="23"/>
      <c r="J4216" s="23"/>
      <c r="K4216" s="23"/>
      <c r="M4216" s="23"/>
      <c r="N4216" s="23"/>
      <c r="P4216" s="23"/>
    </row>
    <row r="4217" spans="2:16" x14ac:dyDescent="0.25">
      <c r="B4217" s="23"/>
      <c r="E4217" s="23"/>
      <c r="G4217" s="23"/>
      <c r="H4217" s="23"/>
      <c r="J4217" s="23"/>
      <c r="K4217" s="23"/>
      <c r="M4217" s="23"/>
      <c r="N4217" s="23"/>
      <c r="P4217" s="23"/>
    </row>
    <row r="4218" spans="2:16" x14ac:dyDescent="0.25">
      <c r="B4218" s="23"/>
      <c r="E4218" s="23"/>
      <c r="G4218" s="23"/>
      <c r="H4218" s="23"/>
      <c r="J4218" s="23"/>
      <c r="K4218" s="23"/>
      <c r="M4218" s="23"/>
      <c r="N4218" s="23"/>
      <c r="P4218" s="23"/>
    </row>
    <row r="4219" spans="2:16" x14ac:dyDescent="0.25">
      <c r="B4219" s="23"/>
      <c r="E4219" s="23"/>
      <c r="G4219" s="23"/>
      <c r="H4219" s="23"/>
      <c r="J4219" s="23"/>
      <c r="K4219" s="23"/>
      <c r="M4219" s="23"/>
      <c r="N4219" s="23"/>
      <c r="P4219" s="23"/>
    </row>
    <row r="4220" spans="2:16" x14ac:dyDescent="0.25">
      <c r="B4220" s="23"/>
      <c r="E4220" s="23"/>
      <c r="G4220" s="23"/>
      <c r="H4220" s="23"/>
      <c r="J4220" s="23"/>
      <c r="K4220" s="23"/>
      <c r="M4220" s="23"/>
      <c r="N4220" s="23"/>
      <c r="P4220" s="23"/>
    </row>
    <row r="4221" spans="2:16" x14ac:dyDescent="0.25">
      <c r="B4221" s="23"/>
      <c r="E4221" s="23"/>
      <c r="G4221" s="23"/>
      <c r="H4221" s="23"/>
      <c r="J4221" s="23"/>
      <c r="K4221" s="23"/>
      <c r="M4221" s="23"/>
      <c r="N4221" s="23"/>
      <c r="P4221" s="23"/>
    </row>
    <row r="4222" spans="2:16" x14ac:dyDescent="0.25">
      <c r="B4222" s="23"/>
      <c r="E4222" s="23"/>
      <c r="G4222" s="23"/>
      <c r="H4222" s="23"/>
      <c r="J4222" s="23"/>
      <c r="K4222" s="23"/>
      <c r="M4222" s="23"/>
      <c r="N4222" s="23"/>
      <c r="P4222" s="23"/>
    </row>
    <row r="4223" spans="2:16" x14ac:dyDescent="0.25">
      <c r="B4223" s="23"/>
      <c r="E4223" s="23"/>
      <c r="G4223" s="23"/>
      <c r="H4223" s="23"/>
      <c r="J4223" s="23"/>
      <c r="K4223" s="23"/>
      <c r="M4223" s="23"/>
      <c r="N4223" s="23"/>
      <c r="P4223" s="23"/>
    </row>
    <row r="4224" spans="2:16" x14ac:dyDescent="0.25">
      <c r="B4224" s="23"/>
      <c r="E4224" s="23"/>
      <c r="G4224" s="23"/>
      <c r="H4224" s="23"/>
      <c r="J4224" s="23"/>
      <c r="K4224" s="23"/>
      <c r="M4224" s="23"/>
      <c r="N4224" s="23"/>
      <c r="P4224" s="23"/>
    </row>
    <row r="4225" spans="2:16" x14ac:dyDescent="0.25">
      <c r="B4225" s="23"/>
      <c r="E4225" s="23"/>
      <c r="G4225" s="23"/>
      <c r="H4225" s="23"/>
      <c r="J4225" s="23"/>
      <c r="K4225" s="23"/>
      <c r="M4225" s="23"/>
      <c r="N4225" s="23"/>
      <c r="P4225" s="23"/>
    </row>
    <row r="4226" spans="2:16" x14ac:dyDescent="0.25">
      <c r="B4226" s="23"/>
      <c r="E4226" s="23"/>
      <c r="G4226" s="23"/>
      <c r="H4226" s="23"/>
      <c r="J4226" s="23"/>
      <c r="K4226" s="23"/>
      <c r="M4226" s="23"/>
      <c r="N4226" s="23"/>
      <c r="P4226" s="23"/>
    </row>
    <row r="4227" spans="2:16" x14ac:dyDescent="0.25">
      <c r="B4227" s="23"/>
      <c r="E4227" s="23"/>
      <c r="G4227" s="23"/>
      <c r="H4227" s="23"/>
      <c r="J4227" s="23"/>
      <c r="K4227" s="23"/>
      <c r="M4227" s="23"/>
      <c r="N4227" s="23"/>
      <c r="P4227" s="23"/>
    </row>
    <row r="4228" spans="2:16" x14ac:dyDescent="0.25">
      <c r="B4228" s="23"/>
      <c r="E4228" s="23"/>
      <c r="G4228" s="23"/>
      <c r="H4228" s="23"/>
      <c r="J4228" s="23"/>
      <c r="K4228" s="23"/>
      <c r="M4228" s="23"/>
      <c r="N4228" s="23"/>
      <c r="P4228" s="23"/>
    </row>
    <row r="4229" spans="2:16" x14ac:dyDescent="0.25">
      <c r="B4229" s="23"/>
      <c r="E4229" s="23"/>
      <c r="G4229" s="23"/>
      <c r="H4229" s="23"/>
      <c r="J4229" s="23"/>
      <c r="K4229" s="23"/>
      <c r="M4229" s="23"/>
      <c r="N4229" s="23"/>
      <c r="P4229" s="23"/>
    </row>
    <row r="4230" spans="2:16" x14ac:dyDescent="0.25">
      <c r="B4230" s="23"/>
      <c r="E4230" s="23"/>
      <c r="G4230" s="23"/>
      <c r="H4230" s="23"/>
      <c r="J4230" s="23"/>
      <c r="K4230" s="23"/>
      <c r="M4230" s="23"/>
      <c r="N4230" s="23"/>
      <c r="P4230" s="23"/>
    </row>
    <row r="4231" spans="2:16" x14ac:dyDescent="0.25">
      <c r="B4231" s="23"/>
      <c r="E4231" s="23"/>
      <c r="G4231" s="23"/>
      <c r="H4231" s="23"/>
      <c r="J4231" s="23"/>
      <c r="K4231" s="23"/>
      <c r="M4231" s="23"/>
      <c r="N4231" s="23"/>
      <c r="P4231" s="23"/>
    </row>
    <row r="4232" spans="2:16" x14ac:dyDescent="0.25">
      <c r="B4232" s="23"/>
      <c r="E4232" s="23"/>
      <c r="G4232" s="23"/>
      <c r="H4232" s="23"/>
      <c r="J4232" s="23"/>
      <c r="K4232" s="23"/>
      <c r="M4232" s="23"/>
      <c r="N4232" s="23"/>
      <c r="P4232" s="23"/>
    </row>
    <row r="4233" spans="2:16" x14ac:dyDescent="0.25">
      <c r="B4233" s="23"/>
      <c r="E4233" s="23"/>
      <c r="G4233" s="23"/>
      <c r="H4233" s="23"/>
      <c r="J4233" s="23"/>
      <c r="K4233" s="23"/>
      <c r="M4233" s="23"/>
      <c r="N4233" s="23"/>
      <c r="P4233" s="23"/>
    </row>
    <row r="4234" spans="2:16" x14ac:dyDescent="0.25">
      <c r="B4234" s="23"/>
      <c r="E4234" s="23"/>
      <c r="G4234" s="23"/>
      <c r="H4234" s="23"/>
      <c r="J4234" s="23"/>
      <c r="K4234" s="23"/>
      <c r="M4234" s="23"/>
      <c r="N4234" s="23"/>
      <c r="P4234" s="23"/>
    </row>
    <row r="4235" spans="2:16" x14ac:dyDescent="0.25">
      <c r="B4235" s="23"/>
      <c r="E4235" s="23"/>
      <c r="G4235" s="23"/>
      <c r="H4235" s="23"/>
      <c r="J4235" s="23"/>
      <c r="K4235" s="23"/>
      <c r="M4235" s="23"/>
      <c r="N4235" s="23"/>
      <c r="P4235" s="23"/>
    </row>
    <row r="4236" spans="2:16" x14ac:dyDescent="0.25">
      <c r="B4236" s="23"/>
      <c r="E4236" s="23"/>
      <c r="G4236" s="23"/>
      <c r="H4236" s="23"/>
      <c r="J4236" s="23"/>
      <c r="K4236" s="23"/>
      <c r="M4236" s="23"/>
      <c r="N4236" s="23"/>
      <c r="P4236" s="23"/>
    </row>
    <row r="4237" spans="2:16" x14ac:dyDescent="0.25">
      <c r="B4237" s="23"/>
      <c r="E4237" s="23"/>
      <c r="G4237" s="23"/>
      <c r="H4237" s="23"/>
      <c r="J4237" s="23"/>
      <c r="K4237" s="23"/>
      <c r="M4237" s="23"/>
      <c r="N4237" s="23"/>
      <c r="P4237" s="23"/>
    </row>
    <row r="4238" spans="2:16" x14ac:dyDescent="0.25">
      <c r="B4238" s="23"/>
      <c r="E4238" s="23"/>
      <c r="G4238" s="23"/>
      <c r="H4238" s="23"/>
      <c r="J4238" s="23"/>
      <c r="K4238" s="23"/>
      <c r="M4238" s="23"/>
      <c r="N4238" s="23"/>
      <c r="P4238" s="23"/>
    </row>
    <row r="4239" spans="2:16" x14ac:dyDescent="0.25">
      <c r="B4239" s="23"/>
      <c r="E4239" s="23"/>
      <c r="G4239" s="23"/>
      <c r="H4239" s="23"/>
      <c r="J4239" s="23"/>
      <c r="K4239" s="23"/>
      <c r="M4239" s="23"/>
      <c r="N4239" s="23"/>
      <c r="P4239" s="23"/>
    </row>
    <row r="4240" spans="2:16" x14ac:dyDescent="0.25">
      <c r="B4240" s="23"/>
      <c r="E4240" s="23"/>
      <c r="G4240" s="23"/>
      <c r="H4240" s="23"/>
      <c r="J4240" s="23"/>
      <c r="K4240" s="23"/>
      <c r="M4240" s="23"/>
      <c r="N4240" s="23"/>
      <c r="P4240" s="23"/>
    </row>
    <row r="4241" spans="2:16" x14ac:dyDescent="0.25">
      <c r="B4241" s="23"/>
      <c r="E4241" s="23"/>
      <c r="G4241" s="23"/>
      <c r="H4241" s="23"/>
      <c r="J4241" s="23"/>
      <c r="K4241" s="23"/>
      <c r="M4241" s="23"/>
      <c r="N4241" s="23"/>
      <c r="P4241" s="23"/>
    </row>
    <row r="4242" spans="2:16" x14ac:dyDescent="0.25">
      <c r="B4242" s="23"/>
      <c r="E4242" s="23"/>
      <c r="G4242" s="23"/>
      <c r="H4242" s="23"/>
      <c r="J4242" s="23"/>
      <c r="K4242" s="23"/>
      <c r="M4242" s="23"/>
      <c r="N4242" s="23"/>
      <c r="P4242" s="23"/>
    </row>
    <row r="4243" spans="2:16" x14ac:dyDescent="0.25">
      <c r="B4243" s="23"/>
      <c r="E4243" s="23"/>
      <c r="G4243" s="23"/>
      <c r="H4243" s="23"/>
      <c r="J4243" s="23"/>
      <c r="K4243" s="23"/>
      <c r="M4243" s="23"/>
      <c r="N4243" s="23"/>
      <c r="P4243" s="23"/>
    </row>
    <row r="4244" spans="2:16" x14ac:dyDescent="0.25">
      <c r="B4244" s="23"/>
      <c r="E4244" s="23"/>
      <c r="G4244" s="23"/>
      <c r="H4244" s="23"/>
      <c r="J4244" s="23"/>
      <c r="K4244" s="23"/>
      <c r="M4244" s="23"/>
      <c r="N4244" s="23"/>
      <c r="P4244" s="23"/>
    </row>
    <row r="4245" spans="2:16" x14ac:dyDescent="0.25">
      <c r="B4245" s="23"/>
      <c r="E4245" s="23"/>
      <c r="G4245" s="23"/>
      <c r="H4245" s="23"/>
      <c r="J4245" s="23"/>
      <c r="K4245" s="23"/>
      <c r="M4245" s="23"/>
      <c r="N4245" s="23"/>
      <c r="P4245" s="23"/>
    </row>
    <row r="4246" spans="2:16" x14ac:dyDescent="0.25">
      <c r="B4246" s="23"/>
      <c r="E4246" s="23"/>
      <c r="G4246" s="23"/>
      <c r="H4246" s="23"/>
      <c r="J4246" s="23"/>
      <c r="K4246" s="23"/>
      <c r="M4246" s="23"/>
      <c r="N4246" s="23"/>
      <c r="P4246" s="23"/>
    </row>
    <row r="4247" spans="2:16" x14ac:dyDescent="0.25">
      <c r="B4247" s="23"/>
      <c r="E4247" s="23"/>
      <c r="G4247" s="23"/>
      <c r="H4247" s="23"/>
      <c r="J4247" s="23"/>
      <c r="K4247" s="23"/>
      <c r="M4247" s="23"/>
      <c r="N4247" s="23"/>
      <c r="P4247" s="23"/>
    </row>
    <row r="4248" spans="2:16" x14ac:dyDescent="0.25">
      <c r="B4248" s="23"/>
      <c r="E4248" s="23"/>
      <c r="G4248" s="23"/>
      <c r="H4248" s="23"/>
      <c r="J4248" s="23"/>
      <c r="K4248" s="23"/>
      <c r="M4248" s="23"/>
      <c r="N4248" s="23"/>
      <c r="P4248" s="23"/>
    </row>
    <row r="4249" spans="2:16" x14ac:dyDescent="0.25">
      <c r="B4249" s="23"/>
      <c r="E4249" s="23"/>
      <c r="G4249" s="23"/>
      <c r="H4249" s="23"/>
      <c r="J4249" s="23"/>
      <c r="K4249" s="23"/>
      <c r="M4249" s="23"/>
      <c r="N4249" s="23"/>
      <c r="P4249" s="23"/>
    </row>
    <row r="4250" spans="2:16" x14ac:dyDescent="0.25">
      <c r="B4250" s="23"/>
      <c r="E4250" s="23"/>
      <c r="G4250" s="23"/>
      <c r="H4250" s="23"/>
      <c r="J4250" s="23"/>
      <c r="K4250" s="23"/>
      <c r="M4250" s="23"/>
      <c r="N4250" s="23"/>
      <c r="P4250" s="23"/>
    </row>
    <row r="4251" spans="2:16" x14ac:dyDescent="0.25">
      <c r="B4251" s="23"/>
      <c r="E4251" s="23"/>
      <c r="G4251" s="23"/>
      <c r="H4251" s="23"/>
      <c r="J4251" s="23"/>
      <c r="K4251" s="23"/>
      <c r="M4251" s="23"/>
      <c r="N4251" s="23"/>
      <c r="P4251" s="23"/>
    </row>
    <row r="4252" spans="2:16" x14ac:dyDescent="0.25">
      <c r="B4252" s="23"/>
      <c r="E4252" s="23"/>
      <c r="G4252" s="23"/>
      <c r="H4252" s="23"/>
      <c r="J4252" s="23"/>
      <c r="K4252" s="23"/>
      <c r="M4252" s="23"/>
      <c r="N4252" s="23"/>
      <c r="P4252" s="23"/>
    </row>
    <row r="4253" spans="2:16" x14ac:dyDescent="0.25">
      <c r="B4253" s="23"/>
      <c r="E4253" s="23"/>
      <c r="G4253" s="23"/>
      <c r="H4253" s="23"/>
      <c r="J4253" s="23"/>
      <c r="K4253" s="23"/>
      <c r="M4253" s="23"/>
      <c r="N4253" s="23"/>
      <c r="P4253" s="23"/>
    </row>
    <row r="4254" spans="2:16" x14ac:dyDescent="0.25">
      <c r="B4254" s="23"/>
      <c r="E4254" s="23"/>
      <c r="G4254" s="23"/>
      <c r="H4254" s="23"/>
      <c r="J4254" s="23"/>
      <c r="K4254" s="23"/>
      <c r="M4254" s="23"/>
      <c r="N4254" s="23"/>
      <c r="P4254" s="23"/>
    </row>
    <row r="4255" spans="2:16" x14ac:dyDescent="0.25">
      <c r="B4255" s="23"/>
      <c r="E4255" s="23"/>
      <c r="G4255" s="23"/>
      <c r="H4255" s="23"/>
      <c r="J4255" s="23"/>
      <c r="K4255" s="23"/>
      <c r="M4255" s="23"/>
      <c r="N4255" s="23"/>
      <c r="P4255" s="23"/>
    </row>
    <row r="4256" spans="2:16" x14ac:dyDescent="0.25">
      <c r="B4256" s="23"/>
      <c r="E4256" s="23"/>
      <c r="G4256" s="23"/>
      <c r="H4256" s="23"/>
      <c r="J4256" s="23"/>
      <c r="K4256" s="23"/>
      <c r="M4256" s="23"/>
      <c r="N4256" s="23"/>
      <c r="P4256" s="23"/>
    </row>
    <row r="4257" spans="2:16" x14ac:dyDescent="0.25">
      <c r="B4257" s="23"/>
      <c r="E4257" s="23"/>
      <c r="G4257" s="23"/>
      <c r="H4257" s="23"/>
      <c r="J4257" s="23"/>
      <c r="K4257" s="23"/>
      <c r="M4257" s="23"/>
      <c r="N4257" s="23"/>
      <c r="P4257" s="23"/>
    </row>
    <row r="4258" spans="2:16" x14ac:dyDescent="0.25">
      <c r="B4258" s="23"/>
      <c r="E4258" s="23"/>
      <c r="G4258" s="23"/>
      <c r="H4258" s="23"/>
      <c r="J4258" s="23"/>
      <c r="K4258" s="23"/>
      <c r="M4258" s="23"/>
      <c r="N4258" s="23"/>
      <c r="P4258" s="23"/>
    </row>
    <row r="4259" spans="2:16" x14ac:dyDescent="0.25">
      <c r="B4259" s="23"/>
      <c r="E4259" s="23"/>
      <c r="G4259" s="23"/>
      <c r="H4259" s="23"/>
      <c r="J4259" s="23"/>
      <c r="K4259" s="23"/>
      <c r="M4259" s="23"/>
      <c r="N4259" s="23"/>
      <c r="P4259" s="23"/>
    </row>
    <row r="4260" spans="2:16" x14ac:dyDescent="0.25">
      <c r="B4260" s="23"/>
      <c r="E4260" s="23"/>
      <c r="G4260" s="23"/>
      <c r="H4260" s="23"/>
      <c r="J4260" s="23"/>
      <c r="K4260" s="23"/>
      <c r="M4260" s="23"/>
      <c r="N4260" s="23"/>
      <c r="P4260" s="23"/>
    </row>
    <row r="4261" spans="2:16" x14ac:dyDescent="0.25">
      <c r="B4261" s="23"/>
      <c r="E4261" s="23"/>
      <c r="G4261" s="23"/>
      <c r="H4261" s="23"/>
      <c r="J4261" s="23"/>
      <c r="K4261" s="23"/>
      <c r="M4261" s="23"/>
      <c r="N4261" s="23"/>
      <c r="P4261" s="23"/>
    </row>
    <row r="4262" spans="2:16" x14ac:dyDescent="0.25">
      <c r="B4262" s="23"/>
      <c r="E4262" s="23"/>
      <c r="G4262" s="23"/>
      <c r="H4262" s="23"/>
      <c r="J4262" s="23"/>
      <c r="K4262" s="23"/>
      <c r="M4262" s="23"/>
      <c r="N4262" s="23"/>
      <c r="P4262" s="23"/>
    </row>
    <row r="4263" spans="2:16" x14ac:dyDescent="0.25">
      <c r="B4263" s="23"/>
      <c r="E4263" s="23"/>
      <c r="G4263" s="23"/>
      <c r="H4263" s="23"/>
      <c r="J4263" s="23"/>
      <c r="K4263" s="23"/>
      <c r="M4263" s="23"/>
      <c r="N4263" s="23"/>
      <c r="P4263" s="23"/>
    </row>
    <row r="4264" spans="2:16" x14ac:dyDescent="0.25">
      <c r="B4264" s="23"/>
      <c r="E4264" s="23"/>
      <c r="G4264" s="23"/>
      <c r="H4264" s="23"/>
      <c r="J4264" s="23"/>
      <c r="K4264" s="23"/>
      <c r="M4264" s="23"/>
      <c r="N4264" s="23"/>
      <c r="P4264" s="23"/>
    </row>
    <row r="4265" spans="2:16" x14ac:dyDescent="0.25">
      <c r="B4265" s="23"/>
      <c r="E4265" s="23"/>
      <c r="G4265" s="23"/>
      <c r="H4265" s="23"/>
      <c r="J4265" s="23"/>
      <c r="K4265" s="23"/>
      <c r="M4265" s="23"/>
      <c r="N4265" s="23"/>
      <c r="P4265" s="23"/>
    </row>
    <row r="4266" spans="2:16" x14ac:dyDescent="0.25">
      <c r="B4266" s="23"/>
      <c r="E4266" s="23"/>
      <c r="G4266" s="23"/>
      <c r="H4266" s="23"/>
      <c r="J4266" s="23"/>
      <c r="K4266" s="23"/>
      <c r="M4266" s="23"/>
      <c r="N4266" s="23"/>
      <c r="P4266" s="23"/>
    </row>
    <row r="4267" spans="2:16" x14ac:dyDescent="0.25">
      <c r="B4267" s="23"/>
      <c r="E4267" s="23"/>
      <c r="G4267" s="23"/>
      <c r="H4267" s="23"/>
      <c r="J4267" s="23"/>
      <c r="K4267" s="23"/>
      <c r="M4267" s="23"/>
      <c r="N4267" s="23"/>
      <c r="P4267" s="23"/>
    </row>
    <row r="4268" spans="2:16" x14ac:dyDescent="0.25">
      <c r="B4268" s="23"/>
      <c r="E4268" s="23"/>
      <c r="G4268" s="23"/>
      <c r="H4268" s="23"/>
      <c r="J4268" s="23"/>
      <c r="K4268" s="23"/>
      <c r="M4268" s="23"/>
      <c r="N4268" s="23"/>
      <c r="P4268" s="23"/>
    </row>
    <row r="4269" spans="2:16" x14ac:dyDescent="0.25">
      <c r="B4269" s="23"/>
      <c r="E4269" s="23"/>
      <c r="G4269" s="23"/>
      <c r="H4269" s="23"/>
      <c r="J4269" s="23"/>
      <c r="K4269" s="23"/>
      <c r="M4269" s="23"/>
      <c r="N4269" s="23"/>
      <c r="P4269" s="23"/>
    </row>
    <row r="4270" spans="2:16" x14ac:dyDescent="0.25">
      <c r="B4270" s="23"/>
      <c r="E4270" s="23"/>
      <c r="G4270" s="23"/>
      <c r="H4270" s="23"/>
      <c r="J4270" s="23"/>
      <c r="K4270" s="23"/>
      <c r="M4270" s="23"/>
      <c r="N4270" s="23"/>
      <c r="P4270" s="23"/>
    </row>
    <row r="4271" spans="2:16" x14ac:dyDescent="0.25">
      <c r="B4271" s="23"/>
      <c r="E4271" s="23"/>
      <c r="G4271" s="23"/>
      <c r="H4271" s="23"/>
      <c r="J4271" s="23"/>
      <c r="K4271" s="23"/>
      <c r="M4271" s="23"/>
      <c r="N4271" s="23"/>
      <c r="P4271" s="23"/>
    </row>
    <row r="4272" spans="2:16" x14ac:dyDescent="0.25">
      <c r="B4272" s="23"/>
      <c r="E4272" s="23"/>
      <c r="G4272" s="23"/>
      <c r="H4272" s="23"/>
      <c r="J4272" s="23"/>
      <c r="K4272" s="23"/>
      <c r="M4272" s="23"/>
      <c r="N4272" s="23"/>
      <c r="P4272" s="23"/>
    </row>
    <row r="4273" spans="2:16" x14ac:dyDescent="0.25">
      <c r="B4273" s="23"/>
      <c r="E4273" s="23"/>
      <c r="G4273" s="23"/>
      <c r="H4273" s="23"/>
      <c r="J4273" s="23"/>
      <c r="K4273" s="23"/>
      <c r="M4273" s="23"/>
      <c r="N4273" s="23"/>
      <c r="P4273" s="23"/>
    </row>
    <row r="4274" spans="2:16" x14ac:dyDescent="0.25">
      <c r="B4274" s="23"/>
      <c r="E4274" s="23"/>
      <c r="G4274" s="23"/>
      <c r="H4274" s="23"/>
      <c r="J4274" s="23"/>
      <c r="K4274" s="23"/>
      <c r="M4274" s="23"/>
      <c r="N4274" s="23"/>
      <c r="P4274" s="23"/>
    </row>
    <row r="4275" spans="2:16" x14ac:dyDescent="0.25">
      <c r="B4275" s="23"/>
      <c r="E4275" s="23"/>
      <c r="G4275" s="23"/>
      <c r="H4275" s="23"/>
      <c r="J4275" s="23"/>
      <c r="K4275" s="23"/>
      <c r="M4275" s="23"/>
      <c r="N4275" s="23"/>
      <c r="P4275" s="23"/>
    </row>
    <row r="4276" spans="2:16" x14ac:dyDescent="0.25">
      <c r="B4276" s="23"/>
      <c r="E4276" s="23"/>
      <c r="G4276" s="23"/>
      <c r="H4276" s="23"/>
      <c r="J4276" s="23"/>
      <c r="K4276" s="23"/>
      <c r="M4276" s="23"/>
      <c r="N4276" s="23"/>
      <c r="P4276" s="23"/>
    </row>
    <row r="4277" spans="2:16" x14ac:dyDescent="0.25">
      <c r="B4277" s="23"/>
      <c r="E4277" s="23"/>
      <c r="G4277" s="23"/>
      <c r="H4277" s="23"/>
      <c r="J4277" s="23"/>
      <c r="K4277" s="23"/>
      <c r="M4277" s="23"/>
      <c r="N4277" s="23"/>
      <c r="P4277" s="23"/>
    </row>
    <row r="4278" spans="2:16" x14ac:dyDescent="0.25">
      <c r="B4278" s="23"/>
      <c r="E4278" s="23"/>
      <c r="G4278" s="23"/>
      <c r="H4278" s="23"/>
      <c r="J4278" s="23"/>
      <c r="K4278" s="23"/>
      <c r="M4278" s="23"/>
      <c r="N4278" s="23"/>
      <c r="P4278" s="23"/>
    </row>
    <row r="4279" spans="2:16" x14ac:dyDescent="0.25">
      <c r="B4279" s="23"/>
      <c r="E4279" s="23"/>
      <c r="G4279" s="23"/>
      <c r="H4279" s="23"/>
      <c r="J4279" s="23"/>
      <c r="K4279" s="23"/>
      <c r="M4279" s="23"/>
      <c r="N4279" s="23"/>
      <c r="P4279" s="23"/>
    </row>
    <row r="4280" spans="2:16" x14ac:dyDescent="0.25">
      <c r="B4280" s="23"/>
      <c r="E4280" s="23"/>
      <c r="G4280" s="23"/>
      <c r="H4280" s="23"/>
      <c r="J4280" s="23"/>
      <c r="K4280" s="23"/>
      <c r="M4280" s="23"/>
      <c r="N4280" s="23"/>
      <c r="P4280" s="23"/>
    </row>
    <row r="4281" spans="2:16" x14ac:dyDescent="0.25">
      <c r="B4281" s="23"/>
      <c r="E4281" s="23"/>
      <c r="G4281" s="23"/>
      <c r="H4281" s="23"/>
      <c r="J4281" s="23"/>
      <c r="K4281" s="23"/>
      <c r="M4281" s="23"/>
      <c r="N4281" s="23"/>
      <c r="P4281" s="23"/>
    </row>
    <row r="4282" spans="2:16" x14ac:dyDescent="0.25">
      <c r="B4282" s="23"/>
      <c r="E4282" s="23"/>
      <c r="G4282" s="23"/>
      <c r="H4282" s="23"/>
      <c r="J4282" s="23"/>
      <c r="K4282" s="23"/>
      <c r="M4282" s="23"/>
      <c r="N4282" s="23"/>
      <c r="P4282" s="23"/>
    </row>
    <row r="4283" spans="2:16" x14ac:dyDescent="0.25">
      <c r="B4283" s="23"/>
      <c r="E4283" s="23"/>
      <c r="G4283" s="23"/>
      <c r="H4283" s="23"/>
      <c r="J4283" s="23"/>
      <c r="K4283" s="23"/>
      <c r="M4283" s="23"/>
      <c r="N4283" s="23"/>
      <c r="P4283" s="23"/>
    </row>
    <row r="4284" spans="2:16" x14ac:dyDescent="0.25">
      <c r="B4284" s="23"/>
      <c r="E4284" s="23"/>
      <c r="G4284" s="23"/>
      <c r="H4284" s="23"/>
      <c r="J4284" s="23"/>
      <c r="K4284" s="23"/>
      <c r="M4284" s="23"/>
      <c r="N4284" s="23"/>
      <c r="P4284" s="23"/>
    </row>
    <row r="4285" spans="2:16" x14ac:dyDescent="0.25">
      <c r="B4285" s="23"/>
      <c r="E4285" s="23"/>
      <c r="G4285" s="23"/>
      <c r="H4285" s="23"/>
      <c r="J4285" s="23"/>
      <c r="K4285" s="23"/>
      <c r="M4285" s="23"/>
      <c r="N4285" s="23"/>
      <c r="P4285" s="23"/>
    </row>
    <row r="4286" spans="2:16" x14ac:dyDescent="0.25">
      <c r="B4286" s="23"/>
      <c r="E4286" s="23"/>
      <c r="G4286" s="23"/>
      <c r="H4286" s="23"/>
      <c r="J4286" s="23"/>
      <c r="K4286" s="23"/>
      <c r="M4286" s="23"/>
      <c r="N4286" s="23"/>
      <c r="P4286" s="23"/>
    </row>
    <row r="4287" spans="2:16" x14ac:dyDescent="0.25">
      <c r="B4287" s="23"/>
      <c r="E4287" s="23"/>
      <c r="G4287" s="23"/>
      <c r="H4287" s="23"/>
      <c r="J4287" s="23"/>
      <c r="K4287" s="23"/>
      <c r="M4287" s="23"/>
      <c r="N4287" s="23"/>
      <c r="P4287" s="23"/>
    </row>
    <row r="4288" spans="2:16" x14ac:dyDescent="0.25">
      <c r="B4288" s="23"/>
      <c r="E4288" s="23"/>
      <c r="G4288" s="23"/>
      <c r="H4288" s="23"/>
      <c r="J4288" s="23"/>
      <c r="K4288" s="23"/>
      <c r="M4288" s="23"/>
      <c r="N4288" s="23"/>
      <c r="P4288" s="23"/>
    </row>
    <row r="4289" spans="2:16" x14ac:dyDescent="0.25">
      <c r="B4289" s="23"/>
      <c r="E4289" s="23"/>
      <c r="G4289" s="23"/>
      <c r="H4289" s="23"/>
      <c r="J4289" s="23"/>
      <c r="K4289" s="23"/>
      <c r="M4289" s="23"/>
      <c r="N4289" s="23"/>
      <c r="P4289" s="23"/>
    </row>
    <row r="4290" spans="2:16" x14ac:dyDescent="0.25">
      <c r="B4290" s="23"/>
      <c r="E4290" s="23"/>
      <c r="G4290" s="23"/>
      <c r="H4290" s="23"/>
      <c r="J4290" s="23"/>
      <c r="K4290" s="23"/>
      <c r="M4290" s="23"/>
      <c r="N4290" s="23"/>
      <c r="P4290" s="23"/>
    </row>
    <row r="4291" spans="2:16" x14ac:dyDescent="0.25">
      <c r="B4291" s="23"/>
      <c r="E4291" s="23"/>
      <c r="G4291" s="23"/>
      <c r="H4291" s="23"/>
      <c r="J4291" s="23"/>
      <c r="K4291" s="23"/>
      <c r="M4291" s="23"/>
      <c r="N4291" s="23"/>
      <c r="P4291" s="23"/>
    </row>
    <row r="4292" spans="2:16" x14ac:dyDescent="0.25">
      <c r="B4292" s="23"/>
      <c r="E4292" s="23"/>
      <c r="G4292" s="23"/>
      <c r="H4292" s="23"/>
      <c r="J4292" s="23"/>
      <c r="K4292" s="23"/>
      <c r="M4292" s="23"/>
      <c r="N4292" s="23"/>
      <c r="P4292" s="23"/>
    </row>
    <row r="4293" spans="2:16" x14ac:dyDescent="0.25">
      <c r="B4293" s="23"/>
      <c r="E4293" s="23"/>
      <c r="G4293" s="23"/>
      <c r="H4293" s="23"/>
      <c r="J4293" s="23"/>
      <c r="K4293" s="23"/>
      <c r="M4293" s="23"/>
      <c r="N4293" s="23"/>
      <c r="P4293" s="23"/>
    </row>
    <row r="4294" spans="2:16" x14ac:dyDescent="0.25">
      <c r="B4294" s="23"/>
      <c r="E4294" s="23"/>
      <c r="G4294" s="23"/>
      <c r="H4294" s="23"/>
      <c r="J4294" s="23"/>
      <c r="K4294" s="23"/>
      <c r="M4294" s="23"/>
      <c r="N4294" s="23"/>
      <c r="P4294" s="23"/>
    </row>
    <row r="4295" spans="2:16" x14ac:dyDescent="0.25">
      <c r="B4295" s="23"/>
      <c r="E4295" s="23"/>
      <c r="G4295" s="23"/>
      <c r="H4295" s="23"/>
      <c r="J4295" s="23"/>
      <c r="K4295" s="23"/>
      <c r="M4295" s="23"/>
      <c r="N4295" s="23"/>
      <c r="P4295" s="23"/>
    </row>
    <row r="4296" spans="2:16" x14ac:dyDescent="0.25">
      <c r="B4296" s="23"/>
      <c r="E4296" s="23"/>
      <c r="G4296" s="23"/>
      <c r="H4296" s="23"/>
      <c r="J4296" s="23"/>
      <c r="K4296" s="23"/>
      <c r="M4296" s="23"/>
      <c r="N4296" s="23"/>
      <c r="P4296" s="23"/>
    </row>
    <row r="4297" spans="2:16" x14ac:dyDescent="0.25">
      <c r="B4297" s="23"/>
      <c r="E4297" s="23"/>
      <c r="G4297" s="23"/>
      <c r="H4297" s="23"/>
      <c r="J4297" s="23"/>
      <c r="K4297" s="23"/>
      <c r="M4297" s="23"/>
      <c r="N4297" s="23"/>
      <c r="P4297" s="23"/>
    </row>
    <row r="4298" spans="2:16" x14ac:dyDescent="0.25">
      <c r="B4298" s="23"/>
      <c r="E4298" s="23"/>
      <c r="G4298" s="23"/>
      <c r="H4298" s="23"/>
      <c r="J4298" s="23"/>
      <c r="K4298" s="23"/>
      <c r="M4298" s="23"/>
      <c r="N4298" s="23"/>
      <c r="P4298" s="23"/>
    </row>
    <row r="4299" spans="2:16" x14ac:dyDescent="0.25">
      <c r="B4299" s="23"/>
      <c r="E4299" s="23"/>
      <c r="G4299" s="23"/>
      <c r="H4299" s="23"/>
      <c r="J4299" s="23"/>
      <c r="K4299" s="23"/>
      <c r="M4299" s="23"/>
      <c r="N4299" s="23"/>
      <c r="P4299" s="23"/>
    </row>
    <row r="4300" spans="2:16" x14ac:dyDescent="0.25">
      <c r="B4300" s="23"/>
      <c r="E4300" s="23"/>
      <c r="G4300" s="23"/>
      <c r="H4300" s="23"/>
      <c r="J4300" s="23"/>
      <c r="K4300" s="23"/>
      <c r="M4300" s="23"/>
      <c r="N4300" s="23"/>
      <c r="P4300" s="23"/>
    </row>
    <row r="4301" spans="2:16" x14ac:dyDescent="0.25">
      <c r="B4301" s="23"/>
      <c r="E4301" s="23"/>
      <c r="G4301" s="23"/>
      <c r="H4301" s="23"/>
      <c r="J4301" s="23"/>
      <c r="K4301" s="23"/>
      <c r="M4301" s="23"/>
      <c r="N4301" s="23"/>
      <c r="P4301" s="23"/>
    </row>
    <row r="4302" spans="2:16" x14ac:dyDescent="0.25">
      <c r="B4302" s="23"/>
      <c r="E4302" s="23"/>
      <c r="G4302" s="23"/>
      <c r="H4302" s="23"/>
      <c r="J4302" s="23"/>
      <c r="K4302" s="23"/>
      <c r="M4302" s="23"/>
      <c r="N4302" s="23"/>
      <c r="P4302" s="23"/>
    </row>
    <row r="4303" spans="2:16" x14ac:dyDescent="0.25">
      <c r="B4303" s="23"/>
      <c r="E4303" s="23"/>
      <c r="G4303" s="23"/>
      <c r="H4303" s="23"/>
      <c r="J4303" s="23"/>
      <c r="K4303" s="23"/>
      <c r="M4303" s="23"/>
      <c r="N4303" s="23"/>
      <c r="P4303" s="23"/>
    </row>
    <row r="4304" spans="2:16" x14ac:dyDescent="0.25">
      <c r="B4304" s="23"/>
      <c r="E4304" s="23"/>
      <c r="G4304" s="23"/>
      <c r="H4304" s="23"/>
      <c r="J4304" s="23"/>
      <c r="K4304" s="23"/>
      <c r="M4304" s="23"/>
      <c r="N4304" s="23"/>
      <c r="P4304" s="23"/>
    </row>
    <row r="4305" spans="2:16" x14ac:dyDescent="0.25">
      <c r="B4305" s="23"/>
      <c r="E4305" s="23"/>
      <c r="G4305" s="23"/>
      <c r="H4305" s="23"/>
      <c r="J4305" s="23"/>
      <c r="K4305" s="23"/>
      <c r="M4305" s="23"/>
      <c r="N4305" s="23"/>
      <c r="P4305" s="23"/>
    </row>
    <row r="4306" spans="2:16" x14ac:dyDescent="0.25">
      <c r="B4306" s="23"/>
      <c r="E4306" s="23"/>
      <c r="G4306" s="23"/>
      <c r="H4306" s="23"/>
      <c r="J4306" s="23"/>
      <c r="K4306" s="23"/>
      <c r="M4306" s="23"/>
      <c r="N4306" s="23"/>
      <c r="P4306" s="23"/>
    </row>
    <row r="4307" spans="2:16" x14ac:dyDescent="0.25">
      <c r="B4307" s="23"/>
      <c r="E4307" s="23"/>
      <c r="G4307" s="23"/>
      <c r="H4307" s="23"/>
      <c r="J4307" s="23"/>
      <c r="K4307" s="23"/>
      <c r="M4307" s="23"/>
      <c r="N4307" s="23"/>
      <c r="P4307" s="23"/>
    </row>
    <row r="4308" spans="2:16" x14ac:dyDescent="0.25">
      <c r="B4308" s="23"/>
      <c r="E4308" s="23"/>
      <c r="G4308" s="23"/>
      <c r="H4308" s="23"/>
      <c r="J4308" s="23"/>
      <c r="K4308" s="23"/>
      <c r="M4308" s="23"/>
      <c r="N4308" s="23"/>
      <c r="P4308" s="23"/>
    </row>
    <row r="4309" spans="2:16" x14ac:dyDescent="0.25">
      <c r="B4309" s="23"/>
      <c r="E4309" s="23"/>
      <c r="G4309" s="23"/>
      <c r="H4309" s="23"/>
      <c r="J4309" s="23"/>
      <c r="K4309" s="23"/>
      <c r="M4309" s="23"/>
      <c r="N4309" s="23"/>
      <c r="P4309" s="23"/>
    </row>
    <row r="4310" spans="2:16" x14ac:dyDescent="0.25">
      <c r="B4310" s="23"/>
      <c r="E4310" s="23"/>
      <c r="G4310" s="23"/>
      <c r="H4310" s="23"/>
      <c r="J4310" s="23"/>
      <c r="K4310" s="23"/>
      <c r="M4310" s="23"/>
      <c r="N4310" s="23"/>
      <c r="P4310" s="23"/>
    </row>
    <row r="4311" spans="2:16" x14ac:dyDescent="0.25">
      <c r="B4311" s="23"/>
      <c r="E4311" s="23"/>
      <c r="G4311" s="23"/>
      <c r="H4311" s="23"/>
      <c r="J4311" s="23"/>
      <c r="K4311" s="23"/>
      <c r="M4311" s="23"/>
      <c r="N4311" s="23"/>
      <c r="P4311" s="23"/>
    </row>
    <row r="4312" spans="2:16" x14ac:dyDescent="0.25">
      <c r="B4312" s="23"/>
      <c r="E4312" s="23"/>
      <c r="G4312" s="23"/>
      <c r="H4312" s="23"/>
      <c r="J4312" s="23"/>
      <c r="K4312" s="23"/>
      <c r="M4312" s="23"/>
      <c r="N4312" s="23"/>
      <c r="P4312" s="23"/>
    </row>
    <row r="4313" spans="2:16" x14ac:dyDescent="0.25">
      <c r="B4313" s="23"/>
      <c r="E4313" s="23"/>
      <c r="G4313" s="23"/>
      <c r="H4313" s="23"/>
      <c r="J4313" s="23"/>
      <c r="K4313" s="23"/>
      <c r="M4313" s="23"/>
      <c r="N4313" s="23"/>
      <c r="P4313" s="23"/>
    </row>
    <row r="4314" spans="2:16" x14ac:dyDescent="0.25">
      <c r="B4314" s="23"/>
      <c r="E4314" s="23"/>
      <c r="G4314" s="23"/>
      <c r="H4314" s="23"/>
      <c r="J4314" s="23"/>
      <c r="K4314" s="23"/>
      <c r="M4314" s="23"/>
      <c r="N4314" s="23"/>
      <c r="P4314" s="23"/>
    </row>
    <row r="4315" spans="2:16" x14ac:dyDescent="0.25">
      <c r="B4315" s="23"/>
      <c r="E4315" s="23"/>
      <c r="G4315" s="23"/>
      <c r="H4315" s="23"/>
      <c r="J4315" s="23"/>
      <c r="K4315" s="23"/>
      <c r="M4315" s="23"/>
      <c r="N4315" s="23"/>
      <c r="P4315" s="23"/>
    </row>
    <row r="4316" spans="2:16" x14ac:dyDescent="0.25">
      <c r="B4316" s="23"/>
      <c r="E4316" s="23"/>
      <c r="G4316" s="23"/>
      <c r="H4316" s="23"/>
      <c r="J4316" s="23"/>
      <c r="K4316" s="23"/>
      <c r="M4316" s="23"/>
      <c r="N4316" s="23"/>
      <c r="P4316" s="23"/>
    </row>
    <row r="4317" spans="2:16" x14ac:dyDescent="0.25">
      <c r="B4317" s="23"/>
      <c r="E4317" s="23"/>
      <c r="G4317" s="23"/>
      <c r="H4317" s="23"/>
      <c r="J4317" s="23"/>
      <c r="K4317" s="23"/>
      <c r="M4317" s="23"/>
      <c r="N4317" s="23"/>
      <c r="P4317" s="23"/>
    </row>
    <row r="4318" spans="2:16" x14ac:dyDescent="0.25">
      <c r="B4318" s="23"/>
      <c r="E4318" s="23"/>
      <c r="G4318" s="23"/>
      <c r="H4318" s="23"/>
      <c r="J4318" s="23"/>
      <c r="K4318" s="23"/>
      <c r="M4318" s="23"/>
      <c r="N4318" s="23"/>
      <c r="P4318" s="23"/>
    </row>
    <row r="4319" spans="2:16" x14ac:dyDescent="0.25">
      <c r="B4319" s="23"/>
      <c r="E4319" s="23"/>
      <c r="G4319" s="23"/>
      <c r="H4319" s="23"/>
      <c r="J4319" s="23"/>
      <c r="K4319" s="23"/>
      <c r="M4319" s="23"/>
      <c r="N4319" s="23"/>
      <c r="P4319" s="23"/>
    </row>
    <row r="4320" spans="2:16" x14ac:dyDescent="0.25">
      <c r="B4320" s="23"/>
      <c r="E4320" s="23"/>
      <c r="G4320" s="23"/>
      <c r="H4320" s="23"/>
      <c r="J4320" s="23"/>
      <c r="K4320" s="23"/>
      <c r="M4320" s="23"/>
      <c r="N4320" s="23"/>
      <c r="P4320" s="23"/>
    </row>
    <row r="4321" spans="2:16" x14ac:dyDescent="0.25">
      <c r="B4321" s="23"/>
      <c r="E4321" s="23"/>
      <c r="G4321" s="23"/>
      <c r="H4321" s="23"/>
      <c r="J4321" s="23"/>
      <c r="K4321" s="23"/>
      <c r="M4321" s="23"/>
      <c r="N4321" s="23"/>
      <c r="P4321" s="23"/>
    </row>
    <row r="4322" spans="2:16" x14ac:dyDescent="0.25">
      <c r="B4322" s="23"/>
      <c r="E4322" s="23"/>
      <c r="G4322" s="23"/>
      <c r="H4322" s="23"/>
      <c r="J4322" s="23"/>
      <c r="K4322" s="23"/>
      <c r="M4322" s="23"/>
      <c r="N4322" s="23"/>
      <c r="P4322" s="23"/>
    </row>
    <row r="4323" spans="2:16" x14ac:dyDescent="0.25">
      <c r="B4323" s="23"/>
      <c r="E4323" s="23"/>
      <c r="G4323" s="23"/>
      <c r="H4323" s="23"/>
      <c r="J4323" s="23"/>
      <c r="K4323" s="23"/>
      <c r="M4323" s="23"/>
      <c r="N4323" s="23"/>
      <c r="P4323" s="23"/>
    </row>
    <row r="4324" spans="2:16" x14ac:dyDescent="0.25">
      <c r="B4324" s="23"/>
      <c r="E4324" s="23"/>
      <c r="G4324" s="23"/>
      <c r="H4324" s="23"/>
      <c r="J4324" s="23"/>
      <c r="K4324" s="23"/>
      <c r="M4324" s="23"/>
      <c r="N4324" s="23"/>
      <c r="P4324" s="23"/>
    </row>
    <row r="4325" spans="2:16" x14ac:dyDescent="0.25">
      <c r="B4325" s="23"/>
      <c r="E4325" s="23"/>
      <c r="G4325" s="23"/>
      <c r="H4325" s="23"/>
      <c r="J4325" s="23"/>
      <c r="K4325" s="23"/>
      <c r="M4325" s="23"/>
      <c r="N4325" s="23"/>
      <c r="P4325" s="23"/>
    </row>
    <row r="4326" spans="2:16" x14ac:dyDescent="0.25">
      <c r="B4326" s="23"/>
      <c r="E4326" s="23"/>
      <c r="G4326" s="23"/>
      <c r="H4326" s="23"/>
      <c r="J4326" s="23"/>
      <c r="K4326" s="23"/>
      <c r="M4326" s="23"/>
      <c r="N4326" s="23"/>
      <c r="P4326" s="23"/>
    </row>
    <row r="4327" spans="2:16" x14ac:dyDescent="0.25">
      <c r="B4327" s="23"/>
      <c r="E4327" s="23"/>
      <c r="G4327" s="23"/>
      <c r="H4327" s="23"/>
      <c r="J4327" s="23"/>
      <c r="K4327" s="23"/>
      <c r="M4327" s="23"/>
      <c r="N4327" s="23"/>
      <c r="P4327" s="23"/>
    </row>
    <row r="4328" spans="2:16" x14ac:dyDescent="0.25">
      <c r="B4328" s="23"/>
      <c r="E4328" s="23"/>
      <c r="G4328" s="23"/>
      <c r="H4328" s="23"/>
      <c r="J4328" s="23"/>
      <c r="K4328" s="23"/>
      <c r="M4328" s="23"/>
      <c r="N4328" s="23"/>
      <c r="P4328" s="23"/>
    </row>
    <row r="4329" spans="2:16" x14ac:dyDescent="0.25">
      <c r="B4329" s="23"/>
      <c r="E4329" s="23"/>
      <c r="G4329" s="23"/>
      <c r="H4329" s="23"/>
      <c r="J4329" s="23"/>
      <c r="K4329" s="23"/>
      <c r="M4329" s="23"/>
      <c r="N4329" s="23"/>
      <c r="P4329" s="23"/>
    </row>
    <row r="4330" spans="2:16" x14ac:dyDescent="0.25">
      <c r="B4330" s="23"/>
      <c r="E4330" s="23"/>
      <c r="G4330" s="23"/>
      <c r="H4330" s="23"/>
      <c r="J4330" s="23"/>
      <c r="K4330" s="23"/>
      <c r="M4330" s="23"/>
      <c r="N4330" s="23"/>
      <c r="P4330" s="23"/>
    </row>
    <row r="4331" spans="2:16" x14ac:dyDescent="0.25">
      <c r="B4331" s="23"/>
      <c r="E4331" s="23"/>
      <c r="G4331" s="23"/>
      <c r="H4331" s="23"/>
      <c r="J4331" s="23"/>
      <c r="K4331" s="23"/>
      <c r="M4331" s="23"/>
      <c r="N4331" s="23"/>
      <c r="P4331" s="23"/>
    </row>
    <row r="4332" spans="2:16" x14ac:dyDescent="0.25">
      <c r="B4332" s="23"/>
      <c r="E4332" s="23"/>
      <c r="G4332" s="23"/>
      <c r="H4332" s="23"/>
      <c r="J4332" s="23"/>
      <c r="K4332" s="23"/>
      <c r="M4332" s="23"/>
      <c r="N4332" s="23"/>
      <c r="P4332" s="23"/>
    </row>
    <row r="4333" spans="2:16" x14ac:dyDescent="0.25">
      <c r="B4333" s="23"/>
      <c r="E4333" s="23"/>
      <c r="G4333" s="23"/>
      <c r="H4333" s="23"/>
      <c r="J4333" s="23"/>
      <c r="K4333" s="23"/>
      <c r="M4333" s="23"/>
      <c r="N4333" s="23"/>
      <c r="P4333" s="23"/>
    </row>
    <row r="4334" spans="2:16" x14ac:dyDescent="0.25">
      <c r="B4334" s="23"/>
      <c r="E4334" s="23"/>
      <c r="G4334" s="23"/>
      <c r="H4334" s="23"/>
      <c r="J4334" s="23"/>
      <c r="K4334" s="23"/>
      <c r="M4334" s="23"/>
      <c r="N4334" s="23"/>
      <c r="P4334" s="23"/>
    </row>
    <row r="4335" spans="2:16" x14ac:dyDescent="0.25">
      <c r="B4335" s="23"/>
      <c r="E4335" s="23"/>
      <c r="G4335" s="23"/>
      <c r="H4335" s="23"/>
      <c r="J4335" s="23"/>
      <c r="K4335" s="23"/>
      <c r="M4335" s="23"/>
      <c r="N4335" s="23"/>
      <c r="P4335" s="23"/>
    </row>
    <row r="4336" spans="2:16" x14ac:dyDescent="0.25">
      <c r="B4336" s="23"/>
      <c r="E4336" s="23"/>
      <c r="G4336" s="23"/>
      <c r="H4336" s="23"/>
      <c r="J4336" s="23"/>
      <c r="K4336" s="23"/>
      <c r="M4336" s="23"/>
      <c r="N4336" s="23"/>
      <c r="P4336" s="23"/>
    </row>
    <row r="4337" spans="2:16" x14ac:dyDescent="0.25">
      <c r="B4337" s="23"/>
      <c r="E4337" s="23"/>
      <c r="G4337" s="23"/>
      <c r="H4337" s="23"/>
      <c r="J4337" s="23"/>
      <c r="K4337" s="23"/>
      <c r="M4337" s="23"/>
      <c r="N4337" s="23"/>
      <c r="P4337" s="23"/>
    </row>
    <row r="4338" spans="2:16" x14ac:dyDescent="0.25">
      <c r="B4338" s="23"/>
      <c r="E4338" s="23"/>
      <c r="G4338" s="23"/>
      <c r="H4338" s="23"/>
      <c r="J4338" s="23"/>
      <c r="K4338" s="23"/>
      <c r="M4338" s="23"/>
      <c r="N4338" s="23"/>
      <c r="P4338" s="23"/>
    </row>
    <row r="4339" spans="2:16" x14ac:dyDescent="0.25">
      <c r="B4339" s="23"/>
      <c r="E4339" s="23"/>
      <c r="G4339" s="23"/>
      <c r="H4339" s="23"/>
      <c r="J4339" s="23"/>
      <c r="K4339" s="23"/>
      <c r="M4339" s="23"/>
      <c r="N4339" s="23"/>
      <c r="P4339" s="23"/>
    </row>
    <row r="4340" spans="2:16" x14ac:dyDescent="0.25">
      <c r="B4340" s="23"/>
      <c r="E4340" s="23"/>
      <c r="G4340" s="23"/>
      <c r="H4340" s="23"/>
      <c r="J4340" s="23"/>
      <c r="K4340" s="23"/>
      <c r="M4340" s="23"/>
      <c r="N4340" s="23"/>
      <c r="P4340" s="23"/>
    </row>
    <row r="4341" spans="2:16" x14ac:dyDescent="0.25">
      <c r="B4341" s="23"/>
      <c r="E4341" s="23"/>
      <c r="G4341" s="23"/>
      <c r="H4341" s="23"/>
      <c r="J4341" s="23"/>
      <c r="K4341" s="23"/>
      <c r="M4341" s="23"/>
      <c r="N4341" s="23"/>
      <c r="P4341" s="23"/>
    </row>
    <row r="4342" spans="2:16" x14ac:dyDescent="0.25">
      <c r="B4342" s="23"/>
      <c r="E4342" s="23"/>
      <c r="G4342" s="23"/>
      <c r="H4342" s="23"/>
      <c r="J4342" s="23"/>
      <c r="K4342" s="23"/>
      <c r="M4342" s="23"/>
      <c r="N4342" s="23"/>
      <c r="P4342" s="23"/>
    </row>
    <row r="4343" spans="2:16" x14ac:dyDescent="0.25">
      <c r="B4343" s="23"/>
      <c r="E4343" s="23"/>
      <c r="G4343" s="23"/>
      <c r="H4343" s="23"/>
      <c r="J4343" s="23"/>
      <c r="K4343" s="23"/>
      <c r="M4343" s="23"/>
      <c r="N4343" s="23"/>
      <c r="P4343" s="23"/>
    </row>
    <row r="4344" spans="2:16" x14ac:dyDescent="0.25">
      <c r="B4344" s="23"/>
      <c r="E4344" s="23"/>
      <c r="G4344" s="23"/>
      <c r="H4344" s="23"/>
      <c r="J4344" s="23"/>
      <c r="K4344" s="23"/>
      <c r="M4344" s="23"/>
      <c r="N4344" s="23"/>
      <c r="P4344" s="23"/>
    </row>
    <row r="4345" spans="2:16" x14ac:dyDescent="0.25">
      <c r="B4345" s="23"/>
      <c r="E4345" s="23"/>
      <c r="G4345" s="23"/>
      <c r="H4345" s="23"/>
      <c r="J4345" s="23"/>
      <c r="K4345" s="23"/>
      <c r="M4345" s="23"/>
      <c r="N4345" s="23"/>
      <c r="P4345" s="23"/>
    </row>
    <row r="4346" spans="2:16" x14ac:dyDescent="0.25">
      <c r="B4346" s="23"/>
      <c r="E4346" s="23"/>
      <c r="G4346" s="23"/>
      <c r="H4346" s="23"/>
      <c r="J4346" s="23"/>
      <c r="K4346" s="23"/>
      <c r="M4346" s="23"/>
      <c r="N4346" s="23"/>
      <c r="P4346" s="23"/>
    </row>
    <row r="4347" spans="2:16" x14ac:dyDescent="0.25">
      <c r="B4347" s="23"/>
      <c r="E4347" s="23"/>
      <c r="G4347" s="23"/>
      <c r="H4347" s="23"/>
      <c r="J4347" s="23"/>
      <c r="K4347" s="23"/>
      <c r="M4347" s="23"/>
      <c r="N4347" s="23"/>
      <c r="P4347" s="23"/>
    </row>
    <row r="4348" spans="2:16" x14ac:dyDescent="0.25">
      <c r="B4348" s="23"/>
      <c r="E4348" s="23"/>
      <c r="G4348" s="23"/>
      <c r="H4348" s="23"/>
      <c r="J4348" s="23"/>
      <c r="K4348" s="23"/>
      <c r="M4348" s="23"/>
      <c r="N4348" s="23"/>
      <c r="P4348" s="23"/>
    </row>
    <row r="4349" spans="2:16" x14ac:dyDescent="0.25">
      <c r="B4349" s="23"/>
      <c r="E4349" s="23"/>
      <c r="G4349" s="23"/>
      <c r="H4349" s="23"/>
      <c r="J4349" s="23"/>
      <c r="K4349" s="23"/>
      <c r="M4349" s="23"/>
      <c r="N4349" s="23"/>
      <c r="P4349" s="23"/>
    </row>
    <row r="4350" spans="2:16" x14ac:dyDescent="0.25">
      <c r="B4350" s="23"/>
      <c r="E4350" s="23"/>
      <c r="G4350" s="23"/>
      <c r="H4350" s="23"/>
      <c r="J4350" s="23"/>
      <c r="K4350" s="23"/>
      <c r="M4350" s="23"/>
      <c r="N4350" s="23"/>
      <c r="P4350" s="23"/>
    </row>
    <row r="4351" spans="2:16" x14ac:dyDescent="0.25">
      <c r="B4351" s="23"/>
      <c r="E4351" s="23"/>
      <c r="G4351" s="23"/>
      <c r="H4351" s="23"/>
      <c r="J4351" s="23"/>
      <c r="K4351" s="23"/>
      <c r="M4351" s="23"/>
      <c r="N4351" s="23"/>
      <c r="P4351" s="23"/>
    </row>
    <row r="4352" spans="2:16" x14ac:dyDescent="0.25">
      <c r="B4352" s="23"/>
      <c r="E4352" s="23"/>
      <c r="G4352" s="23"/>
      <c r="H4352" s="23"/>
      <c r="J4352" s="23"/>
      <c r="K4352" s="23"/>
      <c r="M4352" s="23"/>
      <c r="N4352" s="23"/>
      <c r="P4352" s="23"/>
    </row>
    <row r="4353" spans="2:16" x14ac:dyDescent="0.25">
      <c r="B4353" s="23"/>
      <c r="E4353" s="23"/>
      <c r="G4353" s="23"/>
      <c r="H4353" s="23"/>
      <c r="J4353" s="23"/>
      <c r="K4353" s="23"/>
      <c r="M4353" s="23"/>
      <c r="N4353" s="23"/>
      <c r="P4353" s="23"/>
    </row>
    <row r="4354" spans="2:16" x14ac:dyDescent="0.25">
      <c r="B4354" s="23"/>
      <c r="E4354" s="23"/>
      <c r="G4354" s="23"/>
      <c r="H4354" s="23"/>
      <c r="J4354" s="23"/>
      <c r="K4354" s="23"/>
      <c r="M4354" s="23"/>
      <c r="N4354" s="23"/>
      <c r="P4354" s="23"/>
    </row>
    <row r="4355" spans="2:16" x14ac:dyDescent="0.25">
      <c r="B4355" s="23"/>
      <c r="E4355" s="23"/>
      <c r="G4355" s="23"/>
      <c r="H4355" s="23"/>
      <c r="J4355" s="23"/>
      <c r="K4355" s="23"/>
      <c r="M4355" s="23"/>
      <c r="N4355" s="23"/>
      <c r="P4355" s="23"/>
    </row>
    <row r="4356" spans="2:16" x14ac:dyDescent="0.25">
      <c r="B4356" s="23"/>
      <c r="E4356" s="23"/>
      <c r="G4356" s="23"/>
      <c r="H4356" s="23"/>
      <c r="J4356" s="23"/>
      <c r="K4356" s="23"/>
      <c r="M4356" s="23"/>
      <c r="N4356" s="23"/>
      <c r="P4356" s="23"/>
    </row>
    <row r="4357" spans="2:16" x14ac:dyDescent="0.25">
      <c r="B4357" s="23"/>
      <c r="E4357" s="23"/>
      <c r="G4357" s="23"/>
      <c r="H4357" s="23"/>
      <c r="J4357" s="23"/>
      <c r="K4357" s="23"/>
      <c r="M4357" s="23"/>
      <c r="N4357" s="23"/>
      <c r="P4357" s="23"/>
    </row>
    <row r="4358" spans="2:16" x14ac:dyDescent="0.25">
      <c r="B4358" s="23"/>
      <c r="E4358" s="23"/>
      <c r="G4358" s="23"/>
      <c r="H4358" s="23"/>
      <c r="J4358" s="23"/>
      <c r="K4358" s="23"/>
      <c r="M4358" s="23"/>
      <c r="N4358" s="23"/>
      <c r="P4358" s="23"/>
    </row>
    <row r="4359" spans="2:16" x14ac:dyDescent="0.25">
      <c r="B4359" s="23"/>
      <c r="E4359" s="23"/>
      <c r="G4359" s="23"/>
      <c r="H4359" s="23"/>
      <c r="J4359" s="23"/>
      <c r="K4359" s="23"/>
      <c r="M4359" s="23"/>
      <c r="N4359" s="23"/>
      <c r="P4359" s="23"/>
    </row>
    <row r="4360" spans="2:16" x14ac:dyDescent="0.25">
      <c r="B4360" s="23"/>
      <c r="E4360" s="23"/>
      <c r="G4360" s="23"/>
      <c r="H4360" s="23"/>
      <c r="J4360" s="23"/>
      <c r="K4360" s="23"/>
      <c r="M4360" s="23"/>
      <c r="N4360" s="23"/>
      <c r="P4360" s="23"/>
    </row>
    <row r="4361" spans="2:16" x14ac:dyDescent="0.25">
      <c r="B4361" s="23"/>
      <c r="E4361" s="23"/>
      <c r="G4361" s="23"/>
      <c r="H4361" s="23"/>
      <c r="J4361" s="23"/>
      <c r="K4361" s="23"/>
      <c r="M4361" s="23"/>
      <c r="N4361" s="23"/>
      <c r="P4361" s="23"/>
    </row>
    <row r="4362" spans="2:16" x14ac:dyDescent="0.25">
      <c r="B4362" s="23"/>
      <c r="E4362" s="23"/>
      <c r="G4362" s="23"/>
      <c r="H4362" s="23"/>
      <c r="J4362" s="23"/>
      <c r="K4362" s="23"/>
      <c r="M4362" s="23"/>
      <c r="N4362" s="23"/>
      <c r="P4362" s="23"/>
    </row>
    <row r="4363" spans="2:16" x14ac:dyDescent="0.25">
      <c r="B4363" s="23"/>
      <c r="E4363" s="23"/>
      <c r="G4363" s="23"/>
      <c r="H4363" s="23"/>
      <c r="J4363" s="23"/>
      <c r="K4363" s="23"/>
      <c r="M4363" s="23"/>
      <c r="N4363" s="23"/>
      <c r="P4363" s="23"/>
    </row>
    <row r="4364" spans="2:16" x14ac:dyDescent="0.25">
      <c r="B4364" s="23"/>
      <c r="E4364" s="23"/>
      <c r="G4364" s="23"/>
      <c r="H4364" s="23"/>
      <c r="J4364" s="23"/>
      <c r="K4364" s="23"/>
      <c r="M4364" s="23"/>
      <c r="N4364" s="23"/>
      <c r="P4364" s="23"/>
    </row>
    <row r="4365" spans="2:16" x14ac:dyDescent="0.25">
      <c r="B4365" s="23"/>
      <c r="E4365" s="23"/>
      <c r="G4365" s="23"/>
      <c r="H4365" s="23"/>
      <c r="J4365" s="23"/>
      <c r="K4365" s="23"/>
      <c r="M4365" s="23"/>
      <c r="N4365" s="23"/>
      <c r="P4365" s="23"/>
    </row>
    <row r="4366" spans="2:16" x14ac:dyDescent="0.25">
      <c r="B4366" s="23"/>
      <c r="E4366" s="23"/>
      <c r="G4366" s="23"/>
      <c r="H4366" s="23"/>
      <c r="J4366" s="23"/>
      <c r="K4366" s="23"/>
      <c r="M4366" s="23"/>
      <c r="N4366" s="23"/>
      <c r="P4366" s="23"/>
    </row>
    <row r="4367" spans="2:16" x14ac:dyDescent="0.25">
      <c r="B4367" s="23"/>
      <c r="E4367" s="23"/>
      <c r="G4367" s="23"/>
      <c r="H4367" s="23"/>
      <c r="J4367" s="23"/>
      <c r="K4367" s="23"/>
      <c r="M4367" s="23"/>
      <c r="N4367" s="23"/>
      <c r="P4367" s="23"/>
    </row>
    <row r="4368" spans="2:16" x14ac:dyDescent="0.25">
      <c r="B4368" s="23"/>
      <c r="E4368" s="23"/>
      <c r="G4368" s="23"/>
      <c r="H4368" s="23"/>
      <c r="J4368" s="23"/>
      <c r="K4368" s="23"/>
      <c r="M4368" s="23"/>
      <c r="N4368" s="23"/>
      <c r="P4368" s="23"/>
    </row>
    <row r="4369" spans="2:16" x14ac:dyDescent="0.25">
      <c r="B4369" s="23"/>
      <c r="E4369" s="23"/>
      <c r="G4369" s="23"/>
      <c r="H4369" s="23"/>
      <c r="J4369" s="23"/>
      <c r="K4369" s="23"/>
      <c r="M4369" s="23"/>
      <c r="N4369" s="23"/>
      <c r="P4369" s="23"/>
    </row>
    <row r="4370" spans="2:16" x14ac:dyDescent="0.25">
      <c r="B4370" s="23"/>
      <c r="E4370" s="23"/>
      <c r="G4370" s="23"/>
      <c r="H4370" s="23"/>
      <c r="J4370" s="23"/>
      <c r="K4370" s="23"/>
      <c r="M4370" s="23"/>
      <c r="N4370" s="23"/>
      <c r="P4370" s="23"/>
    </row>
    <row r="4371" spans="2:16" x14ac:dyDescent="0.25">
      <c r="B4371" s="23"/>
      <c r="E4371" s="23"/>
      <c r="G4371" s="23"/>
      <c r="H4371" s="23"/>
      <c r="J4371" s="23"/>
      <c r="K4371" s="23"/>
      <c r="M4371" s="23"/>
      <c r="N4371" s="23"/>
      <c r="P4371" s="23"/>
    </row>
    <row r="4372" spans="2:16" x14ac:dyDescent="0.25">
      <c r="B4372" s="23"/>
      <c r="E4372" s="23"/>
      <c r="G4372" s="23"/>
      <c r="H4372" s="23"/>
      <c r="J4372" s="23"/>
      <c r="K4372" s="23"/>
      <c r="M4372" s="23"/>
      <c r="N4372" s="23"/>
      <c r="P4372" s="23"/>
    </row>
    <row r="4373" spans="2:16" x14ac:dyDescent="0.25">
      <c r="B4373" s="23"/>
      <c r="E4373" s="23"/>
      <c r="G4373" s="23"/>
      <c r="H4373" s="23"/>
      <c r="J4373" s="23"/>
      <c r="K4373" s="23"/>
      <c r="M4373" s="23"/>
      <c r="N4373" s="23"/>
      <c r="P4373" s="23"/>
    </row>
    <row r="4374" spans="2:16" x14ac:dyDescent="0.25">
      <c r="B4374" s="23"/>
      <c r="E4374" s="23"/>
      <c r="G4374" s="23"/>
      <c r="H4374" s="23"/>
      <c r="J4374" s="23"/>
      <c r="K4374" s="23"/>
      <c r="M4374" s="23"/>
      <c r="N4374" s="23"/>
      <c r="P4374" s="23"/>
    </row>
    <row r="4375" spans="2:16" x14ac:dyDescent="0.25">
      <c r="B4375" s="23"/>
      <c r="E4375" s="23"/>
      <c r="G4375" s="23"/>
      <c r="H4375" s="23"/>
      <c r="J4375" s="23"/>
      <c r="K4375" s="23"/>
      <c r="M4375" s="23"/>
      <c r="N4375" s="23"/>
      <c r="P4375" s="23"/>
    </row>
    <row r="4376" spans="2:16" x14ac:dyDescent="0.25">
      <c r="B4376" s="23"/>
      <c r="E4376" s="23"/>
      <c r="G4376" s="23"/>
      <c r="H4376" s="23"/>
      <c r="J4376" s="23"/>
      <c r="K4376" s="23"/>
      <c r="M4376" s="23"/>
      <c r="N4376" s="23"/>
      <c r="P4376" s="23"/>
    </row>
    <row r="4377" spans="2:16" x14ac:dyDescent="0.25">
      <c r="B4377" s="23"/>
      <c r="E4377" s="23"/>
      <c r="G4377" s="23"/>
      <c r="H4377" s="23"/>
      <c r="J4377" s="23"/>
      <c r="K4377" s="23"/>
      <c r="M4377" s="23"/>
      <c r="N4377" s="23"/>
      <c r="P4377" s="23"/>
    </row>
    <row r="4378" spans="2:16" x14ac:dyDescent="0.25">
      <c r="B4378" s="23"/>
      <c r="E4378" s="23"/>
      <c r="G4378" s="23"/>
      <c r="H4378" s="23"/>
      <c r="J4378" s="23"/>
      <c r="K4378" s="23"/>
      <c r="M4378" s="23"/>
      <c r="N4378" s="23"/>
      <c r="P4378" s="23"/>
    </row>
    <row r="4379" spans="2:16" x14ac:dyDescent="0.25">
      <c r="B4379" s="23"/>
      <c r="E4379" s="23"/>
      <c r="G4379" s="23"/>
      <c r="H4379" s="23"/>
      <c r="J4379" s="23"/>
      <c r="K4379" s="23"/>
      <c r="M4379" s="23"/>
      <c r="N4379" s="23"/>
      <c r="P4379" s="23"/>
    </row>
    <row r="4380" spans="2:16" x14ac:dyDescent="0.25">
      <c r="B4380" s="23"/>
      <c r="E4380" s="23"/>
      <c r="G4380" s="23"/>
      <c r="H4380" s="23"/>
      <c r="J4380" s="23"/>
      <c r="K4380" s="23"/>
      <c r="M4380" s="23"/>
      <c r="N4380" s="23"/>
      <c r="P4380" s="23"/>
    </row>
    <row r="4381" spans="2:16" x14ac:dyDescent="0.25">
      <c r="B4381" s="23"/>
      <c r="E4381" s="23"/>
      <c r="G4381" s="23"/>
      <c r="H4381" s="23"/>
      <c r="J4381" s="23"/>
      <c r="K4381" s="23"/>
      <c r="M4381" s="23"/>
      <c r="N4381" s="23"/>
      <c r="P4381" s="23"/>
    </row>
    <row r="4382" spans="2:16" x14ac:dyDescent="0.25">
      <c r="B4382" s="23"/>
      <c r="E4382" s="23"/>
      <c r="G4382" s="23"/>
      <c r="H4382" s="23"/>
      <c r="J4382" s="23"/>
      <c r="K4382" s="23"/>
      <c r="M4382" s="23"/>
      <c r="N4382" s="23"/>
      <c r="P4382" s="23"/>
    </row>
    <row r="4383" spans="2:16" x14ac:dyDescent="0.25">
      <c r="B4383" s="23"/>
      <c r="E4383" s="23"/>
      <c r="G4383" s="23"/>
      <c r="H4383" s="23"/>
      <c r="J4383" s="23"/>
      <c r="K4383" s="23"/>
      <c r="M4383" s="23"/>
      <c r="N4383" s="23"/>
      <c r="P4383" s="23"/>
    </row>
    <row r="4384" spans="2:16" x14ac:dyDescent="0.25">
      <c r="B4384" s="23"/>
      <c r="E4384" s="23"/>
      <c r="G4384" s="23"/>
      <c r="H4384" s="23"/>
      <c r="J4384" s="23"/>
      <c r="K4384" s="23"/>
      <c r="M4384" s="23"/>
      <c r="N4384" s="23"/>
      <c r="P4384" s="23"/>
    </row>
    <row r="4385" spans="2:16" x14ac:dyDescent="0.25">
      <c r="B4385" s="23"/>
      <c r="E4385" s="23"/>
      <c r="G4385" s="23"/>
      <c r="H4385" s="23"/>
      <c r="J4385" s="23"/>
      <c r="K4385" s="23"/>
      <c r="M4385" s="23"/>
      <c r="N4385" s="23"/>
      <c r="P4385" s="23"/>
    </row>
    <row r="4386" spans="2:16" x14ac:dyDescent="0.25">
      <c r="B4386" s="23"/>
      <c r="E4386" s="23"/>
      <c r="G4386" s="23"/>
      <c r="H4386" s="23"/>
      <c r="J4386" s="23"/>
      <c r="K4386" s="23"/>
      <c r="M4386" s="23"/>
      <c r="N4386" s="23"/>
      <c r="P4386" s="23"/>
    </row>
    <row r="4387" spans="2:16" x14ac:dyDescent="0.25">
      <c r="B4387" s="23"/>
      <c r="E4387" s="23"/>
      <c r="G4387" s="23"/>
      <c r="H4387" s="23"/>
      <c r="J4387" s="23"/>
      <c r="K4387" s="23"/>
      <c r="M4387" s="23"/>
      <c r="N4387" s="23"/>
      <c r="P4387" s="23"/>
    </row>
    <row r="4388" spans="2:16" x14ac:dyDescent="0.25">
      <c r="B4388" s="23"/>
      <c r="E4388" s="23"/>
      <c r="G4388" s="23"/>
      <c r="H4388" s="23"/>
      <c r="J4388" s="23"/>
      <c r="K4388" s="23"/>
      <c r="M4388" s="23"/>
      <c r="N4388" s="23"/>
      <c r="P4388" s="23"/>
    </row>
    <row r="4389" spans="2:16" x14ac:dyDescent="0.25">
      <c r="B4389" s="23"/>
      <c r="E4389" s="23"/>
      <c r="G4389" s="23"/>
      <c r="H4389" s="23"/>
      <c r="J4389" s="23"/>
      <c r="K4389" s="23"/>
      <c r="M4389" s="23"/>
      <c r="N4389" s="23"/>
      <c r="P4389" s="23"/>
    </row>
    <row r="4390" spans="2:16" x14ac:dyDescent="0.25">
      <c r="B4390" s="23"/>
      <c r="E4390" s="23"/>
      <c r="G4390" s="23"/>
      <c r="H4390" s="23"/>
      <c r="J4390" s="23"/>
      <c r="K4390" s="23"/>
      <c r="M4390" s="23"/>
      <c r="N4390" s="23"/>
      <c r="P4390" s="23"/>
    </row>
    <row r="4391" spans="2:16" x14ac:dyDescent="0.25">
      <c r="B4391" s="23"/>
      <c r="E4391" s="23"/>
      <c r="G4391" s="23"/>
      <c r="H4391" s="23"/>
      <c r="J4391" s="23"/>
      <c r="K4391" s="23"/>
      <c r="M4391" s="23"/>
      <c r="N4391" s="23"/>
      <c r="P4391" s="23"/>
    </row>
    <row r="4392" spans="2:16" x14ac:dyDescent="0.25">
      <c r="B4392" s="23"/>
      <c r="E4392" s="23"/>
      <c r="G4392" s="23"/>
      <c r="H4392" s="23"/>
      <c r="J4392" s="23"/>
      <c r="K4392" s="23"/>
      <c r="M4392" s="23"/>
      <c r="N4392" s="23"/>
      <c r="P4392" s="23"/>
    </row>
    <row r="4393" spans="2:16" x14ac:dyDescent="0.25">
      <c r="B4393" s="23"/>
      <c r="E4393" s="23"/>
      <c r="G4393" s="23"/>
      <c r="H4393" s="23"/>
      <c r="J4393" s="23"/>
      <c r="K4393" s="23"/>
      <c r="M4393" s="23"/>
      <c r="N4393" s="23"/>
      <c r="P4393" s="23"/>
    </row>
    <row r="4394" spans="2:16" x14ac:dyDescent="0.25">
      <c r="B4394" s="23"/>
      <c r="E4394" s="23"/>
      <c r="G4394" s="23"/>
      <c r="H4394" s="23"/>
      <c r="J4394" s="23"/>
      <c r="K4394" s="23"/>
      <c r="M4394" s="23"/>
      <c r="N4394" s="23"/>
      <c r="P4394" s="23"/>
    </row>
    <row r="4395" spans="2:16" x14ac:dyDescent="0.25">
      <c r="B4395" s="23"/>
      <c r="E4395" s="23"/>
      <c r="G4395" s="23"/>
      <c r="H4395" s="23"/>
      <c r="J4395" s="23"/>
      <c r="K4395" s="23"/>
      <c r="M4395" s="23"/>
      <c r="N4395" s="23"/>
      <c r="P4395" s="23"/>
    </row>
    <row r="4396" spans="2:16" x14ac:dyDescent="0.25">
      <c r="B4396" s="23"/>
      <c r="E4396" s="23"/>
      <c r="G4396" s="23"/>
      <c r="H4396" s="23"/>
      <c r="J4396" s="23"/>
      <c r="K4396" s="23"/>
      <c r="M4396" s="23"/>
      <c r="N4396" s="23"/>
      <c r="P4396" s="23"/>
    </row>
    <row r="4397" spans="2:16" x14ac:dyDescent="0.25">
      <c r="B4397" s="23"/>
      <c r="E4397" s="23"/>
      <c r="G4397" s="23"/>
      <c r="H4397" s="23"/>
      <c r="J4397" s="23"/>
      <c r="K4397" s="23"/>
      <c r="M4397" s="23"/>
      <c r="N4397" s="23"/>
      <c r="P4397" s="23"/>
    </row>
    <row r="4398" spans="2:16" x14ac:dyDescent="0.25">
      <c r="B4398" s="23"/>
      <c r="E4398" s="23"/>
      <c r="G4398" s="23"/>
      <c r="H4398" s="23"/>
      <c r="J4398" s="23"/>
      <c r="K4398" s="23"/>
      <c r="M4398" s="23"/>
      <c r="N4398" s="23"/>
      <c r="P4398" s="23"/>
    </row>
    <row r="4399" spans="2:16" x14ac:dyDescent="0.25">
      <c r="B4399" s="23"/>
      <c r="E4399" s="23"/>
      <c r="G4399" s="23"/>
      <c r="H4399" s="23"/>
      <c r="J4399" s="23"/>
      <c r="K4399" s="23"/>
      <c r="M4399" s="23"/>
      <c r="N4399" s="23"/>
      <c r="P4399" s="23"/>
    </row>
    <row r="4400" spans="2:16" x14ac:dyDescent="0.25">
      <c r="B4400" s="23"/>
      <c r="E4400" s="23"/>
      <c r="G4400" s="23"/>
      <c r="H4400" s="23"/>
      <c r="J4400" s="23"/>
      <c r="K4400" s="23"/>
      <c r="M4400" s="23"/>
      <c r="N4400" s="23"/>
      <c r="P4400" s="23"/>
    </row>
    <row r="4401" spans="2:16" x14ac:dyDescent="0.25">
      <c r="B4401" s="23"/>
      <c r="E4401" s="23"/>
      <c r="G4401" s="23"/>
      <c r="H4401" s="23"/>
      <c r="J4401" s="23"/>
      <c r="K4401" s="23"/>
      <c r="M4401" s="23"/>
      <c r="N4401" s="23"/>
      <c r="P4401" s="23"/>
    </row>
    <row r="4402" spans="2:16" x14ac:dyDescent="0.25">
      <c r="B4402" s="23"/>
      <c r="E4402" s="23"/>
      <c r="G4402" s="23"/>
      <c r="H4402" s="23"/>
      <c r="J4402" s="23"/>
      <c r="K4402" s="23"/>
      <c r="M4402" s="23"/>
      <c r="N4402" s="23"/>
      <c r="P4402" s="23"/>
    </row>
    <row r="4403" spans="2:16" x14ac:dyDescent="0.25">
      <c r="B4403" s="23"/>
      <c r="E4403" s="23"/>
      <c r="G4403" s="23"/>
      <c r="H4403" s="23"/>
      <c r="J4403" s="23"/>
      <c r="K4403" s="23"/>
      <c r="M4403" s="23"/>
      <c r="N4403" s="23"/>
      <c r="P4403" s="23"/>
    </row>
    <row r="4404" spans="2:16" x14ac:dyDescent="0.25">
      <c r="B4404" s="23"/>
      <c r="E4404" s="23"/>
      <c r="G4404" s="23"/>
      <c r="H4404" s="23"/>
      <c r="J4404" s="23"/>
      <c r="K4404" s="23"/>
      <c r="M4404" s="23"/>
      <c r="N4404" s="23"/>
      <c r="P4404" s="23"/>
    </row>
    <row r="4405" spans="2:16" x14ac:dyDescent="0.25">
      <c r="B4405" s="23"/>
      <c r="E4405" s="23"/>
      <c r="G4405" s="23"/>
      <c r="H4405" s="23"/>
      <c r="J4405" s="23"/>
      <c r="K4405" s="23"/>
      <c r="M4405" s="23"/>
      <c r="N4405" s="23"/>
      <c r="P4405" s="23"/>
    </row>
    <row r="4406" spans="2:16" x14ac:dyDescent="0.25">
      <c r="B4406" s="23"/>
      <c r="E4406" s="23"/>
      <c r="G4406" s="23"/>
      <c r="H4406" s="23"/>
      <c r="J4406" s="23"/>
      <c r="K4406" s="23"/>
      <c r="M4406" s="23"/>
      <c r="N4406" s="23"/>
      <c r="P4406" s="23"/>
    </row>
    <row r="4407" spans="2:16" x14ac:dyDescent="0.25">
      <c r="B4407" s="23"/>
      <c r="E4407" s="23"/>
      <c r="G4407" s="23"/>
      <c r="H4407" s="23"/>
      <c r="J4407" s="23"/>
      <c r="K4407" s="23"/>
      <c r="M4407" s="23"/>
      <c r="N4407" s="23"/>
      <c r="P4407" s="23"/>
    </row>
    <row r="4408" spans="2:16" x14ac:dyDescent="0.25">
      <c r="B4408" s="23"/>
      <c r="E4408" s="23"/>
      <c r="G4408" s="23"/>
      <c r="H4408" s="23"/>
      <c r="J4408" s="23"/>
      <c r="K4408" s="23"/>
      <c r="M4408" s="23"/>
      <c r="N4408" s="23"/>
      <c r="P4408" s="23"/>
    </row>
    <row r="4409" spans="2:16" x14ac:dyDescent="0.25">
      <c r="B4409" s="23"/>
      <c r="E4409" s="23"/>
      <c r="G4409" s="23"/>
      <c r="H4409" s="23"/>
      <c r="J4409" s="23"/>
      <c r="K4409" s="23"/>
      <c r="M4409" s="23"/>
      <c r="N4409" s="23"/>
      <c r="P4409" s="23"/>
    </row>
    <row r="4410" spans="2:16" x14ac:dyDescent="0.25">
      <c r="B4410" s="23"/>
      <c r="E4410" s="23"/>
      <c r="G4410" s="23"/>
      <c r="H4410" s="23"/>
      <c r="J4410" s="23"/>
      <c r="K4410" s="23"/>
      <c r="M4410" s="23"/>
      <c r="N4410" s="23"/>
      <c r="P4410" s="23"/>
    </row>
    <row r="4411" spans="2:16" x14ac:dyDescent="0.25">
      <c r="B4411" s="23"/>
      <c r="E4411" s="23"/>
      <c r="G4411" s="23"/>
      <c r="H4411" s="23"/>
      <c r="J4411" s="23"/>
      <c r="K4411" s="23"/>
      <c r="M4411" s="23"/>
      <c r="N4411" s="23"/>
      <c r="P4411" s="23"/>
    </row>
    <row r="4412" spans="2:16" x14ac:dyDescent="0.25">
      <c r="B4412" s="23"/>
      <c r="E4412" s="23"/>
      <c r="G4412" s="23"/>
      <c r="H4412" s="23"/>
      <c r="J4412" s="23"/>
      <c r="K4412" s="23"/>
      <c r="M4412" s="23"/>
      <c r="N4412" s="23"/>
      <c r="P4412" s="23"/>
    </row>
    <row r="4413" spans="2:16" x14ac:dyDescent="0.25">
      <c r="B4413" s="23"/>
      <c r="E4413" s="23"/>
      <c r="G4413" s="23"/>
      <c r="H4413" s="23"/>
      <c r="J4413" s="23"/>
      <c r="K4413" s="23"/>
      <c r="M4413" s="23"/>
      <c r="N4413" s="23"/>
      <c r="P4413" s="23"/>
    </row>
    <row r="4414" spans="2:16" x14ac:dyDescent="0.25">
      <c r="B4414" s="23"/>
      <c r="E4414" s="23"/>
      <c r="G4414" s="23"/>
      <c r="H4414" s="23"/>
      <c r="J4414" s="23"/>
      <c r="K4414" s="23"/>
      <c r="M4414" s="23"/>
      <c r="N4414" s="23"/>
      <c r="P4414" s="23"/>
    </row>
    <row r="4415" spans="2:16" x14ac:dyDescent="0.25">
      <c r="B4415" s="23"/>
      <c r="E4415" s="23"/>
      <c r="G4415" s="23"/>
      <c r="H4415" s="23"/>
      <c r="J4415" s="23"/>
      <c r="K4415" s="23"/>
      <c r="M4415" s="23"/>
      <c r="N4415" s="23"/>
      <c r="P4415" s="23"/>
    </row>
    <row r="4416" spans="2:16" x14ac:dyDescent="0.25">
      <c r="B4416" s="23"/>
      <c r="E4416" s="23"/>
      <c r="G4416" s="23"/>
      <c r="H4416" s="23"/>
      <c r="J4416" s="23"/>
      <c r="K4416" s="23"/>
      <c r="M4416" s="23"/>
      <c r="N4416" s="23"/>
      <c r="P4416" s="23"/>
    </row>
    <row r="4417" spans="2:16" x14ac:dyDescent="0.25">
      <c r="B4417" s="23"/>
      <c r="E4417" s="23"/>
      <c r="G4417" s="23"/>
      <c r="H4417" s="23"/>
      <c r="J4417" s="23"/>
      <c r="K4417" s="23"/>
      <c r="M4417" s="23"/>
      <c r="N4417" s="23"/>
      <c r="P4417" s="23"/>
    </row>
    <row r="4418" spans="2:16" x14ac:dyDescent="0.25">
      <c r="B4418" s="23"/>
      <c r="E4418" s="23"/>
      <c r="G4418" s="23"/>
      <c r="H4418" s="23"/>
      <c r="J4418" s="23"/>
      <c r="K4418" s="23"/>
      <c r="M4418" s="23"/>
      <c r="N4418" s="23"/>
      <c r="P4418" s="23"/>
    </row>
    <row r="4419" spans="2:16" x14ac:dyDescent="0.25">
      <c r="B4419" s="23"/>
      <c r="E4419" s="23"/>
      <c r="G4419" s="23"/>
      <c r="H4419" s="23"/>
      <c r="J4419" s="23"/>
      <c r="K4419" s="23"/>
      <c r="M4419" s="23"/>
      <c r="N4419" s="23"/>
      <c r="P4419" s="23"/>
    </row>
    <row r="4420" spans="2:16" x14ac:dyDescent="0.25">
      <c r="B4420" s="23"/>
      <c r="E4420" s="23"/>
      <c r="G4420" s="23"/>
      <c r="H4420" s="23"/>
      <c r="J4420" s="23"/>
      <c r="K4420" s="23"/>
      <c r="M4420" s="23"/>
      <c r="N4420" s="23"/>
      <c r="P4420" s="23"/>
    </row>
    <row r="4421" spans="2:16" x14ac:dyDescent="0.25">
      <c r="B4421" s="23"/>
      <c r="E4421" s="23"/>
      <c r="G4421" s="23"/>
      <c r="H4421" s="23"/>
      <c r="J4421" s="23"/>
      <c r="K4421" s="23"/>
      <c r="M4421" s="23"/>
      <c r="N4421" s="23"/>
      <c r="P4421" s="23"/>
    </row>
    <row r="4422" spans="2:16" x14ac:dyDescent="0.25">
      <c r="B4422" s="23"/>
      <c r="E4422" s="23"/>
      <c r="G4422" s="23"/>
      <c r="H4422" s="23"/>
      <c r="J4422" s="23"/>
      <c r="K4422" s="23"/>
      <c r="M4422" s="23"/>
      <c r="N4422" s="23"/>
      <c r="P4422" s="23"/>
    </row>
    <row r="4423" spans="2:16" x14ac:dyDescent="0.25">
      <c r="B4423" s="23"/>
      <c r="E4423" s="23"/>
      <c r="G4423" s="23"/>
      <c r="H4423" s="23"/>
      <c r="J4423" s="23"/>
      <c r="K4423" s="23"/>
      <c r="M4423" s="23"/>
      <c r="N4423" s="23"/>
      <c r="P4423" s="23"/>
    </row>
    <row r="4424" spans="2:16" x14ac:dyDescent="0.25">
      <c r="B4424" s="23"/>
      <c r="E4424" s="23"/>
      <c r="G4424" s="23"/>
      <c r="H4424" s="23"/>
      <c r="J4424" s="23"/>
      <c r="K4424" s="23"/>
      <c r="M4424" s="23"/>
      <c r="N4424" s="23"/>
      <c r="P4424" s="23"/>
    </row>
    <row r="4425" spans="2:16" x14ac:dyDescent="0.25">
      <c r="B4425" s="23"/>
      <c r="E4425" s="23"/>
      <c r="G4425" s="23"/>
      <c r="H4425" s="23"/>
      <c r="J4425" s="23"/>
      <c r="K4425" s="23"/>
      <c r="M4425" s="23"/>
      <c r="N4425" s="23"/>
      <c r="P4425" s="23"/>
    </row>
    <row r="4426" spans="2:16" x14ac:dyDescent="0.25">
      <c r="B4426" s="23"/>
      <c r="E4426" s="23"/>
      <c r="G4426" s="23"/>
      <c r="H4426" s="23"/>
      <c r="J4426" s="23"/>
      <c r="K4426" s="23"/>
      <c r="M4426" s="23"/>
      <c r="N4426" s="23"/>
      <c r="P4426" s="23"/>
    </row>
    <row r="4427" spans="2:16" x14ac:dyDescent="0.25">
      <c r="B4427" s="23"/>
      <c r="E4427" s="23"/>
      <c r="G4427" s="23"/>
      <c r="H4427" s="23"/>
      <c r="J4427" s="23"/>
      <c r="K4427" s="23"/>
      <c r="M4427" s="23"/>
      <c r="N4427" s="23"/>
      <c r="P4427" s="23"/>
    </row>
    <row r="4428" spans="2:16" x14ac:dyDescent="0.25">
      <c r="B4428" s="23"/>
      <c r="E4428" s="23"/>
      <c r="G4428" s="23"/>
      <c r="H4428" s="23"/>
      <c r="J4428" s="23"/>
      <c r="K4428" s="23"/>
      <c r="M4428" s="23"/>
      <c r="N4428" s="23"/>
      <c r="P4428" s="23"/>
    </row>
    <row r="4429" spans="2:16" x14ac:dyDescent="0.25">
      <c r="B4429" s="23"/>
      <c r="E4429" s="23"/>
      <c r="G4429" s="23"/>
      <c r="H4429" s="23"/>
      <c r="J4429" s="23"/>
      <c r="K4429" s="23"/>
      <c r="M4429" s="23"/>
      <c r="N4429" s="23"/>
      <c r="P4429" s="23"/>
    </row>
    <row r="4430" spans="2:16" x14ac:dyDescent="0.25">
      <c r="B4430" s="23"/>
      <c r="E4430" s="23"/>
      <c r="G4430" s="23"/>
      <c r="H4430" s="23"/>
      <c r="J4430" s="23"/>
      <c r="K4430" s="23"/>
      <c r="M4430" s="23"/>
      <c r="N4430" s="23"/>
      <c r="P4430" s="23"/>
    </row>
    <row r="4431" spans="2:16" x14ac:dyDescent="0.25">
      <c r="B4431" s="23"/>
      <c r="E4431" s="23"/>
      <c r="G4431" s="23"/>
      <c r="H4431" s="23"/>
      <c r="J4431" s="23"/>
      <c r="K4431" s="23"/>
      <c r="M4431" s="23"/>
      <c r="N4431" s="23"/>
      <c r="P4431" s="23"/>
    </row>
    <row r="4432" spans="2:16" x14ac:dyDescent="0.25">
      <c r="B4432" s="23"/>
      <c r="E4432" s="23"/>
      <c r="G4432" s="23"/>
      <c r="H4432" s="23"/>
      <c r="J4432" s="23"/>
      <c r="K4432" s="23"/>
      <c r="M4432" s="23"/>
      <c r="N4432" s="23"/>
      <c r="P4432" s="23"/>
    </row>
    <row r="4433" spans="2:16" x14ac:dyDescent="0.25">
      <c r="B4433" s="23"/>
      <c r="E4433" s="23"/>
      <c r="G4433" s="23"/>
      <c r="H4433" s="23"/>
      <c r="J4433" s="23"/>
      <c r="K4433" s="23"/>
      <c r="M4433" s="23"/>
      <c r="N4433" s="23"/>
      <c r="P4433" s="23"/>
    </row>
    <row r="4434" spans="2:16" x14ac:dyDescent="0.25">
      <c r="B4434" s="23"/>
      <c r="E4434" s="23"/>
      <c r="G4434" s="23"/>
      <c r="H4434" s="23"/>
      <c r="J4434" s="23"/>
      <c r="K4434" s="23"/>
      <c r="M4434" s="23"/>
      <c r="N4434" s="23"/>
      <c r="P4434" s="23"/>
    </row>
    <row r="4435" spans="2:16" x14ac:dyDescent="0.25">
      <c r="B4435" s="23"/>
      <c r="E4435" s="23"/>
      <c r="G4435" s="23"/>
      <c r="H4435" s="23"/>
      <c r="J4435" s="23"/>
      <c r="K4435" s="23"/>
      <c r="M4435" s="23"/>
      <c r="N4435" s="23"/>
      <c r="P4435" s="23"/>
    </row>
    <row r="4436" spans="2:16" x14ac:dyDescent="0.25">
      <c r="B4436" s="23"/>
      <c r="E4436" s="23"/>
      <c r="G4436" s="23"/>
      <c r="H4436" s="23"/>
      <c r="J4436" s="23"/>
      <c r="K4436" s="23"/>
      <c r="M4436" s="23"/>
      <c r="N4436" s="23"/>
      <c r="P4436" s="23"/>
    </row>
    <row r="4437" spans="2:16" x14ac:dyDescent="0.25">
      <c r="B4437" s="23"/>
      <c r="E4437" s="23"/>
      <c r="G4437" s="23"/>
      <c r="H4437" s="23"/>
      <c r="J4437" s="23"/>
      <c r="K4437" s="23"/>
      <c r="M4437" s="23"/>
      <c r="N4437" s="23"/>
      <c r="P4437" s="23"/>
    </row>
    <row r="4438" spans="2:16" x14ac:dyDescent="0.25">
      <c r="B4438" s="23"/>
      <c r="E4438" s="23"/>
      <c r="G4438" s="23"/>
      <c r="H4438" s="23"/>
      <c r="J4438" s="23"/>
      <c r="K4438" s="23"/>
      <c r="M4438" s="23"/>
      <c r="N4438" s="23"/>
      <c r="P4438" s="23"/>
    </row>
    <row r="4439" spans="2:16" x14ac:dyDescent="0.25">
      <c r="B4439" s="23"/>
      <c r="E4439" s="23"/>
      <c r="G4439" s="23"/>
      <c r="H4439" s="23"/>
      <c r="J4439" s="23"/>
      <c r="K4439" s="23"/>
      <c r="M4439" s="23"/>
      <c r="N4439" s="23"/>
      <c r="P4439" s="23"/>
    </row>
    <row r="4440" spans="2:16" x14ac:dyDescent="0.25">
      <c r="B4440" s="23"/>
      <c r="E4440" s="23"/>
      <c r="G4440" s="23"/>
      <c r="H4440" s="23"/>
      <c r="J4440" s="23"/>
      <c r="K4440" s="23"/>
      <c r="M4440" s="23"/>
      <c r="N4440" s="23"/>
      <c r="P4440" s="23"/>
    </row>
    <row r="4441" spans="2:16" x14ac:dyDescent="0.25">
      <c r="B4441" s="23"/>
      <c r="E4441" s="23"/>
      <c r="G4441" s="23"/>
      <c r="H4441" s="23"/>
      <c r="J4441" s="23"/>
      <c r="K4441" s="23"/>
      <c r="M4441" s="23"/>
      <c r="N4441" s="23"/>
      <c r="P4441" s="23"/>
    </row>
    <row r="4442" spans="2:16" x14ac:dyDescent="0.25">
      <c r="B4442" s="23"/>
      <c r="E4442" s="23"/>
      <c r="G4442" s="23"/>
      <c r="H4442" s="23"/>
      <c r="J4442" s="23"/>
      <c r="K4442" s="23"/>
      <c r="M4442" s="23"/>
      <c r="N4442" s="23"/>
      <c r="P4442" s="23"/>
    </row>
    <row r="4443" spans="2:16" x14ac:dyDescent="0.25">
      <c r="B4443" s="23"/>
      <c r="E4443" s="23"/>
      <c r="G4443" s="23"/>
      <c r="H4443" s="23"/>
      <c r="J4443" s="23"/>
      <c r="K4443" s="23"/>
      <c r="M4443" s="23"/>
      <c r="N4443" s="23"/>
      <c r="P4443" s="23"/>
    </row>
    <row r="4444" spans="2:16" x14ac:dyDescent="0.25">
      <c r="B4444" s="23"/>
      <c r="E4444" s="23"/>
      <c r="G4444" s="23"/>
      <c r="H4444" s="23"/>
      <c r="J4444" s="23"/>
      <c r="K4444" s="23"/>
      <c r="M4444" s="23"/>
      <c r="N4444" s="23"/>
      <c r="P4444" s="23"/>
    </row>
    <row r="4445" spans="2:16" x14ac:dyDescent="0.25">
      <c r="B4445" s="23"/>
      <c r="E4445" s="23"/>
      <c r="G4445" s="23"/>
      <c r="H4445" s="23"/>
      <c r="J4445" s="23"/>
      <c r="K4445" s="23"/>
      <c r="M4445" s="23"/>
      <c r="N4445" s="23"/>
      <c r="P4445" s="23"/>
    </row>
    <row r="4446" spans="2:16" x14ac:dyDescent="0.25">
      <c r="B4446" s="23"/>
      <c r="E4446" s="23"/>
      <c r="G4446" s="23"/>
      <c r="H4446" s="23"/>
      <c r="J4446" s="23"/>
      <c r="K4446" s="23"/>
      <c r="M4446" s="23"/>
      <c r="N4446" s="23"/>
      <c r="P4446" s="23"/>
    </row>
    <row r="4447" spans="2:16" x14ac:dyDescent="0.25">
      <c r="B4447" s="23"/>
      <c r="E4447" s="23"/>
      <c r="G4447" s="23"/>
      <c r="H4447" s="23"/>
      <c r="J4447" s="23"/>
      <c r="K4447" s="23"/>
      <c r="M4447" s="23"/>
      <c r="N4447" s="23"/>
      <c r="P4447" s="23"/>
    </row>
    <row r="4448" spans="2:16" x14ac:dyDescent="0.25">
      <c r="B4448" s="23"/>
      <c r="E4448" s="23"/>
      <c r="G4448" s="23"/>
      <c r="H4448" s="23"/>
      <c r="J4448" s="23"/>
      <c r="K4448" s="23"/>
      <c r="M4448" s="23"/>
      <c r="N4448" s="23"/>
      <c r="P4448" s="23"/>
    </row>
    <row r="4449" spans="2:16" x14ac:dyDescent="0.25">
      <c r="B4449" s="23"/>
      <c r="E4449" s="23"/>
      <c r="G4449" s="23"/>
      <c r="H4449" s="23"/>
      <c r="J4449" s="23"/>
      <c r="K4449" s="23"/>
      <c r="M4449" s="23"/>
      <c r="N4449" s="23"/>
      <c r="P4449" s="23"/>
    </row>
    <row r="4450" spans="2:16" x14ac:dyDescent="0.25">
      <c r="B4450" s="23"/>
      <c r="E4450" s="23"/>
      <c r="G4450" s="23"/>
      <c r="H4450" s="23"/>
      <c r="J4450" s="23"/>
      <c r="K4450" s="23"/>
      <c r="M4450" s="23"/>
      <c r="N4450" s="23"/>
      <c r="P4450" s="23"/>
    </row>
    <row r="4451" spans="2:16" x14ac:dyDescent="0.25">
      <c r="B4451" s="23"/>
      <c r="E4451" s="23"/>
      <c r="G4451" s="23"/>
      <c r="H4451" s="23"/>
      <c r="J4451" s="23"/>
      <c r="K4451" s="23"/>
      <c r="M4451" s="23"/>
      <c r="N4451" s="23"/>
      <c r="P4451" s="23"/>
    </row>
    <row r="4452" spans="2:16" x14ac:dyDescent="0.25">
      <c r="B4452" s="23"/>
      <c r="E4452" s="23"/>
      <c r="G4452" s="23"/>
      <c r="H4452" s="23"/>
      <c r="J4452" s="23"/>
      <c r="K4452" s="23"/>
      <c r="M4452" s="23"/>
      <c r="N4452" s="23"/>
      <c r="P4452" s="23"/>
    </row>
    <row r="4453" spans="2:16" x14ac:dyDescent="0.25">
      <c r="B4453" s="23"/>
      <c r="E4453" s="23"/>
      <c r="G4453" s="23"/>
      <c r="H4453" s="23"/>
      <c r="J4453" s="23"/>
      <c r="K4453" s="23"/>
      <c r="M4453" s="23"/>
      <c r="N4453" s="23"/>
      <c r="P4453" s="23"/>
    </row>
    <row r="4454" spans="2:16" x14ac:dyDescent="0.25">
      <c r="B4454" s="23"/>
      <c r="E4454" s="23"/>
      <c r="G4454" s="23"/>
      <c r="H4454" s="23"/>
      <c r="J4454" s="23"/>
      <c r="K4454" s="23"/>
      <c r="M4454" s="23"/>
      <c r="N4454" s="23"/>
      <c r="P4454" s="23"/>
    </row>
    <row r="4455" spans="2:16" x14ac:dyDescent="0.25">
      <c r="B4455" s="23"/>
      <c r="E4455" s="23"/>
      <c r="G4455" s="23"/>
      <c r="H4455" s="23"/>
      <c r="J4455" s="23"/>
      <c r="K4455" s="23"/>
      <c r="M4455" s="23"/>
      <c r="N4455" s="23"/>
      <c r="P4455" s="23"/>
    </row>
    <row r="4456" spans="2:16" x14ac:dyDescent="0.25">
      <c r="B4456" s="23"/>
      <c r="E4456" s="23"/>
      <c r="G4456" s="23"/>
      <c r="H4456" s="23"/>
      <c r="J4456" s="23"/>
      <c r="K4456" s="23"/>
      <c r="M4456" s="23"/>
      <c r="N4456" s="23"/>
      <c r="P4456" s="23"/>
    </row>
    <row r="4457" spans="2:16" x14ac:dyDescent="0.25">
      <c r="B4457" s="23"/>
      <c r="E4457" s="23"/>
      <c r="G4457" s="23"/>
      <c r="H4457" s="23"/>
      <c r="J4457" s="23"/>
      <c r="K4457" s="23"/>
      <c r="M4457" s="23"/>
      <c r="N4457" s="23"/>
      <c r="P4457" s="23"/>
    </row>
    <row r="4458" spans="2:16" x14ac:dyDescent="0.25">
      <c r="B4458" s="23"/>
      <c r="E4458" s="23"/>
      <c r="G4458" s="23"/>
      <c r="H4458" s="23"/>
      <c r="J4458" s="23"/>
      <c r="K4458" s="23"/>
      <c r="M4458" s="23"/>
      <c r="N4458" s="23"/>
      <c r="P4458" s="23"/>
    </row>
    <row r="4459" spans="2:16" x14ac:dyDescent="0.25">
      <c r="B4459" s="23"/>
      <c r="E4459" s="23"/>
      <c r="G4459" s="23"/>
      <c r="H4459" s="23"/>
      <c r="J4459" s="23"/>
      <c r="K4459" s="23"/>
      <c r="M4459" s="23"/>
      <c r="N4459" s="23"/>
      <c r="P4459" s="23"/>
    </row>
    <row r="4460" spans="2:16" x14ac:dyDescent="0.25">
      <c r="B4460" s="23"/>
      <c r="E4460" s="23"/>
      <c r="G4460" s="23"/>
      <c r="H4460" s="23"/>
      <c r="J4460" s="23"/>
      <c r="K4460" s="23"/>
      <c r="M4460" s="23"/>
      <c r="N4460" s="23"/>
      <c r="P4460" s="23"/>
    </row>
    <row r="4461" spans="2:16" x14ac:dyDescent="0.25">
      <c r="B4461" s="23"/>
      <c r="E4461" s="23"/>
      <c r="G4461" s="23"/>
      <c r="H4461" s="23"/>
      <c r="J4461" s="23"/>
      <c r="K4461" s="23"/>
      <c r="M4461" s="23"/>
      <c r="N4461" s="23"/>
      <c r="P4461" s="23"/>
    </row>
    <row r="4462" spans="2:16" x14ac:dyDescent="0.25">
      <c r="B4462" s="23"/>
      <c r="E4462" s="23"/>
      <c r="G4462" s="23"/>
      <c r="H4462" s="23"/>
      <c r="J4462" s="23"/>
      <c r="K4462" s="23"/>
      <c r="M4462" s="23"/>
      <c r="N4462" s="23"/>
      <c r="P4462" s="23"/>
    </row>
    <row r="4463" spans="2:16" x14ac:dyDescent="0.25">
      <c r="B4463" s="23"/>
      <c r="E4463" s="23"/>
      <c r="G4463" s="23"/>
      <c r="H4463" s="23"/>
      <c r="J4463" s="23"/>
      <c r="K4463" s="23"/>
      <c r="M4463" s="23"/>
      <c r="N4463" s="23"/>
      <c r="P4463" s="23"/>
    </row>
    <row r="4464" spans="2:16" x14ac:dyDescent="0.25">
      <c r="B4464" s="23"/>
      <c r="E4464" s="23"/>
      <c r="G4464" s="23"/>
      <c r="H4464" s="23"/>
      <c r="J4464" s="23"/>
      <c r="K4464" s="23"/>
      <c r="M4464" s="23"/>
      <c r="N4464" s="23"/>
      <c r="P4464" s="23"/>
    </row>
    <row r="4465" spans="2:16" x14ac:dyDescent="0.25">
      <c r="B4465" s="23"/>
      <c r="E4465" s="23"/>
      <c r="G4465" s="23"/>
      <c r="H4465" s="23"/>
      <c r="J4465" s="23"/>
      <c r="K4465" s="23"/>
      <c r="M4465" s="23"/>
      <c r="N4465" s="23"/>
      <c r="P4465" s="23"/>
    </row>
    <row r="4466" spans="2:16" x14ac:dyDescent="0.25">
      <c r="B4466" s="23"/>
      <c r="E4466" s="23"/>
      <c r="G4466" s="23"/>
      <c r="H4466" s="23"/>
      <c r="J4466" s="23"/>
      <c r="K4466" s="23"/>
      <c r="M4466" s="23"/>
      <c r="N4466" s="23"/>
      <c r="P4466" s="23"/>
    </row>
    <row r="4467" spans="2:16" x14ac:dyDescent="0.25">
      <c r="B4467" s="23"/>
      <c r="E4467" s="23"/>
      <c r="G4467" s="23"/>
      <c r="H4467" s="23"/>
      <c r="J4467" s="23"/>
      <c r="K4467" s="23"/>
      <c r="M4467" s="23"/>
      <c r="N4467" s="23"/>
      <c r="P4467" s="23"/>
    </row>
    <row r="4468" spans="2:16" x14ac:dyDescent="0.25">
      <c r="B4468" s="23"/>
      <c r="E4468" s="23"/>
      <c r="G4468" s="23"/>
      <c r="H4468" s="23"/>
      <c r="J4468" s="23"/>
      <c r="K4468" s="23"/>
      <c r="M4468" s="23"/>
      <c r="N4468" s="23"/>
      <c r="P4468" s="23"/>
    </row>
    <row r="4469" spans="2:16" x14ac:dyDescent="0.25">
      <c r="B4469" s="23"/>
      <c r="E4469" s="23"/>
      <c r="G4469" s="23"/>
      <c r="H4469" s="23"/>
      <c r="J4469" s="23"/>
      <c r="K4469" s="23"/>
      <c r="M4469" s="23"/>
      <c r="N4469" s="23"/>
      <c r="P4469" s="23"/>
    </row>
    <row r="4470" spans="2:16" x14ac:dyDescent="0.25">
      <c r="B4470" s="23"/>
      <c r="E4470" s="23"/>
      <c r="G4470" s="23"/>
      <c r="H4470" s="23"/>
      <c r="J4470" s="23"/>
      <c r="K4470" s="23"/>
      <c r="M4470" s="23"/>
      <c r="N4470" s="23"/>
      <c r="P4470" s="23"/>
    </row>
    <row r="4471" spans="2:16" x14ac:dyDescent="0.25">
      <c r="B4471" s="23"/>
      <c r="E4471" s="23"/>
      <c r="G4471" s="23"/>
      <c r="H4471" s="23"/>
      <c r="J4471" s="23"/>
      <c r="K4471" s="23"/>
      <c r="M4471" s="23"/>
      <c r="N4471" s="23"/>
      <c r="P4471" s="23"/>
    </row>
    <row r="4472" spans="2:16" x14ac:dyDescent="0.25">
      <c r="B4472" s="23"/>
      <c r="E4472" s="23"/>
      <c r="G4472" s="23"/>
      <c r="H4472" s="23"/>
      <c r="J4472" s="23"/>
      <c r="K4472" s="23"/>
      <c r="M4472" s="23"/>
      <c r="N4472" s="23"/>
      <c r="P4472" s="23"/>
    </row>
    <row r="4473" spans="2:16" x14ac:dyDescent="0.25">
      <c r="B4473" s="23"/>
      <c r="E4473" s="23"/>
      <c r="G4473" s="23"/>
      <c r="H4473" s="23"/>
      <c r="J4473" s="23"/>
      <c r="K4473" s="23"/>
      <c r="M4473" s="23"/>
      <c r="N4473" s="23"/>
      <c r="P4473" s="23"/>
    </row>
    <row r="4474" spans="2:16" x14ac:dyDescent="0.25">
      <c r="B4474" s="23"/>
      <c r="E4474" s="23"/>
      <c r="G4474" s="23"/>
      <c r="H4474" s="23"/>
      <c r="J4474" s="23"/>
      <c r="K4474" s="23"/>
      <c r="M4474" s="23"/>
      <c r="N4474" s="23"/>
      <c r="P4474" s="23"/>
    </row>
    <row r="4475" spans="2:16" x14ac:dyDescent="0.25">
      <c r="B4475" s="23"/>
      <c r="E4475" s="23"/>
      <c r="G4475" s="23"/>
      <c r="H4475" s="23"/>
      <c r="J4475" s="23"/>
      <c r="K4475" s="23"/>
      <c r="M4475" s="23"/>
      <c r="N4475" s="23"/>
      <c r="P4475" s="23"/>
    </row>
    <row r="4476" spans="2:16" x14ac:dyDescent="0.25">
      <c r="B4476" s="23"/>
      <c r="E4476" s="23"/>
      <c r="G4476" s="23"/>
      <c r="H4476" s="23"/>
      <c r="J4476" s="23"/>
      <c r="K4476" s="23"/>
      <c r="M4476" s="23"/>
      <c r="N4476" s="23"/>
      <c r="P4476" s="23"/>
    </row>
    <row r="4477" spans="2:16" x14ac:dyDescent="0.25">
      <c r="B4477" s="23"/>
      <c r="E4477" s="23"/>
      <c r="G4477" s="23"/>
      <c r="H4477" s="23"/>
      <c r="J4477" s="23"/>
      <c r="K4477" s="23"/>
      <c r="M4477" s="23"/>
      <c r="N4477" s="23"/>
      <c r="P4477" s="23"/>
    </row>
    <row r="4478" spans="2:16" x14ac:dyDescent="0.25">
      <c r="B4478" s="23"/>
      <c r="E4478" s="23"/>
      <c r="G4478" s="23"/>
      <c r="H4478" s="23"/>
      <c r="J4478" s="23"/>
      <c r="K4478" s="23"/>
      <c r="M4478" s="23"/>
      <c r="N4478" s="23"/>
      <c r="P4478" s="23"/>
    </row>
    <row r="4479" spans="2:16" x14ac:dyDescent="0.25">
      <c r="B4479" s="23"/>
      <c r="E4479" s="23"/>
      <c r="G4479" s="23"/>
      <c r="H4479" s="23"/>
      <c r="J4479" s="23"/>
      <c r="K4479" s="23"/>
      <c r="M4479" s="23"/>
      <c r="N4479" s="23"/>
      <c r="P4479" s="23"/>
    </row>
    <row r="4480" spans="2:16" x14ac:dyDescent="0.25">
      <c r="B4480" s="23"/>
      <c r="E4480" s="23"/>
      <c r="G4480" s="23"/>
      <c r="H4480" s="23"/>
      <c r="J4480" s="23"/>
      <c r="K4480" s="23"/>
      <c r="M4480" s="23"/>
      <c r="N4480" s="23"/>
      <c r="P4480" s="23"/>
    </row>
    <row r="4481" spans="2:16" x14ac:dyDescent="0.25">
      <c r="B4481" s="23"/>
      <c r="E4481" s="23"/>
      <c r="G4481" s="23"/>
      <c r="H4481" s="23"/>
      <c r="J4481" s="23"/>
      <c r="K4481" s="23"/>
      <c r="M4481" s="23"/>
      <c r="N4481" s="23"/>
      <c r="P4481" s="23"/>
    </row>
    <row r="4482" spans="2:16" x14ac:dyDescent="0.25">
      <c r="B4482" s="23"/>
      <c r="E4482" s="23"/>
      <c r="G4482" s="23"/>
      <c r="H4482" s="23"/>
      <c r="J4482" s="23"/>
      <c r="K4482" s="23"/>
      <c r="M4482" s="23"/>
      <c r="N4482" s="23"/>
      <c r="P4482" s="23"/>
    </row>
    <row r="4483" spans="2:16" x14ac:dyDescent="0.25">
      <c r="B4483" s="23"/>
      <c r="E4483" s="23"/>
      <c r="G4483" s="23"/>
      <c r="H4483" s="23"/>
      <c r="J4483" s="23"/>
      <c r="K4483" s="23"/>
      <c r="M4483" s="23"/>
      <c r="N4483" s="23"/>
      <c r="P4483" s="23"/>
    </row>
    <row r="4484" spans="2:16" x14ac:dyDescent="0.25">
      <c r="B4484" s="23"/>
      <c r="E4484" s="23"/>
      <c r="G4484" s="23"/>
      <c r="H4484" s="23"/>
      <c r="J4484" s="23"/>
      <c r="K4484" s="23"/>
      <c r="M4484" s="23"/>
      <c r="N4484" s="23"/>
      <c r="P4484" s="23"/>
    </row>
    <row r="4485" spans="2:16" x14ac:dyDescent="0.25">
      <c r="B4485" s="23"/>
      <c r="E4485" s="23"/>
      <c r="G4485" s="23"/>
      <c r="H4485" s="23"/>
      <c r="J4485" s="23"/>
      <c r="K4485" s="23"/>
      <c r="M4485" s="23"/>
      <c r="N4485" s="23"/>
      <c r="P4485" s="23"/>
    </row>
    <row r="4486" spans="2:16" x14ac:dyDescent="0.25">
      <c r="B4486" s="23"/>
      <c r="E4486" s="23"/>
      <c r="G4486" s="23"/>
      <c r="H4486" s="23"/>
      <c r="J4486" s="23"/>
      <c r="K4486" s="23"/>
      <c r="M4486" s="23"/>
      <c r="N4486" s="23"/>
      <c r="P4486" s="23"/>
    </row>
    <row r="4487" spans="2:16" x14ac:dyDescent="0.25">
      <c r="B4487" s="23"/>
      <c r="E4487" s="23"/>
      <c r="G4487" s="23"/>
      <c r="H4487" s="23"/>
      <c r="J4487" s="23"/>
      <c r="K4487" s="23"/>
      <c r="M4487" s="23"/>
      <c r="N4487" s="23"/>
      <c r="P4487" s="23"/>
    </row>
    <row r="4488" spans="2:16" x14ac:dyDescent="0.25">
      <c r="B4488" s="23"/>
      <c r="E4488" s="23"/>
      <c r="G4488" s="23"/>
      <c r="H4488" s="23"/>
      <c r="J4488" s="23"/>
      <c r="K4488" s="23"/>
      <c r="M4488" s="23"/>
      <c r="N4488" s="23"/>
      <c r="P4488" s="23"/>
    </row>
    <row r="4489" spans="2:16" x14ac:dyDescent="0.25">
      <c r="B4489" s="23"/>
      <c r="E4489" s="23"/>
      <c r="G4489" s="23"/>
      <c r="H4489" s="23"/>
      <c r="J4489" s="23"/>
      <c r="K4489" s="23"/>
      <c r="M4489" s="23"/>
      <c r="N4489" s="23"/>
      <c r="P4489" s="23"/>
    </row>
    <row r="4490" spans="2:16" x14ac:dyDescent="0.25">
      <c r="B4490" s="23"/>
      <c r="E4490" s="23"/>
      <c r="G4490" s="23"/>
      <c r="H4490" s="23"/>
      <c r="J4490" s="23"/>
      <c r="K4490" s="23"/>
      <c r="M4490" s="23"/>
      <c r="N4490" s="23"/>
      <c r="P4490" s="23"/>
    </row>
    <row r="4491" spans="2:16" x14ac:dyDescent="0.25">
      <c r="B4491" s="23"/>
      <c r="E4491" s="23"/>
      <c r="G4491" s="23"/>
      <c r="H4491" s="23"/>
      <c r="J4491" s="23"/>
      <c r="K4491" s="23"/>
      <c r="M4491" s="23"/>
      <c r="N4491" s="23"/>
      <c r="P4491" s="23"/>
    </row>
    <row r="4492" spans="2:16" x14ac:dyDescent="0.25">
      <c r="B4492" s="23"/>
      <c r="E4492" s="23"/>
      <c r="G4492" s="23"/>
      <c r="H4492" s="23"/>
      <c r="J4492" s="23"/>
      <c r="K4492" s="23"/>
      <c r="M4492" s="23"/>
      <c r="N4492" s="23"/>
      <c r="P4492" s="23"/>
    </row>
    <row r="4493" spans="2:16" x14ac:dyDescent="0.25">
      <c r="B4493" s="23"/>
      <c r="E4493" s="23"/>
      <c r="G4493" s="23"/>
      <c r="H4493" s="23"/>
      <c r="J4493" s="23"/>
      <c r="K4493" s="23"/>
      <c r="M4493" s="23"/>
      <c r="N4493" s="23"/>
      <c r="P4493" s="23"/>
    </row>
    <row r="4494" spans="2:16" x14ac:dyDescent="0.25">
      <c r="B4494" s="23"/>
      <c r="E4494" s="23"/>
      <c r="G4494" s="23"/>
      <c r="H4494" s="23"/>
      <c r="J4494" s="23"/>
      <c r="K4494" s="23"/>
      <c r="M4494" s="23"/>
      <c r="N4494" s="23"/>
      <c r="P4494" s="23"/>
    </row>
    <row r="4495" spans="2:16" x14ac:dyDescent="0.25">
      <c r="B4495" s="23"/>
      <c r="E4495" s="23"/>
      <c r="G4495" s="23"/>
      <c r="H4495" s="23"/>
      <c r="J4495" s="23"/>
      <c r="K4495" s="23"/>
      <c r="M4495" s="23"/>
      <c r="N4495" s="23"/>
      <c r="P4495" s="23"/>
    </row>
    <row r="4496" spans="2:16" x14ac:dyDescent="0.25">
      <c r="B4496" s="23"/>
      <c r="E4496" s="23"/>
      <c r="G4496" s="23"/>
      <c r="H4496" s="23"/>
      <c r="J4496" s="23"/>
      <c r="K4496" s="23"/>
      <c r="M4496" s="23"/>
      <c r="N4496" s="23"/>
      <c r="P4496" s="23"/>
    </row>
    <row r="4497" spans="2:16" x14ac:dyDescent="0.25">
      <c r="B4497" s="23"/>
      <c r="E4497" s="23"/>
      <c r="G4497" s="23"/>
      <c r="H4497" s="23"/>
      <c r="J4497" s="23"/>
      <c r="K4497" s="23"/>
      <c r="M4497" s="23"/>
      <c r="N4497" s="23"/>
      <c r="P4497" s="23"/>
    </row>
    <row r="4498" spans="2:16" x14ac:dyDescent="0.25">
      <c r="B4498" s="23"/>
      <c r="E4498" s="23"/>
      <c r="G4498" s="23"/>
      <c r="H4498" s="23"/>
      <c r="J4498" s="23"/>
      <c r="K4498" s="23"/>
      <c r="M4498" s="23"/>
      <c r="N4498" s="23"/>
      <c r="P4498" s="23"/>
    </row>
    <row r="4499" spans="2:16" x14ac:dyDescent="0.25">
      <c r="B4499" s="23"/>
      <c r="E4499" s="23"/>
      <c r="G4499" s="23"/>
      <c r="H4499" s="23"/>
      <c r="J4499" s="23"/>
      <c r="K4499" s="23"/>
      <c r="M4499" s="23"/>
      <c r="N4499" s="23"/>
      <c r="P4499" s="23"/>
    </row>
    <row r="4500" spans="2:16" x14ac:dyDescent="0.25">
      <c r="B4500" s="23"/>
      <c r="E4500" s="23"/>
      <c r="G4500" s="23"/>
      <c r="H4500" s="23"/>
      <c r="J4500" s="23"/>
      <c r="K4500" s="23"/>
      <c r="M4500" s="23"/>
      <c r="N4500" s="23"/>
      <c r="P4500" s="23"/>
    </row>
    <row r="4501" spans="2:16" x14ac:dyDescent="0.25">
      <c r="B4501" s="23"/>
      <c r="E4501" s="23"/>
      <c r="G4501" s="23"/>
      <c r="H4501" s="23"/>
      <c r="J4501" s="23"/>
      <c r="K4501" s="23"/>
      <c r="M4501" s="23"/>
      <c r="N4501" s="23"/>
      <c r="P4501" s="23"/>
    </row>
    <row r="4502" spans="2:16" x14ac:dyDescent="0.25">
      <c r="B4502" s="23"/>
      <c r="E4502" s="23"/>
      <c r="G4502" s="23"/>
      <c r="H4502" s="23"/>
      <c r="J4502" s="23"/>
      <c r="K4502" s="23"/>
      <c r="M4502" s="23"/>
      <c r="N4502" s="23"/>
      <c r="P4502" s="23"/>
    </row>
    <row r="4503" spans="2:16" x14ac:dyDescent="0.25">
      <c r="B4503" s="23"/>
      <c r="E4503" s="23"/>
      <c r="G4503" s="23"/>
      <c r="H4503" s="23"/>
      <c r="J4503" s="23"/>
      <c r="K4503" s="23"/>
      <c r="M4503" s="23"/>
      <c r="N4503" s="23"/>
      <c r="P4503" s="23"/>
    </row>
    <row r="4504" spans="2:16" x14ac:dyDescent="0.25">
      <c r="B4504" s="23"/>
      <c r="E4504" s="23"/>
      <c r="G4504" s="23"/>
      <c r="H4504" s="23"/>
      <c r="J4504" s="23"/>
      <c r="K4504" s="23"/>
      <c r="M4504" s="23"/>
      <c r="N4504" s="23"/>
      <c r="P4504" s="23"/>
    </row>
    <row r="4505" spans="2:16" x14ac:dyDescent="0.25">
      <c r="B4505" s="23"/>
      <c r="E4505" s="23"/>
      <c r="G4505" s="23"/>
      <c r="H4505" s="23"/>
      <c r="J4505" s="23"/>
      <c r="K4505" s="23"/>
      <c r="M4505" s="23"/>
      <c r="N4505" s="23"/>
      <c r="P4505" s="23"/>
    </row>
    <row r="4506" spans="2:16" x14ac:dyDescent="0.25">
      <c r="B4506" s="23"/>
      <c r="E4506" s="23"/>
      <c r="G4506" s="23"/>
      <c r="H4506" s="23"/>
      <c r="J4506" s="23"/>
      <c r="K4506" s="23"/>
      <c r="M4506" s="23"/>
      <c r="N4506" s="23"/>
      <c r="P4506" s="23"/>
    </row>
    <row r="4507" spans="2:16" x14ac:dyDescent="0.25">
      <c r="B4507" s="23"/>
      <c r="E4507" s="23"/>
      <c r="G4507" s="23"/>
      <c r="H4507" s="23"/>
      <c r="J4507" s="23"/>
      <c r="K4507" s="23"/>
      <c r="M4507" s="23"/>
      <c r="N4507" s="23"/>
      <c r="P4507" s="23"/>
    </row>
    <row r="4508" spans="2:16" x14ac:dyDescent="0.25">
      <c r="B4508" s="23"/>
      <c r="E4508" s="23"/>
      <c r="G4508" s="23"/>
      <c r="H4508" s="23"/>
      <c r="J4508" s="23"/>
      <c r="K4508" s="23"/>
      <c r="M4508" s="23"/>
      <c r="N4508" s="23"/>
      <c r="P4508" s="23"/>
    </row>
    <row r="4509" spans="2:16" x14ac:dyDescent="0.25">
      <c r="B4509" s="23"/>
      <c r="E4509" s="23"/>
      <c r="G4509" s="23"/>
      <c r="H4509" s="23"/>
      <c r="J4509" s="23"/>
      <c r="K4509" s="23"/>
      <c r="M4509" s="23"/>
      <c r="N4509" s="23"/>
      <c r="P4509" s="23"/>
    </row>
    <row r="4510" spans="2:16" x14ac:dyDescent="0.25">
      <c r="B4510" s="23"/>
      <c r="E4510" s="23"/>
      <c r="G4510" s="23"/>
      <c r="H4510" s="23"/>
      <c r="J4510" s="23"/>
      <c r="K4510" s="23"/>
      <c r="M4510" s="23"/>
      <c r="N4510" s="23"/>
      <c r="P4510" s="23"/>
    </row>
    <row r="4511" spans="2:16" x14ac:dyDescent="0.25">
      <c r="B4511" s="23"/>
      <c r="E4511" s="23"/>
      <c r="G4511" s="23"/>
      <c r="H4511" s="23"/>
      <c r="J4511" s="23"/>
      <c r="K4511" s="23"/>
      <c r="M4511" s="23"/>
      <c r="N4511" s="23"/>
      <c r="P4511" s="23"/>
    </row>
    <row r="4512" spans="2:16" x14ac:dyDescent="0.25">
      <c r="B4512" s="23"/>
      <c r="E4512" s="23"/>
      <c r="G4512" s="23"/>
      <c r="H4512" s="23"/>
      <c r="J4512" s="23"/>
      <c r="K4512" s="23"/>
      <c r="M4512" s="23"/>
      <c r="N4512" s="23"/>
      <c r="P4512" s="23"/>
    </row>
    <row r="4513" spans="2:16" x14ac:dyDescent="0.25">
      <c r="B4513" s="23"/>
      <c r="E4513" s="23"/>
      <c r="G4513" s="23"/>
      <c r="H4513" s="23"/>
      <c r="J4513" s="23"/>
      <c r="K4513" s="23"/>
      <c r="M4513" s="23"/>
      <c r="N4513" s="23"/>
      <c r="P4513" s="23"/>
    </row>
    <row r="4514" spans="2:16" x14ac:dyDescent="0.25">
      <c r="B4514" s="23"/>
      <c r="E4514" s="23"/>
      <c r="G4514" s="23"/>
      <c r="H4514" s="23"/>
      <c r="J4514" s="23"/>
      <c r="K4514" s="23"/>
      <c r="M4514" s="23"/>
      <c r="N4514" s="23"/>
      <c r="P4514" s="23"/>
    </row>
    <row r="4515" spans="2:16" x14ac:dyDescent="0.25">
      <c r="B4515" s="23"/>
      <c r="E4515" s="23"/>
      <c r="G4515" s="23"/>
      <c r="H4515" s="23"/>
      <c r="J4515" s="23"/>
      <c r="K4515" s="23"/>
      <c r="M4515" s="23"/>
      <c r="N4515" s="23"/>
      <c r="P4515" s="23"/>
    </row>
    <row r="4516" spans="2:16" x14ac:dyDescent="0.25">
      <c r="B4516" s="23"/>
      <c r="E4516" s="23"/>
      <c r="G4516" s="23"/>
      <c r="H4516" s="23"/>
      <c r="J4516" s="23"/>
      <c r="K4516" s="23"/>
      <c r="M4516" s="23"/>
      <c r="N4516" s="23"/>
      <c r="P4516" s="23"/>
    </row>
    <row r="4517" spans="2:16" x14ac:dyDescent="0.25">
      <c r="B4517" s="23"/>
      <c r="E4517" s="23"/>
      <c r="G4517" s="23"/>
      <c r="H4517" s="23"/>
      <c r="J4517" s="23"/>
      <c r="K4517" s="23"/>
      <c r="M4517" s="23"/>
      <c r="N4517" s="23"/>
      <c r="P4517" s="23"/>
    </row>
    <row r="4518" spans="2:16" x14ac:dyDescent="0.25">
      <c r="B4518" s="23"/>
      <c r="E4518" s="23"/>
      <c r="G4518" s="23"/>
      <c r="H4518" s="23"/>
      <c r="J4518" s="23"/>
      <c r="K4518" s="23"/>
      <c r="M4518" s="23"/>
      <c r="N4518" s="23"/>
      <c r="P4518" s="23"/>
    </row>
    <row r="4519" spans="2:16" x14ac:dyDescent="0.25">
      <c r="B4519" s="23"/>
      <c r="E4519" s="23"/>
      <c r="G4519" s="23"/>
      <c r="H4519" s="23"/>
      <c r="J4519" s="23"/>
      <c r="K4519" s="23"/>
      <c r="M4519" s="23"/>
      <c r="N4519" s="23"/>
      <c r="P4519" s="23"/>
    </row>
    <row r="4520" spans="2:16" x14ac:dyDescent="0.25">
      <c r="B4520" s="23"/>
      <c r="E4520" s="23"/>
      <c r="G4520" s="23"/>
      <c r="H4520" s="23"/>
      <c r="J4520" s="23"/>
      <c r="K4520" s="23"/>
      <c r="M4520" s="23"/>
      <c r="N4520" s="23"/>
      <c r="P4520" s="23"/>
    </row>
    <row r="4521" spans="2:16" x14ac:dyDescent="0.25">
      <c r="B4521" s="23"/>
      <c r="E4521" s="23"/>
      <c r="G4521" s="23"/>
      <c r="H4521" s="23"/>
      <c r="J4521" s="23"/>
      <c r="K4521" s="23"/>
      <c r="M4521" s="23"/>
      <c r="N4521" s="23"/>
      <c r="P4521" s="23"/>
    </row>
    <row r="4522" spans="2:16" x14ac:dyDescent="0.25">
      <c r="B4522" s="23"/>
      <c r="E4522" s="23"/>
      <c r="G4522" s="23"/>
      <c r="H4522" s="23"/>
      <c r="J4522" s="23"/>
      <c r="K4522" s="23"/>
      <c r="M4522" s="23"/>
      <c r="N4522" s="23"/>
      <c r="P4522" s="23"/>
    </row>
    <row r="4523" spans="2:16" x14ac:dyDescent="0.25">
      <c r="B4523" s="23"/>
      <c r="E4523" s="23"/>
      <c r="G4523" s="23"/>
      <c r="H4523" s="23"/>
      <c r="J4523" s="23"/>
      <c r="K4523" s="23"/>
      <c r="M4523" s="23"/>
      <c r="N4523" s="23"/>
      <c r="P4523" s="23"/>
    </row>
    <row r="4524" spans="2:16" x14ac:dyDescent="0.25">
      <c r="B4524" s="23"/>
      <c r="E4524" s="23"/>
      <c r="G4524" s="23"/>
      <c r="H4524" s="23"/>
      <c r="J4524" s="23"/>
      <c r="K4524" s="23"/>
      <c r="M4524" s="23"/>
      <c r="N4524" s="23"/>
      <c r="P4524" s="23"/>
    </row>
    <row r="4525" spans="2:16" x14ac:dyDescent="0.25">
      <c r="B4525" s="23"/>
      <c r="E4525" s="23"/>
      <c r="G4525" s="23"/>
      <c r="H4525" s="23"/>
      <c r="J4525" s="23"/>
      <c r="K4525" s="23"/>
      <c r="M4525" s="23"/>
      <c r="N4525" s="23"/>
      <c r="P4525" s="23"/>
    </row>
    <row r="4526" spans="2:16" x14ac:dyDescent="0.25">
      <c r="B4526" s="23"/>
      <c r="E4526" s="23"/>
      <c r="G4526" s="23"/>
      <c r="H4526" s="23"/>
      <c r="J4526" s="23"/>
      <c r="K4526" s="23"/>
      <c r="M4526" s="23"/>
      <c r="N4526" s="23"/>
      <c r="P4526" s="23"/>
    </row>
    <row r="4527" spans="2:16" x14ac:dyDescent="0.25">
      <c r="B4527" s="23"/>
      <c r="E4527" s="23"/>
      <c r="G4527" s="23"/>
      <c r="H4527" s="23"/>
      <c r="J4527" s="23"/>
      <c r="K4527" s="23"/>
      <c r="M4527" s="23"/>
      <c r="N4527" s="23"/>
      <c r="P4527" s="23"/>
    </row>
    <row r="4528" spans="2:16" x14ac:dyDescent="0.25">
      <c r="B4528" s="23"/>
      <c r="E4528" s="23"/>
      <c r="G4528" s="23"/>
      <c r="H4528" s="23"/>
      <c r="J4528" s="23"/>
      <c r="K4528" s="23"/>
      <c r="M4528" s="23"/>
      <c r="N4528" s="23"/>
      <c r="P4528" s="23"/>
    </row>
    <row r="4529" spans="2:16" x14ac:dyDescent="0.25">
      <c r="B4529" s="23"/>
      <c r="E4529" s="23"/>
      <c r="G4529" s="23"/>
      <c r="H4529" s="23"/>
      <c r="J4529" s="23"/>
      <c r="K4529" s="23"/>
      <c r="M4529" s="23"/>
      <c r="N4529" s="23"/>
      <c r="P4529" s="23"/>
    </row>
    <row r="4530" spans="2:16" x14ac:dyDescent="0.25">
      <c r="B4530" s="23"/>
      <c r="E4530" s="23"/>
      <c r="G4530" s="23"/>
      <c r="H4530" s="23"/>
      <c r="J4530" s="23"/>
      <c r="K4530" s="23"/>
      <c r="M4530" s="23"/>
      <c r="N4530" s="23"/>
      <c r="P4530" s="23"/>
    </row>
    <row r="4531" spans="2:16" x14ac:dyDescent="0.25">
      <c r="B4531" s="23"/>
      <c r="E4531" s="23"/>
      <c r="G4531" s="23"/>
      <c r="H4531" s="23"/>
      <c r="J4531" s="23"/>
      <c r="K4531" s="23"/>
      <c r="M4531" s="23"/>
      <c r="N4531" s="23"/>
      <c r="P4531" s="23"/>
    </row>
    <row r="4532" spans="2:16" x14ac:dyDescent="0.25">
      <c r="B4532" s="23"/>
      <c r="E4532" s="23"/>
      <c r="G4532" s="23"/>
      <c r="H4532" s="23"/>
      <c r="J4532" s="23"/>
      <c r="K4532" s="23"/>
      <c r="M4532" s="23"/>
      <c r="N4532" s="23"/>
      <c r="P4532" s="23"/>
    </row>
    <row r="4533" spans="2:16" x14ac:dyDescent="0.25">
      <c r="B4533" s="23"/>
      <c r="E4533" s="23"/>
      <c r="G4533" s="23"/>
      <c r="H4533" s="23"/>
      <c r="J4533" s="23"/>
      <c r="K4533" s="23"/>
      <c r="M4533" s="23"/>
      <c r="N4533" s="23"/>
      <c r="P4533" s="23"/>
    </row>
    <row r="4534" spans="2:16" x14ac:dyDescent="0.25">
      <c r="B4534" s="23"/>
      <c r="E4534" s="23"/>
      <c r="G4534" s="23"/>
      <c r="H4534" s="23"/>
      <c r="J4534" s="23"/>
      <c r="K4534" s="23"/>
      <c r="M4534" s="23"/>
      <c r="N4534" s="23"/>
      <c r="P4534" s="23"/>
    </row>
    <row r="4535" spans="2:16" x14ac:dyDescent="0.25">
      <c r="B4535" s="23"/>
      <c r="E4535" s="23"/>
      <c r="G4535" s="23"/>
      <c r="H4535" s="23"/>
      <c r="J4535" s="23"/>
      <c r="K4535" s="23"/>
      <c r="M4535" s="23"/>
      <c r="N4535" s="23"/>
      <c r="P4535" s="23"/>
    </row>
    <row r="4536" spans="2:16" x14ac:dyDescent="0.25">
      <c r="B4536" s="23"/>
      <c r="E4536" s="23"/>
      <c r="G4536" s="23"/>
      <c r="H4536" s="23"/>
      <c r="J4536" s="23"/>
      <c r="K4536" s="23"/>
      <c r="M4536" s="23"/>
      <c r="N4536" s="23"/>
      <c r="P4536" s="23"/>
    </row>
    <row r="4537" spans="2:16" x14ac:dyDescent="0.25">
      <c r="B4537" s="23"/>
      <c r="E4537" s="23"/>
      <c r="G4537" s="23"/>
      <c r="H4537" s="23"/>
      <c r="J4537" s="23"/>
      <c r="K4537" s="23"/>
      <c r="M4537" s="23"/>
      <c r="N4537" s="23"/>
      <c r="P4537" s="23"/>
    </row>
    <row r="4538" spans="2:16" x14ac:dyDescent="0.25">
      <c r="B4538" s="23"/>
      <c r="E4538" s="23"/>
      <c r="G4538" s="23"/>
      <c r="H4538" s="23"/>
      <c r="J4538" s="23"/>
      <c r="K4538" s="23"/>
      <c r="M4538" s="23"/>
      <c r="N4538" s="23"/>
      <c r="P4538" s="23"/>
    </row>
    <row r="4539" spans="2:16" x14ac:dyDescent="0.25">
      <c r="B4539" s="23"/>
      <c r="E4539" s="23"/>
      <c r="G4539" s="23"/>
      <c r="H4539" s="23"/>
      <c r="J4539" s="23"/>
      <c r="K4539" s="23"/>
      <c r="M4539" s="23"/>
      <c r="N4539" s="23"/>
      <c r="P4539" s="23"/>
    </row>
    <row r="4540" spans="2:16" x14ac:dyDescent="0.25">
      <c r="B4540" s="23"/>
      <c r="E4540" s="23"/>
      <c r="G4540" s="23"/>
      <c r="H4540" s="23"/>
      <c r="J4540" s="23"/>
      <c r="K4540" s="23"/>
      <c r="M4540" s="23"/>
      <c r="N4540" s="23"/>
      <c r="P4540" s="23"/>
    </row>
    <row r="4541" spans="2:16" x14ac:dyDescent="0.25">
      <c r="B4541" s="23"/>
      <c r="E4541" s="23"/>
      <c r="G4541" s="23"/>
      <c r="H4541" s="23"/>
      <c r="J4541" s="23"/>
      <c r="K4541" s="23"/>
      <c r="M4541" s="23"/>
      <c r="N4541" s="23"/>
      <c r="P4541" s="23"/>
    </row>
    <row r="4542" spans="2:16" x14ac:dyDescent="0.25">
      <c r="B4542" s="23"/>
      <c r="E4542" s="23"/>
      <c r="G4542" s="23"/>
      <c r="H4542" s="23"/>
      <c r="J4542" s="23"/>
      <c r="K4542" s="23"/>
      <c r="M4542" s="23"/>
      <c r="N4542" s="23"/>
      <c r="P4542" s="23"/>
    </row>
    <row r="4543" spans="2:16" x14ac:dyDescent="0.25">
      <c r="B4543" s="23"/>
      <c r="E4543" s="23"/>
      <c r="G4543" s="23"/>
      <c r="H4543" s="23"/>
      <c r="J4543" s="23"/>
      <c r="K4543" s="23"/>
      <c r="M4543" s="23"/>
      <c r="N4543" s="23"/>
      <c r="P4543" s="23"/>
    </row>
    <row r="4544" spans="2:16" x14ac:dyDescent="0.25">
      <c r="B4544" s="23"/>
      <c r="E4544" s="23"/>
      <c r="G4544" s="23"/>
      <c r="H4544" s="23"/>
      <c r="J4544" s="23"/>
      <c r="K4544" s="23"/>
      <c r="M4544" s="23"/>
      <c r="N4544" s="23"/>
      <c r="P4544" s="23"/>
    </row>
    <row r="4545" spans="2:16" x14ac:dyDescent="0.25">
      <c r="B4545" s="23"/>
      <c r="E4545" s="23"/>
      <c r="G4545" s="23"/>
      <c r="H4545" s="23"/>
      <c r="J4545" s="23"/>
      <c r="K4545" s="23"/>
      <c r="M4545" s="23"/>
      <c r="N4545" s="23"/>
      <c r="P4545" s="23"/>
    </row>
    <row r="4546" spans="2:16" x14ac:dyDescent="0.25">
      <c r="B4546" s="23"/>
      <c r="E4546" s="23"/>
      <c r="G4546" s="23"/>
      <c r="H4546" s="23"/>
      <c r="J4546" s="23"/>
      <c r="K4546" s="23"/>
      <c r="M4546" s="23"/>
      <c r="N4546" s="23"/>
      <c r="P4546" s="23"/>
    </row>
    <row r="4547" spans="2:16" x14ac:dyDescent="0.25">
      <c r="B4547" s="23"/>
      <c r="E4547" s="23"/>
      <c r="G4547" s="23"/>
      <c r="H4547" s="23"/>
      <c r="J4547" s="23"/>
      <c r="K4547" s="23"/>
      <c r="M4547" s="23"/>
      <c r="N4547" s="23"/>
      <c r="P4547" s="23"/>
    </row>
    <row r="4548" spans="2:16" x14ac:dyDescent="0.25">
      <c r="B4548" s="23"/>
      <c r="E4548" s="23"/>
      <c r="G4548" s="23"/>
      <c r="H4548" s="23"/>
      <c r="J4548" s="23"/>
      <c r="K4548" s="23"/>
      <c r="M4548" s="23"/>
      <c r="N4548" s="23"/>
      <c r="P4548" s="23"/>
    </row>
    <row r="4549" spans="2:16" x14ac:dyDescent="0.25">
      <c r="B4549" s="23"/>
      <c r="E4549" s="23"/>
      <c r="G4549" s="23"/>
      <c r="H4549" s="23"/>
      <c r="J4549" s="23"/>
      <c r="K4549" s="23"/>
      <c r="M4549" s="23"/>
      <c r="N4549" s="23"/>
      <c r="P4549" s="23"/>
    </row>
    <row r="4550" spans="2:16" x14ac:dyDescent="0.25">
      <c r="B4550" s="23"/>
      <c r="E4550" s="23"/>
      <c r="G4550" s="23"/>
      <c r="H4550" s="23"/>
      <c r="J4550" s="23"/>
      <c r="K4550" s="23"/>
      <c r="M4550" s="23"/>
      <c r="N4550" s="23"/>
      <c r="P4550" s="23"/>
    </row>
    <row r="4551" spans="2:16" x14ac:dyDescent="0.25">
      <c r="B4551" s="23"/>
      <c r="E4551" s="23"/>
      <c r="G4551" s="23"/>
      <c r="H4551" s="23"/>
      <c r="J4551" s="23"/>
      <c r="K4551" s="23"/>
      <c r="M4551" s="23"/>
      <c r="N4551" s="23"/>
      <c r="P4551" s="23"/>
    </row>
    <row r="4552" spans="2:16" x14ac:dyDescent="0.25">
      <c r="B4552" s="23"/>
      <c r="E4552" s="23"/>
      <c r="G4552" s="23"/>
      <c r="H4552" s="23"/>
      <c r="J4552" s="23"/>
      <c r="K4552" s="23"/>
      <c r="M4552" s="23"/>
      <c r="N4552" s="23"/>
      <c r="P4552" s="23"/>
    </row>
    <row r="4553" spans="2:16" x14ac:dyDescent="0.25">
      <c r="B4553" s="23"/>
      <c r="E4553" s="23"/>
      <c r="G4553" s="23"/>
      <c r="H4553" s="23"/>
      <c r="J4553" s="23"/>
      <c r="K4553" s="23"/>
      <c r="M4553" s="23"/>
      <c r="N4553" s="23"/>
      <c r="P4553" s="23"/>
    </row>
    <row r="4554" spans="2:16" x14ac:dyDescent="0.25">
      <c r="B4554" s="23"/>
      <c r="E4554" s="23"/>
      <c r="G4554" s="23"/>
      <c r="H4554" s="23"/>
      <c r="J4554" s="23"/>
      <c r="K4554" s="23"/>
      <c r="M4554" s="23"/>
      <c r="N4554" s="23"/>
      <c r="P4554" s="23"/>
    </row>
    <row r="4555" spans="2:16" x14ac:dyDescent="0.25">
      <c r="B4555" s="23"/>
      <c r="E4555" s="23"/>
      <c r="G4555" s="23"/>
      <c r="H4555" s="23"/>
      <c r="J4555" s="23"/>
      <c r="K4555" s="23"/>
      <c r="M4555" s="23"/>
      <c r="N4555" s="23"/>
      <c r="P4555" s="23"/>
    </row>
    <row r="4556" spans="2:16" x14ac:dyDescent="0.25">
      <c r="B4556" s="23"/>
      <c r="E4556" s="23"/>
      <c r="G4556" s="23"/>
      <c r="H4556" s="23"/>
      <c r="J4556" s="23"/>
      <c r="K4556" s="23"/>
      <c r="M4556" s="23"/>
      <c r="N4556" s="23"/>
      <c r="P4556" s="23"/>
    </row>
    <row r="4557" spans="2:16" x14ac:dyDescent="0.25">
      <c r="B4557" s="23"/>
      <c r="E4557" s="23"/>
      <c r="G4557" s="23"/>
      <c r="H4557" s="23"/>
      <c r="J4557" s="23"/>
      <c r="K4557" s="23"/>
      <c r="M4557" s="23"/>
      <c r="N4557" s="23"/>
      <c r="P4557" s="23"/>
    </row>
    <row r="4558" spans="2:16" x14ac:dyDescent="0.25">
      <c r="B4558" s="23"/>
      <c r="E4558" s="23"/>
      <c r="G4558" s="23"/>
      <c r="H4558" s="23"/>
      <c r="J4558" s="23"/>
      <c r="K4558" s="23"/>
      <c r="M4558" s="23"/>
      <c r="N4558" s="23"/>
      <c r="P4558" s="23"/>
    </row>
    <row r="4559" spans="2:16" x14ac:dyDescent="0.25">
      <c r="B4559" s="23"/>
      <c r="E4559" s="23"/>
      <c r="G4559" s="23"/>
      <c r="H4559" s="23"/>
      <c r="J4559" s="23"/>
      <c r="K4559" s="23"/>
      <c r="M4559" s="23"/>
      <c r="N4559" s="23"/>
      <c r="P4559" s="23"/>
    </row>
    <row r="4560" spans="2:16" x14ac:dyDescent="0.25">
      <c r="B4560" s="23"/>
      <c r="E4560" s="23"/>
      <c r="G4560" s="23"/>
      <c r="H4560" s="23"/>
      <c r="J4560" s="23"/>
      <c r="K4560" s="23"/>
      <c r="M4560" s="23"/>
      <c r="N4560" s="23"/>
      <c r="P4560" s="23"/>
    </row>
    <row r="4561" spans="2:16" x14ac:dyDescent="0.25">
      <c r="B4561" s="23"/>
      <c r="E4561" s="23"/>
      <c r="G4561" s="23"/>
      <c r="H4561" s="23"/>
      <c r="J4561" s="23"/>
      <c r="K4561" s="23"/>
      <c r="M4561" s="23"/>
      <c r="N4561" s="23"/>
      <c r="P4561" s="23"/>
    </row>
    <row r="4562" spans="2:16" x14ac:dyDescent="0.25">
      <c r="B4562" s="23"/>
      <c r="E4562" s="23"/>
      <c r="G4562" s="23"/>
      <c r="H4562" s="23"/>
      <c r="J4562" s="23"/>
      <c r="K4562" s="23"/>
      <c r="M4562" s="23"/>
      <c r="N4562" s="23"/>
      <c r="P4562" s="23"/>
    </row>
    <row r="4563" spans="2:16" x14ac:dyDescent="0.25">
      <c r="B4563" s="23"/>
      <c r="E4563" s="23"/>
      <c r="G4563" s="23"/>
      <c r="H4563" s="23"/>
      <c r="J4563" s="23"/>
      <c r="K4563" s="23"/>
      <c r="M4563" s="23"/>
      <c r="N4563" s="23"/>
      <c r="P4563" s="23"/>
    </row>
    <row r="4564" spans="2:16" x14ac:dyDescent="0.25">
      <c r="B4564" s="23"/>
      <c r="E4564" s="23"/>
      <c r="G4564" s="23"/>
      <c r="H4564" s="23"/>
      <c r="J4564" s="23"/>
      <c r="K4564" s="23"/>
      <c r="M4564" s="23"/>
      <c r="N4564" s="23"/>
      <c r="P4564" s="23"/>
    </row>
    <row r="4565" spans="2:16" x14ac:dyDescent="0.25">
      <c r="B4565" s="23"/>
      <c r="E4565" s="23"/>
      <c r="G4565" s="23"/>
      <c r="H4565" s="23"/>
      <c r="J4565" s="23"/>
      <c r="K4565" s="23"/>
      <c r="M4565" s="23"/>
      <c r="N4565" s="23"/>
      <c r="P4565" s="23"/>
    </row>
    <row r="4566" spans="2:16" x14ac:dyDescent="0.25">
      <c r="B4566" s="23"/>
      <c r="E4566" s="23"/>
      <c r="G4566" s="23"/>
      <c r="H4566" s="23"/>
      <c r="J4566" s="23"/>
      <c r="K4566" s="23"/>
      <c r="M4566" s="23"/>
      <c r="N4566" s="23"/>
      <c r="P4566" s="23"/>
    </row>
    <row r="4567" spans="2:16" x14ac:dyDescent="0.25">
      <c r="B4567" s="23"/>
      <c r="E4567" s="23"/>
      <c r="G4567" s="23"/>
      <c r="H4567" s="23"/>
      <c r="J4567" s="23"/>
      <c r="K4567" s="23"/>
      <c r="M4567" s="23"/>
      <c r="N4567" s="23"/>
      <c r="P4567" s="23"/>
    </row>
    <row r="4568" spans="2:16" x14ac:dyDescent="0.25">
      <c r="B4568" s="23"/>
      <c r="E4568" s="23"/>
      <c r="G4568" s="23"/>
      <c r="H4568" s="23"/>
      <c r="J4568" s="23"/>
      <c r="K4568" s="23"/>
      <c r="M4568" s="23"/>
      <c r="N4568" s="23"/>
      <c r="P4568" s="23"/>
    </row>
    <row r="4569" spans="2:16" x14ac:dyDescent="0.25">
      <c r="B4569" s="23"/>
      <c r="E4569" s="23"/>
      <c r="G4569" s="23"/>
      <c r="H4569" s="23"/>
      <c r="J4569" s="23"/>
      <c r="K4569" s="23"/>
      <c r="M4569" s="23"/>
      <c r="N4569" s="23"/>
      <c r="P4569" s="23"/>
    </row>
    <row r="4570" spans="2:16" x14ac:dyDescent="0.25">
      <c r="B4570" s="23"/>
      <c r="E4570" s="23"/>
      <c r="G4570" s="23"/>
      <c r="H4570" s="23"/>
      <c r="J4570" s="23"/>
      <c r="K4570" s="23"/>
      <c r="M4570" s="23"/>
      <c r="N4570" s="23"/>
      <c r="P4570" s="23"/>
    </row>
    <row r="4571" spans="2:16" x14ac:dyDescent="0.25">
      <c r="B4571" s="23"/>
      <c r="E4571" s="23"/>
      <c r="G4571" s="23"/>
      <c r="H4571" s="23"/>
      <c r="J4571" s="23"/>
      <c r="K4571" s="23"/>
      <c r="M4571" s="23"/>
      <c r="N4571" s="23"/>
      <c r="P4571" s="23"/>
    </row>
    <row r="4572" spans="2:16" x14ac:dyDescent="0.25">
      <c r="B4572" s="23"/>
      <c r="E4572" s="23"/>
      <c r="G4572" s="23"/>
      <c r="H4572" s="23"/>
      <c r="J4572" s="23"/>
      <c r="K4572" s="23"/>
      <c r="M4572" s="23"/>
      <c r="N4572" s="23"/>
      <c r="P4572" s="23"/>
    </row>
    <row r="4573" spans="2:16" x14ac:dyDescent="0.25">
      <c r="B4573" s="23"/>
      <c r="E4573" s="23"/>
      <c r="G4573" s="23"/>
      <c r="H4573" s="23"/>
      <c r="J4573" s="23"/>
      <c r="K4573" s="23"/>
      <c r="M4573" s="23"/>
      <c r="N4573" s="23"/>
      <c r="P4573" s="23"/>
    </row>
    <row r="4574" spans="2:16" x14ac:dyDescent="0.25">
      <c r="B4574" s="23"/>
      <c r="E4574" s="23"/>
      <c r="G4574" s="23"/>
      <c r="H4574" s="23"/>
      <c r="J4574" s="23"/>
      <c r="K4574" s="23"/>
      <c r="M4574" s="23"/>
      <c r="N4574" s="23"/>
      <c r="P4574" s="23"/>
    </row>
    <row r="4575" spans="2:16" x14ac:dyDescent="0.25">
      <c r="B4575" s="23"/>
      <c r="E4575" s="23"/>
      <c r="G4575" s="23"/>
      <c r="H4575" s="23"/>
      <c r="J4575" s="23"/>
      <c r="K4575" s="23"/>
      <c r="M4575" s="23"/>
      <c r="N4575" s="23"/>
      <c r="P4575" s="23"/>
    </row>
    <row r="4576" spans="2:16" x14ac:dyDescent="0.25">
      <c r="B4576" s="23"/>
      <c r="E4576" s="23"/>
      <c r="G4576" s="23"/>
      <c r="H4576" s="23"/>
      <c r="J4576" s="23"/>
      <c r="K4576" s="23"/>
      <c r="M4576" s="23"/>
      <c r="N4576" s="23"/>
      <c r="P4576" s="23"/>
    </row>
    <row r="4577" spans="2:16" x14ac:dyDescent="0.25">
      <c r="B4577" s="23"/>
      <c r="E4577" s="23"/>
      <c r="G4577" s="23"/>
      <c r="H4577" s="23"/>
      <c r="J4577" s="23"/>
      <c r="K4577" s="23"/>
      <c r="M4577" s="23"/>
      <c r="N4577" s="23"/>
      <c r="P4577" s="23"/>
    </row>
    <row r="4578" spans="2:16" x14ac:dyDescent="0.25">
      <c r="B4578" s="23"/>
      <c r="E4578" s="23"/>
      <c r="G4578" s="23"/>
      <c r="H4578" s="23"/>
      <c r="J4578" s="23"/>
      <c r="K4578" s="23"/>
      <c r="M4578" s="23"/>
      <c r="N4578" s="23"/>
      <c r="P4578" s="23"/>
    </row>
    <row r="4579" spans="2:16" x14ac:dyDescent="0.25">
      <c r="B4579" s="23"/>
      <c r="E4579" s="23"/>
      <c r="G4579" s="23"/>
      <c r="H4579" s="23"/>
      <c r="J4579" s="23"/>
      <c r="K4579" s="23"/>
      <c r="M4579" s="23"/>
      <c r="N4579" s="23"/>
      <c r="P4579" s="23"/>
    </row>
    <row r="4580" spans="2:16" x14ac:dyDescent="0.25">
      <c r="B4580" s="23"/>
      <c r="E4580" s="23"/>
      <c r="G4580" s="23"/>
      <c r="H4580" s="23"/>
      <c r="J4580" s="23"/>
      <c r="K4580" s="23"/>
      <c r="M4580" s="23"/>
      <c r="N4580" s="23"/>
      <c r="P4580" s="23"/>
    </row>
    <row r="4581" spans="2:16" x14ac:dyDescent="0.25">
      <c r="B4581" s="23"/>
      <c r="E4581" s="23"/>
      <c r="G4581" s="23"/>
      <c r="H4581" s="23"/>
      <c r="J4581" s="23"/>
      <c r="K4581" s="23"/>
      <c r="M4581" s="23"/>
      <c r="N4581" s="23"/>
      <c r="P4581" s="23"/>
    </row>
    <row r="4582" spans="2:16" x14ac:dyDescent="0.25">
      <c r="B4582" s="23"/>
      <c r="E4582" s="23"/>
      <c r="G4582" s="23"/>
      <c r="H4582" s="23"/>
      <c r="J4582" s="23"/>
      <c r="K4582" s="23"/>
      <c r="M4582" s="23"/>
      <c r="N4582" s="23"/>
      <c r="P4582" s="23"/>
    </row>
    <row r="4583" spans="2:16" x14ac:dyDescent="0.25">
      <c r="B4583" s="23"/>
      <c r="E4583" s="23"/>
      <c r="G4583" s="23"/>
      <c r="H4583" s="23"/>
      <c r="J4583" s="23"/>
      <c r="K4583" s="23"/>
      <c r="M4583" s="23"/>
      <c r="N4583" s="23"/>
      <c r="P4583" s="23"/>
    </row>
    <row r="4584" spans="2:16" x14ac:dyDescent="0.25">
      <c r="B4584" s="23"/>
      <c r="E4584" s="23"/>
      <c r="G4584" s="23"/>
      <c r="H4584" s="23"/>
      <c r="J4584" s="23"/>
      <c r="K4584" s="23"/>
      <c r="M4584" s="23"/>
      <c r="N4584" s="23"/>
      <c r="P4584" s="23"/>
    </row>
    <row r="4585" spans="2:16" x14ac:dyDescent="0.25">
      <c r="B4585" s="23"/>
      <c r="E4585" s="23"/>
      <c r="G4585" s="23"/>
      <c r="H4585" s="23"/>
      <c r="J4585" s="23"/>
      <c r="K4585" s="23"/>
      <c r="M4585" s="23"/>
      <c r="N4585" s="23"/>
      <c r="P4585" s="23"/>
    </row>
    <row r="4586" spans="2:16" x14ac:dyDescent="0.25">
      <c r="B4586" s="23"/>
      <c r="E4586" s="23"/>
      <c r="G4586" s="23"/>
      <c r="H4586" s="23"/>
      <c r="J4586" s="23"/>
      <c r="K4586" s="23"/>
      <c r="M4586" s="23"/>
      <c r="N4586" s="23"/>
      <c r="P4586" s="23"/>
    </row>
    <row r="4587" spans="2:16" x14ac:dyDescent="0.25">
      <c r="B4587" s="23"/>
      <c r="E4587" s="23"/>
      <c r="G4587" s="23"/>
      <c r="H4587" s="23"/>
      <c r="J4587" s="23"/>
      <c r="K4587" s="23"/>
      <c r="M4587" s="23"/>
      <c r="N4587" s="23"/>
      <c r="P4587" s="23"/>
    </row>
    <row r="4588" spans="2:16" x14ac:dyDescent="0.25">
      <c r="B4588" s="23"/>
      <c r="E4588" s="23"/>
      <c r="G4588" s="23"/>
      <c r="H4588" s="23"/>
      <c r="J4588" s="23"/>
      <c r="K4588" s="23"/>
      <c r="M4588" s="23"/>
      <c r="N4588" s="23"/>
      <c r="P4588" s="23"/>
    </row>
    <row r="4589" spans="2:16" x14ac:dyDescent="0.25">
      <c r="B4589" s="23"/>
      <c r="E4589" s="23"/>
      <c r="G4589" s="23"/>
      <c r="H4589" s="23"/>
      <c r="J4589" s="23"/>
      <c r="K4589" s="23"/>
      <c r="M4589" s="23"/>
      <c r="N4589" s="23"/>
      <c r="P4589" s="23"/>
    </row>
    <row r="4590" spans="2:16" x14ac:dyDescent="0.25">
      <c r="B4590" s="23"/>
      <c r="E4590" s="23"/>
      <c r="G4590" s="23"/>
      <c r="H4590" s="23"/>
      <c r="J4590" s="23"/>
      <c r="K4590" s="23"/>
      <c r="M4590" s="23"/>
      <c r="N4590" s="23"/>
      <c r="P4590" s="23"/>
    </row>
    <row r="4591" spans="2:16" x14ac:dyDescent="0.25">
      <c r="B4591" s="23"/>
      <c r="E4591" s="23"/>
      <c r="G4591" s="23"/>
      <c r="H4591" s="23"/>
      <c r="J4591" s="23"/>
      <c r="K4591" s="23"/>
      <c r="M4591" s="23"/>
      <c r="N4591" s="23"/>
      <c r="P4591" s="23"/>
    </row>
    <row r="4592" spans="2:16" x14ac:dyDescent="0.25">
      <c r="B4592" s="23"/>
      <c r="E4592" s="23"/>
      <c r="G4592" s="23"/>
      <c r="H4592" s="23"/>
      <c r="J4592" s="23"/>
      <c r="K4592" s="23"/>
      <c r="M4592" s="23"/>
      <c r="N4592" s="23"/>
      <c r="P4592" s="23"/>
    </row>
    <row r="4593" spans="2:16" x14ac:dyDescent="0.25">
      <c r="B4593" s="23"/>
      <c r="E4593" s="23"/>
      <c r="G4593" s="23"/>
      <c r="H4593" s="23"/>
      <c r="J4593" s="23"/>
      <c r="K4593" s="23"/>
      <c r="M4593" s="23"/>
      <c r="N4593" s="23"/>
      <c r="P4593" s="23"/>
    </row>
    <row r="4594" spans="2:16" x14ac:dyDescent="0.25">
      <c r="B4594" s="23"/>
      <c r="E4594" s="23"/>
      <c r="G4594" s="23"/>
      <c r="H4594" s="23"/>
      <c r="J4594" s="23"/>
      <c r="K4594" s="23"/>
      <c r="M4594" s="23"/>
      <c r="N4594" s="23"/>
      <c r="P4594" s="23"/>
    </row>
    <row r="4595" spans="2:16" x14ac:dyDescent="0.25">
      <c r="B4595" s="23"/>
      <c r="E4595" s="23"/>
      <c r="G4595" s="23"/>
      <c r="H4595" s="23"/>
      <c r="J4595" s="23"/>
      <c r="K4595" s="23"/>
      <c r="M4595" s="23"/>
      <c r="N4595" s="23"/>
      <c r="P4595" s="23"/>
    </row>
    <row r="4596" spans="2:16" x14ac:dyDescent="0.25">
      <c r="B4596" s="23"/>
      <c r="E4596" s="23"/>
      <c r="G4596" s="23"/>
      <c r="H4596" s="23"/>
      <c r="J4596" s="23"/>
      <c r="K4596" s="23"/>
      <c r="M4596" s="23"/>
      <c r="N4596" s="23"/>
      <c r="P4596" s="23"/>
    </row>
    <row r="4597" spans="2:16" x14ac:dyDescent="0.25">
      <c r="B4597" s="23"/>
      <c r="E4597" s="23"/>
      <c r="G4597" s="23"/>
      <c r="H4597" s="23"/>
      <c r="J4597" s="23"/>
      <c r="K4597" s="23"/>
      <c r="M4597" s="23"/>
      <c r="N4597" s="23"/>
      <c r="P4597" s="23"/>
    </row>
    <row r="4598" spans="2:16" x14ac:dyDescent="0.25">
      <c r="B4598" s="23"/>
      <c r="E4598" s="23"/>
      <c r="G4598" s="23"/>
      <c r="H4598" s="23"/>
      <c r="J4598" s="23"/>
      <c r="K4598" s="23"/>
      <c r="M4598" s="23"/>
      <c r="N4598" s="23"/>
      <c r="P4598" s="23"/>
    </row>
    <row r="4599" spans="2:16" x14ac:dyDescent="0.25">
      <c r="B4599" s="23"/>
      <c r="E4599" s="23"/>
      <c r="G4599" s="23"/>
      <c r="H4599" s="23"/>
      <c r="J4599" s="23"/>
      <c r="K4599" s="23"/>
      <c r="M4599" s="23"/>
      <c r="N4599" s="23"/>
      <c r="P4599" s="23"/>
    </row>
    <row r="4600" spans="2:16" x14ac:dyDescent="0.25">
      <c r="B4600" s="23"/>
      <c r="E4600" s="23"/>
      <c r="G4600" s="23"/>
      <c r="H4600" s="23"/>
      <c r="J4600" s="23"/>
      <c r="K4600" s="23"/>
      <c r="M4600" s="23"/>
      <c r="N4600" s="23"/>
      <c r="P4600" s="23"/>
    </row>
    <row r="4601" spans="2:16" x14ac:dyDescent="0.25">
      <c r="B4601" s="23"/>
      <c r="E4601" s="23"/>
      <c r="G4601" s="23"/>
      <c r="H4601" s="23"/>
      <c r="J4601" s="23"/>
      <c r="K4601" s="23"/>
      <c r="M4601" s="23"/>
      <c r="N4601" s="23"/>
      <c r="P4601" s="23"/>
    </row>
    <row r="4602" spans="2:16" x14ac:dyDescent="0.25">
      <c r="B4602" s="23"/>
      <c r="E4602" s="23"/>
      <c r="G4602" s="23"/>
      <c r="H4602" s="23"/>
      <c r="J4602" s="23"/>
      <c r="K4602" s="23"/>
      <c r="M4602" s="23"/>
      <c r="N4602" s="23"/>
      <c r="P4602" s="23"/>
    </row>
    <row r="4603" spans="2:16" x14ac:dyDescent="0.25">
      <c r="B4603" s="23"/>
      <c r="E4603" s="23"/>
      <c r="G4603" s="23"/>
      <c r="H4603" s="23"/>
      <c r="J4603" s="23"/>
      <c r="K4603" s="23"/>
      <c r="M4603" s="23"/>
      <c r="N4603" s="23"/>
      <c r="P4603" s="23"/>
    </row>
    <row r="4604" spans="2:16" x14ac:dyDescent="0.25">
      <c r="B4604" s="23"/>
      <c r="E4604" s="23"/>
      <c r="G4604" s="23"/>
      <c r="H4604" s="23"/>
      <c r="J4604" s="23"/>
      <c r="K4604" s="23"/>
      <c r="M4604" s="23"/>
      <c r="N4604" s="23"/>
      <c r="P4604" s="23"/>
    </row>
    <row r="4605" spans="2:16" x14ac:dyDescent="0.25">
      <c r="B4605" s="23"/>
      <c r="E4605" s="23"/>
      <c r="G4605" s="23"/>
      <c r="H4605" s="23"/>
      <c r="J4605" s="23"/>
      <c r="K4605" s="23"/>
      <c r="M4605" s="23"/>
      <c r="N4605" s="23"/>
      <c r="P4605" s="23"/>
    </row>
    <row r="4606" spans="2:16" x14ac:dyDescent="0.25">
      <c r="B4606" s="23"/>
      <c r="E4606" s="23"/>
      <c r="G4606" s="23"/>
      <c r="H4606" s="23"/>
      <c r="J4606" s="23"/>
      <c r="K4606" s="23"/>
      <c r="M4606" s="23"/>
      <c r="N4606" s="23"/>
      <c r="P4606" s="23"/>
    </row>
    <row r="4607" spans="2:16" x14ac:dyDescent="0.25">
      <c r="B4607" s="23"/>
      <c r="E4607" s="23"/>
      <c r="G4607" s="23"/>
      <c r="H4607" s="23"/>
      <c r="J4607" s="23"/>
      <c r="K4607" s="23"/>
      <c r="M4607" s="23"/>
      <c r="N4607" s="23"/>
      <c r="P4607" s="23"/>
    </row>
    <row r="4608" spans="2:16" x14ac:dyDescent="0.25">
      <c r="B4608" s="23"/>
      <c r="E4608" s="23"/>
      <c r="G4608" s="23"/>
      <c r="H4608" s="23"/>
      <c r="J4608" s="23"/>
      <c r="K4608" s="23"/>
      <c r="M4608" s="23"/>
      <c r="N4608" s="23"/>
      <c r="P4608" s="23"/>
    </row>
    <row r="4609" spans="2:16" x14ac:dyDescent="0.25">
      <c r="B4609" s="23"/>
      <c r="E4609" s="23"/>
      <c r="G4609" s="23"/>
      <c r="H4609" s="23"/>
      <c r="J4609" s="23"/>
      <c r="K4609" s="23"/>
      <c r="M4609" s="23"/>
      <c r="N4609" s="23"/>
      <c r="P4609" s="23"/>
    </row>
    <row r="4610" spans="2:16" x14ac:dyDescent="0.25">
      <c r="B4610" s="23"/>
      <c r="E4610" s="23"/>
      <c r="G4610" s="23"/>
      <c r="H4610" s="23"/>
      <c r="J4610" s="23"/>
      <c r="K4610" s="23"/>
      <c r="M4610" s="23"/>
      <c r="N4610" s="23"/>
      <c r="P4610" s="23"/>
    </row>
    <row r="4611" spans="2:16" x14ac:dyDescent="0.25">
      <c r="B4611" s="23"/>
      <c r="E4611" s="23"/>
      <c r="G4611" s="23"/>
      <c r="H4611" s="23"/>
      <c r="J4611" s="23"/>
      <c r="K4611" s="23"/>
      <c r="M4611" s="23"/>
      <c r="N4611" s="23"/>
      <c r="P4611" s="23"/>
    </row>
    <row r="4612" spans="2:16" x14ac:dyDescent="0.25">
      <c r="B4612" s="23"/>
      <c r="E4612" s="23"/>
      <c r="G4612" s="23"/>
      <c r="H4612" s="23"/>
      <c r="J4612" s="23"/>
      <c r="K4612" s="23"/>
      <c r="M4612" s="23"/>
      <c r="N4612" s="23"/>
      <c r="P4612" s="23"/>
    </row>
    <row r="4613" spans="2:16" x14ac:dyDescent="0.25">
      <c r="B4613" s="23"/>
      <c r="E4613" s="23"/>
      <c r="G4613" s="23"/>
      <c r="H4613" s="23"/>
      <c r="J4613" s="23"/>
      <c r="K4613" s="23"/>
      <c r="M4613" s="23"/>
      <c r="N4613" s="23"/>
      <c r="P4613" s="23"/>
    </row>
    <row r="4614" spans="2:16" x14ac:dyDescent="0.25">
      <c r="B4614" s="23"/>
      <c r="E4614" s="23"/>
      <c r="G4614" s="23"/>
      <c r="H4614" s="23"/>
      <c r="J4614" s="23"/>
      <c r="K4614" s="23"/>
      <c r="M4614" s="23"/>
      <c r="N4614" s="23"/>
      <c r="P4614" s="23"/>
    </row>
    <row r="4615" spans="2:16" x14ac:dyDescent="0.25">
      <c r="B4615" s="23"/>
      <c r="E4615" s="23"/>
      <c r="G4615" s="23"/>
      <c r="H4615" s="23"/>
      <c r="J4615" s="23"/>
      <c r="K4615" s="23"/>
      <c r="M4615" s="23"/>
      <c r="N4615" s="23"/>
      <c r="P4615" s="23"/>
    </row>
    <row r="4616" spans="2:16" x14ac:dyDescent="0.25">
      <c r="B4616" s="23"/>
      <c r="E4616" s="23"/>
      <c r="G4616" s="23"/>
      <c r="H4616" s="23"/>
      <c r="J4616" s="23"/>
      <c r="K4616" s="23"/>
      <c r="M4616" s="23"/>
      <c r="N4616" s="23"/>
      <c r="P4616" s="23"/>
    </row>
    <row r="4617" spans="2:16" x14ac:dyDescent="0.25">
      <c r="B4617" s="23"/>
      <c r="E4617" s="23"/>
      <c r="G4617" s="23"/>
      <c r="H4617" s="23"/>
      <c r="J4617" s="23"/>
      <c r="K4617" s="23"/>
      <c r="M4617" s="23"/>
      <c r="N4617" s="23"/>
      <c r="P4617" s="23"/>
    </row>
    <row r="4618" spans="2:16" x14ac:dyDescent="0.25">
      <c r="B4618" s="23"/>
      <c r="E4618" s="23"/>
      <c r="G4618" s="23"/>
      <c r="H4618" s="23"/>
      <c r="J4618" s="23"/>
      <c r="K4618" s="23"/>
      <c r="M4618" s="23"/>
      <c r="N4618" s="23"/>
      <c r="P4618" s="23"/>
    </row>
    <row r="4619" spans="2:16" x14ac:dyDescent="0.25">
      <c r="B4619" s="23"/>
      <c r="E4619" s="23"/>
      <c r="G4619" s="23"/>
      <c r="H4619" s="23"/>
      <c r="J4619" s="23"/>
      <c r="K4619" s="23"/>
      <c r="M4619" s="23"/>
      <c r="N4619" s="23"/>
      <c r="P4619" s="23"/>
    </row>
    <row r="4620" spans="2:16" x14ac:dyDescent="0.25">
      <c r="B4620" s="23"/>
      <c r="E4620" s="23"/>
      <c r="G4620" s="23"/>
      <c r="H4620" s="23"/>
      <c r="J4620" s="23"/>
      <c r="K4620" s="23"/>
      <c r="M4620" s="23"/>
      <c r="N4620" s="23"/>
      <c r="P4620" s="23"/>
    </row>
    <row r="4621" spans="2:16" x14ac:dyDescent="0.25">
      <c r="B4621" s="23"/>
      <c r="E4621" s="23"/>
      <c r="G4621" s="23"/>
      <c r="H4621" s="23"/>
      <c r="J4621" s="23"/>
      <c r="K4621" s="23"/>
      <c r="M4621" s="23"/>
      <c r="N4621" s="23"/>
      <c r="P4621" s="23"/>
    </row>
    <row r="4622" spans="2:16" x14ac:dyDescent="0.25">
      <c r="B4622" s="23"/>
      <c r="E4622" s="23"/>
      <c r="G4622" s="23"/>
      <c r="H4622" s="23"/>
      <c r="J4622" s="23"/>
      <c r="K4622" s="23"/>
      <c r="M4622" s="23"/>
      <c r="N4622" s="23"/>
      <c r="P4622" s="23"/>
    </row>
    <row r="4623" spans="2:16" x14ac:dyDescent="0.25">
      <c r="B4623" s="23"/>
      <c r="E4623" s="23"/>
      <c r="G4623" s="23"/>
      <c r="H4623" s="23"/>
      <c r="J4623" s="23"/>
      <c r="K4623" s="23"/>
      <c r="M4623" s="23"/>
      <c r="N4623" s="23"/>
      <c r="P4623" s="23"/>
    </row>
    <row r="4624" spans="2:16" x14ac:dyDescent="0.25">
      <c r="B4624" s="23"/>
      <c r="E4624" s="23"/>
      <c r="G4624" s="23"/>
      <c r="H4624" s="23"/>
      <c r="J4624" s="23"/>
      <c r="K4624" s="23"/>
      <c r="M4624" s="23"/>
      <c r="N4624" s="23"/>
      <c r="P4624" s="23"/>
    </row>
    <row r="4625" spans="2:16" x14ac:dyDescent="0.25">
      <c r="B4625" s="23"/>
      <c r="E4625" s="23"/>
      <c r="G4625" s="23"/>
      <c r="H4625" s="23"/>
      <c r="J4625" s="23"/>
      <c r="K4625" s="23"/>
      <c r="M4625" s="23"/>
      <c r="N4625" s="23"/>
      <c r="P4625" s="23"/>
    </row>
    <row r="4626" spans="2:16" x14ac:dyDescent="0.25">
      <c r="B4626" s="23"/>
      <c r="E4626" s="23"/>
      <c r="G4626" s="23"/>
      <c r="H4626" s="23"/>
      <c r="J4626" s="23"/>
      <c r="K4626" s="23"/>
      <c r="M4626" s="23"/>
      <c r="N4626" s="23"/>
      <c r="P4626" s="23"/>
    </row>
    <row r="4627" spans="2:16" x14ac:dyDescent="0.25">
      <c r="B4627" s="23"/>
      <c r="E4627" s="23"/>
      <c r="G4627" s="23"/>
      <c r="H4627" s="23"/>
      <c r="J4627" s="23"/>
      <c r="K4627" s="23"/>
      <c r="M4627" s="23"/>
      <c r="N4627" s="23"/>
      <c r="P4627" s="23"/>
    </row>
    <row r="4628" spans="2:16" x14ac:dyDescent="0.25">
      <c r="B4628" s="23"/>
      <c r="E4628" s="23"/>
      <c r="G4628" s="23"/>
      <c r="H4628" s="23"/>
      <c r="J4628" s="23"/>
      <c r="K4628" s="23"/>
      <c r="M4628" s="23"/>
      <c r="N4628" s="23"/>
      <c r="P4628" s="23"/>
    </row>
    <row r="4629" spans="2:16" x14ac:dyDescent="0.25">
      <c r="B4629" s="23"/>
      <c r="E4629" s="23"/>
      <c r="G4629" s="23"/>
      <c r="H4629" s="23"/>
      <c r="J4629" s="23"/>
      <c r="K4629" s="23"/>
      <c r="M4629" s="23"/>
      <c r="N4629" s="23"/>
      <c r="P4629" s="23"/>
    </row>
    <row r="4630" spans="2:16" x14ac:dyDescent="0.25">
      <c r="B4630" s="23"/>
      <c r="E4630" s="23"/>
      <c r="G4630" s="23"/>
      <c r="H4630" s="23"/>
      <c r="J4630" s="23"/>
      <c r="K4630" s="23"/>
      <c r="M4630" s="23"/>
      <c r="N4630" s="23"/>
      <c r="P4630" s="23"/>
    </row>
    <row r="4631" spans="2:16" x14ac:dyDescent="0.25">
      <c r="B4631" s="23"/>
      <c r="E4631" s="23"/>
      <c r="G4631" s="23"/>
      <c r="H4631" s="23"/>
      <c r="J4631" s="23"/>
      <c r="K4631" s="23"/>
      <c r="M4631" s="23"/>
      <c r="N4631" s="23"/>
      <c r="P4631" s="23"/>
    </row>
    <row r="4632" spans="2:16" x14ac:dyDescent="0.25">
      <c r="B4632" s="23"/>
      <c r="E4632" s="23"/>
      <c r="G4632" s="23"/>
      <c r="H4632" s="23"/>
      <c r="J4632" s="23"/>
      <c r="K4632" s="23"/>
      <c r="M4632" s="23"/>
      <c r="N4632" s="23"/>
      <c r="P4632" s="23"/>
    </row>
    <row r="4633" spans="2:16" x14ac:dyDescent="0.25">
      <c r="B4633" s="23"/>
      <c r="E4633" s="23"/>
      <c r="G4633" s="23"/>
      <c r="H4633" s="23"/>
      <c r="J4633" s="23"/>
      <c r="K4633" s="23"/>
      <c r="M4633" s="23"/>
      <c r="N4633" s="23"/>
      <c r="P4633" s="23"/>
    </row>
    <row r="4634" spans="2:16" x14ac:dyDescent="0.25">
      <c r="B4634" s="23"/>
      <c r="E4634" s="23"/>
      <c r="G4634" s="23"/>
      <c r="H4634" s="23"/>
      <c r="J4634" s="23"/>
      <c r="K4634" s="23"/>
      <c r="M4634" s="23"/>
      <c r="N4634" s="23"/>
      <c r="P4634" s="23"/>
    </row>
    <row r="4635" spans="2:16" x14ac:dyDescent="0.25">
      <c r="B4635" s="23"/>
      <c r="E4635" s="23"/>
      <c r="G4635" s="23"/>
      <c r="H4635" s="23"/>
      <c r="J4635" s="23"/>
      <c r="K4635" s="23"/>
      <c r="M4635" s="23"/>
      <c r="N4635" s="23"/>
      <c r="P4635" s="23"/>
    </row>
    <row r="4636" spans="2:16" x14ac:dyDescent="0.25">
      <c r="B4636" s="23"/>
      <c r="E4636" s="23"/>
      <c r="G4636" s="23"/>
      <c r="H4636" s="23"/>
      <c r="J4636" s="23"/>
      <c r="K4636" s="23"/>
      <c r="M4636" s="23"/>
      <c r="N4636" s="23"/>
      <c r="P4636" s="23"/>
    </row>
    <row r="4637" spans="2:16" x14ac:dyDescent="0.25">
      <c r="B4637" s="23"/>
      <c r="E4637" s="23"/>
      <c r="G4637" s="23"/>
      <c r="H4637" s="23"/>
      <c r="J4637" s="23"/>
      <c r="K4637" s="23"/>
      <c r="M4637" s="23"/>
      <c r="N4637" s="23"/>
      <c r="P4637" s="23"/>
    </row>
    <row r="4638" spans="2:16" x14ac:dyDescent="0.25">
      <c r="B4638" s="23"/>
      <c r="E4638" s="23"/>
      <c r="G4638" s="23"/>
      <c r="H4638" s="23"/>
      <c r="J4638" s="23"/>
      <c r="K4638" s="23"/>
      <c r="M4638" s="23"/>
      <c r="N4638" s="23"/>
      <c r="P4638" s="23"/>
    </row>
    <row r="4639" spans="2:16" x14ac:dyDescent="0.25">
      <c r="B4639" s="23"/>
      <c r="E4639" s="23"/>
      <c r="G4639" s="23"/>
      <c r="H4639" s="23"/>
      <c r="J4639" s="23"/>
      <c r="K4639" s="23"/>
      <c r="M4639" s="23"/>
      <c r="N4639" s="23"/>
      <c r="P4639" s="23"/>
    </row>
    <row r="4640" spans="2:16" x14ac:dyDescent="0.25">
      <c r="B4640" s="23"/>
      <c r="E4640" s="23"/>
      <c r="G4640" s="23"/>
      <c r="H4640" s="23"/>
      <c r="J4640" s="23"/>
      <c r="K4640" s="23"/>
      <c r="M4640" s="23"/>
      <c r="N4640" s="23"/>
      <c r="P4640" s="23"/>
    </row>
    <row r="4641" spans="2:16" x14ac:dyDescent="0.25">
      <c r="B4641" s="23"/>
      <c r="E4641" s="23"/>
      <c r="G4641" s="23"/>
      <c r="H4641" s="23"/>
      <c r="J4641" s="23"/>
      <c r="K4641" s="23"/>
      <c r="M4641" s="23"/>
      <c r="N4641" s="23"/>
      <c r="P4641" s="23"/>
    </row>
    <row r="4642" spans="2:16" x14ac:dyDescent="0.25">
      <c r="B4642" s="23"/>
      <c r="E4642" s="23"/>
      <c r="G4642" s="23"/>
      <c r="H4642" s="23"/>
      <c r="J4642" s="23"/>
      <c r="K4642" s="23"/>
      <c r="M4642" s="23"/>
      <c r="N4642" s="23"/>
      <c r="P4642" s="23"/>
    </row>
    <row r="4643" spans="2:16" x14ac:dyDescent="0.25">
      <c r="B4643" s="23"/>
      <c r="E4643" s="23"/>
      <c r="G4643" s="23"/>
      <c r="H4643" s="23"/>
      <c r="J4643" s="23"/>
      <c r="K4643" s="23"/>
      <c r="M4643" s="23"/>
      <c r="N4643" s="23"/>
      <c r="P4643" s="23"/>
    </row>
    <row r="4644" spans="2:16" x14ac:dyDescent="0.25">
      <c r="B4644" s="23"/>
      <c r="E4644" s="23"/>
      <c r="G4644" s="23"/>
      <c r="H4644" s="23"/>
      <c r="J4644" s="23"/>
      <c r="K4644" s="23"/>
      <c r="M4644" s="23"/>
      <c r="N4644" s="23"/>
      <c r="P4644" s="23"/>
    </row>
    <row r="4645" spans="2:16" x14ac:dyDescent="0.25">
      <c r="B4645" s="23"/>
      <c r="E4645" s="23"/>
      <c r="G4645" s="23"/>
      <c r="H4645" s="23"/>
      <c r="J4645" s="23"/>
      <c r="K4645" s="23"/>
      <c r="M4645" s="23"/>
      <c r="N4645" s="23"/>
      <c r="P4645" s="23"/>
    </row>
    <row r="4646" spans="2:16" x14ac:dyDescent="0.25">
      <c r="B4646" s="23"/>
      <c r="E4646" s="23"/>
      <c r="G4646" s="23"/>
      <c r="H4646" s="23"/>
      <c r="J4646" s="23"/>
      <c r="K4646" s="23"/>
      <c r="M4646" s="23"/>
      <c r="N4646" s="23"/>
      <c r="P4646" s="23"/>
    </row>
    <row r="4647" spans="2:16" x14ac:dyDescent="0.25">
      <c r="B4647" s="23"/>
      <c r="E4647" s="23"/>
      <c r="G4647" s="23"/>
      <c r="H4647" s="23"/>
      <c r="J4647" s="23"/>
      <c r="K4647" s="23"/>
      <c r="M4647" s="23"/>
      <c r="N4647" s="23"/>
      <c r="P4647" s="23"/>
    </row>
    <row r="4648" spans="2:16" x14ac:dyDescent="0.25">
      <c r="B4648" s="23"/>
      <c r="E4648" s="23"/>
      <c r="G4648" s="23"/>
      <c r="H4648" s="23"/>
      <c r="J4648" s="23"/>
      <c r="K4648" s="23"/>
      <c r="M4648" s="23"/>
      <c r="N4648" s="23"/>
      <c r="P4648" s="23"/>
    </row>
    <row r="4649" spans="2:16" x14ac:dyDescent="0.25">
      <c r="B4649" s="23"/>
      <c r="E4649" s="23"/>
      <c r="G4649" s="23"/>
      <c r="H4649" s="23"/>
      <c r="J4649" s="23"/>
      <c r="K4649" s="23"/>
      <c r="M4649" s="23"/>
      <c r="N4649" s="23"/>
      <c r="P4649" s="23"/>
    </row>
    <row r="4650" spans="2:16" x14ac:dyDescent="0.25">
      <c r="B4650" s="23"/>
      <c r="E4650" s="23"/>
      <c r="G4650" s="23"/>
      <c r="H4650" s="23"/>
      <c r="J4650" s="23"/>
      <c r="K4650" s="23"/>
      <c r="M4650" s="23"/>
      <c r="N4650" s="23"/>
      <c r="P4650" s="23"/>
    </row>
    <row r="4651" spans="2:16" x14ac:dyDescent="0.25">
      <c r="B4651" s="23"/>
      <c r="E4651" s="23"/>
      <c r="G4651" s="23"/>
      <c r="H4651" s="23"/>
      <c r="J4651" s="23"/>
      <c r="K4651" s="23"/>
      <c r="M4651" s="23"/>
      <c r="N4651" s="23"/>
      <c r="P4651" s="23"/>
    </row>
    <row r="4652" spans="2:16" x14ac:dyDescent="0.25">
      <c r="B4652" s="23"/>
      <c r="E4652" s="23"/>
      <c r="G4652" s="23"/>
      <c r="H4652" s="23"/>
      <c r="J4652" s="23"/>
      <c r="K4652" s="23"/>
      <c r="M4652" s="23"/>
      <c r="N4652" s="23"/>
      <c r="P4652" s="23"/>
    </row>
    <row r="4653" spans="2:16" x14ac:dyDescent="0.25">
      <c r="B4653" s="23"/>
      <c r="E4653" s="23"/>
      <c r="G4653" s="23"/>
      <c r="H4653" s="23"/>
      <c r="J4653" s="23"/>
      <c r="K4653" s="23"/>
      <c r="M4653" s="23"/>
      <c r="N4653" s="23"/>
      <c r="P4653" s="23"/>
    </row>
    <row r="4654" spans="2:16" x14ac:dyDescent="0.25">
      <c r="B4654" s="23"/>
      <c r="E4654" s="23"/>
      <c r="G4654" s="23"/>
      <c r="H4654" s="23"/>
      <c r="J4654" s="23"/>
      <c r="K4654" s="23"/>
      <c r="M4654" s="23"/>
      <c r="N4654" s="23"/>
      <c r="P4654" s="23"/>
    </row>
    <row r="4655" spans="2:16" x14ac:dyDescent="0.25">
      <c r="B4655" s="23"/>
      <c r="E4655" s="23"/>
      <c r="G4655" s="23"/>
      <c r="H4655" s="23"/>
      <c r="J4655" s="23"/>
      <c r="K4655" s="23"/>
      <c r="M4655" s="23"/>
      <c r="N4655" s="23"/>
      <c r="P4655" s="23"/>
    </row>
    <row r="4656" spans="2:16" x14ac:dyDescent="0.25">
      <c r="B4656" s="23"/>
      <c r="E4656" s="23"/>
      <c r="G4656" s="23"/>
      <c r="H4656" s="23"/>
      <c r="J4656" s="23"/>
      <c r="K4656" s="23"/>
      <c r="M4656" s="23"/>
      <c r="N4656" s="23"/>
      <c r="P4656" s="23"/>
    </row>
    <row r="4657" spans="2:16" x14ac:dyDescent="0.25">
      <c r="B4657" s="23"/>
      <c r="E4657" s="23"/>
      <c r="G4657" s="23"/>
      <c r="H4657" s="23"/>
      <c r="J4657" s="23"/>
      <c r="K4657" s="23"/>
      <c r="M4657" s="23"/>
      <c r="N4657" s="23"/>
      <c r="P4657" s="23"/>
    </row>
    <row r="4658" spans="2:16" x14ac:dyDescent="0.25">
      <c r="B4658" s="23"/>
      <c r="E4658" s="23"/>
      <c r="G4658" s="23"/>
      <c r="H4658" s="23"/>
      <c r="J4658" s="23"/>
      <c r="K4658" s="23"/>
      <c r="M4658" s="23"/>
      <c r="N4658" s="23"/>
      <c r="P4658" s="23"/>
    </row>
    <row r="4659" spans="2:16" x14ac:dyDescent="0.25">
      <c r="B4659" s="23"/>
      <c r="E4659" s="23"/>
      <c r="G4659" s="23"/>
      <c r="H4659" s="23"/>
      <c r="J4659" s="23"/>
      <c r="K4659" s="23"/>
      <c r="M4659" s="23"/>
      <c r="N4659" s="23"/>
      <c r="P4659" s="23"/>
    </row>
    <row r="4660" spans="2:16" x14ac:dyDescent="0.25">
      <c r="B4660" s="23"/>
      <c r="E4660" s="23"/>
      <c r="G4660" s="23"/>
      <c r="H4660" s="23"/>
      <c r="J4660" s="23"/>
      <c r="K4660" s="23"/>
      <c r="M4660" s="23"/>
      <c r="N4660" s="23"/>
      <c r="P4660" s="23"/>
    </row>
    <row r="4661" spans="2:16" x14ac:dyDescent="0.25">
      <c r="B4661" s="23"/>
      <c r="E4661" s="23"/>
      <c r="G4661" s="23"/>
      <c r="H4661" s="23"/>
      <c r="J4661" s="23"/>
      <c r="K4661" s="23"/>
      <c r="M4661" s="23"/>
      <c r="N4661" s="23"/>
      <c r="P4661" s="23"/>
    </row>
    <row r="4662" spans="2:16" x14ac:dyDescent="0.25">
      <c r="B4662" s="23"/>
      <c r="E4662" s="23"/>
      <c r="G4662" s="23"/>
      <c r="H4662" s="23"/>
      <c r="J4662" s="23"/>
      <c r="K4662" s="23"/>
      <c r="M4662" s="23"/>
      <c r="N4662" s="23"/>
      <c r="P4662" s="23"/>
    </row>
    <row r="4663" spans="2:16" x14ac:dyDescent="0.25">
      <c r="B4663" s="23"/>
      <c r="E4663" s="23"/>
      <c r="G4663" s="23"/>
      <c r="H4663" s="23"/>
      <c r="J4663" s="23"/>
      <c r="K4663" s="23"/>
      <c r="M4663" s="23"/>
      <c r="N4663" s="23"/>
      <c r="P4663" s="23"/>
    </row>
    <row r="4664" spans="2:16" x14ac:dyDescent="0.25">
      <c r="B4664" s="23"/>
      <c r="E4664" s="23"/>
      <c r="G4664" s="23"/>
      <c r="H4664" s="23"/>
      <c r="J4664" s="23"/>
      <c r="K4664" s="23"/>
      <c r="M4664" s="23"/>
      <c r="N4664" s="23"/>
      <c r="P4664" s="23"/>
    </row>
    <row r="4665" spans="2:16" x14ac:dyDescent="0.25">
      <c r="B4665" s="23"/>
      <c r="E4665" s="23"/>
      <c r="G4665" s="23"/>
      <c r="H4665" s="23"/>
      <c r="J4665" s="23"/>
      <c r="K4665" s="23"/>
      <c r="M4665" s="23"/>
      <c r="N4665" s="23"/>
      <c r="P4665" s="23"/>
    </row>
    <row r="4666" spans="2:16" x14ac:dyDescent="0.25">
      <c r="B4666" s="23"/>
      <c r="E4666" s="23"/>
      <c r="G4666" s="23"/>
      <c r="H4666" s="23"/>
      <c r="J4666" s="23"/>
      <c r="K4666" s="23"/>
      <c r="M4666" s="23"/>
      <c r="N4666" s="23"/>
      <c r="P4666" s="23"/>
    </row>
    <row r="4667" spans="2:16" x14ac:dyDescent="0.25">
      <c r="B4667" s="23"/>
      <c r="E4667" s="23"/>
      <c r="G4667" s="23"/>
      <c r="H4667" s="23"/>
      <c r="J4667" s="23"/>
      <c r="K4667" s="23"/>
      <c r="M4667" s="23"/>
      <c r="N4667" s="23"/>
      <c r="P4667" s="23"/>
    </row>
    <row r="4668" spans="2:16" x14ac:dyDescent="0.25">
      <c r="B4668" s="23"/>
      <c r="E4668" s="23"/>
      <c r="G4668" s="23"/>
      <c r="H4668" s="23"/>
      <c r="J4668" s="23"/>
      <c r="K4668" s="23"/>
      <c r="M4668" s="23"/>
      <c r="N4668" s="23"/>
      <c r="P4668" s="23"/>
    </row>
    <row r="4669" spans="2:16" x14ac:dyDescent="0.25">
      <c r="B4669" s="23"/>
      <c r="E4669" s="23"/>
      <c r="G4669" s="23"/>
      <c r="H4669" s="23"/>
      <c r="J4669" s="23"/>
      <c r="K4669" s="23"/>
      <c r="M4669" s="23"/>
      <c r="N4669" s="23"/>
      <c r="P4669" s="23"/>
    </row>
    <row r="4670" spans="2:16" x14ac:dyDescent="0.25">
      <c r="B4670" s="23"/>
      <c r="E4670" s="23"/>
      <c r="G4670" s="23"/>
      <c r="H4670" s="23"/>
      <c r="J4670" s="23"/>
      <c r="K4670" s="23"/>
      <c r="M4670" s="23"/>
      <c r="N4670" s="23"/>
      <c r="P4670" s="23"/>
    </row>
    <row r="4671" spans="2:16" x14ac:dyDescent="0.25">
      <c r="B4671" s="23"/>
      <c r="E4671" s="23"/>
      <c r="G4671" s="23"/>
      <c r="H4671" s="23"/>
      <c r="J4671" s="23"/>
      <c r="K4671" s="23"/>
      <c r="M4671" s="23"/>
      <c r="N4671" s="23"/>
      <c r="P4671" s="23"/>
    </row>
    <row r="4672" spans="2:16" x14ac:dyDescent="0.25">
      <c r="B4672" s="23"/>
      <c r="E4672" s="23"/>
      <c r="G4672" s="23"/>
      <c r="H4672" s="23"/>
      <c r="J4672" s="23"/>
      <c r="K4672" s="23"/>
      <c r="M4672" s="23"/>
      <c r="N4672" s="23"/>
      <c r="P4672" s="23"/>
    </row>
    <row r="4673" spans="2:16" x14ac:dyDescent="0.25">
      <c r="B4673" s="23"/>
      <c r="E4673" s="23"/>
      <c r="G4673" s="23"/>
      <c r="H4673" s="23"/>
      <c r="J4673" s="23"/>
      <c r="K4673" s="23"/>
      <c r="M4673" s="23"/>
      <c r="N4673" s="23"/>
      <c r="P4673" s="23"/>
    </row>
    <row r="4674" spans="2:16" x14ac:dyDescent="0.25">
      <c r="B4674" s="23"/>
      <c r="E4674" s="23"/>
      <c r="G4674" s="23"/>
      <c r="H4674" s="23"/>
      <c r="J4674" s="23"/>
      <c r="K4674" s="23"/>
      <c r="M4674" s="23"/>
      <c r="N4674" s="23"/>
      <c r="P4674" s="23"/>
    </row>
    <row r="4675" spans="2:16" x14ac:dyDescent="0.25">
      <c r="B4675" s="23"/>
      <c r="E4675" s="23"/>
      <c r="G4675" s="23"/>
      <c r="H4675" s="23"/>
      <c r="J4675" s="23"/>
      <c r="K4675" s="23"/>
      <c r="M4675" s="23"/>
      <c r="N4675" s="23"/>
      <c r="P4675" s="23"/>
    </row>
    <row r="4676" spans="2:16" x14ac:dyDescent="0.25">
      <c r="B4676" s="23"/>
      <c r="E4676" s="23"/>
      <c r="G4676" s="23"/>
      <c r="H4676" s="23"/>
      <c r="J4676" s="23"/>
      <c r="K4676" s="23"/>
      <c r="M4676" s="23"/>
      <c r="N4676" s="23"/>
      <c r="P4676" s="23"/>
    </row>
    <row r="4677" spans="2:16" x14ac:dyDescent="0.25">
      <c r="B4677" s="23"/>
      <c r="E4677" s="23"/>
      <c r="G4677" s="23"/>
      <c r="H4677" s="23"/>
      <c r="J4677" s="23"/>
      <c r="K4677" s="23"/>
      <c r="M4677" s="23"/>
      <c r="N4677" s="23"/>
      <c r="P4677" s="23"/>
    </row>
    <row r="4678" spans="2:16" x14ac:dyDescent="0.25">
      <c r="B4678" s="23"/>
      <c r="E4678" s="23"/>
      <c r="G4678" s="23"/>
      <c r="H4678" s="23"/>
      <c r="J4678" s="23"/>
      <c r="K4678" s="23"/>
      <c r="M4678" s="23"/>
      <c r="N4678" s="23"/>
      <c r="P4678" s="23"/>
    </row>
    <row r="4679" spans="2:16" x14ac:dyDescent="0.25">
      <c r="B4679" s="23"/>
      <c r="E4679" s="23"/>
      <c r="G4679" s="23"/>
      <c r="H4679" s="23"/>
      <c r="J4679" s="23"/>
      <c r="K4679" s="23"/>
      <c r="M4679" s="23"/>
      <c r="N4679" s="23"/>
      <c r="P4679" s="23"/>
    </row>
    <row r="4680" spans="2:16" x14ac:dyDescent="0.25">
      <c r="B4680" s="23"/>
      <c r="E4680" s="23"/>
      <c r="G4680" s="23"/>
      <c r="H4680" s="23"/>
      <c r="J4680" s="23"/>
      <c r="K4680" s="23"/>
      <c r="M4680" s="23"/>
      <c r="N4680" s="23"/>
      <c r="P4680" s="23"/>
    </row>
    <row r="4681" spans="2:16" x14ac:dyDescent="0.25">
      <c r="B4681" s="23"/>
      <c r="E4681" s="23"/>
      <c r="G4681" s="23"/>
      <c r="H4681" s="23"/>
      <c r="J4681" s="23"/>
      <c r="K4681" s="23"/>
      <c r="M4681" s="23"/>
      <c r="N4681" s="23"/>
      <c r="P4681" s="23"/>
    </row>
    <row r="4682" spans="2:16" x14ac:dyDescent="0.25">
      <c r="B4682" s="23"/>
      <c r="E4682" s="23"/>
      <c r="G4682" s="23"/>
      <c r="H4682" s="23"/>
      <c r="J4682" s="23"/>
      <c r="K4682" s="23"/>
      <c r="M4682" s="23"/>
      <c r="N4682" s="23"/>
      <c r="P4682" s="23"/>
    </row>
    <row r="4683" spans="2:16" x14ac:dyDescent="0.25">
      <c r="B4683" s="23"/>
      <c r="E4683" s="23"/>
      <c r="G4683" s="23"/>
      <c r="H4683" s="23"/>
      <c r="J4683" s="23"/>
      <c r="K4683" s="23"/>
      <c r="M4683" s="23"/>
      <c r="N4683" s="23"/>
      <c r="P4683" s="23"/>
    </row>
    <row r="4684" spans="2:16" x14ac:dyDescent="0.25">
      <c r="B4684" s="23"/>
      <c r="E4684" s="23"/>
      <c r="G4684" s="23"/>
      <c r="H4684" s="23"/>
      <c r="J4684" s="23"/>
      <c r="K4684" s="23"/>
      <c r="M4684" s="23"/>
      <c r="N4684" s="23"/>
      <c r="P4684" s="23"/>
    </row>
    <row r="4685" spans="2:16" x14ac:dyDescent="0.25">
      <c r="B4685" s="23"/>
      <c r="E4685" s="23"/>
      <c r="G4685" s="23"/>
      <c r="H4685" s="23"/>
      <c r="J4685" s="23"/>
      <c r="K4685" s="23"/>
      <c r="M4685" s="23"/>
      <c r="N4685" s="23"/>
      <c r="P4685" s="23"/>
    </row>
    <row r="4686" spans="2:16" x14ac:dyDescent="0.25">
      <c r="B4686" s="23"/>
      <c r="E4686" s="23"/>
      <c r="G4686" s="23"/>
      <c r="H4686" s="23"/>
      <c r="J4686" s="23"/>
      <c r="K4686" s="23"/>
      <c r="M4686" s="23"/>
      <c r="N4686" s="23"/>
      <c r="P4686" s="23"/>
    </row>
    <row r="4687" spans="2:16" x14ac:dyDescent="0.25">
      <c r="B4687" s="23"/>
      <c r="E4687" s="23"/>
      <c r="G4687" s="23"/>
      <c r="H4687" s="23"/>
      <c r="J4687" s="23"/>
      <c r="K4687" s="23"/>
      <c r="M4687" s="23"/>
      <c r="N4687" s="23"/>
      <c r="P4687" s="23"/>
    </row>
    <row r="4688" spans="2:16" x14ac:dyDescent="0.25">
      <c r="B4688" s="23"/>
      <c r="E4688" s="23"/>
      <c r="G4688" s="23"/>
      <c r="H4688" s="23"/>
      <c r="J4688" s="23"/>
      <c r="K4688" s="23"/>
      <c r="M4688" s="23"/>
      <c r="N4688" s="23"/>
      <c r="P4688" s="23"/>
    </row>
    <row r="4689" spans="2:16" x14ac:dyDescent="0.25">
      <c r="B4689" s="23"/>
      <c r="E4689" s="23"/>
      <c r="G4689" s="23"/>
      <c r="H4689" s="23"/>
      <c r="J4689" s="23"/>
      <c r="K4689" s="23"/>
      <c r="M4689" s="23"/>
      <c r="N4689" s="23"/>
      <c r="P4689" s="23"/>
    </row>
    <row r="4690" spans="2:16" x14ac:dyDescent="0.25">
      <c r="B4690" s="23"/>
      <c r="E4690" s="23"/>
      <c r="G4690" s="23"/>
      <c r="H4690" s="23"/>
      <c r="J4690" s="23"/>
      <c r="K4690" s="23"/>
      <c r="M4690" s="23"/>
      <c r="N4690" s="23"/>
      <c r="P4690" s="23"/>
    </row>
    <row r="4691" spans="2:16" x14ac:dyDescent="0.25">
      <c r="B4691" s="23"/>
      <c r="E4691" s="23"/>
      <c r="G4691" s="23"/>
      <c r="H4691" s="23"/>
      <c r="J4691" s="23"/>
      <c r="K4691" s="23"/>
      <c r="M4691" s="23"/>
      <c r="N4691" s="23"/>
      <c r="P4691" s="23"/>
    </row>
    <row r="4692" spans="2:16" x14ac:dyDescent="0.25">
      <c r="B4692" s="23"/>
      <c r="E4692" s="23"/>
      <c r="G4692" s="23"/>
      <c r="H4692" s="23"/>
      <c r="J4692" s="23"/>
      <c r="K4692" s="23"/>
      <c r="M4692" s="23"/>
      <c r="N4692" s="23"/>
      <c r="P4692" s="23"/>
    </row>
    <row r="4693" spans="2:16" x14ac:dyDescent="0.25">
      <c r="B4693" s="23"/>
      <c r="E4693" s="23"/>
      <c r="G4693" s="23"/>
      <c r="H4693" s="23"/>
      <c r="J4693" s="23"/>
      <c r="K4693" s="23"/>
      <c r="M4693" s="23"/>
      <c r="N4693" s="23"/>
      <c r="P4693" s="23"/>
    </row>
    <row r="4694" spans="2:16" x14ac:dyDescent="0.25">
      <c r="B4694" s="23"/>
      <c r="E4694" s="23"/>
      <c r="G4694" s="23"/>
      <c r="H4694" s="23"/>
      <c r="J4694" s="23"/>
      <c r="K4694" s="23"/>
      <c r="M4694" s="23"/>
      <c r="N4694" s="23"/>
      <c r="P4694" s="23"/>
    </row>
    <row r="4695" spans="2:16" x14ac:dyDescent="0.25">
      <c r="B4695" s="23"/>
      <c r="E4695" s="23"/>
      <c r="G4695" s="23"/>
      <c r="H4695" s="23"/>
      <c r="J4695" s="23"/>
      <c r="K4695" s="23"/>
      <c r="M4695" s="23"/>
      <c r="N4695" s="23"/>
      <c r="P4695" s="23"/>
    </row>
    <row r="4696" spans="2:16" x14ac:dyDescent="0.25">
      <c r="B4696" s="23"/>
      <c r="E4696" s="23"/>
      <c r="G4696" s="23"/>
      <c r="H4696" s="23"/>
      <c r="J4696" s="23"/>
      <c r="K4696" s="23"/>
      <c r="M4696" s="23"/>
      <c r="N4696" s="23"/>
      <c r="P4696" s="23"/>
    </row>
    <row r="4697" spans="2:16" x14ac:dyDescent="0.25">
      <c r="B4697" s="23"/>
      <c r="E4697" s="23"/>
      <c r="G4697" s="23"/>
      <c r="H4697" s="23"/>
      <c r="J4697" s="23"/>
      <c r="K4697" s="23"/>
      <c r="M4697" s="23"/>
      <c r="N4697" s="23"/>
      <c r="P4697" s="23"/>
    </row>
    <row r="4698" spans="2:16" x14ac:dyDescent="0.25">
      <c r="B4698" s="23"/>
      <c r="E4698" s="23"/>
      <c r="G4698" s="23"/>
      <c r="H4698" s="23"/>
      <c r="J4698" s="23"/>
      <c r="K4698" s="23"/>
      <c r="M4698" s="23"/>
      <c r="N4698" s="23"/>
      <c r="P4698" s="23"/>
    </row>
    <row r="4699" spans="2:16" x14ac:dyDescent="0.25">
      <c r="B4699" s="23"/>
      <c r="E4699" s="23"/>
      <c r="G4699" s="23"/>
      <c r="H4699" s="23"/>
      <c r="J4699" s="23"/>
      <c r="K4699" s="23"/>
      <c r="M4699" s="23"/>
      <c r="N4699" s="23"/>
      <c r="P4699" s="23"/>
    </row>
    <row r="4700" spans="2:16" x14ac:dyDescent="0.25">
      <c r="B4700" s="23"/>
      <c r="E4700" s="23"/>
      <c r="G4700" s="23"/>
      <c r="H4700" s="23"/>
      <c r="J4700" s="23"/>
      <c r="K4700" s="23"/>
      <c r="M4700" s="23"/>
      <c r="N4700" s="23"/>
      <c r="P4700" s="23"/>
    </row>
    <row r="4701" spans="2:16" x14ac:dyDescent="0.25">
      <c r="B4701" s="23"/>
      <c r="E4701" s="23"/>
      <c r="G4701" s="23"/>
      <c r="H4701" s="23"/>
      <c r="J4701" s="23"/>
      <c r="K4701" s="23"/>
      <c r="M4701" s="23"/>
      <c r="N4701" s="23"/>
      <c r="P4701" s="23"/>
    </row>
    <row r="4702" spans="2:16" x14ac:dyDescent="0.25">
      <c r="B4702" s="23"/>
      <c r="E4702" s="23"/>
      <c r="G4702" s="23"/>
      <c r="H4702" s="23"/>
      <c r="J4702" s="23"/>
      <c r="K4702" s="23"/>
      <c r="M4702" s="23"/>
      <c r="N4702" s="23"/>
      <c r="P4702" s="23"/>
    </row>
    <row r="4703" spans="2:16" x14ac:dyDescent="0.25">
      <c r="B4703" s="23"/>
      <c r="E4703" s="23"/>
      <c r="G4703" s="23"/>
      <c r="H4703" s="23"/>
      <c r="J4703" s="23"/>
      <c r="K4703" s="23"/>
      <c r="M4703" s="23"/>
      <c r="N4703" s="23"/>
      <c r="P4703" s="23"/>
    </row>
    <row r="4704" spans="2:16" x14ac:dyDescent="0.25">
      <c r="B4704" s="23"/>
      <c r="E4704" s="23"/>
      <c r="G4704" s="23"/>
      <c r="H4704" s="23"/>
      <c r="J4704" s="23"/>
      <c r="K4704" s="23"/>
      <c r="M4704" s="23"/>
      <c r="N4704" s="23"/>
      <c r="P4704" s="23"/>
    </row>
    <row r="4705" spans="2:16" x14ac:dyDescent="0.25">
      <c r="B4705" s="23"/>
      <c r="E4705" s="23"/>
      <c r="G4705" s="23"/>
      <c r="H4705" s="23"/>
      <c r="J4705" s="23"/>
      <c r="K4705" s="23"/>
      <c r="M4705" s="23"/>
      <c r="N4705" s="23"/>
      <c r="P4705" s="23"/>
    </row>
    <row r="4706" spans="2:16" x14ac:dyDescent="0.25">
      <c r="B4706" s="23"/>
      <c r="E4706" s="23"/>
      <c r="G4706" s="23"/>
      <c r="H4706" s="23"/>
      <c r="J4706" s="23"/>
      <c r="K4706" s="23"/>
      <c r="M4706" s="23"/>
      <c r="N4706" s="23"/>
      <c r="P4706" s="23"/>
    </row>
    <row r="4707" spans="2:16" x14ac:dyDescent="0.25">
      <c r="B4707" s="23"/>
      <c r="E4707" s="23"/>
      <c r="G4707" s="23"/>
      <c r="H4707" s="23"/>
      <c r="J4707" s="23"/>
      <c r="K4707" s="23"/>
      <c r="M4707" s="23"/>
      <c r="N4707" s="23"/>
      <c r="P4707" s="23"/>
    </row>
    <row r="4708" spans="2:16" x14ac:dyDescent="0.25">
      <c r="B4708" s="23"/>
      <c r="E4708" s="23"/>
      <c r="G4708" s="23"/>
      <c r="H4708" s="23"/>
      <c r="J4708" s="23"/>
      <c r="K4708" s="23"/>
      <c r="M4708" s="23"/>
      <c r="N4708" s="23"/>
      <c r="P4708" s="23"/>
    </row>
    <row r="4709" spans="2:16" x14ac:dyDescent="0.25">
      <c r="B4709" s="23"/>
      <c r="E4709" s="23"/>
      <c r="G4709" s="23"/>
      <c r="H4709" s="23"/>
      <c r="J4709" s="23"/>
      <c r="K4709" s="23"/>
      <c r="M4709" s="23"/>
      <c r="N4709" s="23"/>
      <c r="P4709" s="23"/>
    </row>
    <row r="4710" spans="2:16" x14ac:dyDescent="0.25">
      <c r="B4710" s="23"/>
      <c r="E4710" s="23"/>
      <c r="G4710" s="23"/>
      <c r="H4710" s="23"/>
      <c r="J4710" s="23"/>
      <c r="K4710" s="23"/>
      <c r="M4710" s="23"/>
      <c r="N4710" s="23"/>
      <c r="P4710" s="23"/>
    </row>
    <row r="4711" spans="2:16" x14ac:dyDescent="0.25">
      <c r="B4711" s="23"/>
      <c r="E4711" s="23"/>
      <c r="G4711" s="23"/>
      <c r="H4711" s="23"/>
      <c r="J4711" s="23"/>
      <c r="K4711" s="23"/>
      <c r="M4711" s="23"/>
      <c r="N4711" s="23"/>
      <c r="P4711" s="23"/>
    </row>
    <row r="4712" spans="2:16" x14ac:dyDescent="0.25">
      <c r="B4712" s="23"/>
      <c r="E4712" s="23"/>
      <c r="G4712" s="23"/>
      <c r="H4712" s="23"/>
      <c r="J4712" s="23"/>
      <c r="K4712" s="23"/>
      <c r="M4712" s="23"/>
      <c r="N4712" s="23"/>
      <c r="P4712" s="23"/>
    </row>
    <row r="4713" spans="2:16" x14ac:dyDescent="0.25">
      <c r="B4713" s="23"/>
      <c r="E4713" s="23"/>
      <c r="G4713" s="23"/>
      <c r="H4713" s="23"/>
      <c r="J4713" s="23"/>
      <c r="K4713" s="23"/>
      <c r="M4713" s="23"/>
      <c r="N4713" s="23"/>
      <c r="P4713" s="23"/>
    </row>
    <row r="4714" spans="2:16" x14ac:dyDescent="0.25">
      <c r="B4714" s="23"/>
      <c r="E4714" s="23"/>
      <c r="G4714" s="23"/>
      <c r="H4714" s="23"/>
      <c r="J4714" s="23"/>
      <c r="K4714" s="23"/>
      <c r="M4714" s="23"/>
      <c r="N4714" s="23"/>
      <c r="P4714" s="23"/>
    </row>
    <row r="4715" spans="2:16" x14ac:dyDescent="0.25">
      <c r="B4715" s="23"/>
      <c r="E4715" s="23"/>
      <c r="G4715" s="23"/>
      <c r="H4715" s="23"/>
      <c r="J4715" s="23"/>
      <c r="K4715" s="23"/>
      <c r="M4715" s="23"/>
      <c r="N4715" s="23"/>
      <c r="P4715" s="23"/>
    </row>
    <row r="4716" spans="2:16" x14ac:dyDescent="0.25">
      <c r="B4716" s="23"/>
      <c r="E4716" s="23"/>
      <c r="G4716" s="23"/>
      <c r="H4716" s="23"/>
      <c r="J4716" s="23"/>
      <c r="K4716" s="23"/>
      <c r="M4716" s="23"/>
      <c r="N4716" s="23"/>
      <c r="P4716" s="23"/>
    </row>
    <row r="4717" spans="2:16" x14ac:dyDescent="0.25">
      <c r="B4717" s="23"/>
      <c r="E4717" s="23"/>
      <c r="G4717" s="23"/>
      <c r="H4717" s="23"/>
      <c r="J4717" s="23"/>
      <c r="K4717" s="23"/>
      <c r="M4717" s="23"/>
      <c r="N4717" s="23"/>
      <c r="P4717" s="23"/>
    </row>
    <row r="4718" spans="2:16" x14ac:dyDescent="0.25">
      <c r="B4718" s="23"/>
      <c r="E4718" s="23"/>
      <c r="G4718" s="23"/>
      <c r="H4718" s="23"/>
      <c r="J4718" s="23"/>
      <c r="K4718" s="23"/>
      <c r="M4718" s="23"/>
      <c r="N4718" s="23"/>
      <c r="P4718" s="23"/>
    </row>
    <row r="4719" spans="2:16" x14ac:dyDescent="0.25">
      <c r="B4719" s="23"/>
      <c r="E4719" s="23"/>
      <c r="G4719" s="23"/>
      <c r="H4719" s="23"/>
      <c r="J4719" s="23"/>
      <c r="K4719" s="23"/>
      <c r="M4719" s="23"/>
      <c r="N4719" s="23"/>
      <c r="P4719" s="23"/>
    </row>
    <row r="4720" spans="2:16" x14ac:dyDescent="0.25">
      <c r="B4720" s="23"/>
      <c r="E4720" s="23"/>
      <c r="G4720" s="23"/>
      <c r="H4720" s="23"/>
      <c r="J4720" s="23"/>
      <c r="K4720" s="23"/>
      <c r="M4720" s="23"/>
      <c r="N4720" s="23"/>
      <c r="P4720" s="23"/>
    </row>
    <row r="4721" spans="2:16" x14ac:dyDescent="0.25">
      <c r="B4721" s="23"/>
      <c r="E4721" s="23"/>
      <c r="G4721" s="23"/>
      <c r="H4721" s="23"/>
      <c r="J4721" s="23"/>
      <c r="K4721" s="23"/>
      <c r="M4721" s="23"/>
      <c r="N4721" s="23"/>
      <c r="P4721" s="23"/>
    </row>
    <row r="4722" spans="2:16" x14ac:dyDescent="0.25">
      <c r="B4722" s="23"/>
      <c r="E4722" s="23"/>
      <c r="G4722" s="23"/>
      <c r="H4722" s="23"/>
      <c r="J4722" s="23"/>
      <c r="K4722" s="23"/>
      <c r="M4722" s="23"/>
      <c r="N4722" s="23"/>
      <c r="P4722" s="23"/>
    </row>
    <row r="4723" spans="2:16" x14ac:dyDescent="0.25">
      <c r="B4723" s="23"/>
      <c r="E4723" s="23"/>
      <c r="G4723" s="23"/>
      <c r="H4723" s="23"/>
      <c r="J4723" s="23"/>
      <c r="K4723" s="23"/>
      <c r="M4723" s="23"/>
      <c r="N4723" s="23"/>
      <c r="P4723" s="23"/>
    </row>
    <row r="4724" spans="2:16" x14ac:dyDescent="0.25">
      <c r="B4724" s="23"/>
      <c r="E4724" s="23"/>
      <c r="G4724" s="23"/>
      <c r="H4724" s="23"/>
      <c r="J4724" s="23"/>
      <c r="K4724" s="23"/>
      <c r="M4724" s="23"/>
      <c r="N4724" s="23"/>
      <c r="P4724" s="23"/>
    </row>
    <row r="4725" spans="2:16" x14ac:dyDescent="0.25">
      <c r="B4725" s="23"/>
      <c r="E4725" s="23"/>
      <c r="G4725" s="23"/>
      <c r="H4725" s="23"/>
      <c r="J4725" s="23"/>
      <c r="K4725" s="23"/>
      <c r="M4725" s="23"/>
      <c r="N4725" s="23"/>
      <c r="P4725" s="23"/>
    </row>
    <row r="4726" spans="2:16" x14ac:dyDescent="0.25">
      <c r="B4726" s="23"/>
      <c r="E4726" s="23"/>
      <c r="G4726" s="23"/>
      <c r="H4726" s="23"/>
      <c r="J4726" s="23"/>
      <c r="K4726" s="23"/>
      <c r="M4726" s="23"/>
      <c r="N4726" s="23"/>
      <c r="P4726" s="23"/>
    </row>
    <row r="4727" spans="2:16" x14ac:dyDescent="0.25">
      <c r="B4727" s="23"/>
      <c r="E4727" s="23"/>
      <c r="G4727" s="23"/>
      <c r="H4727" s="23"/>
      <c r="J4727" s="23"/>
      <c r="K4727" s="23"/>
      <c r="M4727" s="23"/>
      <c r="N4727" s="23"/>
      <c r="P4727" s="23"/>
    </row>
    <row r="4728" spans="2:16" x14ac:dyDescent="0.25">
      <c r="B4728" s="23"/>
      <c r="E4728" s="23"/>
      <c r="G4728" s="23"/>
      <c r="H4728" s="23"/>
      <c r="J4728" s="23"/>
      <c r="K4728" s="23"/>
      <c r="M4728" s="23"/>
      <c r="N4728" s="23"/>
      <c r="P4728" s="23"/>
    </row>
    <row r="4729" spans="2:16" x14ac:dyDescent="0.25">
      <c r="B4729" s="23"/>
      <c r="E4729" s="23"/>
      <c r="G4729" s="23"/>
      <c r="H4729" s="23"/>
      <c r="J4729" s="23"/>
      <c r="K4729" s="23"/>
      <c r="M4729" s="23"/>
      <c r="N4729" s="23"/>
      <c r="P4729" s="23"/>
    </row>
    <row r="4730" spans="2:16" x14ac:dyDescent="0.25">
      <c r="B4730" s="23"/>
      <c r="E4730" s="23"/>
      <c r="G4730" s="23"/>
      <c r="H4730" s="23"/>
      <c r="J4730" s="23"/>
      <c r="K4730" s="23"/>
      <c r="M4730" s="23"/>
      <c r="N4730" s="23"/>
      <c r="P4730" s="23"/>
    </row>
    <row r="4731" spans="2:16" x14ac:dyDescent="0.25">
      <c r="B4731" s="23"/>
      <c r="E4731" s="23"/>
      <c r="G4731" s="23"/>
      <c r="H4731" s="23"/>
      <c r="J4731" s="23"/>
      <c r="K4731" s="23"/>
      <c r="M4731" s="23"/>
      <c r="N4731" s="23"/>
      <c r="P4731" s="23"/>
    </row>
    <row r="4732" spans="2:16" x14ac:dyDescent="0.25">
      <c r="B4732" s="23"/>
      <c r="E4732" s="23"/>
      <c r="G4732" s="23"/>
      <c r="H4732" s="23"/>
      <c r="J4732" s="23"/>
      <c r="K4732" s="23"/>
      <c r="M4732" s="23"/>
      <c r="N4732" s="23"/>
      <c r="P4732" s="23"/>
    </row>
    <row r="4733" spans="2:16" x14ac:dyDescent="0.25">
      <c r="B4733" s="23"/>
      <c r="E4733" s="23"/>
      <c r="G4733" s="23"/>
      <c r="H4733" s="23"/>
      <c r="J4733" s="23"/>
      <c r="K4733" s="23"/>
      <c r="M4733" s="23"/>
      <c r="N4733" s="23"/>
      <c r="P4733" s="23"/>
    </row>
    <row r="4734" spans="2:16" x14ac:dyDescent="0.25">
      <c r="B4734" s="23"/>
      <c r="E4734" s="23"/>
      <c r="G4734" s="23"/>
      <c r="H4734" s="23"/>
      <c r="J4734" s="23"/>
      <c r="K4734" s="23"/>
      <c r="M4734" s="23"/>
      <c r="N4734" s="23"/>
      <c r="P4734" s="23"/>
    </row>
    <row r="4735" spans="2:16" x14ac:dyDescent="0.25">
      <c r="B4735" s="23"/>
      <c r="E4735" s="23"/>
      <c r="G4735" s="23"/>
      <c r="H4735" s="23"/>
      <c r="J4735" s="23"/>
      <c r="K4735" s="23"/>
      <c r="M4735" s="23"/>
      <c r="N4735" s="23"/>
      <c r="P4735" s="23"/>
    </row>
    <row r="4736" spans="2:16" x14ac:dyDescent="0.25">
      <c r="B4736" s="23"/>
      <c r="E4736" s="23"/>
      <c r="G4736" s="23"/>
      <c r="H4736" s="23"/>
      <c r="J4736" s="23"/>
      <c r="K4736" s="23"/>
      <c r="M4736" s="23"/>
      <c r="N4736" s="23"/>
      <c r="P4736" s="23"/>
    </row>
    <row r="4737" spans="2:16" x14ac:dyDescent="0.25">
      <c r="B4737" s="23"/>
      <c r="E4737" s="23"/>
      <c r="G4737" s="23"/>
      <c r="H4737" s="23"/>
      <c r="J4737" s="23"/>
      <c r="K4737" s="23"/>
      <c r="M4737" s="23"/>
      <c r="N4737" s="23"/>
      <c r="P4737" s="23"/>
    </row>
    <row r="4738" spans="2:16" x14ac:dyDescent="0.25">
      <c r="B4738" s="23"/>
      <c r="E4738" s="23"/>
      <c r="G4738" s="23"/>
      <c r="H4738" s="23"/>
      <c r="J4738" s="23"/>
      <c r="K4738" s="23"/>
      <c r="M4738" s="23"/>
      <c r="N4738" s="23"/>
      <c r="P4738" s="23"/>
    </row>
    <row r="4739" spans="2:16" x14ac:dyDescent="0.25">
      <c r="B4739" s="23"/>
      <c r="E4739" s="23"/>
      <c r="G4739" s="23"/>
      <c r="H4739" s="23"/>
      <c r="J4739" s="23"/>
      <c r="K4739" s="23"/>
      <c r="M4739" s="23"/>
      <c r="N4739" s="23"/>
      <c r="P4739" s="23"/>
    </row>
    <row r="4740" spans="2:16" x14ac:dyDescent="0.25">
      <c r="B4740" s="23"/>
      <c r="E4740" s="23"/>
      <c r="G4740" s="23"/>
      <c r="H4740" s="23"/>
      <c r="J4740" s="23"/>
      <c r="K4740" s="23"/>
      <c r="M4740" s="23"/>
      <c r="N4740" s="23"/>
      <c r="P4740" s="23"/>
    </row>
    <row r="4741" spans="2:16" x14ac:dyDescent="0.25">
      <c r="B4741" s="23"/>
      <c r="E4741" s="23"/>
      <c r="G4741" s="23"/>
      <c r="H4741" s="23"/>
      <c r="J4741" s="23"/>
      <c r="K4741" s="23"/>
      <c r="M4741" s="23"/>
      <c r="N4741" s="23"/>
      <c r="P4741" s="23"/>
    </row>
    <row r="4742" spans="2:16" x14ac:dyDescent="0.25">
      <c r="B4742" s="23"/>
      <c r="E4742" s="23"/>
      <c r="G4742" s="23"/>
      <c r="H4742" s="23"/>
      <c r="J4742" s="23"/>
      <c r="K4742" s="23"/>
      <c r="M4742" s="23"/>
      <c r="N4742" s="23"/>
      <c r="P4742" s="23"/>
    </row>
    <row r="4743" spans="2:16" x14ac:dyDescent="0.25">
      <c r="B4743" s="23"/>
      <c r="E4743" s="23"/>
      <c r="G4743" s="23"/>
      <c r="H4743" s="23"/>
      <c r="J4743" s="23"/>
      <c r="K4743" s="23"/>
      <c r="M4743" s="23"/>
      <c r="N4743" s="23"/>
      <c r="P4743" s="23"/>
    </row>
    <row r="4744" spans="2:16" x14ac:dyDescent="0.25">
      <c r="B4744" s="23"/>
      <c r="E4744" s="23"/>
      <c r="G4744" s="23"/>
      <c r="H4744" s="23"/>
      <c r="J4744" s="23"/>
      <c r="K4744" s="23"/>
      <c r="M4744" s="23"/>
      <c r="N4744" s="23"/>
      <c r="P4744" s="23"/>
    </row>
    <row r="4745" spans="2:16" x14ac:dyDescent="0.25">
      <c r="B4745" s="23"/>
      <c r="E4745" s="23"/>
      <c r="G4745" s="23"/>
      <c r="H4745" s="23"/>
      <c r="J4745" s="23"/>
      <c r="K4745" s="23"/>
      <c r="M4745" s="23"/>
      <c r="N4745" s="23"/>
      <c r="P4745" s="23"/>
    </row>
    <row r="4746" spans="2:16" x14ac:dyDescent="0.25">
      <c r="B4746" s="23"/>
      <c r="E4746" s="23"/>
      <c r="G4746" s="23"/>
      <c r="H4746" s="23"/>
      <c r="J4746" s="23"/>
      <c r="K4746" s="23"/>
      <c r="M4746" s="23"/>
      <c r="N4746" s="23"/>
      <c r="P4746" s="23"/>
    </row>
    <row r="4747" spans="2:16" x14ac:dyDescent="0.25">
      <c r="B4747" s="23"/>
      <c r="E4747" s="23"/>
      <c r="G4747" s="23"/>
      <c r="H4747" s="23"/>
      <c r="J4747" s="23"/>
      <c r="K4747" s="23"/>
      <c r="M4747" s="23"/>
      <c r="N4747" s="23"/>
      <c r="P4747" s="23"/>
    </row>
    <row r="4748" spans="2:16" x14ac:dyDescent="0.25">
      <c r="B4748" s="23"/>
      <c r="E4748" s="23"/>
      <c r="G4748" s="23"/>
      <c r="H4748" s="23"/>
      <c r="J4748" s="23"/>
      <c r="K4748" s="23"/>
      <c r="M4748" s="23"/>
      <c r="N4748" s="23"/>
      <c r="P4748" s="23"/>
    </row>
    <row r="4749" spans="2:16" x14ac:dyDescent="0.25">
      <c r="B4749" s="23"/>
      <c r="E4749" s="23"/>
      <c r="G4749" s="23"/>
      <c r="H4749" s="23"/>
      <c r="J4749" s="23"/>
      <c r="K4749" s="23"/>
      <c r="M4749" s="23"/>
      <c r="N4749" s="23"/>
      <c r="P4749" s="23"/>
    </row>
    <row r="4750" spans="2:16" x14ac:dyDescent="0.25">
      <c r="B4750" s="23"/>
      <c r="E4750" s="23"/>
      <c r="G4750" s="23"/>
      <c r="H4750" s="23"/>
      <c r="J4750" s="23"/>
      <c r="K4750" s="23"/>
      <c r="M4750" s="23"/>
      <c r="N4750" s="23"/>
      <c r="P4750" s="23"/>
    </row>
    <row r="4751" spans="2:16" x14ac:dyDescent="0.25">
      <c r="B4751" s="23"/>
      <c r="E4751" s="23"/>
      <c r="G4751" s="23"/>
      <c r="H4751" s="23"/>
      <c r="J4751" s="23"/>
      <c r="K4751" s="23"/>
      <c r="M4751" s="23"/>
      <c r="N4751" s="23"/>
      <c r="P4751" s="23"/>
    </row>
    <row r="4752" spans="2:16" x14ac:dyDescent="0.25">
      <c r="B4752" s="23"/>
      <c r="E4752" s="23"/>
      <c r="G4752" s="23"/>
      <c r="H4752" s="23"/>
      <c r="J4752" s="23"/>
      <c r="K4752" s="23"/>
      <c r="M4752" s="23"/>
      <c r="N4752" s="23"/>
      <c r="P4752" s="23"/>
    </row>
    <row r="4753" spans="2:16" x14ac:dyDescent="0.25">
      <c r="B4753" s="23"/>
      <c r="E4753" s="23"/>
      <c r="G4753" s="23"/>
      <c r="H4753" s="23"/>
      <c r="J4753" s="23"/>
      <c r="K4753" s="23"/>
      <c r="M4753" s="23"/>
      <c r="N4753" s="23"/>
      <c r="P4753" s="23"/>
    </row>
    <row r="4754" spans="2:16" x14ac:dyDescent="0.25">
      <c r="B4754" s="23"/>
      <c r="E4754" s="23"/>
      <c r="G4754" s="23"/>
      <c r="H4754" s="23"/>
      <c r="J4754" s="23"/>
      <c r="K4754" s="23"/>
      <c r="M4754" s="23"/>
      <c r="N4754" s="23"/>
      <c r="P4754" s="23"/>
    </row>
    <row r="4755" spans="2:16" x14ac:dyDescent="0.25">
      <c r="B4755" s="23"/>
      <c r="E4755" s="23"/>
      <c r="G4755" s="23"/>
      <c r="H4755" s="23"/>
      <c r="J4755" s="23"/>
      <c r="K4755" s="23"/>
      <c r="M4755" s="23"/>
      <c r="N4755" s="23"/>
      <c r="P4755" s="23"/>
    </row>
    <row r="4756" spans="2:16" x14ac:dyDescent="0.25">
      <c r="B4756" s="23"/>
      <c r="E4756" s="23"/>
      <c r="G4756" s="23"/>
      <c r="H4756" s="23"/>
      <c r="J4756" s="23"/>
      <c r="K4756" s="23"/>
      <c r="M4756" s="23"/>
      <c r="N4756" s="23"/>
      <c r="P4756" s="23"/>
    </row>
    <row r="4757" spans="2:16" x14ac:dyDescent="0.25">
      <c r="B4757" s="23"/>
      <c r="E4757" s="23"/>
      <c r="G4757" s="23"/>
      <c r="H4757" s="23"/>
      <c r="J4757" s="23"/>
      <c r="K4757" s="23"/>
      <c r="M4757" s="23"/>
      <c r="N4757" s="23"/>
      <c r="P4757" s="23"/>
    </row>
    <row r="4758" spans="2:16" x14ac:dyDescent="0.25">
      <c r="B4758" s="23"/>
      <c r="E4758" s="23"/>
      <c r="G4758" s="23"/>
      <c r="H4758" s="23"/>
      <c r="J4758" s="23"/>
      <c r="K4758" s="23"/>
      <c r="M4758" s="23"/>
      <c r="N4758" s="23"/>
      <c r="P4758" s="23"/>
    </row>
    <row r="4759" spans="2:16" x14ac:dyDescent="0.25">
      <c r="B4759" s="23"/>
      <c r="E4759" s="23"/>
      <c r="G4759" s="23"/>
      <c r="H4759" s="23"/>
      <c r="J4759" s="23"/>
      <c r="K4759" s="23"/>
      <c r="M4759" s="23"/>
      <c r="N4759" s="23"/>
      <c r="P4759" s="23"/>
    </row>
    <row r="4760" spans="2:16" x14ac:dyDescent="0.25">
      <c r="B4760" s="23"/>
      <c r="E4760" s="23"/>
      <c r="G4760" s="23"/>
      <c r="H4760" s="23"/>
      <c r="J4760" s="23"/>
      <c r="K4760" s="23"/>
      <c r="M4760" s="23"/>
      <c r="N4760" s="23"/>
      <c r="P4760" s="23"/>
    </row>
    <row r="4761" spans="2:16" x14ac:dyDescent="0.25">
      <c r="B4761" s="23"/>
      <c r="E4761" s="23"/>
      <c r="G4761" s="23"/>
      <c r="H4761" s="23"/>
      <c r="J4761" s="23"/>
      <c r="K4761" s="23"/>
      <c r="M4761" s="23"/>
      <c r="N4761" s="23"/>
      <c r="P4761" s="23"/>
    </row>
    <row r="4762" spans="2:16" x14ac:dyDescent="0.25">
      <c r="B4762" s="23"/>
      <c r="E4762" s="23"/>
      <c r="G4762" s="23"/>
      <c r="H4762" s="23"/>
      <c r="J4762" s="23"/>
      <c r="K4762" s="23"/>
      <c r="M4762" s="23"/>
      <c r="N4762" s="23"/>
      <c r="P4762" s="23"/>
    </row>
    <row r="4763" spans="2:16" x14ac:dyDescent="0.25">
      <c r="B4763" s="23"/>
      <c r="E4763" s="23"/>
      <c r="G4763" s="23"/>
      <c r="H4763" s="23"/>
      <c r="J4763" s="23"/>
      <c r="K4763" s="23"/>
      <c r="M4763" s="23"/>
      <c r="N4763" s="23"/>
      <c r="P4763" s="23"/>
    </row>
    <row r="4764" spans="2:16" x14ac:dyDescent="0.25">
      <c r="B4764" s="23"/>
      <c r="E4764" s="23"/>
      <c r="G4764" s="23"/>
      <c r="H4764" s="23"/>
      <c r="J4764" s="23"/>
      <c r="K4764" s="23"/>
      <c r="M4764" s="23"/>
      <c r="N4764" s="23"/>
      <c r="P4764" s="23"/>
    </row>
    <row r="4765" spans="2:16" x14ac:dyDescent="0.25">
      <c r="B4765" s="23"/>
      <c r="E4765" s="23"/>
      <c r="G4765" s="23"/>
      <c r="H4765" s="23"/>
      <c r="J4765" s="23"/>
      <c r="K4765" s="23"/>
      <c r="M4765" s="23"/>
      <c r="N4765" s="23"/>
      <c r="P4765" s="23"/>
    </row>
    <row r="4766" spans="2:16" x14ac:dyDescent="0.25">
      <c r="B4766" s="23"/>
      <c r="E4766" s="23"/>
      <c r="G4766" s="23"/>
      <c r="H4766" s="23"/>
      <c r="J4766" s="23"/>
      <c r="K4766" s="23"/>
      <c r="M4766" s="23"/>
      <c r="N4766" s="23"/>
      <c r="P4766" s="23"/>
    </row>
    <row r="4767" spans="2:16" x14ac:dyDescent="0.25">
      <c r="B4767" s="23"/>
      <c r="E4767" s="23"/>
      <c r="G4767" s="23"/>
      <c r="H4767" s="23"/>
      <c r="J4767" s="23"/>
      <c r="K4767" s="23"/>
      <c r="M4767" s="23"/>
      <c r="N4767" s="23"/>
      <c r="P4767" s="23"/>
    </row>
    <row r="4768" spans="2:16" x14ac:dyDescent="0.25">
      <c r="B4768" s="23"/>
      <c r="E4768" s="23"/>
      <c r="G4768" s="23"/>
      <c r="H4768" s="23"/>
      <c r="J4768" s="23"/>
      <c r="K4768" s="23"/>
      <c r="M4768" s="23"/>
      <c r="N4768" s="23"/>
      <c r="P4768" s="23"/>
    </row>
    <row r="4769" spans="2:16" x14ac:dyDescent="0.25">
      <c r="B4769" s="23"/>
      <c r="E4769" s="23"/>
      <c r="G4769" s="23"/>
      <c r="H4769" s="23"/>
      <c r="J4769" s="23"/>
      <c r="K4769" s="23"/>
      <c r="M4769" s="23"/>
      <c r="N4769" s="23"/>
      <c r="P4769" s="23"/>
    </row>
    <row r="4770" spans="2:16" x14ac:dyDescent="0.25">
      <c r="B4770" s="23"/>
      <c r="E4770" s="23"/>
      <c r="G4770" s="23"/>
      <c r="H4770" s="23"/>
      <c r="J4770" s="23"/>
      <c r="K4770" s="23"/>
      <c r="M4770" s="23"/>
      <c r="N4770" s="23"/>
      <c r="P4770" s="23"/>
    </row>
    <row r="4771" spans="2:16" x14ac:dyDescent="0.25">
      <c r="B4771" s="23"/>
      <c r="E4771" s="23"/>
      <c r="G4771" s="23"/>
      <c r="H4771" s="23"/>
      <c r="J4771" s="23"/>
      <c r="K4771" s="23"/>
      <c r="M4771" s="23"/>
      <c r="N4771" s="23"/>
      <c r="P4771" s="23"/>
    </row>
    <row r="4772" spans="2:16" x14ac:dyDescent="0.25">
      <c r="B4772" s="23"/>
      <c r="E4772" s="23"/>
      <c r="G4772" s="23"/>
      <c r="H4772" s="23"/>
      <c r="J4772" s="23"/>
      <c r="K4772" s="23"/>
      <c r="M4772" s="23"/>
      <c r="N4772" s="23"/>
      <c r="P4772" s="23"/>
    </row>
    <row r="4773" spans="2:16" x14ac:dyDescent="0.25">
      <c r="B4773" s="23"/>
      <c r="E4773" s="23"/>
      <c r="G4773" s="23"/>
      <c r="H4773" s="23"/>
      <c r="J4773" s="23"/>
      <c r="K4773" s="23"/>
      <c r="M4773" s="23"/>
      <c r="N4773" s="23"/>
      <c r="P4773" s="23"/>
    </row>
    <row r="4774" spans="2:16" x14ac:dyDescent="0.25">
      <c r="B4774" s="23"/>
      <c r="E4774" s="23"/>
      <c r="G4774" s="23"/>
      <c r="H4774" s="23"/>
      <c r="J4774" s="23"/>
      <c r="K4774" s="23"/>
      <c r="M4774" s="23"/>
      <c r="N4774" s="23"/>
      <c r="P4774" s="23"/>
    </row>
    <row r="4775" spans="2:16" x14ac:dyDescent="0.25">
      <c r="B4775" s="23"/>
      <c r="E4775" s="23"/>
      <c r="G4775" s="23"/>
      <c r="H4775" s="23"/>
      <c r="J4775" s="23"/>
      <c r="K4775" s="23"/>
      <c r="M4775" s="23"/>
      <c r="N4775" s="23"/>
      <c r="P4775" s="23"/>
    </row>
    <row r="4776" spans="2:16" x14ac:dyDescent="0.25">
      <c r="B4776" s="23"/>
      <c r="E4776" s="23"/>
      <c r="G4776" s="23"/>
      <c r="H4776" s="23"/>
      <c r="J4776" s="23"/>
      <c r="K4776" s="23"/>
      <c r="M4776" s="23"/>
      <c r="N4776" s="23"/>
      <c r="P4776" s="23"/>
    </row>
    <row r="4777" spans="2:16" x14ac:dyDescent="0.25">
      <c r="B4777" s="23"/>
      <c r="E4777" s="23"/>
      <c r="G4777" s="23"/>
      <c r="H4777" s="23"/>
      <c r="J4777" s="23"/>
      <c r="K4777" s="23"/>
      <c r="M4777" s="23"/>
      <c r="N4777" s="23"/>
      <c r="P4777" s="23"/>
    </row>
    <row r="4778" spans="2:16" x14ac:dyDescent="0.25">
      <c r="B4778" s="23"/>
      <c r="E4778" s="23"/>
      <c r="G4778" s="23"/>
      <c r="H4778" s="23"/>
      <c r="J4778" s="23"/>
      <c r="K4778" s="23"/>
      <c r="M4778" s="23"/>
      <c r="N4778" s="23"/>
      <c r="P4778" s="23"/>
    </row>
    <row r="4779" spans="2:16" x14ac:dyDescent="0.25">
      <c r="B4779" s="23"/>
      <c r="E4779" s="23"/>
      <c r="G4779" s="23"/>
      <c r="H4779" s="23"/>
      <c r="J4779" s="23"/>
      <c r="K4779" s="23"/>
      <c r="M4779" s="23"/>
      <c r="N4779" s="23"/>
      <c r="P4779" s="23"/>
    </row>
    <row r="4780" spans="2:16" x14ac:dyDescent="0.25">
      <c r="B4780" s="23"/>
      <c r="E4780" s="23"/>
      <c r="G4780" s="23"/>
      <c r="H4780" s="23"/>
      <c r="J4780" s="23"/>
      <c r="K4780" s="23"/>
      <c r="M4780" s="23"/>
      <c r="N4780" s="23"/>
      <c r="P4780" s="23"/>
    </row>
    <row r="4781" spans="2:16" x14ac:dyDescent="0.25">
      <c r="B4781" s="23"/>
      <c r="E4781" s="23"/>
      <c r="G4781" s="23"/>
      <c r="H4781" s="23"/>
      <c r="J4781" s="23"/>
      <c r="K4781" s="23"/>
      <c r="M4781" s="23"/>
      <c r="N4781" s="23"/>
      <c r="P4781" s="23"/>
    </row>
    <row r="4782" spans="2:16" x14ac:dyDescent="0.25">
      <c r="B4782" s="23"/>
      <c r="E4782" s="23"/>
      <c r="G4782" s="23"/>
      <c r="H4782" s="23"/>
      <c r="J4782" s="23"/>
      <c r="K4782" s="23"/>
      <c r="M4782" s="23"/>
      <c r="N4782" s="23"/>
      <c r="P4782" s="23"/>
    </row>
    <row r="4783" spans="2:16" x14ac:dyDescent="0.25">
      <c r="B4783" s="23"/>
      <c r="E4783" s="23"/>
      <c r="G4783" s="23"/>
      <c r="H4783" s="23"/>
      <c r="J4783" s="23"/>
      <c r="K4783" s="23"/>
      <c r="M4783" s="23"/>
      <c r="N4783" s="23"/>
      <c r="P4783" s="23"/>
    </row>
    <row r="4784" spans="2:16" x14ac:dyDescent="0.25">
      <c r="B4784" s="23"/>
      <c r="E4784" s="23"/>
      <c r="G4784" s="23"/>
      <c r="H4784" s="23"/>
      <c r="J4784" s="23"/>
      <c r="K4784" s="23"/>
      <c r="M4784" s="23"/>
      <c r="N4784" s="23"/>
      <c r="P4784" s="23"/>
    </row>
    <row r="4785" spans="2:16" x14ac:dyDescent="0.25">
      <c r="B4785" s="23"/>
      <c r="E4785" s="23"/>
      <c r="G4785" s="23"/>
      <c r="H4785" s="23"/>
      <c r="J4785" s="23"/>
      <c r="K4785" s="23"/>
      <c r="M4785" s="23"/>
      <c r="N4785" s="23"/>
      <c r="P4785" s="23"/>
    </row>
    <row r="4786" spans="2:16" x14ac:dyDescent="0.25">
      <c r="B4786" s="23"/>
      <c r="E4786" s="23"/>
      <c r="G4786" s="23"/>
      <c r="H4786" s="23"/>
      <c r="J4786" s="23"/>
      <c r="K4786" s="23"/>
      <c r="M4786" s="23"/>
      <c r="N4786" s="23"/>
      <c r="P4786" s="23"/>
    </row>
    <row r="4787" spans="2:16" x14ac:dyDescent="0.25">
      <c r="B4787" s="23"/>
      <c r="E4787" s="23"/>
      <c r="G4787" s="23"/>
      <c r="H4787" s="23"/>
      <c r="J4787" s="23"/>
      <c r="K4787" s="23"/>
      <c r="M4787" s="23"/>
      <c r="N4787" s="23"/>
      <c r="P4787" s="23"/>
    </row>
    <row r="4788" spans="2:16" x14ac:dyDescent="0.25">
      <c r="B4788" s="23"/>
      <c r="E4788" s="23"/>
      <c r="G4788" s="23"/>
      <c r="H4788" s="23"/>
      <c r="J4788" s="23"/>
      <c r="K4788" s="23"/>
      <c r="M4788" s="23"/>
      <c r="N4788" s="23"/>
      <c r="P4788" s="23"/>
    </row>
    <row r="4789" spans="2:16" x14ac:dyDescent="0.25">
      <c r="B4789" s="23"/>
      <c r="E4789" s="23"/>
      <c r="G4789" s="23"/>
      <c r="H4789" s="23"/>
      <c r="J4789" s="23"/>
      <c r="K4789" s="23"/>
      <c r="M4789" s="23"/>
      <c r="N4789" s="23"/>
      <c r="P4789" s="23"/>
    </row>
    <row r="4790" spans="2:16" x14ac:dyDescent="0.25">
      <c r="B4790" s="23"/>
      <c r="E4790" s="23"/>
      <c r="G4790" s="23"/>
      <c r="H4790" s="23"/>
      <c r="J4790" s="23"/>
      <c r="K4790" s="23"/>
      <c r="M4790" s="23"/>
      <c r="N4790" s="23"/>
      <c r="P4790" s="23"/>
    </row>
    <row r="4791" spans="2:16" x14ac:dyDescent="0.25">
      <c r="B4791" s="23"/>
      <c r="E4791" s="23"/>
      <c r="G4791" s="23"/>
      <c r="H4791" s="23"/>
      <c r="J4791" s="23"/>
      <c r="K4791" s="23"/>
      <c r="M4791" s="23"/>
      <c r="N4791" s="23"/>
      <c r="P4791" s="23"/>
    </row>
    <row r="4792" spans="2:16" x14ac:dyDescent="0.25">
      <c r="B4792" s="23"/>
      <c r="E4792" s="23"/>
      <c r="G4792" s="23"/>
      <c r="H4792" s="23"/>
      <c r="J4792" s="23"/>
      <c r="K4792" s="23"/>
      <c r="M4792" s="23"/>
      <c r="N4792" s="23"/>
      <c r="P4792" s="23"/>
    </row>
    <row r="4793" spans="2:16" x14ac:dyDescent="0.25">
      <c r="B4793" s="23"/>
      <c r="E4793" s="23"/>
      <c r="G4793" s="23"/>
      <c r="H4793" s="23"/>
      <c r="J4793" s="23"/>
      <c r="K4793" s="23"/>
      <c r="M4793" s="23"/>
      <c r="N4793" s="23"/>
      <c r="P4793" s="23"/>
    </row>
    <row r="4794" spans="2:16" x14ac:dyDescent="0.25">
      <c r="B4794" s="23"/>
      <c r="E4794" s="23"/>
      <c r="G4794" s="23"/>
      <c r="H4794" s="23"/>
      <c r="J4794" s="23"/>
      <c r="K4794" s="23"/>
      <c r="M4794" s="23"/>
      <c r="N4794" s="23"/>
      <c r="P4794" s="23"/>
    </row>
    <row r="4795" spans="2:16" x14ac:dyDescent="0.25">
      <c r="B4795" s="23"/>
      <c r="E4795" s="23"/>
      <c r="G4795" s="23"/>
      <c r="H4795" s="23"/>
      <c r="J4795" s="23"/>
      <c r="K4795" s="23"/>
      <c r="M4795" s="23"/>
      <c r="N4795" s="23"/>
      <c r="P4795" s="23"/>
    </row>
    <row r="4796" spans="2:16" x14ac:dyDescent="0.25">
      <c r="B4796" s="23"/>
      <c r="E4796" s="23"/>
      <c r="G4796" s="23"/>
      <c r="H4796" s="23"/>
      <c r="J4796" s="23"/>
      <c r="K4796" s="23"/>
      <c r="M4796" s="23"/>
      <c r="N4796" s="23"/>
      <c r="P4796" s="23"/>
    </row>
    <row r="4797" spans="2:16" x14ac:dyDescent="0.25">
      <c r="B4797" s="23"/>
      <c r="E4797" s="23"/>
      <c r="G4797" s="23"/>
      <c r="H4797" s="23"/>
      <c r="J4797" s="23"/>
      <c r="K4797" s="23"/>
      <c r="M4797" s="23"/>
      <c r="N4797" s="23"/>
      <c r="P4797" s="23"/>
    </row>
    <row r="4798" spans="2:16" x14ac:dyDescent="0.25">
      <c r="B4798" s="23"/>
      <c r="E4798" s="23"/>
      <c r="G4798" s="23"/>
      <c r="H4798" s="23"/>
      <c r="J4798" s="23"/>
      <c r="K4798" s="23"/>
      <c r="M4798" s="23"/>
      <c r="N4798" s="23"/>
      <c r="P4798" s="23"/>
    </row>
    <row r="4799" spans="2:16" x14ac:dyDescent="0.25">
      <c r="B4799" s="23"/>
      <c r="E4799" s="23"/>
      <c r="G4799" s="23"/>
      <c r="H4799" s="23"/>
      <c r="J4799" s="23"/>
      <c r="K4799" s="23"/>
      <c r="M4799" s="23"/>
      <c r="N4799" s="23"/>
      <c r="P4799" s="23"/>
    </row>
    <row r="4800" spans="2:16" x14ac:dyDescent="0.25">
      <c r="B4800" s="23"/>
      <c r="E4800" s="23"/>
      <c r="G4800" s="23"/>
      <c r="H4800" s="23"/>
      <c r="J4800" s="23"/>
      <c r="K4800" s="23"/>
      <c r="M4800" s="23"/>
      <c r="N4800" s="23"/>
      <c r="P4800" s="23"/>
    </row>
    <row r="4801" spans="2:16" x14ac:dyDescent="0.25">
      <c r="B4801" s="23"/>
      <c r="E4801" s="23"/>
      <c r="G4801" s="23"/>
      <c r="H4801" s="23"/>
      <c r="J4801" s="23"/>
      <c r="K4801" s="23"/>
      <c r="M4801" s="23"/>
      <c r="N4801" s="23"/>
      <c r="P4801" s="23"/>
    </row>
    <row r="4802" spans="2:16" x14ac:dyDescent="0.25">
      <c r="B4802" s="23"/>
      <c r="E4802" s="23"/>
      <c r="G4802" s="23"/>
      <c r="H4802" s="23"/>
      <c r="J4802" s="23"/>
      <c r="K4802" s="23"/>
      <c r="M4802" s="23"/>
      <c r="N4802" s="23"/>
      <c r="P4802" s="23"/>
    </row>
    <row r="4803" spans="2:16" x14ac:dyDescent="0.25">
      <c r="B4803" s="23"/>
      <c r="E4803" s="23"/>
      <c r="G4803" s="23"/>
      <c r="H4803" s="23"/>
      <c r="J4803" s="23"/>
      <c r="K4803" s="23"/>
      <c r="M4803" s="23"/>
      <c r="N4803" s="23"/>
      <c r="P4803" s="23"/>
    </row>
    <row r="4804" spans="2:16" x14ac:dyDescent="0.25">
      <c r="B4804" s="23"/>
      <c r="E4804" s="23"/>
      <c r="G4804" s="23"/>
      <c r="H4804" s="23"/>
      <c r="J4804" s="23"/>
      <c r="K4804" s="23"/>
      <c r="M4804" s="23"/>
      <c r="N4804" s="23"/>
      <c r="P4804" s="23"/>
    </row>
    <row r="4805" spans="2:16" x14ac:dyDescent="0.25">
      <c r="B4805" s="23"/>
      <c r="E4805" s="23"/>
      <c r="G4805" s="23"/>
      <c r="H4805" s="23"/>
      <c r="J4805" s="23"/>
      <c r="K4805" s="23"/>
      <c r="M4805" s="23"/>
      <c r="N4805" s="23"/>
      <c r="P4805" s="23"/>
    </row>
    <row r="4806" spans="2:16" x14ac:dyDescent="0.25">
      <c r="B4806" s="23"/>
      <c r="E4806" s="23"/>
      <c r="G4806" s="23"/>
      <c r="H4806" s="23"/>
      <c r="J4806" s="23"/>
      <c r="K4806" s="23"/>
      <c r="M4806" s="23"/>
      <c r="N4806" s="23"/>
      <c r="P4806" s="23"/>
    </row>
    <row r="4807" spans="2:16" x14ac:dyDescent="0.25">
      <c r="B4807" s="23"/>
      <c r="E4807" s="23"/>
      <c r="G4807" s="23"/>
      <c r="H4807" s="23"/>
      <c r="J4807" s="23"/>
      <c r="K4807" s="23"/>
      <c r="M4807" s="23"/>
      <c r="N4807" s="23"/>
      <c r="P4807" s="23"/>
    </row>
    <row r="4808" spans="2:16" x14ac:dyDescent="0.25">
      <c r="B4808" s="23"/>
      <c r="E4808" s="23"/>
      <c r="G4808" s="23"/>
      <c r="H4808" s="23"/>
      <c r="J4808" s="23"/>
      <c r="K4808" s="23"/>
      <c r="M4808" s="23"/>
      <c r="N4808" s="23"/>
      <c r="P4808" s="23"/>
    </row>
    <row r="4809" spans="2:16" x14ac:dyDescent="0.25">
      <c r="B4809" s="23"/>
      <c r="E4809" s="23"/>
      <c r="G4809" s="23"/>
      <c r="H4809" s="23"/>
      <c r="J4809" s="23"/>
      <c r="K4809" s="23"/>
      <c r="M4809" s="23"/>
      <c r="N4809" s="23"/>
      <c r="P4809" s="23"/>
    </row>
    <row r="4810" spans="2:16" x14ac:dyDescent="0.25">
      <c r="B4810" s="23"/>
      <c r="E4810" s="23"/>
      <c r="G4810" s="23"/>
      <c r="H4810" s="23"/>
      <c r="J4810" s="23"/>
      <c r="K4810" s="23"/>
      <c r="M4810" s="23"/>
      <c r="N4810" s="23"/>
      <c r="P4810" s="23"/>
    </row>
    <row r="4811" spans="2:16" x14ac:dyDescent="0.25">
      <c r="B4811" s="23"/>
      <c r="E4811" s="23"/>
      <c r="G4811" s="23"/>
      <c r="H4811" s="23"/>
      <c r="J4811" s="23"/>
      <c r="K4811" s="23"/>
      <c r="M4811" s="23"/>
      <c r="N4811" s="23"/>
      <c r="P4811" s="23"/>
    </row>
    <row r="4812" spans="2:16" x14ac:dyDescent="0.25">
      <c r="B4812" s="23"/>
      <c r="E4812" s="23"/>
      <c r="G4812" s="23"/>
      <c r="H4812" s="23"/>
      <c r="J4812" s="23"/>
      <c r="K4812" s="23"/>
      <c r="M4812" s="23"/>
      <c r="N4812" s="23"/>
      <c r="P4812" s="23"/>
    </row>
    <row r="4813" spans="2:16" x14ac:dyDescent="0.25">
      <c r="B4813" s="23"/>
      <c r="E4813" s="23"/>
      <c r="G4813" s="23"/>
      <c r="H4813" s="23"/>
      <c r="J4813" s="23"/>
      <c r="K4813" s="23"/>
      <c r="M4813" s="23"/>
      <c r="N4813" s="23"/>
      <c r="P4813" s="23"/>
    </row>
    <row r="4814" spans="2:16" x14ac:dyDescent="0.25">
      <c r="B4814" s="23"/>
      <c r="E4814" s="23"/>
      <c r="G4814" s="23"/>
      <c r="H4814" s="23"/>
      <c r="J4814" s="23"/>
      <c r="K4814" s="23"/>
      <c r="M4814" s="23"/>
      <c r="N4814" s="23"/>
      <c r="P4814" s="23"/>
    </row>
    <row r="4815" spans="2:16" x14ac:dyDescent="0.25">
      <c r="B4815" s="23"/>
      <c r="E4815" s="23"/>
      <c r="G4815" s="23"/>
      <c r="H4815" s="23"/>
      <c r="J4815" s="23"/>
      <c r="K4815" s="23"/>
      <c r="M4815" s="23"/>
      <c r="N4815" s="23"/>
      <c r="P4815" s="23"/>
    </row>
    <row r="4816" spans="2:16" x14ac:dyDescent="0.25">
      <c r="B4816" s="23"/>
      <c r="E4816" s="23"/>
      <c r="G4816" s="23"/>
      <c r="H4816" s="23"/>
      <c r="J4816" s="23"/>
      <c r="K4816" s="23"/>
      <c r="M4816" s="23"/>
      <c r="N4816" s="23"/>
      <c r="P4816" s="23"/>
    </row>
    <row r="4817" spans="2:16" x14ac:dyDescent="0.25">
      <c r="B4817" s="23"/>
      <c r="E4817" s="23"/>
      <c r="G4817" s="23"/>
      <c r="H4817" s="23"/>
      <c r="J4817" s="23"/>
      <c r="K4817" s="23"/>
      <c r="M4817" s="23"/>
      <c r="N4817" s="23"/>
      <c r="P4817" s="23"/>
    </row>
    <row r="4818" spans="2:16" x14ac:dyDescent="0.25">
      <c r="B4818" s="23"/>
      <c r="E4818" s="23"/>
      <c r="G4818" s="23"/>
      <c r="H4818" s="23"/>
      <c r="J4818" s="23"/>
      <c r="K4818" s="23"/>
      <c r="M4818" s="23"/>
      <c r="N4818" s="23"/>
      <c r="P4818" s="23"/>
    </row>
    <row r="4819" spans="2:16" x14ac:dyDescent="0.25">
      <c r="B4819" s="23"/>
      <c r="E4819" s="23"/>
      <c r="G4819" s="23"/>
      <c r="H4819" s="23"/>
      <c r="J4819" s="23"/>
      <c r="K4819" s="23"/>
      <c r="M4819" s="23"/>
      <c r="N4819" s="23"/>
      <c r="P4819" s="23"/>
    </row>
    <row r="4820" spans="2:16" x14ac:dyDescent="0.25">
      <c r="B4820" s="23"/>
      <c r="E4820" s="23"/>
      <c r="G4820" s="23"/>
      <c r="H4820" s="23"/>
      <c r="J4820" s="23"/>
      <c r="K4820" s="23"/>
      <c r="M4820" s="23"/>
      <c r="N4820" s="23"/>
      <c r="P4820" s="23"/>
    </row>
    <row r="4821" spans="2:16" x14ac:dyDescent="0.25">
      <c r="B4821" s="23"/>
      <c r="E4821" s="23"/>
      <c r="G4821" s="23"/>
      <c r="H4821" s="23"/>
      <c r="J4821" s="23"/>
      <c r="K4821" s="23"/>
      <c r="M4821" s="23"/>
      <c r="N4821" s="23"/>
      <c r="P4821" s="23"/>
    </row>
    <row r="4822" spans="2:16" x14ac:dyDescent="0.25">
      <c r="B4822" s="23"/>
      <c r="E4822" s="23"/>
      <c r="G4822" s="23"/>
      <c r="H4822" s="23"/>
      <c r="J4822" s="23"/>
      <c r="K4822" s="23"/>
      <c r="M4822" s="23"/>
      <c r="N4822" s="23"/>
      <c r="P4822" s="23"/>
    </row>
    <row r="4823" spans="2:16" x14ac:dyDescent="0.25">
      <c r="B4823" s="23"/>
      <c r="E4823" s="23"/>
      <c r="G4823" s="23"/>
      <c r="H4823" s="23"/>
      <c r="J4823" s="23"/>
      <c r="K4823" s="23"/>
      <c r="M4823" s="23"/>
      <c r="N4823" s="23"/>
      <c r="P4823" s="23"/>
    </row>
    <row r="4824" spans="2:16" x14ac:dyDescent="0.25">
      <c r="B4824" s="23"/>
      <c r="E4824" s="23"/>
      <c r="G4824" s="23"/>
      <c r="H4824" s="23"/>
      <c r="J4824" s="23"/>
      <c r="K4824" s="23"/>
      <c r="M4824" s="23"/>
      <c r="N4824" s="23"/>
      <c r="P4824" s="23"/>
    </row>
    <row r="4825" spans="2:16" x14ac:dyDescent="0.25">
      <c r="B4825" s="23"/>
      <c r="E4825" s="23"/>
      <c r="G4825" s="23"/>
      <c r="H4825" s="23"/>
      <c r="J4825" s="23"/>
      <c r="K4825" s="23"/>
      <c r="M4825" s="23"/>
      <c r="N4825" s="23"/>
      <c r="P4825" s="23"/>
    </row>
    <row r="4826" spans="2:16" x14ac:dyDescent="0.25">
      <c r="B4826" s="23"/>
      <c r="E4826" s="23"/>
      <c r="G4826" s="23"/>
      <c r="H4826" s="23"/>
      <c r="J4826" s="23"/>
      <c r="K4826" s="23"/>
      <c r="M4826" s="23"/>
      <c r="N4826" s="23"/>
      <c r="P4826" s="23"/>
    </row>
    <row r="4827" spans="2:16" x14ac:dyDescent="0.25">
      <c r="B4827" s="23"/>
      <c r="E4827" s="23"/>
      <c r="G4827" s="23"/>
      <c r="H4827" s="23"/>
      <c r="J4827" s="23"/>
      <c r="K4827" s="23"/>
      <c r="M4827" s="23"/>
      <c r="N4827" s="23"/>
      <c r="P4827" s="23"/>
    </row>
    <row r="4828" spans="2:16" x14ac:dyDescent="0.25">
      <c r="B4828" s="23"/>
      <c r="E4828" s="23"/>
      <c r="G4828" s="23"/>
      <c r="H4828" s="23"/>
      <c r="J4828" s="23"/>
      <c r="K4828" s="23"/>
      <c r="M4828" s="23"/>
      <c r="N4828" s="23"/>
      <c r="P4828" s="23"/>
    </row>
    <row r="4829" spans="2:16" x14ac:dyDescent="0.25">
      <c r="B4829" s="23"/>
      <c r="E4829" s="23"/>
      <c r="G4829" s="23"/>
      <c r="H4829" s="23"/>
      <c r="J4829" s="23"/>
      <c r="K4829" s="23"/>
      <c r="M4829" s="23"/>
      <c r="N4829" s="23"/>
      <c r="P4829" s="23"/>
    </row>
    <row r="4830" spans="2:16" x14ac:dyDescent="0.25">
      <c r="B4830" s="23"/>
      <c r="E4830" s="23"/>
      <c r="G4830" s="23"/>
      <c r="H4830" s="23"/>
      <c r="J4830" s="23"/>
      <c r="K4830" s="23"/>
      <c r="M4830" s="23"/>
      <c r="N4830" s="23"/>
      <c r="P4830" s="23"/>
    </row>
    <row r="4831" spans="2:16" x14ac:dyDescent="0.25">
      <c r="B4831" s="23"/>
      <c r="E4831" s="23"/>
      <c r="G4831" s="23"/>
      <c r="H4831" s="23"/>
      <c r="J4831" s="23"/>
      <c r="K4831" s="23"/>
      <c r="M4831" s="23"/>
      <c r="N4831" s="23"/>
      <c r="P4831" s="23"/>
    </row>
    <row r="4832" spans="2:16" x14ac:dyDescent="0.25">
      <c r="B4832" s="23"/>
      <c r="E4832" s="23"/>
      <c r="G4832" s="23"/>
      <c r="H4832" s="23"/>
      <c r="J4832" s="23"/>
      <c r="K4832" s="23"/>
      <c r="M4832" s="23"/>
      <c r="N4832" s="23"/>
      <c r="P4832" s="23"/>
    </row>
    <row r="4833" spans="2:16" x14ac:dyDescent="0.25">
      <c r="B4833" s="23"/>
      <c r="E4833" s="23"/>
      <c r="G4833" s="23"/>
      <c r="H4833" s="23"/>
      <c r="J4833" s="23"/>
      <c r="K4833" s="23"/>
      <c r="M4833" s="23"/>
      <c r="N4833" s="23"/>
      <c r="P4833" s="23"/>
    </row>
    <row r="4834" spans="2:16" x14ac:dyDescent="0.25">
      <c r="B4834" s="23"/>
      <c r="E4834" s="23"/>
      <c r="G4834" s="23"/>
      <c r="H4834" s="23"/>
      <c r="J4834" s="23"/>
      <c r="K4834" s="23"/>
      <c r="M4834" s="23"/>
      <c r="N4834" s="23"/>
      <c r="P4834" s="23"/>
    </row>
    <row r="4835" spans="2:16" x14ac:dyDescent="0.25">
      <c r="B4835" s="23"/>
      <c r="E4835" s="23"/>
      <c r="G4835" s="23"/>
      <c r="H4835" s="23"/>
      <c r="J4835" s="23"/>
      <c r="K4835" s="23"/>
      <c r="M4835" s="23"/>
      <c r="N4835" s="23"/>
      <c r="P4835" s="23"/>
    </row>
    <row r="4836" spans="2:16" x14ac:dyDescent="0.25">
      <c r="B4836" s="23"/>
      <c r="E4836" s="23"/>
      <c r="G4836" s="23"/>
      <c r="H4836" s="23"/>
      <c r="J4836" s="23"/>
      <c r="K4836" s="23"/>
      <c r="M4836" s="23"/>
      <c r="N4836" s="23"/>
      <c r="P4836" s="23"/>
    </row>
    <row r="4837" spans="2:16" x14ac:dyDescent="0.25">
      <c r="B4837" s="23"/>
      <c r="E4837" s="23"/>
      <c r="G4837" s="23"/>
      <c r="H4837" s="23"/>
      <c r="J4837" s="23"/>
      <c r="K4837" s="23"/>
      <c r="M4837" s="23"/>
      <c r="N4837" s="23"/>
      <c r="P4837" s="23"/>
    </row>
    <row r="4838" spans="2:16" x14ac:dyDescent="0.25">
      <c r="B4838" s="23"/>
      <c r="E4838" s="23"/>
      <c r="G4838" s="23"/>
      <c r="H4838" s="23"/>
      <c r="J4838" s="23"/>
      <c r="K4838" s="23"/>
      <c r="M4838" s="23"/>
      <c r="N4838" s="23"/>
      <c r="P4838" s="23"/>
    </row>
    <row r="4839" spans="2:16" x14ac:dyDescent="0.25">
      <c r="B4839" s="23"/>
      <c r="E4839" s="23"/>
      <c r="G4839" s="23"/>
      <c r="H4839" s="23"/>
      <c r="J4839" s="23"/>
      <c r="K4839" s="23"/>
      <c r="M4839" s="23"/>
      <c r="N4839" s="23"/>
      <c r="P4839" s="23"/>
    </row>
    <row r="4840" spans="2:16" x14ac:dyDescent="0.25">
      <c r="B4840" s="23"/>
      <c r="E4840" s="23"/>
      <c r="G4840" s="23"/>
      <c r="H4840" s="23"/>
      <c r="J4840" s="23"/>
      <c r="K4840" s="23"/>
      <c r="M4840" s="23"/>
      <c r="N4840" s="23"/>
      <c r="P4840" s="23"/>
    </row>
    <row r="4841" spans="2:16" x14ac:dyDescent="0.25">
      <c r="B4841" s="23"/>
      <c r="E4841" s="23"/>
      <c r="G4841" s="23"/>
      <c r="H4841" s="23"/>
      <c r="J4841" s="23"/>
      <c r="K4841" s="23"/>
      <c r="M4841" s="23"/>
      <c r="N4841" s="23"/>
      <c r="P4841" s="23"/>
    </row>
    <row r="4842" spans="2:16" x14ac:dyDescent="0.25">
      <c r="B4842" s="23"/>
      <c r="E4842" s="23"/>
      <c r="G4842" s="23"/>
      <c r="H4842" s="23"/>
      <c r="J4842" s="23"/>
      <c r="K4842" s="23"/>
      <c r="M4842" s="23"/>
      <c r="N4842" s="23"/>
      <c r="P4842" s="23"/>
    </row>
    <row r="4843" spans="2:16" x14ac:dyDescent="0.25">
      <c r="B4843" s="23"/>
      <c r="E4843" s="23"/>
      <c r="G4843" s="23"/>
      <c r="H4843" s="23"/>
      <c r="J4843" s="23"/>
      <c r="K4843" s="23"/>
      <c r="M4843" s="23"/>
      <c r="N4843" s="23"/>
      <c r="P4843" s="23"/>
    </row>
    <row r="4844" spans="2:16" x14ac:dyDescent="0.25">
      <c r="B4844" s="23"/>
      <c r="E4844" s="23"/>
      <c r="G4844" s="23"/>
      <c r="H4844" s="23"/>
      <c r="J4844" s="23"/>
      <c r="K4844" s="23"/>
      <c r="M4844" s="23"/>
      <c r="N4844" s="23"/>
      <c r="P4844" s="23"/>
    </row>
    <row r="4845" spans="2:16" x14ac:dyDescent="0.25">
      <c r="B4845" s="23"/>
      <c r="E4845" s="23"/>
      <c r="G4845" s="23"/>
      <c r="H4845" s="23"/>
      <c r="J4845" s="23"/>
      <c r="K4845" s="23"/>
      <c r="M4845" s="23"/>
      <c r="N4845" s="23"/>
      <c r="P4845" s="23"/>
    </row>
    <row r="4846" spans="2:16" x14ac:dyDescent="0.25">
      <c r="B4846" s="23"/>
      <c r="E4846" s="23"/>
      <c r="G4846" s="23"/>
      <c r="H4846" s="23"/>
      <c r="J4846" s="23"/>
      <c r="K4846" s="23"/>
      <c r="M4846" s="23"/>
      <c r="N4846" s="23"/>
      <c r="P4846" s="23"/>
    </row>
    <row r="4847" spans="2:16" x14ac:dyDescent="0.25">
      <c r="B4847" s="23"/>
      <c r="E4847" s="23"/>
      <c r="G4847" s="23"/>
      <c r="H4847" s="23"/>
      <c r="J4847" s="23"/>
      <c r="K4847" s="23"/>
      <c r="M4847" s="23"/>
      <c r="N4847" s="23"/>
      <c r="P4847" s="23"/>
    </row>
    <row r="4848" spans="2:16" x14ac:dyDescent="0.25">
      <c r="B4848" s="23"/>
      <c r="E4848" s="23"/>
      <c r="G4848" s="23"/>
      <c r="H4848" s="23"/>
      <c r="J4848" s="23"/>
      <c r="K4848" s="23"/>
      <c r="M4848" s="23"/>
      <c r="N4848" s="23"/>
      <c r="P4848" s="23"/>
    </row>
    <row r="4849" spans="2:16" x14ac:dyDescent="0.25">
      <c r="B4849" s="23"/>
      <c r="E4849" s="23"/>
      <c r="G4849" s="23"/>
      <c r="H4849" s="23"/>
      <c r="J4849" s="23"/>
      <c r="K4849" s="23"/>
      <c r="M4849" s="23"/>
      <c r="N4849" s="23"/>
      <c r="P4849" s="23"/>
    </row>
    <row r="4850" spans="2:16" x14ac:dyDescent="0.25">
      <c r="B4850" s="23"/>
      <c r="E4850" s="23"/>
      <c r="G4850" s="23"/>
      <c r="H4850" s="23"/>
      <c r="J4850" s="23"/>
      <c r="K4850" s="23"/>
      <c r="M4850" s="23"/>
      <c r="N4850" s="23"/>
      <c r="P4850" s="23"/>
    </row>
    <row r="4851" spans="2:16" x14ac:dyDescent="0.25">
      <c r="B4851" s="23"/>
      <c r="E4851" s="23"/>
      <c r="G4851" s="23"/>
      <c r="H4851" s="23"/>
      <c r="J4851" s="23"/>
      <c r="K4851" s="23"/>
      <c r="M4851" s="23"/>
      <c r="N4851" s="23"/>
      <c r="P4851" s="23"/>
    </row>
    <row r="4852" spans="2:16" x14ac:dyDescent="0.25">
      <c r="B4852" s="23"/>
      <c r="E4852" s="23"/>
      <c r="G4852" s="23"/>
      <c r="H4852" s="23"/>
      <c r="J4852" s="23"/>
      <c r="K4852" s="23"/>
      <c r="M4852" s="23"/>
      <c r="N4852" s="23"/>
      <c r="P4852" s="23"/>
    </row>
    <row r="4853" spans="2:16" x14ac:dyDescent="0.25">
      <c r="B4853" s="23"/>
      <c r="E4853" s="23"/>
      <c r="G4853" s="23"/>
      <c r="H4853" s="23"/>
      <c r="J4853" s="23"/>
      <c r="K4853" s="23"/>
      <c r="M4853" s="23"/>
      <c r="N4853" s="23"/>
      <c r="P4853" s="23"/>
    </row>
    <row r="4854" spans="2:16" x14ac:dyDescent="0.25">
      <c r="B4854" s="23"/>
      <c r="E4854" s="23"/>
      <c r="G4854" s="23"/>
      <c r="H4854" s="23"/>
      <c r="J4854" s="23"/>
      <c r="K4854" s="23"/>
      <c r="M4854" s="23"/>
      <c r="N4854" s="23"/>
      <c r="P4854" s="23"/>
    </row>
    <row r="4855" spans="2:16" x14ac:dyDescent="0.25">
      <c r="B4855" s="23"/>
      <c r="E4855" s="23"/>
      <c r="G4855" s="23"/>
      <c r="H4855" s="23"/>
      <c r="J4855" s="23"/>
      <c r="K4855" s="23"/>
      <c r="M4855" s="23"/>
      <c r="N4855" s="23"/>
      <c r="P4855" s="23"/>
    </row>
    <row r="4856" spans="2:16" x14ac:dyDescent="0.25">
      <c r="B4856" s="23"/>
      <c r="E4856" s="23"/>
      <c r="G4856" s="23"/>
      <c r="H4856" s="23"/>
      <c r="J4856" s="23"/>
      <c r="K4856" s="23"/>
      <c r="M4856" s="23"/>
      <c r="N4856" s="23"/>
      <c r="P4856" s="23"/>
    </row>
    <row r="4857" spans="2:16" x14ac:dyDescent="0.25">
      <c r="B4857" s="23"/>
      <c r="E4857" s="23"/>
      <c r="G4857" s="23"/>
      <c r="H4857" s="23"/>
      <c r="J4857" s="23"/>
      <c r="K4857" s="23"/>
      <c r="M4857" s="23"/>
      <c r="N4857" s="23"/>
      <c r="P4857" s="23"/>
    </row>
    <row r="4858" spans="2:16" x14ac:dyDescent="0.25">
      <c r="B4858" s="23"/>
      <c r="E4858" s="23"/>
      <c r="G4858" s="23"/>
      <c r="H4858" s="23"/>
      <c r="J4858" s="23"/>
      <c r="K4858" s="23"/>
      <c r="M4858" s="23"/>
      <c r="N4858" s="23"/>
      <c r="P4858" s="23"/>
    </row>
    <row r="4859" spans="2:16" x14ac:dyDescent="0.25">
      <c r="B4859" s="23"/>
      <c r="E4859" s="23"/>
      <c r="G4859" s="23"/>
      <c r="H4859" s="23"/>
      <c r="J4859" s="23"/>
      <c r="K4859" s="23"/>
      <c r="M4859" s="23"/>
      <c r="N4859" s="23"/>
      <c r="P4859" s="23"/>
    </row>
    <row r="4860" spans="2:16" x14ac:dyDescent="0.25">
      <c r="B4860" s="23"/>
      <c r="E4860" s="23"/>
      <c r="G4860" s="23"/>
      <c r="H4860" s="23"/>
      <c r="J4860" s="23"/>
      <c r="K4860" s="23"/>
      <c r="M4860" s="23"/>
      <c r="N4860" s="23"/>
      <c r="P4860" s="23"/>
    </row>
    <row r="4861" spans="2:16" x14ac:dyDescent="0.25">
      <c r="B4861" s="23"/>
      <c r="E4861" s="23"/>
      <c r="G4861" s="23"/>
      <c r="H4861" s="23"/>
      <c r="J4861" s="23"/>
      <c r="K4861" s="23"/>
      <c r="M4861" s="23"/>
      <c r="N4861" s="23"/>
      <c r="P4861" s="23"/>
    </row>
    <row r="4862" spans="2:16" x14ac:dyDescent="0.25">
      <c r="B4862" s="23"/>
      <c r="E4862" s="23"/>
      <c r="G4862" s="23"/>
      <c r="H4862" s="23"/>
      <c r="J4862" s="23"/>
      <c r="K4862" s="23"/>
      <c r="M4862" s="23"/>
      <c r="N4862" s="23"/>
      <c r="P4862" s="23"/>
    </row>
    <row r="4863" spans="2:16" x14ac:dyDescent="0.25">
      <c r="B4863" s="23"/>
      <c r="E4863" s="23"/>
      <c r="G4863" s="23"/>
      <c r="H4863" s="23"/>
      <c r="J4863" s="23"/>
      <c r="K4863" s="23"/>
      <c r="M4863" s="23"/>
      <c r="N4863" s="23"/>
      <c r="P4863" s="23"/>
    </row>
    <row r="4864" spans="2:16" x14ac:dyDescent="0.25">
      <c r="B4864" s="23"/>
      <c r="E4864" s="23"/>
      <c r="G4864" s="23"/>
      <c r="H4864" s="23"/>
      <c r="J4864" s="23"/>
      <c r="K4864" s="23"/>
      <c r="M4864" s="23"/>
      <c r="N4864" s="23"/>
      <c r="P4864" s="23"/>
    </row>
    <row r="4865" spans="2:16" x14ac:dyDescent="0.25">
      <c r="B4865" s="23"/>
      <c r="E4865" s="23"/>
      <c r="G4865" s="23"/>
      <c r="H4865" s="23"/>
      <c r="J4865" s="23"/>
      <c r="K4865" s="23"/>
      <c r="M4865" s="23"/>
      <c r="N4865" s="23"/>
      <c r="P4865" s="23"/>
    </row>
    <row r="4866" spans="2:16" x14ac:dyDescent="0.25">
      <c r="B4866" s="23"/>
      <c r="E4866" s="23"/>
      <c r="G4866" s="23"/>
      <c r="H4866" s="23"/>
      <c r="J4866" s="23"/>
      <c r="K4866" s="23"/>
      <c r="M4866" s="23"/>
      <c r="N4866" s="23"/>
      <c r="P4866" s="23"/>
    </row>
    <row r="4867" spans="2:16" x14ac:dyDescent="0.25">
      <c r="B4867" s="23"/>
      <c r="E4867" s="23"/>
      <c r="G4867" s="23"/>
      <c r="H4867" s="23"/>
      <c r="J4867" s="23"/>
      <c r="K4867" s="23"/>
      <c r="M4867" s="23"/>
      <c r="N4867" s="23"/>
      <c r="P4867" s="23"/>
    </row>
    <row r="4868" spans="2:16" x14ac:dyDescent="0.25">
      <c r="B4868" s="23"/>
      <c r="E4868" s="23"/>
      <c r="G4868" s="23"/>
      <c r="H4868" s="23"/>
      <c r="J4868" s="23"/>
      <c r="K4868" s="23"/>
      <c r="M4868" s="23"/>
      <c r="N4868" s="23"/>
      <c r="P4868" s="23"/>
    </row>
    <row r="4869" spans="2:16" x14ac:dyDescent="0.25">
      <c r="B4869" s="23"/>
      <c r="E4869" s="23"/>
      <c r="G4869" s="23"/>
      <c r="H4869" s="23"/>
      <c r="J4869" s="23"/>
      <c r="K4869" s="23"/>
      <c r="M4869" s="23"/>
      <c r="N4869" s="23"/>
      <c r="P4869" s="23"/>
    </row>
    <row r="4870" spans="2:16" x14ac:dyDescent="0.25">
      <c r="B4870" s="23"/>
      <c r="E4870" s="23"/>
      <c r="G4870" s="23"/>
      <c r="H4870" s="23"/>
      <c r="J4870" s="23"/>
      <c r="K4870" s="23"/>
      <c r="M4870" s="23"/>
      <c r="N4870" s="23"/>
      <c r="P4870" s="23"/>
    </row>
    <row r="4871" spans="2:16" x14ac:dyDescent="0.25">
      <c r="B4871" s="23"/>
      <c r="E4871" s="23"/>
      <c r="G4871" s="23"/>
      <c r="H4871" s="23"/>
      <c r="J4871" s="23"/>
      <c r="K4871" s="23"/>
      <c r="M4871" s="23"/>
      <c r="N4871" s="23"/>
      <c r="P4871" s="23"/>
    </row>
    <row r="4872" spans="2:16" x14ac:dyDescent="0.25">
      <c r="B4872" s="23"/>
      <c r="E4872" s="23"/>
      <c r="G4872" s="23"/>
      <c r="H4872" s="23"/>
      <c r="J4872" s="23"/>
      <c r="K4872" s="23"/>
      <c r="M4872" s="23"/>
      <c r="N4872" s="23"/>
      <c r="P4872" s="23"/>
    </row>
    <row r="4873" spans="2:16" x14ac:dyDescent="0.25">
      <c r="B4873" s="23"/>
      <c r="E4873" s="23"/>
      <c r="G4873" s="23"/>
      <c r="H4873" s="23"/>
      <c r="J4873" s="23"/>
      <c r="K4873" s="23"/>
      <c r="M4873" s="23"/>
      <c r="N4873" s="23"/>
      <c r="P4873" s="23"/>
    </row>
    <row r="4874" spans="2:16" x14ac:dyDescent="0.25">
      <c r="B4874" s="23"/>
      <c r="E4874" s="23"/>
      <c r="G4874" s="23"/>
      <c r="H4874" s="23"/>
      <c r="J4874" s="23"/>
      <c r="K4874" s="23"/>
      <c r="M4874" s="23"/>
      <c r="N4874" s="23"/>
      <c r="P4874" s="23"/>
    </row>
    <row r="4875" spans="2:16" x14ac:dyDescent="0.25">
      <c r="B4875" s="23"/>
      <c r="E4875" s="23"/>
      <c r="G4875" s="23"/>
      <c r="H4875" s="23"/>
      <c r="J4875" s="23"/>
      <c r="K4875" s="23"/>
      <c r="M4875" s="23"/>
      <c r="N4875" s="23"/>
      <c r="P4875" s="23"/>
    </row>
    <row r="4876" spans="2:16" x14ac:dyDescent="0.25">
      <c r="B4876" s="23"/>
      <c r="E4876" s="23"/>
      <c r="G4876" s="23"/>
      <c r="H4876" s="23"/>
      <c r="J4876" s="23"/>
      <c r="K4876" s="23"/>
      <c r="M4876" s="23"/>
      <c r="N4876" s="23"/>
      <c r="P4876" s="23"/>
    </row>
    <row r="4877" spans="2:16" x14ac:dyDescent="0.25">
      <c r="B4877" s="23"/>
      <c r="E4877" s="23"/>
      <c r="G4877" s="23"/>
      <c r="H4877" s="23"/>
      <c r="J4877" s="23"/>
      <c r="K4877" s="23"/>
      <c r="M4877" s="23"/>
      <c r="N4877" s="23"/>
      <c r="P4877" s="23"/>
    </row>
    <row r="4878" spans="2:16" x14ac:dyDescent="0.25">
      <c r="B4878" s="23"/>
      <c r="E4878" s="23"/>
      <c r="G4878" s="23"/>
      <c r="H4878" s="23"/>
      <c r="J4878" s="23"/>
      <c r="K4878" s="23"/>
      <c r="M4878" s="23"/>
      <c r="N4878" s="23"/>
      <c r="P4878" s="23"/>
    </row>
    <row r="4879" spans="2:16" x14ac:dyDescent="0.25">
      <c r="B4879" s="23"/>
      <c r="E4879" s="23"/>
      <c r="G4879" s="23"/>
      <c r="H4879" s="23"/>
      <c r="J4879" s="23"/>
      <c r="K4879" s="23"/>
      <c r="M4879" s="23"/>
      <c r="N4879" s="23"/>
      <c r="P4879" s="23"/>
    </row>
    <row r="4880" spans="2:16" x14ac:dyDescent="0.25">
      <c r="B4880" s="23"/>
      <c r="E4880" s="23"/>
      <c r="G4880" s="23"/>
      <c r="H4880" s="23"/>
      <c r="J4880" s="23"/>
      <c r="K4880" s="23"/>
      <c r="M4880" s="23"/>
      <c r="N4880" s="23"/>
      <c r="P4880" s="23"/>
    </row>
    <row r="4881" spans="2:16" x14ac:dyDescent="0.25">
      <c r="B4881" s="23"/>
      <c r="E4881" s="23"/>
      <c r="G4881" s="23"/>
      <c r="H4881" s="23"/>
      <c r="J4881" s="23"/>
      <c r="K4881" s="23"/>
      <c r="M4881" s="23"/>
      <c r="N4881" s="23"/>
      <c r="P4881" s="23"/>
    </row>
    <row r="4882" spans="2:16" x14ac:dyDescent="0.25">
      <c r="B4882" s="23"/>
      <c r="E4882" s="23"/>
      <c r="G4882" s="23"/>
      <c r="H4882" s="23"/>
      <c r="J4882" s="23"/>
      <c r="K4882" s="23"/>
      <c r="M4882" s="23"/>
      <c r="N4882" s="23"/>
      <c r="P4882" s="23"/>
    </row>
    <row r="4883" spans="2:16" x14ac:dyDescent="0.25">
      <c r="B4883" s="23"/>
      <c r="E4883" s="23"/>
      <c r="G4883" s="23"/>
      <c r="H4883" s="23"/>
      <c r="J4883" s="23"/>
      <c r="K4883" s="23"/>
      <c r="M4883" s="23"/>
      <c r="N4883" s="23"/>
      <c r="P4883" s="23"/>
    </row>
    <row r="4884" spans="2:16" x14ac:dyDescent="0.25">
      <c r="B4884" s="23"/>
      <c r="E4884" s="23"/>
      <c r="G4884" s="23"/>
      <c r="H4884" s="23"/>
      <c r="J4884" s="23"/>
      <c r="K4884" s="23"/>
      <c r="M4884" s="23"/>
      <c r="N4884" s="23"/>
      <c r="P4884" s="23"/>
    </row>
    <row r="4885" spans="2:16" x14ac:dyDescent="0.25">
      <c r="B4885" s="23"/>
      <c r="E4885" s="23"/>
      <c r="G4885" s="23"/>
      <c r="H4885" s="23"/>
      <c r="J4885" s="23"/>
      <c r="K4885" s="23"/>
      <c r="M4885" s="23"/>
      <c r="N4885" s="23"/>
      <c r="P4885" s="23"/>
    </row>
    <row r="4886" spans="2:16" x14ac:dyDescent="0.25">
      <c r="B4886" s="23"/>
      <c r="E4886" s="23"/>
      <c r="G4886" s="23"/>
      <c r="H4886" s="23"/>
      <c r="J4886" s="23"/>
      <c r="K4886" s="23"/>
      <c r="M4886" s="23"/>
      <c r="N4886" s="23"/>
      <c r="P4886" s="23"/>
    </row>
    <row r="4887" spans="2:16" x14ac:dyDescent="0.25">
      <c r="B4887" s="23"/>
      <c r="E4887" s="23"/>
      <c r="G4887" s="23"/>
      <c r="H4887" s="23"/>
      <c r="J4887" s="23"/>
      <c r="K4887" s="23"/>
      <c r="M4887" s="23"/>
      <c r="N4887" s="23"/>
      <c r="P4887" s="23"/>
    </row>
    <row r="4888" spans="2:16" x14ac:dyDescent="0.25">
      <c r="B4888" s="23"/>
      <c r="E4888" s="23"/>
      <c r="G4888" s="23"/>
      <c r="H4888" s="23"/>
      <c r="J4888" s="23"/>
      <c r="K4888" s="23"/>
      <c r="M4888" s="23"/>
      <c r="N4888" s="23"/>
      <c r="P4888" s="23"/>
    </row>
    <row r="4889" spans="2:16" x14ac:dyDescent="0.25">
      <c r="B4889" s="23"/>
      <c r="E4889" s="23"/>
      <c r="G4889" s="23"/>
      <c r="H4889" s="23"/>
      <c r="J4889" s="23"/>
      <c r="K4889" s="23"/>
      <c r="M4889" s="23"/>
      <c r="N4889" s="23"/>
      <c r="P4889" s="23"/>
    </row>
    <row r="4890" spans="2:16" x14ac:dyDescent="0.25">
      <c r="B4890" s="23"/>
      <c r="E4890" s="23"/>
      <c r="G4890" s="23"/>
      <c r="H4890" s="23"/>
      <c r="J4890" s="23"/>
      <c r="K4890" s="23"/>
      <c r="M4890" s="23"/>
      <c r="N4890" s="23"/>
      <c r="P4890" s="23"/>
    </row>
    <row r="4891" spans="2:16" x14ac:dyDescent="0.25">
      <c r="B4891" s="23"/>
      <c r="E4891" s="23"/>
      <c r="G4891" s="23"/>
      <c r="H4891" s="23"/>
      <c r="J4891" s="23"/>
      <c r="K4891" s="23"/>
      <c r="M4891" s="23"/>
      <c r="N4891" s="23"/>
      <c r="P4891" s="23"/>
    </row>
    <row r="4892" spans="2:16" x14ac:dyDescent="0.25">
      <c r="B4892" s="23"/>
      <c r="E4892" s="23"/>
      <c r="G4892" s="23"/>
      <c r="H4892" s="23"/>
      <c r="J4892" s="23"/>
      <c r="K4892" s="23"/>
      <c r="M4892" s="23"/>
      <c r="N4892" s="23"/>
      <c r="P4892" s="23"/>
    </row>
    <row r="4893" spans="2:16" x14ac:dyDescent="0.25">
      <c r="B4893" s="23"/>
      <c r="E4893" s="23"/>
      <c r="G4893" s="23"/>
      <c r="H4893" s="23"/>
      <c r="J4893" s="23"/>
      <c r="K4893" s="23"/>
      <c r="M4893" s="23"/>
      <c r="N4893" s="23"/>
      <c r="P4893" s="23"/>
    </row>
    <row r="4894" spans="2:16" x14ac:dyDescent="0.25">
      <c r="B4894" s="23"/>
      <c r="E4894" s="23"/>
      <c r="G4894" s="23"/>
      <c r="H4894" s="23"/>
      <c r="J4894" s="23"/>
      <c r="K4894" s="23"/>
      <c r="M4894" s="23"/>
      <c r="N4894" s="23"/>
      <c r="P4894" s="23"/>
    </row>
    <row r="4895" spans="2:16" x14ac:dyDescent="0.25">
      <c r="B4895" s="23"/>
      <c r="E4895" s="23"/>
      <c r="G4895" s="23"/>
      <c r="H4895" s="23"/>
      <c r="J4895" s="23"/>
      <c r="K4895" s="23"/>
      <c r="M4895" s="23"/>
      <c r="N4895" s="23"/>
      <c r="P4895" s="23"/>
    </row>
    <row r="4896" spans="2:16" x14ac:dyDescent="0.25">
      <c r="B4896" s="23"/>
      <c r="E4896" s="23"/>
      <c r="G4896" s="23"/>
      <c r="H4896" s="23"/>
      <c r="J4896" s="23"/>
      <c r="K4896" s="23"/>
      <c r="M4896" s="23"/>
      <c r="N4896" s="23"/>
      <c r="P4896" s="23"/>
    </row>
    <row r="4897" spans="2:16" x14ac:dyDescent="0.25">
      <c r="B4897" s="23"/>
      <c r="E4897" s="23"/>
      <c r="G4897" s="23"/>
      <c r="H4897" s="23"/>
      <c r="J4897" s="23"/>
      <c r="K4897" s="23"/>
      <c r="M4897" s="23"/>
      <c r="N4897" s="23"/>
      <c r="P4897" s="23"/>
    </row>
    <row r="4898" spans="2:16" x14ac:dyDescent="0.25">
      <c r="B4898" s="23"/>
      <c r="E4898" s="23"/>
      <c r="G4898" s="23"/>
      <c r="H4898" s="23"/>
      <c r="J4898" s="23"/>
      <c r="K4898" s="23"/>
      <c r="M4898" s="23"/>
      <c r="N4898" s="23"/>
      <c r="P4898" s="23"/>
    </row>
    <row r="4899" spans="2:16" x14ac:dyDescent="0.25">
      <c r="B4899" s="23"/>
      <c r="E4899" s="23"/>
      <c r="G4899" s="23"/>
      <c r="H4899" s="23"/>
      <c r="J4899" s="23"/>
      <c r="K4899" s="23"/>
      <c r="M4899" s="23"/>
      <c r="N4899" s="23"/>
      <c r="P4899" s="23"/>
    </row>
    <row r="4900" spans="2:16" x14ac:dyDescent="0.25">
      <c r="B4900" s="23"/>
      <c r="E4900" s="23"/>
      <c r="G4900" s="23"/>
      <c r="H4900" s="23"/>
      <c r="J4900" s="23"/>
      <c r="K4900" s="23"/>
      <c r="M4900" s="23"/>
      <c r="N4900" s="23"/>
      <c r="P4900" s="23"/>
    </row>
    <row r="4901" spans="2:16" x14ac:dyDescent="0.25">
      <c r="B4901" s="23"/>
      <c r="E4901" s="23"/>
      <c r="G4901" s="23"/>
      <c r="H4901" s="23"/>
      <c r="J4901" s="23"/>
      <c r="K4901" s="23"/>
      <c r="M4901" s="23"/>
      <c r="N4901" s="23"/>
      <c r="P4901" s="23"/>
    </row>
    <row r="4902" spans="2:16" x14ac:dyDescent="0.25">
      <c r="B4902" s="23"/>
      <c r="E4902" s="23"/>
      <c r="G4902" s="23"/>
      <c r="H4902" s="23"/>
      <c r="J4902" s="23"/>
      <c r="K4902" s="23"/>
      <c r="M4902" s="23"/>
      <c r="N4902" s="23"/>
      <c r="P4902" s="23"/>
    </row>
    <row r="4903" spans="2:16" x14ac:dyDescent="0.25">
      <c r="B4903" s="23"/>
      <c r="E4903" s="23"/>
      <c r="G4903" s="23"/>
      <c r="H4903" s="23"/>
      <c r="J4903" s="23"/>
      <c r="K4903" s="23"/>
      <c r="M4903" s="23"/>
      <c r="N4903" s="23"/>
      <c r="P4903" s="23"/>
    </row>
    <row r="4904" spans="2:16" x14ac:dyDescent="0.25">
      <c r="B4904" s="23"/>
      <c r="E4904" s="23"/>
      <c r="G4904" s="23"/>
      <c r="H4904" s="23"/>
      <c r="J4904" s="23"/>
      <c r="K4904" s="23"/>
      <c r="M4904" s="23"/>
      <c r="N4904" s="23"/>
      <c r="P4904" s="23"/>
    </row>
    <row r="4905" spans="2:16" x14ac:dyDescent="0.25">
      <c r="B4905" s="23"/>
      <c r="E4905" s="23"/>
      <c r="G4905" s="23"/>
      <c r="H4905" s="23"/>
      <c r="J4905" s="23"/>
      <c r="K4905" s="23"/>
      <c r="M4905" s="23"/>
      <c r="N4905" s="23"/>
      <c r="P4905" s="23"/>
    </row>
    <row r="4906" spans="2:16" x14ac:dyDescent="0.25">
      <c r="B4906" s="23"/>
      <c r="E4906" s="23"/>
      <c r="G4906" s="23"/>
      <c r="H4906" s="23"/>
      <c r="J4906" s="23"/>
      <c r="K4906" s="23"/>
      <c r="M4906" s="23"/>
      <c r="N4906" s="23"/>
      <c r="P4906" s="23"/>
    </row>
    <row r="4907" spans="2:16" x14ac:dyDescent="0.25">
      <c r="B4907" s="23"/>
      <c r="E4907" s="23"/>
      <c r="G4907" s="23"/>
      <c r="H4907" s="23"/>
      <c r="J4907" s="23"/>
      <c r="K4907" s="23"/>
      <c r="M4907" s="23"/>
      <c r="N4907" s="23"/>
      <c r="P4907" s="23"/>
    </row>
    <row r="4908" spans="2:16" x14ac:dyDescent="0.25">
      <c r="B4908" s="23"/>
      <c r="E4908" s="23"/>
      <c r="G4908" s="23"/>
      <c r="H4908" s="23"/>
      <c r="J4908" s="23"/>
      <c r="K4908" s="23"/>
      <c r="M4908" s="23"/>
      <c r="N4908" s="23"/>
      <c r="P4908" s="23"/>
    </row>
    <row r="4909" spans="2:16" x14ac:dyDescent="0.25">
      <c r="B4909" s="23"/>
      <c r="E4909" s="23"/>
      <c r="G4909" s="23"/>
      <c r="H4909" s="23"/>
      <c r="J4909" s="23"/>
      <c r="K4909" s="23"/>
      <c r="M4909" s="23"/>
      <c r="N4909" s="23"/>
      <c r="P4909" s="23"/>
    </row>
    <row r="4910" spans="2:16" x14ac:dyDescent="0.25">
      <c r="B4910" s="23"/>
      <c r="E4910" s="23"/>
      <c r="G4910" s="23"/>
      <c r="H4910" s="23"/>
      <c r="J4910" s="23"/>
      <c r="K4910" s="23"/>
      <c r="M4910" s="23"/>
      <c r="N4910" s="23"/>
      <c r="P4910" s="23"/>
    </row>
    <row r="4911" spans="2:16" x14ac:dyDescent="0.25">
      <c r="B4911" s="23"/>
      <c r="E4911" s="23"/>
      <c r="G4911" s="23"/>
      <c r="H4911" s="23"/>
      <c r="J4911" s="23"/>
      <c r="K4911" s="23"/>
      <c r="M4911" s="23"/>
      <c r="N4911" s="23"/>
      <c r="P4911" s="23"/>
    </row>
    <row r="4912" spans="2:16" x14ac:dyDescent="0.25">
      <c r="B4912" s="23"/>
      <c r="E4912" s="23"/>
      <c r="G4912" s="23"/>
      <c r="H4912" s="23"/>
      <c r="J4912" s="23"/>
      <c r="K4912" s="23"/>
      <c r="M4912" s="23"/>
      <c r="N4912" s="23"/>
      <c r="P4912" s="23"/>
    </row>
    <row r="4913" spans="2:16" x14ac:dyDescent="0.25">
      <c r="B4913" s="23"/>
      <c r="E4913" s="23"/>
      <c r="G4913" s="23"/>
      <c r="H4913" s="23"/>
      <c r="J4913" s="23"/>
      <c r="K4913" s="23"/>
      <c r="M4913" s="23"/>
      <c r="N4913" s="23"/>
      <c r="P4913" s="23"/>
    </row>
    <row r="4914" spans="2:16" x14ac:dyDescent="0.25">
      <c r="B4914" s="23"/>
      <c r="E4914" s="23"/>
      <c r="G4914" s="23"/>
      <c r="H4914" s="23"/>
      <c r="J4914" s="23"/>
      <c r="K4914" s="23"/>
      <c r="M4914" s="23"/>
      <c r="N4914" s="23"/>
      <c r="P4914" s="23"/>
    </row>
    <row r="4915" spans="2:16" x14ac:dyDescent="0.25">
      <c r="B4915" s="23"/>
      <c r="E4915" s="23"/>
      <c r="G4915" s="23"/>
      <c r="H4915" s="23"/>
      <c r="J4915" s="23"/>
      <c r="K4915" s="23"/>
      <c r="M4915" s="23"/>
      <c r="N4915" s="23"/>
      <c r="P4915" s="23"/>
    </row>
    <row r="4916" spans="2:16" x14ac:dyDescent="0.25">
      <c r="B4916" s="23"/>
      <c r="E4916" s="23"/>
      <c r="G4916" s="23"/>
      <c r="H4916" s="23"/>
      <c r="J4916" s="23"/>
      <c r="K4916" s="23"/>
      <c r="M4916" s="23"/>
      <c r="N4916" s="23"/>
      <c r="P4916" s="23"/>
    </row>
    <row r="4917" spans="2:16" x14ac:dyDescent="0.25">
      <c r="B4917" s="23"/>
      <c r="E4917" s="23"/>
      <c r="G4917" s="23"/>
      <c r="H4917" s="23"/>
      <c r="J4917" s="23"/>
      <c r="K4917" s="23"/>
      <c r="M4917" s="23"/>
      <c r="N4917" s="23"/>
      <c r="P4917" s="23"/>
    </row>
    <row r="4918" spans="2:16" x14ac:dyDescent="0.25">
      <c r="B4918" s="23"/>
      <c r="E4918" s="23"/>
      <c r="G4918" s="23"/>
      <c r="H4918" s="23"/>
      <c r="J4918" s="23"/>
      <c r="K4918" s="23"/>
      <c r="M4918" s="23"/>
      <c r="N4918" s="23"/>
      <c r="P4918" s="23"/>
    </row>
    <row r="4919" spans="2:16" x14ac:dyDescent="0.25">
      <c r="B4919" s="23"/>
      <c r="E4919" s="23"/>
      <c r="G4919" s="23"/>
      <c r="H4919" s="23"/>
      <c r="J4919" s="23"/>
      <c r="K4919" s="23"/>
      <c r="M4919" s="23"/>
      <c r="N4919" s="23"/>
      <c r="P4919" s="23"/>
    </row>
    <row r="4920" spans="2:16" x14ac:dyDescent="0.25">
      <c r="B4920" s="23"/>
      <c r="E4920" s="23"/>
      <c r="G4920" s="23"/>
      <c r="H4920" s="23"/>
      <c r="J4920" s="23"/>
      <c r="K4920" s="23"/>
      <c r="M4920" s="23"/>
      <c r="N4920" s="23"/>
      <c r="P4920" s="23"/>
    </row>
    <row r="4921" spans="2:16" x14ac:dyDescent="0.25">
      <c r="B4921" s="23"/>
      <c r="E4921" s="23"/>
      <c r="G4921" s="23"/>
      <c r="H4921" s="23"/>
      <c r="J4921" s="23"/>
      <c r="K4921" s="23"/>
      <c r="M4921" s="23"/>
      <c r="N4921" s="23"/>
      <c r="P4921" s="23"/>
    </row>
    <row r="4922" spans="2:16" x14ac:dyDescent="0.25">
      <c r="B4922" s="23"/>
      <c r="E4922" s="23"/>
      <c r="G4922" s="23"/>
      <c r="H4922" s="23"/>
      <c r="J4922" s="23"/>
      <c r="K4922" s="23"/>
      <c r="M4922" s="23"/>
      <c r="N4922" s="23"/>
      <c r="P4922" s="23"/>
    </row>
    <row r="4923" spans="2:16" x14ac:dyDescent="0.25">
      <c r="B4923" s="23"/>
      <c r="E4923" s="23"/>
      <c r="G4923" s="23"/>
      <c r="H4923" s="23"/>
      <c r="J4923" s="23"/>
      <c r="K4923" s="23"/>
      <c r="M4923" s="23"/>
      <c r="N4923" s="23"/>
      <c r="P4923" s="23"/>
    </row>
    <row r="4924" spans="2:16" x14ac:dyDescent="0.25">
      <c r="B4924" s="23"/>
      <c r="E4924" s="23"/>
      <c r="G4924" s="23"/>
      <c r="H4924" s="23"/>
      <c r="J4924" s="23"/>
      <c r="K4924" s="23"/>
      <c r="M4924" s="23"/>
      <c r="N4924" s="23"/>
      <c r="P4924" s="23"/>
    </row>
    <row r="4925" spans="2:16" x14ac:dyDescent="0.25">
      <c r="B4925" s="23"/>
      <c r="E4925" s="23"/>
      <c r="G4925" s="23"/>
      <c r="H4925" s="23"/>
      <c r="J4925" s="23"/>
      <c r="K4925" s="23"/>
      <c r="M4925" s="23"/>
      <c r="N4925" s="23"/>
      <c r="P4925" s="23"/>
    </row>
    <row r="4926" spans="2:16" x14ac:dyDescent="0.25">
      <c r="B4926" s="23"/>
      <c r="E4926" s="23"/>
      <c r="G4926" s="23"/>
      <c r="H4926" s="23"/>
      <c r="J4926" s="23"/>
      <c r="K4926" s="23"/>
      <c r="M4926" s="23"/>
      <c r="N4926" s="23"/>
      <c r="P4926" s="23"/>
    </row>
    <row r="4927" spans="2:16" x14ac:dyDescent="0.25">
      <c r="B4927" s="23"/>
      <c r="E4927" s="23"/>
      <c r="G4927" s="23"/>
      <c r="H4927" s="23"/>
      <c r="J4927" s="23"/>
      <c r="K4927" s="23"/>
      <c r="M4927" s="23"/>
      <c r="N4927" s="23"/>
      <c r="P4927" s="23"/>
    </row>
    <row r="4928" spans="2:16" x14ac:dyDescent="0.25">
      <c r="B4928" s="23"/>
      <c r="E4928" s="23"/>
      <c r="G4928" s="23"/>
      <c r="H4928" s="23"/>
      <c r="J4928" s="23"/>
      <c r="K4928" s="23"/>
      <c r="M4928" s="23"/>
      <c r="N4928" s="23"/>
      <c r="P4928" s="23"/>
    </row>
    <row r="4929" spans="2:16" x14ac:dyDescent="0.25">
      <c r="B4929" s="23"/>
      <c r="E4929" s="23"/>
      <c r="G4929" s="23"/>
      <c r="H4929" s="23"/>
      <c r="J4929" s="23"/>
      <c r="K4929" s="23"/>
      <c r="M4929" s="23"/>
      <c r="N4929" s="23"/>
      <c r="P4929" s="23"/>
    </row>
    <row r="4930" spans="2:16" x14ac:dyDescent="0.25">
      <c r="B4930" s="23"/>
      <c r="E4930" s="23"/>
      <c r="G4930" s="23"/>
      <c r="H4930" s="23"/>
      <c r="J4930" s="23"/>
      <c r="K4930" s="23"/>
      <c r="M4930" s="23"/>
      <c r="N4930" s="23"/>
      <c r="P4930" s="23"/>
    </row>
    <row r="4931" spans="2:16" x14ac:dyDescent="0.25">
      <c r="B4931" s="23"/>
      <c r="E4931" s="23"/>
      <c r="G4931" s="23"/>
      <c r="H4931" s="23"/>
      <c r="J4931" s="23"/>
      <c r="K4931" s="23"/>
      <c r="M4931" s="23"/>
      <c r="N4931" s="23"/>
      <c r="P4931" s="23"/>
    </row>
    <row r="4932" spans="2:16" x14ac:dyDescent="0.25">
      <c r="B4932" s="23"/>
      <c r="E4932" s="23"/>
      <c r="G4932" s="23"/>
      <c r="H4932" s="23"/>
      <c r="J4932" s="23"/>
      <c r="K4932" s="23"/>
      <c r="M4932" s="23"/>
      <c r="N4932" s="23"/>
      <c r="P4932" s="23"/>
    </row>
    <row r="4933" spans="2:16" x14ac:dyDescent="0.25">
      <c r="B4933" s="23"/>
      <c r="E4933" s="23"/>
      <c r="G4933" s="23"/>
      <c r="H4933" s="23"/>
      <c r="J4933" s="23"/>
      <c r="K4933" s="23"/>
      <c r="M4933" s="23"/>
      <c r="N4933" s="23"/>
      <c r="P4933" s="23"/>
    </row>
    <row r="4934" spans="2:16" x14ac:dyDescent="0.25">
      <c r="B4934" s="23"/>
      <c r="E4934" s="23"/>
      <c r="G4934" s="23"/>
      <c r="H4934" s="23"/>
      <c r="J4934" s="23"/>
      <c r="K4934" s="23"/>
      <c r="M4934" s="23"/>
      <c r="N4934" s="23"/>
      <c r="P4934" s="23"/>
    </row>
    <row r="4935" spans="2:16" x14ac:dyDescent="0.25">
      <c r="B4935" s="23"/>
      <c r="E4935" s="23"/>
      <c r="G4935" s="23"/>
      <c r="H4935" s="23"/>
      <c r="J4935" s="23"/>
      <c r="K4935" s="23"/>
      <c r="M4935" s="23"/>
      <c r="N4935" s="23"/>
      <c r="P4935" s="23"/>
    </row>
    <row r="4936" spans="2:16" x14ac:dyDescent="0.25">
      <c r="B4936" s="23"/>
      <c r="E4936" s="23"/>
      <c r="G4936" s="23"/>
      <c r="H4936" s="23"/>
      <c r="J4936" s="23"/>
      <c r="K4936" s="23"/>
      <c r="M4936" s="23"/>
      <c r="N4936" s="23"/>
      <c r="P4936" s="23"/>
    </row>
    <row r="4937" spans="2:16" x14ac:dyDescent="0.25">
      <c r="B4937" s="23"/>
      <c r="E4937" s="23"/>
      <c r="G4937" s="23"/>
      <c r="H4937" s="23"/>
      <c r="J4937" s="23"/>
      <c r="K4937" s="23"/>
      <c r="M4937" s="23"/>
      <c r="N4937" s="23"/>
      <c r="P4937" s="23"/>
    </row>
    <row r="4938" spans="2:16" x14ac:dyDescent="0.25">
      <c r="B4938" s="23"/>
      <c r="E4938" s="23"/>
      <c r="G4938" s="23"/>
      <c r="H4938" s="23"/>
      <c r="J4938" s="23"/>
      <c r="K4938" s="23"/>
      <c r="M4938" s="23"/>
      <c r="N4938" s="23"/>
      <c r="P4938" s="23"/>
    </row>
    <row r="4939" spans="2:16" x14ac:dyDescent="0.25">
      <c r="B4939" s="23"/>
      <c r="E4939" s="23"/>
      <c r="G4939" s="23"/>
      <c r="H4939" s="23"/>
      <c r="J4939" s="23"/>
      <c r="K4939" s="23"/>
      <c r="M4939" s="23"/>
      <c r="N4939" s="23"/>
      <c r="P4939" s="23"/>
    </row>
    <row r="4940" spans="2:16" x14ac:dyDescent="0.25">
      <c r="B4940" s="23"/>
      <c r="E4940" s="23"/>
      <c r="G4940" s="23"/>
      <c r="H4940" s="23"/>
      <c r="J4940" s="23"/>
      <c r="K4940" s="23"/>
      <c r="M4940" s="23"/>
      <c r="N4940" s="23"/>
      <c r="P4940" s="23"/>
    </row>
    <row r="4941" spans="2:16" x14ac:dyDescent="0.25">
      <c r="B4941" s="23"/>
      <c r="E4941" s="23"/>
      <c r="G4941" s="23"/>
      <c r="H4941" s="23"/>
      <c r="J4941" s="23"/>
      <c r="K4941" s="23"/>
      <c r="M4941" s="23"/>
      <c r="N4941" s="23"/>
      <c r="P4941" s="23"/>
    </row>
    <row r="4942" spans="2:16" x14ac:dyDescent="0.25">
      <c r="B4942" s="23"/>
      <c r="E4942" s="23"/>
      <c r="G4942" s="23"/>
      <c r="H4942" s="23"/>
      <c r="J4942" s="23"/>
      <c r="K4942" s="23"/>
      <c r="M4942" s="23"/>
      <c r="N4942" s="23"/>
      <c r="P4942" s="23"/>
    </row>
    <row r="4943" spans="2:16" x14ac:dyDescent="0.25">
      <c r="B4943" s="23"/>
      <c r="E4943" s="23"/>
      <c r="G4943" s="23"/>
      <c r="H4943" s="23"/>
      <c r="J4943" s="23"/>
      <c r="K4943" s="23"/>
      <c r="M4943" s="23"/>
      <c r="N4943" s="23"/>
      <c r="P4943" s="23"/>
    </row>
    <row r="4944" spans="2:16" x14ac:dyDescent="0.25">
      <c r="B4944" s="23"/>
      <c r="E4944" s="23"/>
      <c r="G4944" s="23"/>
      <c r="H4944" s="23"/>
      <c r="J4944" s="23"/>
      <c r="K4944" s="23"/>
      <c r="M4944" s="23"/>
      <c r="N4944" s="23"/>
      <c r="P4944" s="23"/>
    </row>
    <row r="4945" spans="2:16" x14ac:dyDescent="0.25">
      <c r="B4945" s="23"/>
      <c r="E4945" s="23"/>
      <c r="G4945" s="23"/>
      <c r="H4945" s="23"/>
      <c r="J4945" s="23"/>
      <c r="K4945" s="23"/>
      <c r="M4945" s="23"/>
      <c r="N4945" s="23"/>
      <c r="P4945" s="23"/>
    </row>
    <row r="4946" spans="2:16" x14ac:dyDescent="0.25">
      <c r="B4946" s="23"/>
      <c r="E4946" s="23"/>
      <c r="G4946" s="23"/>
      <c r="H4946" s="23"/>
      <c r="J4946" s="23"/>
      <c r="K4946" s="23"/>
      <c r="M4946" s="23"/>
      <c r="N4946" s="23"/>
      <c r="P4946" s="23"/>
    </row>
    <row r="4947" spans="2:16" x14ac:dyDescent="0.25">
      <c r="B4947" s="23"/>
      <c r="E4947" s="23"/>
      <c r="G4947" s="23"/>
      <c r="H4947" s="23"/>
      <c r="J4947" s="23"/>
      <c r="K4947" s="23"/>
      <c r="M4947" s="23"/>
      <c r="N4947" s="23"/>
      <c r="P4947" s="23"/>
    </row>
    <row r="4948" spans="2:16" x14ac:dyDescent="0.25">
      <c r="B4948" s="23"/>
      <c r="E4948" s="23"/>
      <c r="G4948" s="23"/>
      <c r="H4948" s="23"/>
      <c r="J4948" s="23"/>
      <c r="K4948" s="23"/>
      <c r="M4948" s="23"/>
      <c r="N4948" s="23"/>
      <c r="P4948" s="23"/>
    </row>
    <row r="4949" spans="2:16" x14ac:dyDescent="0.25">
      <c r="B4949" s="23"/>
      <c r="E4949" s="23"/>
      <c r="G4949" s="23"/>
      <c r="H4949" s="23"/>
      <c r="J4949" s="23"/>
      <c r="K4949" s="23"/>
      <c r="M4949" s="23"/>
      <c r="N4949" s="23"/>
      <c r="P4949" s="23"/>
    </row>
    <row r="4950" spans="2:16" x14ac:dyDescent="0.25">
      <c r="B4950" s="23"/>
      <c r="E4950" s="23"/>
      <c r="G4950" s="23"/>
      <c r="H4950" s="23"/>
      <c r="J4950" s="23"/>
      <c r="K4950" s="23"/>
      <c r="M4950" s="23"/>
      <c r="N4950" s="23"/>
      <c r="P4950" s="23"/>
    </row>
    <row r="4951" spans="2:16" x14ac:dyDescent="0.25">
      <c r="B4951" s="23"/>
      <c r="E4951" s="23"/>
      <c r="G4951" s="23"/>
      <c r="H4951" s="23"/>
      <c r="J4951" s="23"/>
      <c r="K4951" s="23"/>
      <c r="M4951" s="23"/>
      <c r="N4951" s="23"/>
      <c r="P4951" s="23"/>
    </row>
    <row r="4952" spans="2:16" x14ac:dyDescent="0.25">
      <c r="B4952" s="23"/>
      <c r="E4952" s="23"/>
      <c r="G4952" s="23"/>
      <c r="H4952" s="23"/>
      <c r="J4952" s="23"/>
      <c r="K4952" s="23"/>
      <c r="M4952" s="23"/>
      <c r="N4952" s="23"/>
      <c r="P4952" s="23"/>
    </row>
    <row r="4953" spans="2:16" x14ac:dyDescent="0.25">
      <c r="B4953" s="23"/>
      <c r="E4953" s="23"/>
      <c r="G4953" s="23"/>
      <c r="H4953" s="23"/>
      <c r="J4953" s="23"/>
      <c r="K4953" s="23"/>
      <c r="M4953" s="23"/>
      <c r="N4953" s="23"/>
      <c r="P4953" s="23"/>
    </row>
    <row r="4954" spans="2:16" x14ac:dyDescent="0.25">
      <c r="B4954" s="23"/>
      <c r="E4954" s="23"/>
      <c r="G4954" s="23"/>
      <c r="H4954" s="23"/>
      <c r="J4954" s="23"/>
      <c r="K4954" s="23"/>
      <c r="M4954" s="23"/>
      <c r="N4954" s="23"/>
      <c r="P4954" s="23"/>
    </row>
    <row r="4955" spans="2:16" x14ac:dyDescent="0.25">
      <c r="B4955" s="23"/>
      <c r="E4955" s="23"/>
      <c r="G4955" s="23"/>
      <c r="H4955" s="23"/>
      <c r="J4955" s="23"/>
      <c r="K4955" s="23"/>
      <c r="M4955" s="23"/>
      <c r="N4955" s="23"/>
      <c r="P4955" s="23"/>
    </row>
    <row r="4956" spans="2:16" x14ac:dyDescent="0.25">
      <c r="B4956" s="23"/>
      <c r="E4956" s="23"/>
      <c r="G4956" s="23"/>
      <c r="H4956" s="23"/>
      <c r="J4956" s="23"/>
      <c r="K4956" s="23"/>
      <c r="M4956" s="23"/>
      <c r="N4956" s="23"/>
      <c r="P4956" s="23"/>
    </row>
    <row r="4957" spans="2:16" x14ac:dyDescent="0.25">
      <c r="B4957" s="23"/>
      <c r="E4957" s="23"/>
      <c r="G4957" s="23"/>
      <c r="H4957" s="23"/>
      <c r="J4957" s="23"/>
      <c r="K4957" s="23"/>
      <c r="M4957" s="23"/>
      <c r="N4957" s="23"/>
      <c r="P4957" s="23"/>
    </row>
    <row r="4958" spans="2:16" x14ac:dyDescent="0.25">
      <c r="B4958" s="23"/>
      <c r="E4958" s="23"/>
      <c r="G4958" s="23"/>
      <c r="H4958" s="23"/>
      <c r="J4958" s="23"/>
      <c r="K4958" s="23"/>
      <c r="M4958" s="23"/>
      <c r="N4958" s="23"/>
      <c r="P4958" s="23"/>
    </row>
    <row r="4959" spans="2:16" x14ac:dyDescent="0.25">
      <c r="B4959" s="23"/>
      <c r="E4959" s="23"/>
      <c r="G4959" s="23"/>
      <c r="H4959" s="23"/>
      <c r="J4959" s="23"/>
      <c r="K4959" s="23"/>
      <c r="M4959" s="23"/>
      <c r="N4959" s="23"/>
      <c r="P4959" s="23"/>
    </row>
    <row r="4960" spans="2:16" x14ac:dyDescent="0.25">
      <c r="B4960" s="23"/>
      <c r="E4960" s="23"/>
      <c r="G4960" s="23"/>
      <c r="H4960" s="23"/>
      <c r="J4960" s="23"/>
      <c r="K4960" s="23"/>
      <c r="M4960" s="23"/>
      <c r="N4960" s="23"/>
      <c r="P4960" s="23"/>
    </row>
    <row r="4961" spans="2:16" x14ac:dyDescent="0.25">
      <c r="B4961" s="23"/>
      <c r="E4961" s="23"/>
      <c r="G4961" s="23"/>
      <c r="H4961" s="23"/>
      <c r="J4961" s="23"/>
      <c r="K4961" s="23"/>
      <c r="M4961" s="23"/>
      <c r="N4961" s="23"/>
      <c r="P4961" s="23"/>
    </row>
    <row r="4962" spans="2:16" x14ac:dyDescent="0.25">
      <c r="B4962" s="23"/>
      <c r="E4962" s="23"/>
      <c r="G4962" s="23"/>
      <c r="H4962" s="23"/>
      <c r="J4962" s="23"/>
      <c r="K4962" s="23"/>
      <c r="M4962" s="23"/>
      <c r="N4962" s="23"/>
      <c r="P4962" s="23"/>
    </row>
    <row r="4963" spans="2:16" x14ac:dyDescent="0.25">
      <c r="B4963" s="23"/>
      <c r="E4963" s="23"/>
      <c r="G4963" s="23"/>
      <c r="H4963" s="23"/>
      <c r="J4963" s="23"/>
      <c r="K4963" s="23"/>
      <c r="M4963" s="23"/>
      <c r="N4963" s="23"/>
      <c r="P4963" s="23"/>
    </row>
    <row r="4964" spans="2:16" x14ac:dyDescent="0.25">
      <c r="B4964" s="23"/>
      <c r="E4964" s="23"/>
      <c r="G4964" s="23"/>
      <c r="H4964" s="23"/>
      <c r="J4964" s="23"/>
      <c r="K4964" s="23"/>
      <c r="M4964" s="23"/>
      <c r="N4964" s="23"/>
      <c r="P4964" s="23"/>
    </row>
    <row r="4965" spans="2:16" x14ac:dyDescent="0.25">
      <c r="B4965" s="23"/>
      <c r="E4965" s="23"/>
      <c r="G4965" s="23"/>
      <c r="H4965" s="23"/>
      <c r="J4965" s="23"/>
      <c r="K4965" s="23"/>
      <c r="M4965" s="23"/>
      <c r="N4965" s="23"/>
      <c r="P4965" s="23"/>
    </row>
    <row r="4966" spans="2:16" x14ac:dyDescent="0.25">
      <c r="B4966" s="23"/>
      <c r="E4966" s="23"/>
      <c r="G4966" s="23"/>
      <c r="H4966" s="23"/>
      <c r="J4966" s="23"/>
      <c r="K4966" s="23"/>
      <c r="M4966" s="23"/>
      <c r="N4966" s="23"/>
      <c r="P4966" s="23"/>
    </row>
    <row r="4967" spans="2:16" x14ac:dyDescent="0.25">
      <c r="B4967" s="23"/>
      <c r="E4967" s="23"/>
      <c r="G4967" s="23"/>
      <c r="H4967" s="23"/>
      <c r="J4967" s="23"/>
      <c r="K4967" s="23"/>
      <c r="M4967" s="23"/>
      <c r="N4967" s="23"/>
      <c r="P4967" s="23"/>
    </row>
    <row r="4968" spans="2:16" x14ac:dyDescent="0.25">
      <c r="B4968" s="23"/>
      <c r="E4968" s="23"/>
      <c r="G4968" s="23"/>
      <c r="H4968" s="23"/>
      <c r="J4968" s="23"/>
      <c r="K4968" s="23"/>
      <c r="M4968" s="23"/>
      <c r="N4968" s="23"/>
      <c r="P4968" s="23"/>
    </row>
    <row r="4969" spans="2:16" x14ac:dyDescent="0.25">
      <c r="B4969" s="23"/>
      <c r="E4969" s="23"/>
      <c r="G4969" s="23"/>
      <c r="H4969" s="23"/>
      <c r="J4969" s="23"/>
      <c r="K4969" s="23"/>
      <c r="M4969" s="23"/>
      <c r="N4969" s="23"/>
      <c r="P4969" s="23"/>
    </row>
    <row r="4970" spans="2:16" x14ac:dyDescent="0.25">
      <c r="B4970" s="23"/>
      <c r="E4970" s="23"/>
      <c r="G4970" s="23"/>
      <c r="H4970" s="23"/>
      <c r="J4970" s="23"/>
      <c r="K4970" s="23"/>
      <c r="M4970" s="23"/>
      <c r="N4970" s="23"/>
      <c r="P4970" s="23"/>
    </row>
    <row r="4971" spans="2:16" x14ac:dyDescent="0.25">
      <c r="B4971" s="23"/>
      <c r="E4971" s="23"/>
      <c r="G4971" s="23"/>
      <c r="H4971" s="23"/>
      <c r="J4971" s="23"/>
      <c r="K4971" s="23"/>
      <c r="M4971" s="23"/>
      <c r="N4971" s="23"/>
      <c r="P4971" s="23"/>
    </row>
    <row r="4972" spans="2:16" x14ac:dyDescent="0.25">
      <c r="B4972" s="23"/>
      <c r="E4972" s="23"/>
      <c r="G4972" s="23"/>
      <c r="H4972" s="23"/>
      <c r="J4972" s="23"/>
      <c r="K4972" s="23"/>
      <c r="M4972" s="23"/>
      <c r="N4972" s="23"/>
      <c r="P4972" s="23"/>
    </row>
    <row r="4973" spans="2:16" x14ac:dyDescent="0.25">
      <c r="B4973" s="23"/>
      <c r="E4973" s="23"/>
      <c r="G4973" s="23"/>
      <c r="H4973" s="23"/>
      <c r="J4973" s="23"/>
      <c r="K4973" s="23"/>
      <c r="M4973" s="23"/>
      <c r="N4973" s="23"/>
      <c r="P4973" s="23"/>
    </row>
    <row r="4974" spans="2:16" x14ac:dyDescent="0.25">
      <c r="B4974" s="23"/>
      <c r="E4974" s="23"/>
      <c r="G4974" s="23"/>
      <c r="H4974" s="23"/>
      <c r="J4974" s="23"/>
      <c r="K4974" s="23"/>
      <c r="M4974" s="23"/>
      <c r="N4974" s="23"/>
      <c r="P4974" s="23"/>
    </row>
    <row r="4975" spans="2:16" x14ac:dyDescent="0.25">
      <c r="B4975" s="23"/>
      <c r="E4975" s="23"/>
      <c r="G4975" s="23"/>
      <c r="H4975" s="23"/>
      <c r="J4975" s="23"/>
      <c r="K4975" s="23"/>
      <c r="M4975" s="23"/>
      <c r="N4975" s="23"/>
      <c r="P4975" s="23"/>
    </row>
    <row r="4976" spans="2:16" x14ac:dyDescent="0.25">
      <c r="B4976" s="23"/>
      <c r="E4976" s="23"/>
      <c r="G4976" s="23"/>
      <c r="H4976" s="23"/>
      <c r="J4976" s="23"/>
      <c r="K4976" s="23"/>
      <c r="M4976" s="23"/>
      <c r="N4976" s="23"/>
      <c r="P4976" s="23"/>
    </row>
    <row r="4977" spans="2:16" x14ac:dyDescent="0.25">
      <c r="B4977" s="23"/>
      <c r="E4977" s="23"/>
      <c r="G4977" s="23"/>
      <c r="H4977" s="23"/>
      <c r="J4977" s="23"/>
      <c r="K4977" s="23"/>
      <c r="M4977" s="23"/>
      <c r="N4977" s="23"/>
      <c r="P4977" s="23"/>
    </row>
    <row r="4978" spans="2:16" x14ac:dyDescent="0.25">
      <c r="B4978" s="23"/>
      <c r="E4978" s="23"/>
      <c r="G4978" s="23"/>
      <c r="H4978" s="23"/>
      <c r="J4978" s="23"/>
      <c r="K4978" s="23"/>
      <c r="M4978" s="23"/>
      <c r="N4978" s="23"/>
      <c r="P4978" s="23"/>
    </row>
    <row r="4979" spans="2:16" x14ac:dyDescent="0.25">
      <c r="B4979" s="23"/>
      <c r="E4979" s="23"/>
      <c r="G4979" s="23"/>
      <c r="H4979" s="23"/>
      <c r="J4979" s="23"/>
      <c r="K4979" s="23"/>
      <c r="M4979" s="23"/>
      <c r="N4979" s="23"/>
      <c r="P4979" s="23"/>
    </row>
    <row r="4980" spans="2:16" x14ac:dyDescent="0.25">
      <c r="B4980" s="23"/>
      <c r="E4980" s="23"/>
      <c r="G4980" s="23"/>
      <c r="H4980" s="23"/>
      <c r="J4980" s="23"/>
      <c r="K4980" s="23"/>
      <c r="M4980" s="23"/>
      <c r="N4980" s="23"/>
      <c r="P4980" s="23"/>
    </row>
    <row r="4981" spans="2:16" x14ac:dyDescent="0.25">
      <c r="B4981" s="23"/>
      <c r="E4981" s="23"/>
      <c r="G4981" s="23"/>
      <c r="H4981" s="23"/>
      <c r="J4981" s="23"/>
      <c r="K4981" s="23"/>
      <c r="M4981" s="23"/>
      <c r="N4981" s="23"/>
      <c r="P4981" s="23"/>
    </row>
    <row r="4982" spans="2:16" x14ac:dyDescent="0.25">
      <c r="B4982" s="23"/>
      <c r="E4982" s="23"/>
      <c r="G4982" s="23"/>
      <c r="H4982" s="23"/>
      <c r="J4982" s="23"/>
      <c r="K4982" s="23"/>
      <c r="M4982" s="23"/>
      <c r="N4982" s="23"/>
      <c r="P4982" s="23"/>
    </row>
    <row r="4983" spans="2:16" x14ac:dyDescent="0.25">
      <c r="B4983" s="23"/>
      <c r="E4983" s="23"/>
      <c r="G4983" s="23"/>
      <c r="H4983" s="23"/>
      <c r="J4983" s="23"/>
      <c r="K4983" s="23"/>
      <c r="M4983" s="23"/>
      <c r="N4983" s="23"/>
      <c r="P4983" s="23"/>
    </row>
    <row r="4984" spans="2:16" x14ac:dyDescent="0.25">
      <c r="B4984" s="23"/>
      <c r="E4984" s="23"/>
      <c r="G4984" s="23"/>
      <c r="H4984" s="23"/>
      <c r="J4984" s="23"/>
      <c r="K4984" s="23"/>
      <c r="M4984" s="23"/>
      <c r="N4984" s="23"/>
      <c r="P4984" s="23"/>
    </row>
    <row r="4985" spans="2:16" x14ac:dyDescent="0.25">
      <c r="B4985" s="23"/>
      <c r="E4985" s="23"/>
      <c r="G4985" s="23"/>
      <c r="H4985" s="23"/>
      <c r="J4985" s="23"/>
      <c r="K4985" s="23"/>
      <c r="M4985" s="23"/>
      <c r="N4985" s="23"/>
      <c r="P4985" s="23"/>
    </row>
    <row r="4986" spans="2:16" x14ac:dyDescent="0.25">
      <c r="B4986" s="23"/>
      <c r="E4986" s="23"/>
      <c r="G4986" s="23"/>
      <c r="H4986" s="23"/>
      <c r="J4986" s="23"/>
      <c r="K4986" s="23"/>
      <c r="M4986" s="23"/>
      <c r="N4986" s="23"/>
      <c r="P4986" s="23"/>
    </row>
    <row r="4987" spans="2:16" x14ac:dyDescent="0.25">
      <c r="B4987" s="23"/>
      <c r="E4987" s="23"/>
      <c r="G4987" s="23"/>
      <c r="H4987" s="23"/>
      <c r="J4987" s="23"/>
      <c r="K4987" s="23"/>
      <c r="M4987" s="23"/>
      <c r="N4987" s="23"/>
      <c r="P4987" s="23"/>
    </row>
    <row r="4988" spans="2:16" x14ac:dyDescent="0.25">
      <c r="B4988" s="23"/>
      <c r="E4988" s="23"/>
      <c r="G4988" s="23"/>
      <c r="H4988" s="23"/>
      <c r="J4988" s="23"/>
      <c r="K4988" s="23"/>
      <c r="M4988" s="23"/>
      <c r="N4988" s="23"/>
      <c r="P4988" s="23"/>
    </row>
    <row r="4989" spans="2:16" x14ac:dyDescent="0.25">
      <c r="B4989" s="23"/>
      <c r="E4989" s="23"/>
      <c r="G4989" s="23"/>
      <c r="H4989" s="23"/>
      <c r="J4989" s="23"/>
      <c r="K4989" s="23"/>
      <c r="M4989" s="23"/>
      <c r="N4989" s="23"/>
      <c r="P4989" s="23"/>
    </row>
    <row r="4990" spans="2:16" x14ac:dyDescent="0.25">
      <c r="B4990" s="23"/>
      <c r="E4990" s="23"/>
      <c r="G4990" s="23"/>
      <c r="H4990" s="23"/>
      <c r="J4990" s="23"/>
      <c r="K4990" s="23"/>
      <c r="M4990" s="23"/>
      <c r="N4990" s="23"/>
      <c r="P4990" s="23"/>
    </row>
    <row r="4991" spans="2:16" x14ac:dyDescent="0.25">
      <c r="B4991" s="23"/>
      <c r="E4991" s="23"/>
      <c r="G4991" s="23"/>
      <c r="H4991" s="23"/>
      <c r="J4991" s="23"/>
      <c r="K4991" s="23"/>
      <c r="M4991" s="23"/>
      <c r="N4991" s="23"/>
      <c r="P4991" s="23"/>
    </row>
    <row r="4992" spans="2:16" x14ac:dyDescent="0.25">
      <c r="B4992" s="23"/>
      <c r="E4992" s="23"/>
      <c r="G4992" s="23"/>
      <c r="H4992" s="23"/>
      <c r="J4992" s="23"/>
      <c r="K4992" s="23"/>
      <c r="M4992" s="23"/>
      <c r="N4992" s="23"/>
      <c r="P4992" s="23"/>
    </row>
    <row r="4993" spans="2:16" x14ac:dyDescent="0.25">
      <c r="B4993" s="23"/>
      <c r="E4993" s="23"/>
      <c r="G4993" s="23"/>
      <c r="H4993" s="23"/>
      <c r="J4993" s="23"/>
      <c r="K4993" s="23"/>
      <c r="M4993" s="23"/>
      <c r="N4993" s="23"/>
      <c r="P4993" s="23"/>
    </row>
    <row r="4994" spans="2:16" x14ac:dyDescent="0.25">
      <c r="B4994" s="23"/>
      <c r="E4994" s="23"/>
      <c r="G4994" s="23"/>
      <c r="H4994" s="23"/>
      <c r="J4994" s="23"/>
      <c r="K4994" s="23"/>
      <c r="M4994" s="23"/>
      <c r="N4994" s="23"/>
      <c r="P4994" s="23"/>
    </row>
    <row r="4995" spans="2:16" x14ac:dyDescent="0.25">
      <c r="B4995" s="23"/>
      <c r="E4995" s="23"/>
      <c r="G4995" s="23"/>
      <c r="H4995" s="23"/>
      <c r="J4995" s="23"/>
      <c r="K4995" s="23"/>
      <c r="M4995" s="23"/>
      <c r="N4995" s="23"/>
      <c r="P4995" s="23"/>
    </row>
    <row r="4996" spans="2:16" x14ac:dyDescent="0.25">
      <c r="B4996" s="23"/>
      <c r="E4996" s="23"/>
      <c r="G4996" s="23"/>
      <c r="H4996" s="23"/>
      <c r="J4996" s="23"/>
      <c r="K4996" s="23"/>
      <c r="M4996" s="23"/>
      <c r="N4996" s="23"/>
      <c r="P4996" s="23"/>
    </row>
    <row r="4997" spans="2:16" x14ac:dyDescent="0.25">
      <c r="B4997" s="23"/>
      <c r="E4997" s="23"/>
      <c r="G4997" s="23"/>
      <c r="H4997" s="23"/>
      <c r="J4997" s="23"/>
      <c r="K4997" s="23"/>
      <c r="M4997" s="23"/>
      <c r="N4997" s="23"/>
      <c r="P4997" s="23"/>
    </row>
    <row r="4998" spans="2:16" x14ac:dyDescent="0.25">
      <c r="B4998" s="23"/>
      <c r="E4998" s="23"/>
      <c r="G4998" s="23"/>
      <c r="H4998" s="23"/>
      <c r="J4998" s="23"/>
      <c r="K4998" s="23"/>
      <c r="M4998" s="23"/>
      <c r="N4998" s="23"/>
      <c r="P4998" s="23"/>
    </row>
    <row r="4999" spans="2:16" x14ac:dyDescent="0.25">
      <c r="B4999" s="23"/>
      <c r="E4999" s="23"/>
      <c r="G4999" s="23"/>
      <c r="H4999" s="23"/>
      <c r="J4999" s="23"/>
      <c r="K4999" s="23"/>
      <c r="M4999" s="23"/>
      <c r="N4999" s="23"/>
      <c r="P4999" s="23"/>
    </row>
    <row r="5000" spans="2:16" x14ac:dyDescent="0.25">
      <c r="B5000" s="23"/>
      <c r="E5000" s="23"/>
      <c r="G5000" s="23"/>
      <c r="H5000" s="23"/>
      <c r="J5000" s="23"/>
      <c r="K5000" s="23"/>
      <c r="M5000" s="23"/>
      <c r="N5000" s="23"/>
      <c r="P5000" s="23"/>
    </row>
    <row r="5001" spans="2:16" x14ac:dyDescent="0.25">
      <c r="B5001" s="23"/>
      <c r="E5001" s="23"/>
      <c r="G5001" s="23"/>
      <c r="H5001" s="23"/>
      <c r="J5001" s="23"/>
      <c r="K5001" s="23"/>
      <c r="M5001" s="23"/>
      <c r="N5001" s="23"/>
      <c r="P5001" s="23"/>
    </row>
    <row r="5002" spans="2:16" x14ac:dyDescent="0.25">
      <c r="B5002" s="23"/>
      <c r="E5002" s="23"/>
      <c r="G5002" s="23"/>
      <c r="H5002" s="23"/>
      <c r="J5002" s="23"/>
      <c r="K5002" s="23"/>
      <c r="M5002" s="23"/>
      <c r="N5002" s="23"/>
      <c r="P5002" s="23"/>
    </row>
    <row r="5003" spans="2:16" x14ac:dyDescent="0.25">
      <c r="B5003" s="23"/>
      <c r="E5003" s="23"/>
      <c r="G5003" s="23"/>
      <c r="H5003" s="23"/>
      <c r="J5003" s="23"/>
      <c r="K5003" s="23"/>
      <c r="M5003" s="23"/>
      <c r="N5003" s="23"/>
      <c r="P5003" s="23"/>
    </row>
    <row r="5004" spans="2:16" x14ac:dyDescent="0.25">
      <c r="B5004" s="23"/>
      <c r="E5004" s="23"/>
      <c r="G5004" s="23"/>
      <c r="H5004" s="23"/>
      <c r="J5004" s="23"/>
      <c r="K5004" s="23"/>
      <c r="M5004" s="23"/>
      <c r="N5004" s="23"/>
      <c r="P5004" s="23"/>
    </row>
    <row r="5005" spans="2:16" x14ac:dyDescent="0.25">
      <c r="B5005" s="23"/>
      <c r="E5005" s="23"/>
      <c r="G5005" s="23"/>
      <c r="H5005" s="23"/>
      <c r="J5005" s="23"/>
      <c r="K5005" s="23"/>
      <c r="M5005" s="23"/>
      <c r="N5005" s="23"/>
      <c r="P5005" s="23"/>
    </row>
    <row r="5006" spans="2:16" x14ac:dyDescent="0.25">
      <c r="B5006" s="23"/>
      <c r="E5006" s="23"/>
      <c r="G5006" s="23"/>
      <c r="H5006" s="23"/>
      <c r="J5006" s="23"/>
      <c r="K5006" s="23"/>
      <c r="M5006" s="23"/>
      <c r="N5006" s="23"/>
      <c r="P5006" s="23"/>
    </row>
    <row r="5007" spans="2:16" x14ac:dyDescent="0.25">
      <c r="B5007" s="23"/>
      <c r="E5007" s="23"/>
      <c r="G5007" s="23"/>
      <c r="H5007" s="23"/>
      <c r="J5007" s="23"/>
      <c r="K5007" s="23"/>
      <c r="M5007" s="23"/>
      <c r="N5007" s="23"/>
      <c r="P5007" s="23"/>
    </row>
    <row r="5008" spans="2:16" x14ac:dyDescent="0.25">
      <c r="B5008" s="23"/>
      <c r="E5008" s="23"/>
      <c r="G5008" s="23"/>
      <c r="H5008" s="23"/>
      <c r="J5008" s="23"/>
      <c r="K5008" s="23"/>
      <c r="M5008" s="23"/>
      <c r="N5008" s="23"/>
      <c r="P5008" s="23"/>
    </row>
    <row r="5009" spans="2:16" x14ac:dyDescent="0.25">
      <c r="B5009" s="23"/>
      <c r="E5009" s="23"/>
      <c r="G5009" s="23"/>
      <c r="H5009" s="23"/>
      <c r="J5009" s="23"/>
      <c r="K5009" s="23"/>
      <c r="M5009" s="23"/>
      <c r="N5009" s="23"/>
      <c r="P5009" s="23"/>
    </row>
    <row r="5010" spans="2:16" x14ac:dyDescent="0.25">
      <c r="B5010" s="23"/>
      <c r="E5010" s="23"/>
      <c r="G5010" s="23"/>
      <c r="H5010" s="23"/>
      <c r="J5010" s="23"/>
      <c r="K5010" s="23"/>
      <c r="M5010" s="23"/>
      <c r="N5010" s="23"/>
      <c r="P5010" s="23"/>
    </row>
    <row r="5011" spans="2:16" x14ac:dyDescent="0.25">
      <c r="B5011" s="23"/>
      <c r="E5011" s="23"/>
      <c r="G5011" s="23"/>
      <c r="H5011" s="23"/>
      <c r="J5011" s="23"/>
      <c r="K5011" s="23"/>
      <c r="M5011" s="23"/>
      <c r="N5011" s="23"/>
      <c r="P5011" s="23"/>
    </row>
    <row r="5012" spans="2:16" x14ac:dyDescent="0.25">
      <c r="B5012" s="23"/>
      <c r="E5012" s="23"/>
      <c r="G5012" s="23"/>
      <c r="H5012" s="23"/>
      <c r="J5012" s="23"/>
      <c r="K5012" s="23"/>
      <c r="M5012" s="23"/>
      <c r="N5012" s="23"/>
      <c r="P5012" s="23"/>
    </row>
    <row r="5013" spans="2:16" x14ac:dyDescent="0.25">
      <c r="B5013" s="23"/>
      <c r="E5013" s="23"/>
      <c r="G5013" s="23"/>
      <c r="H5013" s="23"/>
      <c r="J5013" s="23"/>
      <c r="K5013" s="23"/>
      <c r="M5013" s="23"/>
      <c r="N5013" s="23"/>
      <c r="P5013" s="23"/>
    </row>
    <row r="5014" spans="2:16" x14ac:dyDescent="0.25">
      <c r="B5014" s="23"/>
      <c r="E5014" s="23"/>
      <c r="G5014" s="23"/>
      <c r="H5014" s="23"/>
      <c r="J5014" s="23"/>
      <c r="K5014" s="23"/>
      <c r="M5014" s="23"/>
      <c r="N5014" s="23"/>
      <c r="P5014" s="23"/>
    </row>
    <row r="5015" spans="2:16" x14ac:dyDescent="0.25">
      <c r="B5015" s="23"/>
      <c r="E5015" s="23"/>
      <c r="G5015" s="23"/>
      <c r="H5015" s="23"/>
      <c r="J5015" s="23"/>
      <c r="K5015" s="23"/>
      <c r="M5015" s="23"/>
      <c r="N5015" s="23"/>
      <c r="P5015" s="23"/>
    </row>
    <row r="5016" spans="2:16" x14ac:dyDescent="0.25">
      <c r="B5016" s="23"/>
      <c r="E5016" s="23"/>
      <c r="G5016" s="23"/>
      <c r="H5016" s="23"/>
      <c r="J5016" s="23"/>
      <c r="K5016" s="23"/>
      <c r="M5016" s="23"/>
      <c r="N5016" s="23"/>
      <c r="P5016" s="23"/>
    </row>
    <row r="5017" spans="2:16" x14ac:dyDescent="0.25">
      <c r="B5017" s="23"/>
      <c r="E5017" s="23"/>
      <c r="G5017" s="23"/>
      <c r="H5017" s="23"/>
      <c r="J5017" s="23"/>
      <c r="K5017" s="23"/>
      <c r="M5017" s="23"/>
      <c r="N5017" s="23"/>
      <c r="P5017" s="23"/>
    </row>
    <row r="5018" spans="2:16" x14ac:dyDescent="0.25">
      <c r="B5018" s="23"/>
      <c r="E5018" s="23"/>
      <c r="G5018" s="23"/>
      <c r="H5018" s="23"/>
      <c r="J5018" s="23"/>
      <c r="K5018" s="23"/>
      <c r="M5018" s="23"/>
      <c r="N5018" s="23"/>
      <c r="P5018" s="23"/>
    </row>
    <row r="5019" spans="2:16" x14ac:dyDescent="0.25">
      <c r="B5019" s="23"/>
      <c r="E5019" s="23"/>
      <c r="G5019" s="23"/>
      <c r="H5019" s="23"/>
      <c r="J5019" s="23"/>
      <c r="K5019" s="23"/>
      <c r="M5019" s="23"/>
      <c r="N5019" s="23"/>
      <c r="P5019" s="23"/>
    </row>
    <row r="5020" spans="2:16" x14ac:dyDescent="0.25">
      <c r="B5020" s="23"/>
      <c r="E5020" s="23"/>
      <c r="G5020" s="23"/>
      <c r="H5020" s="23"/>
      <c r="J5020" s="23"/>
      <c r="K5020" s="23"/>
      <c r="M5020" s="23"/>
      <c r="N5020" s="23"/>
      <c r="P5020" s="23"/>
    </row>
    <row r="5021" spans="2:16" x14ac:dyDescent="0.25">
      <c r="B5021" s="23"/>
      <c r="E5021" s="23"/>
      <c r="G5021" s="23"/>
      <c r="H5021" s="23"/>
      <c r="J5021" s="23"/>
      <c r="K5021" s="23"/>
      <c r="M5021" s="23"/>
      <c r="N5021" s="23"/>
      <c r="P5021" s="23"/>
    </row>
    <row r="5022" spans="2:16" x14ac:dyDescent="0.25">
      <c r="B5022" s="23"/>
      <c r="E5022" s="23"/>
      <c r="G5022" s="23"/>
      <c r="H5022" s="23"/>
      <c r="J5022" s="23"/>
      <c r="K5022" s="23"/>
      <c r="M5022" s="23"/>
      <c r="N5022" s="23"/>
      <c r="P5022" s="23"/>
    </row>
    <row r="5023" spans="2:16" x14ac:dyDescent="0.25">
      <c r="B5023" s="23"/>
      <c r="E5023" s="23"/>
      <c r="G5023" s="23"/>
      <c r="H5023" s="23"/>
      <c r="J5023" s="23"/>
      <c r="K5023" s="23"/>
      <c r="M5023" s="23"/>
      <c r="N5023" s="23"/>
      <c r="P5023" s="23"/>
    </row>
    <row r="5024" spans="2:16" x14ac:dyDescent="0.25">
      <c r="B5024" s="23"/>
      <c r="E5024" s="23"/>
      <c r="G5024" s="23"/>
      <c r="H5024" s="23"/>
      <c r="J5024" s="23"/>
      <c r="K5024" s="23"/>
      <c r="M5024" s="23"/>
      <c r="N5024" s="23"/>
      <c r="P5024" s="23"/>
    </row>
    <row r="5025" spans="2:16" x14ac:dyDescent="0.25">
      <c r="B5025" s="23"/>
      <c r="E5025" s="23"/>
      <c r="G5025" s="23"/>
      <c r="H5025" s="23"/>
      <c r="J5025" s="23"/>
      <c r="K5025" s="23"/>
      <c r="M5025" s="23"/>
      <c r="N5025" s="23"/>
      <c r="P5025" s="23"/>
    </row>
    <row r="5026" spans="2:16" x14ac:dyDescent="0.25">
      <c r="B5026" s="23"/>
      <c r="E5026" s="23"/>
      <c r="G5026" s="23"/>
      <c r="H5026" s="23"/>
      <c r="J5026" s="23"/>
      <c r="K5026" s="23"/>
      <c r="M5026" s="23"/>
      <c r="N5026" s="23"/>
      <c r="P5026" s="23"/>
    </row>
    <row r="5027" spans="2:16" x14ac:dyDescent="0.25">
      <c r="B5027" s="23"/>
      <c r="E5027" s="23"/>
      <c r="G5027" s="23"/>
      <c r="H5027" s="23"/>
      <c r="J5027" s="23"/>
      <c r="K5027" s="23"/>
      <c r="M5027" s="23"/>
      <c r="N5027" s="23"/>
      <c r="P5027" s="23"/>
    </row>
    <row r="5028" spans="2:16" x14ac:dyDescent="0.25">
      <c r="B5028" s="23"/>
      <c r="E5028" s="23"/>
      <c r="G5028" s="23"/>
      <c r="H5028" s="23"/>
      <c r="J5028" s="23"/>
      <c r="K5028" s="23"/>
      <c r="M5028" s="23"/>
      <c r="N5028" s="23"/>
      <c r="P5028" s="23"/>
    </row>
    <row r="5029" spans="2:16" x14ac:dyDescent="0.25">
      <c r="B5029" s="23"/>
      <c r="E5029" s="23"/>
      <c r="G5029" s="23"/>
      <c r="H5029" s="23"/>
      <c r="J5029" s="23"/>
      <c r="K5029" s="23"/>
      <c r="M5029" s="23"/>
      <c r="N5029" s="23"/>
      <c r="P5029" s="23"/>
    </row>
    <row r="5030" spans="2:16" x14ac:dyDescent="0.25">
      <c r="B5030" s="23"/>
      <c r="E5030" s="23"/>
      <c r="G5030" s="23"/>
      <c r="H5030" s="23"/>
      <c r="J5030" s="23"/>
      <c r="K5030" s="23"/>
      <c r="M5030" s="23"/>
      <c r="N5030" s="23"/>
      <c r="P5030" s="23"/>
    </row>
    <row r="5031" spans="2:16" x14ac:dyDescent="0.25">
      <c r="B5031" s="23"/>
      <c r="E5031" s="23"/>
      <c r="G5031" s="23"/>
      <c r="H5031" s="23"/>
      <c r="J5031" s="23"/>
      <c r="K5031" s="23"/>
      <c r="M5031" s="23"/>
      <c r="N5031" s="23"/>
      <c r="P5031" s="23"/>
    </row>
    <row r="5032" spans="2:16" x14ac:dyDescent="0.25">
      <c r="B5032" s="23"/>
      <c r="E5032" s="23"/>
      <c r="G5032" s="23"/>
      <c r="H5032" s="23"/>
      <c r="J5032" s="23"/>
      <c r="K5032" s="23"/>
      <c r="M5032" s="23"/>
      <c r="N5032" s="23"/>
      <c r="P5032" s="23"/>
    </row>
    <row r="5033" spans="2:16" x14ac:dyDescent="0.25">
      <c r="B5033" s="23"/>
      <c r="E5033" s="23"/>
      <c r="G5033" s="23"/>
      <c r="H5033" s="23"/>
      <c r="J5033" s="23"/>
      <c r="K5033" s="23"/>
      <c r="M5033" s="23"/>
      <c r="N5033" s="23"/>
      <c r="P5033" s="23"/>
    </row>
    <row r="5034" spans="2:16" x14ac:dyDescent="0.25">
      <c r="B5034" s="23"/>
      <c r="E5034" s="23"/>
      <c r="G5034" s="23"/>
      <c r="H5034" s="23"/>
      <c r="J5034" s="23"/>
      <c r="K5034" s="23"/>
      <c r="M5034" s="23"/>
      <c r="N5034" s="23"/>
      <c r="P5034" s="23"/>
    </row>
    <row r="5035" spans="2:16" x14ac:dyDescent="0.25">
      <c r="B5035" s="23"/>
      <c r="E5035" s="23"/>
      <c r="G5035" s="23"/>
      <c r="H5035" s="23"/>
      <c r="J5035" s="23"/>
      <c r="K5035" s="23"/>
      <c r="M5035" s="23"/>
      <c r="N5035" s="23"/>
      <c r="P5035" s="23"/>
    </row>
    <row r="5036" spans="2:16" x14ac:dyDescent="0.25">
      <c r="B5036" s="23"/>
      <c r="E5036" s="23"/>
      <c r="G5036" s="23"/>
      <c r="H5036" s="23"/>
      <c r="J5036" s="23"/>
      <c r="K5036" s="23"/>
      <c r="M5036" s="23"/>
      <c r="N5036" s="23"/>
      <c r="P5036" s="23"/>
    </row>
    <row r="5037" spans="2:16" x14ac:dyDescent="0.25">
      <c r="B5037" s="23"/>
      <c r="E5037" s="23"/>
      <c r="G5037" s="23"/>
      <c r="H5037" s="23"/>
      <c r="J5037" s="23"/>
      <c r="K5037" s="23"/>
      <c r="M5037" s="23"/>
      <c r="N5037" s="23"/>
      <c r="P5037" s="23"/>
    </row>
    <row r="5038" spans="2:16" x14ac:dyDescent="0.25">
      <c r="B5038" s="23"/>
      <c r="E5038" s="23"/>
      <c r="G5038" s="23"/>
      <c r="H5038" s="23"/>
      <c r="J5038" s="23"/>
      <c r="K5038" s="23"/>
      <c r="M5038" s="23"/>
      <c r="N5038" s="23"/>
      <c r="P5038" s="23"/>
    </row>
    <row r="5039" spans="2:16" x14ac:dyDescent="0.25">
      <c r="B5039" s="23"/>
      <c r="E5039" s="23"/>
      <c r="G5039" s="23"/>
      <c r="H5039" s="23"/>
      <c r="J5039" s="23"/>
      <c r="K5039" s="23"/>
      <c r="M5039" s="23"/>
      <c r="N5039" s="23"/>
      <c r="P5039" s="23"/>
    </row>
    <row r="5040" spans="2:16" x14ac:dyDescent="0.25">
      <c r="B5040" s="23"/>
      <c r="E5040" s="23"/>
      <c r="G5040" s="23"/>
      <c r="H5040" s="23"/>
      <c r="J5040" s="23"/>
      <c r="K5040" s="23"/>
      <c r="M5040" s="23"/>
      <c r="N5040" s="23"/>
      <c r="P5040" s="23"/>
    </row>
    <row r="5041" spans="2:16" x14ac:dyDescent="0.25">
      <c r="B5041" s="23"/>
      <c r="E5041" s="23"/>
      <c r="G5041" s="23"/>
      <c r="H5041" s="23"/>
      <c r="J5041" s="23"/>
      <c r="K5041" s="23"/>
      <c r="M5041" s="23"/>
      <c r="N5041" s="23"/>
      <c r="P5041" s="23"/>
    </row>
    <row r="5042" spans="2:16" x14ac:dyDescent="0.25">
      <c r="B5042" s="23"/>
      <c r="E5042" s="23"/>
      <c r="G5042" s="23"/>
      <c r="H5042" s="23"/>
      <c r="J5042" s="23"/>
      <c r="K5042" s="23"/>
      <c r="M5042" s="23"/>
      <c r="N5042" s="23"/>
      <c r="P5042" s="23"/>
    </row>
    <row r="5043" spans="2:16" x14ac:dyDescent="0.25">
      <c r="B5043" s="23"/>
      <c r="E5043" s="23"/>
      <c r="G5043" s="23"/>
      <c r="H5043" s="23"/>
      <c r="J5043" s="23"/>
      <c r="K5043" s="23"/>
      <c r="M5043" s="23"/>
      <c r="N5043" s="23"/>
      <c r="P5043" s="23"/>
    </row>
    <row r="5044" spans="2:16" x14ac:dyDescent="0.25">
      <c r="B5044" s="23"/>
      <c r="E5044" s="23"/>
      <c r="G5044" s="23"/>
      <c r="H5044" s="23"/>
      <c r="J5044" s="23"/>
      <c r="K5044" s="23"/>
      <c r="M5044" s="23"/>
      <c r="N5044" s="23"/>
      <c r="P5044" s="23"/>
    </row>
    <row r="5045" spans="2:16" x14ac:dyDescent="0.25">
      <c r="B5045" s="23"/>
      <c r="E5045" s="23"/>
      <c r="G5045" s="23"/>
      <c r="H5045" s="23"/>
      <c r="J5045" s="23"/>
      <c r="K5045" s="23"/>
      <c r="M5045" s="23"/>
      <c r="N5045" s="23"/>
      <c r="P5045" s="23"/>
    </row>
    <row r="5046" spans="2:16" x14ac:dyDescent="0.25">
      <c r="B5046" s="23"/>
      <c r="E5046" s="23"/>
      <c r="G5046" s="23"/>
      <c r="H5046" s="23"/>
      <c r="J5046" s="23"/>
      <c r="K5046" s="23"/>
      <c r="M5046" s="23"/>
      <c r="N5046" s="23"/>
      <c r="P5046" s="23"/>
    </row>
    <row r="5047" spans="2:16" x14ac:dyDescent="0.25">
      <c r="B5047" s="23"/>
      <c r="E5047" s="23"/>
      <c r="G5047" s="23"/>
      <c r="H5047" s="23"/>
      <c r="J5047" s="23"/>
      <c r="K5047" s="23"/>
      <c r="M5047" s="23"/>
      <c r="N5047" s="23"/>
      <c r="P5047" s="23"/>
    </row>
    <row r="5048" spans="2:16" x14ac:dyDescent="0.25">
      <c r="B5048" s="23"/>
      <c r="E5048" s="23"/>
      <c r="G5048" s="23"/>
      <c r="H5048" s="23"/>
      <c r="J5048" s="23"/>
      <c r="K5048" s="23"/>
      <c r="M5048" s="23"/>
      <c r="N5048" s="23"/>
      <c r="P5048" s="23"/>
    </row>
    <row r="5049" spans="2:16" x14ac:dyDescent="0.25">
      <c r="B5049" s="23"/>
      <c r="E5049" s="23"/>
      <c r="G5049" s="23"/>
      <c r="H5049" s="23"/>
      <c r="J5049" s="23"/>
      <c r="K5049" s="23"/>
      <c r="M5049" s="23"/>
      <c r="N5049" s="23"/>
      <c r="P5049" s="23"/>
    </row>
    <row r="5050" spans="2:16" x14ac:dyDescent="0.25">
      <c r="B5050" s="23"/>
      <c r="E5050" s="23"/>
      <c r="G5050" s="23"/>
      <c r="H5050" s="23"/>
      <c r="J5050" s="23"/>
      <c r="K5050" s="23"/>
      <c r="M5050" s="23"/>
      <c r="N5050" s="23"/>
      <c r="P5050" s="23"/>
    </row>
    <row r="5051" spans="2:16" x14ac:dyDescent="0.25">
      <c r="B5051" s="23"/>
      <c r="E5051" s="23"/>
      <c r="G5051" s="23"/>
      <c r="H5051" s="23"/>
      <c r="J5051" s="23"/>
      <c r="K5051" s="23"/>
      <c r="M5051" s="23"/>
      <c r="N5051" s="23"/>
      <c r="P5051" s="23"/>
    </row>
    <row r="5052" spans="2:16" x14ac:dyDescent="0.25">
      <c r="B5052" s="23"/>
      <c r="E5052" s="23"/>
      <c r="G5052" s="23"/>
      <c r="H5052" s="23"/>
      <c r="J5052" s="23"/>
      <c r="K5052" s="23"/>
      <c r="M5052" s="23"/>
      <c r="N5052" s="23"/>
      <c r="P5052" s="23"/>
    </row>
    <row r="5053" spans="2:16" x14ac:dyDescent="0.25">
      <c r="B5053" s="23"/>
      <c r="E5053" s="23"/>
      <c r="G5053" s="23"/>
      <c r="H5053" s="23"/>
      <c r="J5053" s="23"/>
      <c r="K5053" s="23"/>
      <c r="M5053" s="23"/>
      <c r="N5053" s="23"/>
      <c r="P5053" s="23"/>
    </row>
    <row r="5054" spans="2:16" x14ac:dyDescent="0.25">
      <c r="B5054" s="23"/>
      <c r="E5054" s="23"/>
      <c r="G5054" s="23"/>
      <c r="H5054" s="23"/>
      <c r="J5054" s="23"/>
      <c r="K5054" s="23"/>
      <c r="M5054" s="23"/>
      <c r="N5054" s="23"/>
      <c r="P5054" s="23"/>
    </row>
    <row r="5055" spans="2:16" x14ac:dyDescent="0.25">
      <c r="B5055" s="23"/>
      <c r="E5055" s="23"/>
      <c r="G5055" s="23"/>
      <c r="H5055" s="23"/>
      <c r="J5055" s="23"/>
      <c r="K5055" s="23"/>
      <c r="M5055" s="23"/>
      <c r="N5055" s="23"/>
      <c r="P5055" s="23"/>
    </row>
    <row r="5056" spans="2:16" x14ac:dyDescent="0.25">
      <c r="B5056" s="23"/>
      <c r="E5056" s="23"/>
      <c r="G5056" s="23"/>
      <c r="H5056" s="23"/>
      <c r="J5056" s="23"/>
      <c r="K5056" s="23"/>
      <c r="M5056" s="23"/>
      <c r="N5056" s="23"/>
      <c r="P5056" s="23"/>
    </row>
    <row r="5057" spans="2:16" x14ac:dyDescent="0.25">
      <c r="B5057" s="23"/>
      <c r="E5057" s="23"/>
      <c r="G5057" s="23"/>
      <c r="H5057" s="23"/>
      <c r="J5057" s="23"/>
      <c r="K5057" s="23"/>
      <c r="M5057" s="23"/>
      <c r="N5057" s="23"/>
      <c r="P5057" s="23"/>
    </row>
    <row r="5058" spans="2:16" x14ac:dyDescent="0.25">
      <c r="B5058" s="23"/>
      <c r="E5058" s="23"/>
      <c r="G5058" s="23"/>
      <c r="H5058" s="23"/>
      <c r="J5058" s="23"/>
      <c r="K5058" s="23"/>
      <c r="M5058" s="23"/>
      <c r="N5058" s="23"/>
      <c r="P5058" s="23"/>
    </row>
    <row r="5059" spans="2:16" x14ac:dyDescent="0.25">
      <c r="B5059" s="23"/>
      <c r="E5059" s="23"/>
      <c r="G5059" s="23"/>
      <c r="H5059" s="23"/>
      <c r="J5059" s="23"/>
      <c r="K5059" s="23"/>
      <c r="M5059" s="23"/>
      <c r="N5059" s="23"/>
      <c r="P5059" s="23"/>
    </row>
    <row r="5060" spans="2:16" x14ac:dyDescent="0.25">
      <c r="B5060" s="23"/>
      <c r="E5060" s="23"/>
      <c r="G5060" s="23"/>
      <c r="H5060" s="23"/>
      <c r="J5060" s="23"/>
      <c r="K5060" s="23"/>
      <c r="M5060" s="23"/>
      <c r="N5060" s="23"/>
      <c r="P5060" s="23"/>
    </row>
    <row r="5061" spans="2:16" x14ac:dyDescent="0.25">
      <c r="B5061" s="23"/>
      <c r="E5061" s="23"/>
      <c r="G5061" s="23"/>
      <c r="H5061" s="23"/>
      <c r="J5061" s="23"/>
      <c r="K5061" s="23"/>
      <c r="M5061" s="23"/>
      <c r="N5061" s="23"/>
      <c r="P5061" s="23"/>
    </row>
    <row r="5062" spans="2:16" x14ac:dyDescent="0.25">
      <c r="B5062" s="23"/>
      <c r="E5062" s="23"/>
      <c r="G5062" s="23"/>
      <c r="H5062" s="23"/>
      <c r="J5062" s="23"/>
      <c r="K5062" s="23"/>
      <c r="M5062" s="23"/>
      <c r="N5062" s="23"/>
      <c r="P5062" s="23"/>
    </row>
    <row r="5063" spans="2:16" x14ac:dyDescent="0.25">
      <c r="B5063" s="23"/>
      <c r="E5063" s="23"/>
      <c r="G5063" s="23"/>
      <c r="H5063" s="23"/>
      <c r="J5063" s="23"/>
      <c r="K5063" s="23"/>
      <c r="M5063" s="23"/>
      <c r="N5063" s="23"/>
      <c r="P5063" s="23"/>
    </row>
    <row r="5064" spans="2:16" x14ac:dyDescent="0.25">
      <c r="B5064" s="23"/>
      <c r="E5064" s="23"/>
      <c r="G5064" s="23"/>
      <c r="H5064" s="23"/>
      <c r="J5064" s="23"/>
      <c r="K5064" s="23"/>
      <c r="M5064" s="23"/>
      <c r="N5064" s="23"/>
      <c r="P5064" s="23"/>
    </row>
    <row r="5065" spans="2:16" x14ac:dyDescent="0.25">
      <c r="B5065" s="23"/>
      <c r="E5065" s="23"/>
      <c r="G5065" s="23"/>
      <c r="H5065" s="23"/>
      <c r="J5065" s="23"/>
      <c r="K5065" s="23"/>
      <c r="M5065" s="23"/>
      <c r="N5065" s="23"/>
      <c r="P5065" s="23"/>
    </row>
    <row r="5066" spans="2:16" x14ac:dyDescent="0.25">
      <c r="B5066" s="23"/>
      <c r="E5066" s="23"/>
      <c r="G5066" s="23"/>
      <c r="H5066" s="23"/>
      <c r="J5066" s="23"/>
      <c r="K5066" s="23"/>
      <c r="M5066" s="23"/>
      <c r="N5066" s="23"/>
      <c r="P5066" s="23"/>
    </row>
    <row r="5067" spans="2:16" x14ac:dyDescent="0.25">
      <c r="B5067" s="23"/>
      <c r="E5067" s="23"/>
      <c r="G5067" s="23"/>
      <c r="H5067" s="23"/>
      <c r="J5067" s="23"/>
      <c r="K5067" s="23"/>
      <c r="M5067" s="23"/>
      <c r="N5067" s="23"/>
      <c r="P5067" s="23"/>
    </row>
    <row r="5068" spans="2:16" x14ac:dyDescent="0.25">
      <c r="B5068" s="23"/>
      <c r="E5068" s="23"/>
      <c r="G5068" s="23"/>
      <c r="H5068" s="23"/>
      <c r="J5068" s="23"/>
      <c r="K5068" s="23"/>
      <c r="M5068" s="23"/>
      <c r="N5068" s="23"/>
      <c r="P5068" s="23"/>
    </row>
    <row r="5069" spans="2:16" x14ac:dyDescent="0.25">
      <c r="B5069" s="23"/>
      <c r="E5069" s="23"/>
      <c r="G5069" s="23"/>
      <c r="H5069" s="23"/>
      <c r="J5069" s="23"/>
      <c r="K5069" s="23"/>
      <c r="M5069" s="23"/>
      <c r="N5069" s="23"/>
      <c r="P5069" s="23"/>
    </row>
    <row r="5070" spans="2:16" x14ac:dyDescent="0.25">
      <c r="B5070" s="23"/>
      <c r="E5070" s="23"/>
      <c r="G5070" s="23"/>
      <c r="H5070" s="23"/>
      <c r="J5070" s="23"/>
      <c r="K5070" s="23"/>
      <c r="M5070" s="23"/>
      <c r="N5070" s="23"/>
      <c r="P5070" s="23"/>
    </row>
    <row r="5071" spans="2:16" x14ac:dyDescent="0.25">
      <c r="B5071" s="23"/>
      <c r="E5071" s="23"/>
      <c r="G5071" s="23"/>
      <c r="H5071" s="23"/>
      <c r="J5071" s="23"/>
      <c r="K5071" s="23"/>
      <c r="M5071" s="23"/>
      <c r="N5071" s="23"/>
      <c r="P5071" s="23"/>
    </row>
    <row r="5072" spans="2:16" x14ac:dyDescent="0.25">
      <c r="B5072" s="23"/>
      <c r="E5072" s="23"/>
      <c r="G5072" s="23"/>
      <c r="H5072" s="23"/>
      <c r="J5072" s="23"/>
      <c r="K5072" s="23"/>
      <c r="M5072" s="23"/>
      <c r="N5072" s="23"/>
      <c r="P5072" s="23"/>
    </row>
    <row r="5073" spans="2:16" x14ac:dyDescent="0.25">
      <c r="B5073" s="23"/>
      <c r="E5073" s="23"/>
      <c r="G5073" s="23"/>
      <c r="H5073" s="23"/>
      <c r="J5073" s="23"/>
      <c r="K5073" s="23"/>
      <c r="M5073" s="23"/>
      <c r="N5073" s="23"/>
      <c r="P5073" s="23"/>
    </row>
    <row r="5074" spans="2:16" x14ac:dyDescent="0.25">
      <c r="B5074" s="23"/>
      <c r="E5074" s="23"/>
      <c r="G5074" s="23"/>
      <c r="H5074" s="23"/>
      <c r="J5074" s="23"/>
      <c r="K5074" s="23"/>
      <c r="M5074" s="23"/>
      <c r="N5074" s="23"/>
      <c r="P5074" s="23"/>
    </row>
    <row r="5075" spans="2:16" x14ac:dyDescent="0.25">
      <c r="B5075" s="23"/>
      <c r="E5075" s="23"/>
      <c r="G5075" s="23"/>
      <c r="H5075" s="23"/>
      <c r="J5075" s="23"/>
      <c r="K5075" s="23"/>
      <c r="M5075" s="23"/>
      <c r="N5075" s="23"/>
      <c r="P5075" s="23"/>
    </row>
    <row r="5076" spans="2:16" x14ac:dyDescent="0.25">
      <c r="B5076" s="23"/>
      <c r="E5076" s="23"/>
      <c r="G5076" s="23"/>
      <c r="H5076" s="23"/>
      <c r="J5076" s="23"/>
      <c r="K5076" s="23"/>
      <c r="M5076" s="23"/>
      <c r="N5076" s="23"/>
      <c r="P5076" s="23"/>
    </row>
    <row r="5077" spans="2:16" x14ac:dyDescent="0.25">
      <c r="B5077" s="23"/>
      <c r="E5077" s="23"/>
      <c r="G5077" s="23"/>
      <c r="H5077" s="23"/>
      <c r="J5077" s="23"/>
      <c r="K5077" s="23"/>
      <c r="M5077" s="23"/>
      <c r="N5077" s="23"/>
      <c r="P5077" s="23"/>
    </row>
    <row r="5078" spans="2:16" x14ac:dyDescent="0.25">
      <c r="B5078" s="23"/>
      <c r="E5078" s="23"/>
      <c r="G5078" s="23"/>
      <c r="H5078" s="23"/>
      <c r="J5078" s="23"/>
      <c r="K5078" s="23"/>
      <c r="M5078" s="23"/>
      <c r="N5078" s="23"/>
      <c r="P5078" s="23"/>
    </row>
    <row r="5079" spans="2:16" x14ac:dyDescent="0.25">
      <c r="B5079" s="23"/>
      <c r="E5079" s="23"/>
      <c r="G5079" s="23"/>
      <c r="H5079" s="23"/>
      <c r="J5079" s="23"/>
      <c r="K5079" s="23"/>
      <c r="M5079" s="23"/>
      <c r="N5079" s="23"/>
      <c r="P5079" s="23"/>
    </row>
    <row r="5080" spans="2:16" x14ac:dyDescent="0.25">
      <c r="B5080" s="23"/>
      <c r="E5080" s="23"/>
      <c r="G5080" s="23"/>
      <c r="H5080" s="23"/>
      <c r="J5080" s="23"/>
      <c r="K5080" s="23"/>
      <c r="M5080" s="23"/>
      <c r="N5080" s="23"/>
      <c r="P5080" s="23"/>
    </row>
    <row r="5081" spans="2:16" x14ac:dyDescent="0.25">
      <c r="B5081" s="23"/>
      <c r="E5081" s="23"/>
      <c r="G5081" s="23"/>
      <c r="H5081" s="23"/>
      <c r="J5081" s="23"/>
      <c r="K5081" s="23"/>
      <c r="M5081" s="23"/>
      <c r="N5081" s="23"/>
      <c r="P5081" s="23"/>
    </row>
    <row r="5082" spans="2:16" x14ac:dyDescent="0.25">
      <c r="B5082" s="23"/>
      <c r="E5082" s="23"/>
      <c r="G5082" s="23"/>
      <c r="H5082" s="23"/>
      <c r="J5082" s="23"/>
      <c r="K5082" s="23"/>
      <c r="M5082" s="23"/>
      <c r="N5082" s="23"/>
      <c r="P5082" s="23"/>
    </row>
    <row r="5083" spans="2:16" x14ac:dyDescent="0.25">
      <c r="B5083" s="23"/>
      <c r="E5083" s="23"/>
      <c r="G5083" s="23"/>
      <c r="H5083" s="23"/>
      <c r="J5083" s="23"/>
      <c r="K5083" s="23"/>
      <c r="M5083" s="23"/>
      <c r="N5083" s="23"/>
      <c r="P5083" s="23"/>
    </row>
    <row r="5084" spans="2:16" x14ac:dyDescent="0.25">
      <c r="B5084" s="23"/>
      <c r="E5084" s="23"/>
      <c r="G5084" s="23"/>
      <c r="H5084" s="23"/>
      <c r="J5084" s="23"/>
      <c r="K5084" s="23"/>
      <c r="M5084" s="23"/>
      <c r="N5084" s="23"/>
      <c r="P5084" s="23"/>
    </row>
    <row r="5085" spans="2:16" x14ac:dyDescent="0.25">
      <c r="B5085" s="23"/>
      <c r="E5085" s="23"/>
      <c r="G5085" s="23"/>
      <c r="H5085" s="23"/>
      <c r="J5085" s="23"/>
      <c r="K5085" s="23"/>
      <c r="M5085" s="23"/>
      <c r="N5085" s="23"/>
      <c r="P5085" s="23"/>
    </row>
    <row r="5086" spans="2:16" x14ac:dyDescent="0.25">
      <c r="B5086" s="23"/>
      <c r="E5086" s="23"/>
      <c r="G5086" s="23"/>
      <c r="H5086" s="23"/>
      <c r="J5086" s="23"/>
      <c r="K5086" s="23"/>
      <c r="M5086" s="23"/>
      <c r="N5086" s="23"/>
      <c r="P5086" s="23"/>
    </row>
    <row r="5087" spans="2:16" x14ac:dyDescent="0.25">
      <c r="B5087" s="23"/>
      <c r="E5087" s="23"/>
      <c r="G5087" s="23"/>
      <c r="H5087" s="23"/>
      <c r="J5087" s="23"/>
      <c r="K5087" s="23"/>
      <c r="M5087" s="23"/>
      <c r="N5087" s="23"/>
      <c r="P5087" s="23"/>
    </row>
    <row r="5088" spans="2:16" x14ac:dyDescent="0.25">
      <c r="B5088" s="23"/>
      <c r="E5088" s="23"/>
      <c r="G5088" s="23"/>
      <c r="H5088" s="23"/>
      <c r="J5088" s="23"/>
      <c r="K5088" s="23"/>
      <c r="M5088" s="23"/>
      <c r="N5088" s="23"/>
      <c r="P5088" s="23"/>
    </row>
    <row r="5089" spans="2:16" x14ac:dyDescent="0.25">
      <c r="B5089" s="23"/>
      <c r="E5089" s="23"/>
      <c r="G5089" s="23"/>
      <c r="H5089" s="23"/>
      <c r="J5089" s="23"/>
      <c r="K5089" s="23"/>
      <c r="M5089" s="23"/>
      <c r="N5089" s="23"/>
      <c r="P5089" s="23"/>
    </row>
    <row r="5090" spans="2:16" x14ac:dyDescent="0.25">
      <c r="B5090" s="23"/>
      <c r="E5090" s="23"/>
      <c r="G5090" s="23"/>
      <c r="H5090" s="23"/>
      <c r="J5090" s="23"/>
      <c r="K5090" s="23"/>
      <c r="M5090" s="23"/>
      <c r="N5090" s="23"/>
      <c r="P5090" s="23"/>
    </row>
    <row r="5091" spans="2:16" x14ac:dyDescent="0.25">
      <c r="B5091" s="23"/>
      <c r="E5091" s="23"/>
      <c r="G5091" s="23"/>
      <c r="H5091" s="23"/>
      <c r="J5091" s="23"/>
      <c r="K5091" s="23"/>
      <c r="M5091" s="23"/>
      <c r="N5091" s="23"/>
      <c r="P5091" s="23"/>
    </row>
    <row r="5092" spans="2:16" x14ac:dyDescent="0.25">
      <c r="B5092" s="23"/>
      <c r="E5092" s="23"/>
      <c r="G5092" s="23"/>
      <c r="H5092" s="23"/>
      <c r="J5092" s="23"/>
      <c r="K5092" s="23"/>
      <c r="M5092" s="23"/>
      <c r="N5092" s="23"/>
      <c r="P5092" s="23"/>
    </row>
    <row r="5093" spans="2:16" x14ac:dyDescent="0.25">
      <c r="B5093" s="23"/>
      <c r="E5093" s="23"/>
      <c r="G5093" s="23"/>
      <c r="H5093" s="23"/>
      <c r="J5093" s="23"/>
      <c r="K5093" s="23"/>
      <c r="M5093" s="23"/>
      <c r="N5093" s="23"/>
      <c r="P5093" s="23"/>
    </row>
    <row r="5094" spans="2:16" x14ac:dyDescent="0.25">
      <c r="B5094" s="23"/>
      <c r="E5094" s="23"/>
      <c r="G5094" s="23"/>
      <c r="H5094" s="23"/>
      <c r="J5094" s="23"/>
      <c r="K5094" s="23"/>
      <c r="M5094" s="23"/>
      <c r="N5094" s="23"/>
      <c r="P5094" s="23"/>
    </row>
    <row r="5095" spans="2:16" x14ac:dyDescent="0.25">
      <c r="B5095" s="23"/>
      <c r="E5095" s="23"/>
      <c r="G5095" s="23"/>
      <c r="H5095" s="23"/>
      <c r="J5095" s="23"/>
      <c r="K5095" s="23"/>
      <c r="M5095" s="23"/>
      <c r="N5095" s="23"/>
      <c r="P5095" s="23"/>
    </row>
    <row r="5096" spans="2:16" x14ac:dyDescent="0.25">
      <c r="B5096" s="23"/>
      <c r="E5096" s="23"/>
      <c r="G5096" s="23"/>
      <c r="H5096" s="23"/>
      <c r="J5096" s="23"/>
      <c r="K5096" s="23"/>
      <c r="M5096" s="23"/>
      <c r="N5096" s="23"/>
      <c r="P5096" s="23"/>
    </row>
    <row r="5097" spans="2:16" x14ac:dyDescent="0.25">
      <c r="B5097" s="23"/>
      <c r="E5097" s="23"/>
      <c r="G5097" s="23"/>
      <c r="H5097" s="23"/>
      <c r="J5097" s="23"/>
      <c r="K5097" s="23"/>
      <c r="M5097" s="23"/>
      <c r="N5097" s="23"/>
      <c r="P5097" s="23"/>
    </row>
    <row r="5098" spans="2:16" x14ac:dyDescent="0.25">
      <c r="B5098" s="23"/>
      <c r="E5098" s="23"/>
      <c r="G5098" s="23"/>
      <c r="H5098" s="23"/>
      <c r="J5098" s="23"/>
      <c r="K5098" s="23"/>
      <c r="M5098" s="23"/>
      <c r="N5098" s="23"/>
      <c r="P5098" s="23"/>
    </row>
    <row r="5099" spans="2:16" x14ac:dyDescent="0.25">
      <c r="B5099" s="23"/>
      <c r="E5099" s="23"/>
      <c r="G5099" s="23"/>
      <c r="H5099" s="23"/>
      <c r="J5099" s="23"/>
      <c r="K5099" s="23"/>
      <c r="M5099" s="23"/>
      <c r="N5099" s="23"/>
      <c r="P5099" s="23"/>
    </row>
    <row r="5100" spans="2:16" x14ac:dyDescent="0.25">
      <c r="B5100" s="23"/>
      <c r="E5100" s="23"/>
      <c r="G5100" s="23"/>
      <c r="H5100" s="23"/>
      <c r="J5100" s="23"/>
      <c r="K5100" s="23"/>
      <c r="M5100" s="23"/>
      <c r="N5100" s="23"/>
      <c r="P5100" s="23"/>
    </row>
    <row r="5101" spans="2:16" x14ac:dyDescent="0.25">
      <c r="B5101" s="23"/>
      <c r="E5101" s="23"/>
      <c r="G5101" s="23"/>
      <c r="H5101" s="23"/>
      <c r="J5101" s="23"/>
      <c r="K5101" s="23"/>
      <c r="M5101" s="23"/>
      <c r="N5101" s="23"/>
      <c r="P5101" s="23"/>
    </row>
    <row r="5102" spans="2:16" x14ac:dyDescent="0.25">
      <c r="B5102" s="23"/>
      <c r="E5102" s="23"/>
      <c r="G5102" s="23"/>
      <c r="H5102" s="23"/>
      <c r="J5102" s="23"/>
      <c r="K5102" s="23"/>
      <c r="M5102" s="23"/>
      <c r="N5102" s="23"/>
      <c r="P5102" s="23"/>
    </row>
    <row r="5103" spans="2:16" x14ac:dyDescent="0.25">
      <c r="B5103" s="23"/>
      <c r="E5103" s="23"/>
      <c r="G5103" s="23"/>
      <c r="H5103" s="23"/>
      <c r="J5103" s="23"/>
      <c r="K5103" s="23"/>
      <c r="M5103" s="23"/>
      <c r="N5103" s="23"/>
      <c r="P5103" s="23"/>
    </row>
    <row r="5104" spans="2:16" x14ac:dyDescent="0.25">
      <c r="B5104" s="23"/>
      <c r="E5104" s="23"/>
      <c r="G5104" s="23"/>
      <c r="H5104" s="23"/>
      <c r="J5104" s="23"/>
      <c r="K5104" s="23"/>
      <c r="M5104" s="23"/>
      <c r="N5104" s="23"/>
      <c r="P5104" s="23"/>
    </row>
    <row r="5105" spans="2:16" x14ac:dyDescent="0.25">
      <c r="B5105" s="23"/>
      <c r="E5105" s="23"/>
      <c r="G5105" s="23"/>
      <c r="H5105" s="23"/>
      <c r="J5105" s="23"/>
      <c r="K5105" s="23"/>
      <c r="M5105" s="23"/>
      <c r="N5105" s="23"/>
      <c r="P5105" s="23"/>
    </row>
    <row r="5106" spans="2:16" x14ac:dyDescent="0.25">
      <c r="B5106" s="23"/>
      <c r="E5106" s="23"/>
      <c r="G5106" s="23"/>
      <c r="H5106" s="23"/>
      <c r="J5106" s="23"/>
      <c r="K5106" s="23"/>
      <c r="M5106" s="23"/>
      <c r="N5106" s="23"/>
      <c r="P5106" s="23"/>
    </row>
    <row r="5107" spans="2:16" x14ac:dyDescent="0.25">
      <c r="B5107" s="23"/>
      <c r="E5107" s="23"/>
      <c r="G5107" s="23"/>
      <c r="H5107" s="23"/>
      <c r="J5107" s="23"/>
      <c r="K5107" s="23"/>
      <c r="M5107" s="23"/>
      <c r="N5107" s="23"/>
      <c r="P5107" s="23"/>
    </row>
    <row r="5108" spans="2:16" x14ac:dyDescent="0.25">
      <c r="B5108" s="23"/>
      <c r="E5108" s="23"/>
      <c r="G5108" s="23"/>
      <c r="H5108" s="23"/>
      <c r="J5108" s="23"/>
      <c r="K5108" s="23"/>
      <c r="M5108" s="23"/>
      <c r="N5108" s="23"/>
      <c r="P5108" s="23"/>
    </row>
    <row r="5109" spans="2:16" x14ac:dyDescent="0.25">
      <c r="B5109" s="23"/>
      <c r="E5109" s="23"/>
      <c r="G5109" s="23"/>
      <c r="H5109" s="23"/>
      <c r="J5109" s="23"/>
      <c r="K5109" s="23"/>
      <c r="M5109" s="23"/>
      <c r="N5109" s="23"/>
      <c r="P5109" s="23"/>
    </row>
    <row r="5110" spans="2:16" x14ac:dyDescent="0.25">
      <c r="B5110" s="23"/>
      <c r="E5110" s="23"/>
      <c r="G5110" s="23"/>
      <c r="H5110" s="23"/>
      <c r="J5110" s="23"/>
      <c r="K5110" s="23"/>
      <c r="M5110" s="23"/>
      <c r="N5110" s="23"/>
      <c r="P5110" s="23"/>
    </row>
    <row r="5111" spans="2:16" x14ac:dyDescent="0.25">
      <c r="B5111" s="23"/>
      <c r="E5111" s="23"/>
      <c r="G5111" s="23"/>
      <c r="H5111" s="23"/>
      <c r="J5111" s="23"/>
      <c r="K5111" s="23"/>
      <c r="M5111" s="23"/>
      <c r="N5111" s="23"/>
      <c r="P5111" s="23"/>
    </row>
    <row r="5112" spans="2:16" x14ac:dyDescent="0.25">
      <c r="B5112" s="23"/>
      <c r="E5112" s="23"/>
      <c r="G5112" s="23"/>
      <c r="H5112" s="23"/>
      <c r="J5112" s="23"/>
      <c r="K5112" s="23"/>
      <c r="M5112" s="23"/>
      <c r="N5112" s="23"/>
      <c r="P5112" s="23"/>
    </row>
    <row r="5113" spans="2:16" x14ac:dyDescent="0.25">
      <c r="B5113" s="23"/>
      <c r="E5113" s="23"/>
      <c r="G5113" s="23"/>
      <c r="H5113" s="23"/>
      <c r="J5113" s="23"/>
      <c r="K5113" s="23"/>
      <c r="M5113" s="23"/>
      <c r="N5113" s="23"/>
      <c r="P5113" s="23"/>
    </row>
    <row r="5114" spans="2:16" x14ac:dyDescent="0.25">
      <c r="B5114" s="23"/>
      <c r="E5114" s="23"/>
      <c r="G5114" s="23"/>
      <c r="H5114" s="23"/>
      <c r="J5114" s="23"/>
      <c r="K5114" s="23"/>
      <c r="M5114" s="23"/>
      <c r="N5114" s="23"/>
      <c r="P5114" s="23"/>
    </row>
    <row r="5115" spans="2:16" x14ac:dyDescent="0.25">
      <c r="B5115" s="23"/>
      <c r="E5115" s="23"/>
      <c r="G5115" s="23"/>
      <c r="H5115" s="23"/>
      <c r="J5115" s="23"/>
      <c r="K5115" s="23"/>
      <c r="M5115" s="23"/>
      <c r="N5115" s="23"/>
      <c r="P5115" s="23"/>
    </row>
    <row r="5116" spans="2:16" x14ac:dyDescent="0.25">
      <c r="B5116" s="23"/>
      <c r="E5116" s="23"/>
      <c r="G5116" s="23"/>
      <c r="H5116" s="23"/>
      <c r="J5116" s="23"/>
      <c r="K5116" s="23"/>
      <c r="M5116" s="23"/>
      <c r="N5116" s="23"/>
      <c r="P5116" s="23"/>
    </row>
    <row r="5117" spans="2:16" x14ac:dyDescent="0.25">
      <c r="B5117" s="23"/>
      <c r="E5117" s="23"/>
      <c r="G5117" s="23"/>
      <c r="H5117" s="23"/>
      <c r="J5117" s="23"/>
      <c r="K5117" s="23"/>
      <c r="M5117" s="23"/>
      <c r="N5117" s="23"/>
      <c r="P5117" s="23"/>
    </row>
    <row r="5118" spans="2:16" x14ac:dyDescent="0.25">
      <c r="B5118" s="23"/>
      <c r="E5118" s="23"/>
      <c r="G5118" s="23"/>
      <c r="H5118" s="23"/>
      <c r="J5118" s="23"/>
      <c r="K5118" s="23"/>
      <c r="M5118" s="23"/>
      <c r="N5118" s="23"/>
      <c r="P5118" s="23"/>
    </row>
    <row r="5119" spans="2:16" x14ac:dyDescent="0.25">
      <c r="B5119" s="23"/>
      <c r="E5119" s="23"/>
      <c r="G5119" s="23"/>
      <c r="H5119" s="23"/>
      <c r="J5119" s="23"/>
      <c r="K5119" s="23"/>
      <c r="M5119" s="23"/>
      <c r="N5119" s="23"/>
      <c r="P5119" s="23"/>
    </row>
    <row r="5120" spans="2:16" x14ac:dyDescent="0.25">
      <c r="B5120" s="23"/>
      <c r="E5120" s="23"/>
      <c r="G5120" s="23"/>
      <c r="H5120" s="23"/>
      <c r="J5120" s="23"/>
      <c r="K5120" s="23"/>
      <c r="M5120" s="23"/>
      <c r="N5120" s="23"/>
      <c r="P5120" s="23"/>
    </row>
    <row r="5121" spans="2:16" x14ac:dyDescent="0.25">
      <c r="B5121" s="23"/>
      <c r="E5121" s="23"/>
      <c r="G5121" s="23"/>
      <c r="H5121" s="23"/>
      <c r="J5121" s="23"/>
      <c r="K5121" s="23"/>
      <c r="M5121" s="23"/>
      <c r="N5121" s="23"/>
      <c r="P5121" s="23"/>
    </row>
    <row r="5122" spans="2:16" x14ac:dyDescent="0.25">
      <c r="B5122" s="23"/>
      <c r="E5122" s="23"/>
      <c r="G5122" s="23"/>
      <c r="H5122" s="23"/>
      <c r="J5122" s="23"/>
      <c r="K5122" s="23"/>
      <c r="M5122" s="23"/>
      <c r="N5122" s="23"/>
      <c r="P5122" s="23"/>
    </row>
    <row r="5123" spans="2:16" x14ac:dyDescent="0.25">
      <c r="B5123" s="23"/>
      <c r="E5123" s="23"/>
      <c r="G5123" s="23"/>
      <c r="H5123" s="23"/>
      <c r="J5123" s="23"/>
      <c r="K5123" s="23"/>
      <c r="M5123" s="23"/>
      <c r="N5123" s="23"/>
      <c r="P5123" s="23"/>
    </row>
    <row r="5124" spans="2:16" x14ac:dyDescent="0.25">
      <c r="B5124" s="23"/>
      <c r="E5124" s="23"/>
      <c r="G5124" s="23"/>
      <c r="H5124" s="23"/>
      <c r="J5124" s="23"/>
      <c r="K5124" s="23"/>
      <c r="M5124" s="23"/>
      <c r="N5124" s="23"/>
      <c r="P5124" s="23"/>
    </row>
    <row r="5125" spans="2:16" x14ac:dyDescent="0.25">
      <c r="B5125" s="23"/>
      <c r="E5125" s="23"/>
      <c r="G5125" s="23"/>
      <c r="H5125" s="23"/>
      <c r="J5125" s="23"/>
      <c r="K5125" s="23"/>
      <c r="M5125" s="23"/>
      <c r="N5125" s="23"/>
      <c r="P5125" s="23"/>
    </row>
    <row r="5126" spans="2:16" x14ac:dyDescent="0.25">
      <c r="B5126" s="23"/>
      <c r="E5126" s="23"/>
      <c r="G5126" s="23"/>
      <c r="H5126" s="23"/>
      <c r="J5126" s="23"/>
      <c r="K5126" s="23"/>
      <c r="M5126" s="23"/>
      <c r="N5126" s="23"/>
      <c r="P5126" s="23"/>
    </row>
    <row r="5127" spans="2:16" x14ac:dyDescent="0.25">
      <c r="B5127" s="23"/>
      <c r="E5127" s="23"/>
      <c r="G5127" s="23"/>
      <c r="H5127" s="23"/>
      <c r="J5127" s="23"/>
      <c r="K5127" s="23"/>
      <c r="M5127" s="23"/>
      <c r="N5127" s="23"/>
      <c r="P5127" s="23"/>
    </row>
    <row r="5128" spans="2:16" x14ac:dyDescent="0.25">
      <c r="B5128" s="23"/>
      <c r="E5128" s="23"/>
      <c r="G5128" s="23"/>
      <c r="H5128" s="23"/>
      <c r="J5128" s="23"/>
      <c r="K5128" s="23"/>
      <c r="M5128" s="23"/>
      <c r="N5128" s="23"/>
      <c r="P5128" s="23"/>
    </row>
    <row r="5129" spans="2:16" x14ac:dyDescent="0.25">
      <c r="B5129" s="23"/>
      <c r="E5129" s="23"/>
      <c r="G5129" s="23"/>
      <c r="H5129" s="23"/>
      <c r="J5129" s="23"/>
      <c r="K5129" s="23"/>
      <c r="M5129" s="23"/>
      <c r="N5129" s="23"/>
      <c r="P5129" s="23"/>
    </row>
    <row r="5130" spans="2:16" x14ac:dyDescent="0.25">
      <c r="B5130" s="23"/>
      <c r="E5130" s="23"/>
      <c r="G5130" s="23"/>
      <c r="H5130" s="23"/>
      <c r="J5130" s="23"/>
      <c r="K5130" s="23"/>
      <c r="M5130" s="23"/>
      <c r="N5130" s="23"/>
      <c r="P5130" s="23"/>
    </row>
    <row r="5131" spans="2:16" x14ac:dyDescent="0.25">
      <c r="B5131" s="23"/>
      <c r="E5131" s="23"/>
      <c r="G5131" s="23"/>
      <c r="H5131" s="23"/>
      <c r="J5131" s="23"/>
      <c r="K5131" s="23"/>
      <c r="M5131" s="23"/>
      <c r="N5131" s="23"/>
      <c r="P5131" s="23"/>
    </row>
    <row r="5132" spans="2:16" x14ac:dyDescent="0.25">
      <c r="B5132" s="23"/>
      <c r="E5132" s="23"/>
      <c r="G5132" s="23"/>
      <c r="H5132" s="23"/>
      <c r="J5132" s="23"/>
      <c r="K5132" s="23"/>
      <c r="M5132" s="23"/>
      <c r="N5132" s="23"/>
      <c r="P5132" s="23"/>
    </row>
    <row r="5133" spans="2:16" x14ac:dyDescent="0.25">
      <c r="B5133" s="23"/>
      <c r="E5133" s="23"/>
      <c r="G5133" s="23"/>
      <c r="H5133" s="23"/>
      <c r="J5133" s="23"/>
      <c r="K5133" s="23"/>
      <c r="M5133" s="23"/>
      <c r="N5133" s="23"/>
      <c r="P5133" s="23"/>
    </row>
    <row r="5134" spans="2:16" x14ac:dyDescent="0.25">
      <c r="B5134" s="23"/>
      <c r="E5134" s="23"/>
      <c r="G5134" s="23"/>
      <c r="H5134" s="23"/>
      <c r="J5134" s="23"/>
      <c r="K5134" s="23"/>
      <c r="M5134" s="23"/>
      <c r="N5134" s="23"/>
      <c r="P5134" s="23"/>
    </row>
    <row r="5135" spans="2:16" x14ac:dyDescent="0.25">
      <c r="B5135" s="23"/>
      <c r="E5135" s="23"/>
      <c r="G5135" s="23"/>
      <c r="H5135" s="23"/>
      <c r="J5135" s="23"/>
      <c r="K5135" s="23"/>
      <c r="M5135" s="23"/>
      <c r="N5135" s="23"/>
      <c r="P5135" s="23"/>
    </row>
    <row r="5136" spans="2:16" x14ac:dyDescent="0.25">
      <c r="B5136" s="23"/>
      <c r="E5136" s="23"/>
      <c r="G5136" s="23"/>
      <c r="H5136" s="23"/>
      <c r="J5136" s="23"/>
      <c r="K5136" s="23"/>
      <c r="M5136" s="23"/>
      <c r="N5136" s="23"/>
      <c r="P5136" s="23"/>
    </row>
    <row r="5137" spans="2:16" x14ac:dyDescent="0.25">
      <c r="B5137" s="23"/>
      <c r="E5137" s="23"/>
      <c r="G5137" s="23"/>
      <c r="H5137" s="23"/>
      <c r="J5137" s="23"/>
      <c r="K5137" s="23"/>
      <c r="M5137" s="23"/>
      <c r="N5137" s="23"/>
      <c r="P5137" s="23"/>
    </row>
    <row r="5138" spans="2:16" x14ac:dyDescent="0.25">
      <c r="B5138" s="23"/>
      <c r="E5138" s="23"/>
      <c r="G5138" s="23"/>
      <c r="H5138" s="23"/>
      <c r="J5138" s="23"/>
      <c r="K5138" s="23"/>
      <c r="M5138" s="23"/>
      <c r="N5138" s="23"/>
      <c r="P5138" s="23"/>
    </row>
    <row r="5139" spans="2:16" x14ac:dyDescent="0.25">
      <c r="B5139" s="23"/>
      <c r="E5139" s="23"/>
      <c r="G5139" s="23"/>
      <c r="H5139" s="23"/>
      <c r="J5139" s="23"/>
      <c r="K5139" s="23"/>
      <c r="M5139" s="23"/>
      <c r="N5139" s="23"/>
      <c r="P5139" s="23"/>
    </row>
    <row r="5140" spans="2:16" x14ac:dyDescent="0.25">
      <c r="B5140" s="23"/>
      <c r="E5140" s="23"/>
      <c r="G5140" s="23"/>
      <c r="H5140" s="23"/>
      <c r="J5140" s="23"/>
      <c r="K5140" s="23"/>
      <c r="M5140" s="23"/>
      <c r="N5140" s="23"/>
      <c r="P5140" s="23"/>
    </row>
    <row r="5141" spans="2:16" x14ac:dyDescent="0.25">
      <c r="B5141" s="23"/>
      <c r="E5141" s="23"/>
      <c r="G5141" s="23"/>
      <c r="H5141" s="23"/>
      <c r="J5141" s="23"/>
      <c r="K5141" s="23"/>
      <c r="M5141" s="23"/>
      <c r="N5141" s="23"/>
      <c r="P5141" s="23"/>
    </row>
    <row r="5142" spans="2:16" x14ac:dyDescent="0.25">
      <c r="B5142" s="23"/>
      <c r="E5142" s="23"/>
      <c r="G5142" s="23"/>
      <c r="H5142" s="23"/>
      <c r="J5142" s="23"/>
      <c r="K5142" s="23"/>
      <c r="M5142" s="23"/>
      <c r="N5142" s="23"/>
      <c r="P5142" s="23"/>
    </row>
    <row r="5143" spans="2:16" x14ac:dyDescent="0.25">
      <c r="B5143" s="23"/>
      <c r="E5143" s="23"/>
      <c r="G5143" s="23"/>
      <c r="H5143" s="23"/>
      <c r="J5143" s="23"/>
      <c r="K5143" s="23"/>
      <c r="M5143" s="23"/>
      <c r="N5143" s="23"/>
      <c r="P5143" s="23"/>
    </row>
    <row r="5144" spans="2:16" x14ac:dyDescent="0.25">
      <c r="B5144" s="23"/>
      <c r="E5144" s="23"/>
      <c r="G5144" s="23"/>
      <c r="H5144" s="23"/>
      <c r="J5144" s="23"/>
      <c r="K5144" s="23"/>
      <c r="M5144" s="23"/>
      <c r="N5144" s="23"/>
      <c r="P5144" s="23"/>
    </row>
    <row r="5145" spans="2:16" x14ac:dyDescent="0.25">
      <c r="B5145" s="23"/>
      <c r="E5145" s="23"/>
      <c r="G5145" s="23"/>
      <c r="H5145" s="23"/>
      <c r="J5145" s="23"/>
      <c r="K5145" s="23"/>
      <c r="M5145" s="23"/>
      <c r="N5145" s="23"/>
      <c r="P5145" s="23"/>
    </row>
    <row r="5146" spans="2:16" x14ac:dyDescent="0.25">
      <c r="B5146" s="23"/>
      <c r="E5146" s="23"/>
      <c r="G5146" s="23"/>
      <c r="H5146" s="23"/>
      <c r="J5146" s="23"/>
      <c r="K5146" s="23"/>
      <c r="M5146" s="23"/>
      <c r="N5146" s="23"/>
      <c r="P5146" s="23"/>
    </row>
    <row r="5147" spans="2:16" x14ac:dyDescent="0.25">
      <c r="B5147" s="23"/>
      <c r="E5147" s="23"/>
      <c r="G5147" s="23"/>
      <c r="H5147" s="23"/>
      <c r="J5147" s="23"/>
      <c r="K5147" s="23"/>
      <c r="M5147" s="23"/>
      <c r="N5147" s="23"/>
      <c r="P5147" s="23"/>
    </row>
    <row r="5148" spans="2:16" x14ac:dyDescent="0.25">
      <c r="B5148" s="23"/>
      <c r="E5148" s="23"/>
      <c r="G5148" s="23"/>
      <c r="H5148" s="23"/>
      <c r="J5148" s="23"/>
      <c r="K5148" s="23"/>
      <c r="M5148" s="23"/>
      <c r="N5148" s="23"/>
      <c r="P5148" s="23"/>
    </row>
    <row r="5149" spans="2:16" x14ac:dyDescent="0.25">
      <c r="B5149" s="23"/>
      <c r="E5149" s="23"/>
      <c r="G5149" s="23"/>
      <c r="H5149" s="23"/>
      <c r="J5149" s="23"/>
      <c r="K5149" s="23"/>
      <c r="M5149" s="23"/>
      <c r="N5149" s="23"/>
      <c r="P5149" s="23"/>
    </row>
    <row r="5150" spans="2:16" x14ac:dyDescent="0.25">
      <c r="B5150" s="23"/>
      <c r="E5150" s="23"/>
      <c r="G5150" s="23"/>
      <c r="H5150" s="23"/>
      <c r="J5150" s="23"/>
      <c r="K5150" s="23"/>
      <c r="M5150" s="23"/>
      <c r="N5150" s="23"/>
      <c r="P5150" s="23"/>
    </row>
    <row r="5151" spans="2:16" x14ac:dyDescent="0.25">
      <c r="B5151" s="23"/>
      <c r="E5151" s="23"/>
      <c r="G5151" s="23"/>
      <c r="H5151" s="23"/>
      <c r="J5151" s="23"/>
      <c r="K5151" s="23"/>
      <c r="M5151" s="23"/>
      <c r="N5151" s="23"/>
      <c r="P5151" s="23"/>
    </row>
    <row r="5152" spans="2:16" x14ac:dyDescent="0.25">
      <c r="B5152" s="23"/>
      <c r="E5152" s="23"/>
      <c r="G5152" s="23"/>
      <c r="H5152" s="23"/>
      <c r="J5152" s="23"/>
      <c r="K5152" s="23"/>
      <c r="M5152" s="23"/>
      <c r="N5152" s="23"/>
      <c r="P5152" s="23"/>
    </row>
    <row r="5153" spans="2:16" x14ac:dyDescent="0.25">
      <c r="B5153" s="23"/>
      <c r="E5153" s="23"/>
      <c r="G5153" s="23"/>
      <c r="H5153" s="23"/>
      <c r="J5153" s="23"/>
      <c r="K5153" s="23"/>
      <c r="M5153" s="23"/>
      <c r="N5153" s="23"/>
      <c r="P5153" s="23"/>
    </row>
    <row r="5154" spans="2:16" x14ac:dyDescent="0.25">
      <c r="B5154" s="23"/>
      <c r="E5154" s="23"/>
      <c r="G5154" s="23"/>
      <c r="H5154" s="23"/>
      <c r="J5154" s="23"/>
      <c r="K5154" s="23"/>
      <c r="M5154" s="23"/>
      <c r="N5154" s="23"/>
      <c r="P5154" s="23"/>
    </row>
    <row r="5155" spans="2:16" x14ac:dyDescent="0.25">
      <c r="B5155" s="23"/>
      <c r="E5155" s="23"/>
      <c r="G5155" s="23"/>
      <c r="H5155" s="23"/>
      <c r="J5155" s="23"/>
      <c r="K5155" s="23"/>
      <c r="M5155" s="23"/>
      <c r="N5155" s="23"/>
      <c r="P5155" s="23"/>
    </row>
    <row r="5156" spans="2:16" x14ac:dyDescent="0.25">
      <c r="B5156" s="23"/>
      <c r="E5156" s="23"/>
      <c r="G5156" s="23"/>
      <c r="H5156" s="23"/>
      <c r="J5156" s="23"/>
      <c r="K5156" s="23"/>
      <c r="M5156" s="23"/>
      <c r="N5156" s="23"/>
      <c r="P5156" s="23"/>
    </row>
    <row r="5157" spans="2:16" x14ac:dyDescent="0.25">
      <c r="B5157" s="23"/>
      <c r="E5157" s="23"/>
      <c r="G5157" s="23"/>
      <c r="H5157" s="23"/>
      <c r="J5157" s="23"/>
      <c r="K5157" s="23"/>
      <c r="M5157" s="23"/>
      <c r="N5157" s="23"/>
      <c r="P5157" s="23"/>
    </row>
    <row r="5158" spans="2:16" x14ac:dyDescent="0.25">
      <c r="B5158" s="23"/>
      <c r="E5158" s="23"/>
      <c r="G5158" s="23"/>
      <c r="H5158" s="23"/>
      <c r="J5158" s="23"/>
      <c r="K5158" s="23"/>
      <c r="M5158" s="23"/>
      <c r="N5158" s="23"/>
      <c r="P5158" s="23"/>
    </row>
    <row r="5159" spans="2:16" x14ac:dyDescent="0.25">
      <c r="B5159" s="23"/>
      <c r="E5159" s="23"/>
      <c r="G5159" s="23"/>
      <c r="H5159" s="23"/>
      <c r="J5159" s="23"/>
      <c r="K5159" s="23"/>
      <c r="M5159" s="23"/>
      <c r="N5159" s="23"/>
      <c r="P5159" s="23"/>
    </row>
    <row r="5160" spans="2:16" x14ac:dyDescent="0.25">
      <c r="B5160" s="23"/>
      <c r="E5160" s="23"/>
      <c r="G5160" s="23"/>
      <c r="H5160" s="23"/>
      <c r="J5160" s="23"/>
      <c r="K5160" s="23"/>
      <c r="M5160" s="23"/>
      <c r="N5160" s="23"/>
      <c r="P5160" s="23"/>
    </row>
    <row r="5161" spans="2:16" x14ac:dyDescent="0.25">
      <c r="B5161" s="23"/>
      <c r="E5161" s="23"/>
      <c r="G5161" s="23"/>
      <c r="H5161" s="23"/>
      <c r="J5161" s="23"/>
      <c r="K5161" s="23"/>
      <c r="M5161" s="23"/>
      <c r="N5161" s="23"/>
      <c r="P5161" s="23"/>
    </row>
    <row r="5162" spans="2:16" x14ac:dyDescent="0.25">
      <c r="B5162" s="23"/>
      <c r="E5162" s="23"/>
      <c r="G5162" s="23"/>
      <c r="H5162" s="23"/>
      <c r="J5162" s="23"/>
      <c r="K5162" s="23"/>
      <c r="M5162" s="23"/>
      <c r="N5162" s="23"/>
      <c r="P5162" s="23"/>
    </row>
    <row r="5163" spans="2:16" x14ac:dyDescent="0.25">
      <c r="B5163" s="23"/>
      <c r="E5163" s="23"/>
      <c r="G5163" s="23"/>
      <c r="H5163" s="23"/>
      <c r="J5163" s="23"/>
      <c r="K5163" s="23"/>
      <c r="M5163" s="23"/>
      <c r="N5163" s="23"/>
      <c r="P5163" s="23"/>
    </row>
    <row r="5164" spans="2:16" x14ac:dyDescent="0.25">
      <c r="B5164" s="23"/>
      <c r="E5164" s="23"/>
      <c r="G5164" s="23"/>
      <c r="H5164" s="23"/>
      <c r="J5164" s="23"/>
      <c r="K5164" s="23"/>
      <c r="M5164" s="23"/>
      <c r="N5164" s="23"/>
      <c r="P5164" s="23"/>
    </row>
    <row r="5165" spans="2:16" x14ac:dyDescent="0.25">
      <c r="B5165" s="23"/>
      <c r="E5165" s="23"/>
      <c r="G5165" s="23"/>
      <c r="H5165" s="23"/>
      <c r="J5165" s="23"/>
      <c r="K5165" s="23"/>
      <c r="M5165" s="23"/>
      <c r="N5165" s="23"/>
      <c r="P5165" s="23"/>
    </row>
    <row r="5166" spans="2:16" x14ac:dyDescent="0.25">
      <c r="B5166" s="23"/>
      <c r="E5166" s="23"/>
      <c r="G5166" s="23"/>
      <c r="H5166" s="23"/>
      <c r="J5166" s="23"/>
      <c r="K5166" s="23"/>
      <c r="M5166" s="23"/>
      <c r="N5166" s="23"/>
      <c r="P5166" s="23"/>
    </row>
    <row r="5167" spans="2:16" x14ac:dyDescent="0.25">
      <c r="B5167" s="23"/>
      <c r="E5167" s="23"/>
      <c r="G5167" s="23"/>
      <c r="H5167" s="23"/>
      <c r="J5167" s="23"/>
      <c r="K5167" s="23"/>
      <c r="M5167" s="23"/>
      <c r="N5167" s="23"/>
      <c r="P5167" s="23"/>
    </row>
    <row r="5168" spans="2:16" x14ac:dyDescent="0.25">
      <c r="B5168" s="23"/>
      <c r="E5168" s="23"/>
      <c r="G5168" s="23"/>
      <c r="H5168" s="23"/>
      <c r="J5168" s="23"/>
      <c r="K5168" s="23"/>
      <c r="M5168" s="23"/>
      <c r="N5168" s="23"/>
      <c r="P5168" s="23"/>
    </row>
    <row r="5169" spans="2:16" x14ac:dyDescent="0.25">
      <c r="B5169" s="23"/>
      <c r="E5169" s="23"/>
      <c r="G5169" s="23"/>
      <c r="H5169" s="23"/>
      <c r="J5169" s="23"/>
      <c r="K5169" s="23"/>
      <c r="M5169" s="23"/>
      <c r="N5169" s="23"/>
      <c r="P5169" s="23"/>
    </row>
    <row r="5170" spans="2:16" x14ac:dyDescent="0.25">
      <c r="B5170" s="23"/>
      <c r="E5170" s="23"/>
      <c r="G5170" s="23"/>
      <c r="H5170" s="23"/>
      <c r="J5170" s="23"/>
      <c r="K5170" s="23"/>
      <c r="M5170" s="23"/>
      <c r="N5170" s="23"/>
      <c r="P5170" s="23"/>
    </row>
    <row r="5171" spans="2:16" x14ac:dyDescent="0.25">
      <c r="B5171" s="23"/>
      <c r="E5171" s="23"/>
      <c r="G5171" s="23"/>
      <c r="H5171" s="23"/>
      <c r="J5171" s="23"/>
      <c r="K5171" s="23"/>
      <c r="M5171" s="23"/>
      <c r="N5171" s="23"/>
      <c r="P5171" s="23"/>
    </row>
    <row r="5172" spans="2:16" x14ac:dyDescent="0.25">
      <c r="B5172" s="23"/>
      <c r="E5172" s="23"/>
      <c r="G5172" s="23"/>
      <c r="H5172" s="23"/>
      <c r="J5172" s="23"/>
      <c r="K5172" s="23"/>
      <c r="M5172" s="23"/>
      <c r="N5172" s="23"/>
      <c r="P5172" s="23"/>
    </row>
    <row r="5173" spans="2:16" x14ac:dyDescent="0.25">
      <c r="B5173" s="23"/>
      <c r="E5173" s="23"/>
      <c r="G5173" s="23"/>
      <c r="H5173" s="23"/>
      <c r="J5173" s="23"/>
      <c r="K5173" s="23"/>
      <c r="M5173" s="23"/>
      <c r="N5173" s="23"/>
      <c r="P5173" s="23"/>
    </row>
    <row r="5174" spans="2:16" x14ac:dyDescent="0.25">
      <c r="B5174" s="23"/>
      <c r="E5174" s="23"/>
      <c r="G5174" s="23"/>
      <c r="H5174" s="23"/>
      <c r="J5174" s="23"/>
      <c r="K5174" s="23"/>
      <c r="M5174" s="23"/>
      <c r="N5174" s="23"/>
      <c r="P5174" s="23"/>
    </row>
    <row r="5175" spans="2:16" x14ac:dyDescent="0.25">
      <c r="B5175" s="23"/>
      <c r="E5175" s="23"/>
      <c r="G5175" s="23"/>
      <c r="H5175" s="23"/>
      <c r="J5175" s="23"/>
      <c r="K5175" s="23"/>
      <c r="M5175" s="23"/>
      <c r="N5175" s="23"/>
      <c r="P5175" s="23"/>
    </row>
    <row r="5176" spans="2:16" x14ac:dyDescent="0.25">
      <c r="B5176" s="23"/>
      <c r="E5176" s="23"/>
      <c r="G5176" s="23"/>
      <c r="H5176" s="23"/>
      <c r="J5176" s="23"/>
      <c r="K5176" s="23"/>
      <c r="M5176" s="23"/>
      <c r="N5176" s="23"/>
      <c r="P5176" s="23"/>
    </row>
    <row r="5177" spans="2:16" x14ac:dyDescent="0.25">
      <c r="B5177" s="23"/>
      <c r="E5177" s="23"/>
      <c r="G5177" s="23"/>
      <c r="H5177" s="23"/>
      <c r="J5177" s="23"/>
      <c r="K5177" s="23"/>
      <c r="M5177" s="23"/>
      <c r="N5177" s="23"/>
      <c r="P5177" s="23"/>
    </row>
    <row r="5178" spans="2:16" x14ac:dyDescent="0.25">
      <c r="B5178" s="23"/>
      <c r="E5178" s="23"/>
      <c r="G5178" s="23"/>
      <c r="H5178" s="23"/>
      <c r="J5178" s="23"/>
      <c r="K5178" s="23"/>
      <c r="M5178" s="23"/>
      <c r="N5178" s="23"/>
      <c r="P5178" s="23"/>
    </row>
    <row r="5179" spans="2:16" x14ac:dyDescent="0.25">
      <c r="B5179" s="23"/>
      <c r="E5179" s="23"/>
      <c r="G5179" s="23"/>
      <c r="H5179" s="23"/>
      <c r="J5179" s="23"/>
      <c r="K5179" s="23"/>
      <c r="M5179" s="23"/>
      <c r="N5179" s="23"/>
      <c r="P5179" s="23"/>
    </row>
    <row r="5180" spans="2:16" x14ac:dyDescent="0.25">
      <c r="B5180" s="23"/>
      <c r="E5180" s="23"/>
      <c r="G5180" s="23"/>
      <c r="H5180" s="23"/>
      <c r="J5180" s="23"/>
      <c r="K5180" s="23"/>
      <c r="M5180" s="23"/>
      <c r="N5180" s="23"/>
      <c r="P5180" s="23"/>
    </row>
    <row r="5181" spans="2:16" x14ac:dyDescent="0.25">
      <c r="B5181" s="23"/>
      <c r="E5181" s="23"/>
      <c r="G5181" s="23"/>
      <c r="H5181" s="23"/>
      <c r="J5181" s="23"/>
      <c r="K5181" s="23"/>
      <c r="M5181" s="23"/>
      <c r="N5181" s="23"/>
      <c r="P5181" s="23"/>
    </row>
    <row r="5182" spans="2:16" x14ac:dyDescent="0.25">
      <c r="B5182" s="23"/>
      <c r="E5182" s="23"/>
      <c r="G5182" s="23"/>
      <c r="H5182" s="23"/>
      <c r="J5182" s="23"/>
      <c r="K5182" s="23"/>
      <c r="M5182" s="23"/>
      <c r="N5182" s="23"/>
      <c r="P5182" s="23"/>
    </row>
    <row r="5183" spans="2:16" x14ac:dyDescent="0.25">
      <c r="B5183" s="23"/>
      <c r="E5183" s="23"/>
      <c r="G5183" s="23"/>
      <c r="H5183" s="23"/>
      <c r="J5183" s="23"/>
      <c r="K5183" s="23"/>
      <c r="M5183" s="23"/>
      <c r="N5183" s="23"/>
      <c r="P5183" s="23"/>
    </row>
    <row r="5184" spans="2:16" x14ac:dyDescent="0.25">
      <c r="B5184" s="23"/>
      <c r="E5184" s="23"/>
      <c r="G5184" s="23"/>
      <c r="H5184" s="23"/>
      <c r="J5184" s="23"/>
      <c r="K5184" s="23"/>
      <c r="M5184" s="23"/>
      <c r="N5184" s="23"/>
      <c r="P5184" s="23"/>
    </row>
    <row r="5185" spans="2:16" x14ac:dyDescent="0.25">
      <c r="B5185" s="23"/>
      <c r="E5185" s="23"/>
      <c r="G5185" s="23"/>
      <c r="H5185" s="23"/>
      <c r="J5185" s="23"/>
      <c r="K5185" s="23"/>
      <c r="M5185" s="23"/>
      <c r="N5185" s="23"/>
      <c r="P5185" s="23"/>
    </row>
    <row r="5186" spans="2:16" x14ac:dyDescent="0.25">
      <c r="B5186" s="23"/>
      <c r="E5186" s="23"/>
      <c r="G5186" s="23"/>
      <c r="H5186" s="23"/>
      <c r="J5186" s="23"/>
      <c r="K5186" s="23"/>
      <c r="M5186" s="23"/>
      <c r="N5186" s="23"/>
      <c r="P5186" s="23"/>
    </row>
    <row r="5187" spans="2:16" x14ac:dyDescent="0.25">
      <c r="B5187" s="23"/>
      <c r="E5187" s="23"/>
      <c r="G5187" s="23"/>
      <c r="H5187" s="23"/>
      <c r="J5187" s="23"/>
      <c r="K5187" s="23"/>
      <c r="M5187" s="23"/>
      <c r="N5187" s="23"/>
      <c r="P5187" s="23"/>
    </row>
    <row r="5188" spans="2:16" x14ac:dyDescent="0.25">
      <c r="B5188" s="23"/>
      <c r="E5188" s="23"/>
      <c r="G5188" s="23"/>
      <c r="H5188" s="23"/>
      <c r="J5188" s="23"/>
      <c r="K5188" s="23"/>
      <c r="M5188" s="23"/>
      <c r="N5188" s="23"/>
      <c r="P5188" s="23"/>
    </row>
    <row r="5189" spans="2:16" x14ac:dyDescent="0.25">
      <c r="B5189" s="23"/>
      <c r="E5189" s="23"/>
      <c r="G5189" s="23"/>
      <c r="H5189" s="23"/>
      <c r="J5189" s="23"/>
      <c r="K5189" s="23"/>
      <c r="M5189" s="23"/>
      <c r="N5189" s="23"/>
      <c r="P5189" s="23"/>
    </row>
    <row r="5190" spans="2:16" x14ac:dyDescent="0.25">
      <c r="B5190" s="23"/>
      <c r="E5190" s="23"/>
      <c r="G5190" s="23"/>
      <c r="H5190" s="23"/>
      <c r="J5190" s="23"/>
      <c r="K5190" s="23"/>
      <c r="M5190" s="23"/>
      <c r="N5190" s="23"/>
      <c r="P5190" s="23"/>
    </row>
    <row r="5191" spans="2:16" x14ac:dyDescent="0.25">
      <c r="B5191" s="23"/>
      <c r="E5191" s="23"/>
      <c r="G5191" s="23"/>
      <c r="H5191" s="23"/>
      <c r="J5191" s="23"/>
      <c r="K5191" s="23"/>
      <c r="M5191" s="23"/>
      <c r="N5191" s="23"/>
      <c r="P5191" s="23"/>
    </row>
    <row r="5192" spans="2:16" x14ac:dyDescent="0.25">
      <c r="B5192" s="23"/>
      <c r="E5192" s="23"/>
      <c r="G5192" s="23"/>
      <c r="H5192" s="23"/>
      <c r="J5192" s="23"/>
      <c r="K5192" s="23"/>
      <c r="M5192" s="23"/>
      <c r="N5192" s="23"/>
      <c r="P5192" s="23"/>
    </row>
    <row r="5193" spans="2:16" x14ac:dyDescent="0.25">
      <c r="B5193" s="23"/>
      <c r="E5193" s="23"/>
      <c r="G5193" s="23"/>
      <c r="H5193" s="23"/>
      <c r="J5193" s="23"/>
      <c r="K5193" s="23"/>
      <c r="M5193" s="23"/>
      <c r="N5193" s="23"/>
      <c r="P5193" s="23"/>
    </row>
    <row r="5194" spans="2:16" x14ac:dyDescent="0.25">
      <c r="B5194" s="23"/>
      <c r="E5194" s="23"/>
      <c r="G5194" s="23"/>
      <c r="H5194" s="23"/>
      <c r="J5194" s="23"/>
      <c r="K5194" s="23"/>
      <c r="M5194" s="23"/>
      <c r="N5194" s="23"/>
      <c r="P5194" s="23"/>
    </row>
    <row r="5195" spans="2:16" x14ac:dyDescent="0.25">
      <c r="B5195" s="23"/>
      <c r="E5195" s="23"/>
      <c r="G5195" s="23"/>
      <c r="H5195" s="23"/>
      <c r="J5195" s="23"/>
      <c r="K5195" s="23"/>
      <c r="M5195" s="23"/>
      <c r="N5195" s="23"/>
      <c r="P5195" s="23"/>
    </row>
    <row r="5196" spans="2:16" x14ac:dyDescent="0.25">
      <c r="B5196" s="23"/>
      <c r="E5196" s="23"/>
      <c r="G5196" s="23"/>
      <c r="H5196" s="23"/>
      <c r="J5196" s="23"/>
      <c r="K5196" s="23"/>
      <c r="M5196" s="23"/>
      <c r="N5196" s="23"/>
      <c r="P5196" s="23"/>
    </row>
    <row r="5197" spans="2:16" x14ac:dyDescent="0.25">
      <c r="B5197" s="23"/>
      <c r="E5197" s="23"/>
      <c r="G5197" s="23"/>
      <c r="H5197" s="23"/>
      <c r="J5197" s="23"/>
      <c r="K5197" s="23"/>
      <c r="M5197" s="23"/>
      <c r="N5197" s="23"/>
      <c r="P5197" s="23"/>
    </row>
    <row r="5198" spans="2:16" x14ac:dyDescent="0.25">
      <c r="B5198" s="23"/>
      <c r="E5198" s="23"/>
      <c r="G5198" s="23"/>
      <c r="H5198" s="23"/>
      <c r="J5198" s="23"/>
      <c r="K5198" s="23"/>
      <c r="M5198" s="23"/>
      <c r="N5198" s="23"/>
      <c r="P5198" s="23"/>
    </row>
    <row r="5199" spans="2:16" x14ac:dyDescent="0.25">
      <c r="B5199" s="23"/>
      <c r="E5199" s="23"/>
      <c r="G5199" s="23"/>
      <c r="H5199" s="23"/>
      <c r="J5199" s="23"/>
      <c r="K5199" s="23"/>
      <c r="M5199" s="23"/>
      <c r="N5199" s="23"/>
      <c r="P5199" s="23"/>
    </row>
    <row r="5200" spans="2:16" x14ac:dyDescent="0.25">
      <c r="B5200" s="23"/>
      <c r="E5200" s="23"/>
      <c r="G5200" s="23"/>
      <c r="H5200" s="23"/>
      <c r="J5200" s="23"/>
      <c r="K5200" s="23"/>
      <c r="M5200" s="23"/>
      <c r="N5200" s="23"/>
      <c r="P5200" s="23"/>
    </row>
    <row r="5201" spans="2:16" x14ac:dyDescent="0.25">
      <c r="B5201" s="23"/>
      <c r="E5201" s="23"/>
      <c r="G5201" s="23"/>
      <c r="H5201" s="23"/>
      <c r="J5201" s="23"/>
      <c r="K5201" s="23"/>
      <c r="M5201" s="23"/>
      <c r="N5201" s="23"/>
      <c r="P5201" s="23"/>
    </row>
    <row r="5202" spans="2:16" x14ac:dyDescent="0.25">
      <c r="B5202" s="23"/>
      <c r="E5202" s="23"/>
      <c r="G5202" s="23"/>
      <c r="H5202" s="23"/>
      <c r="J5202" s="23"/>
      <c r="K5202" s="23"/>
      <c r="M5202" s="23"/>
      <c r="N5202" s="23"/>
      <c r="P5202" s="23"/>
    </row>
    <row r="5203" spans="2:16" x14ac:dyDescent="0.25">
      <c r="B5203" s="23"/>
      <c r="E5203" s="23"/>
      <c r="G5203" s="23"/>
      <c r="H5203" s="23"/>
      <c r="J5203" s="23"/>
      <c r="K5203" s="23"/>
      <c r="M5203" s="23"/>
      <c r="N5203" s="23"/>
      <c r="P5203" s="23"/>
    </row>
    <row r="5204" spans="2:16" x14ac:dyDescent="0.25">
      <c r="B5204" s="23"/>
      <c r="E5204" s="23"/>
      <c r="G5204" s="23"/>
      <c r="H5204" s="23"/>
      <c r="J5204" s="23"/>
      <c r="K5204" s="23"/>
      <c r="M5204" s="23"/>
      <c r="N5204" s="23"/>
      <c r="P5204" s="23"/>
    </row>
    <row r="5205" spans="2:16" x14ac:dyDescent="0.25">
      <c r="B5205" s="23"/>
      <c r="E5205" s="23"/>
      <c r="G5205" s="23"/>
      <c r="H5205" s="23"/>
      <c r="J5205" s="23"/>
      <c r="K5205" s="23"/>
      <c r="M5205" s="23"/>
      <c r="N5205" s="23"/>
      <c r="P5205" s="23"/>
    </row>
    <row r="5206" spans="2:16" x14ac:dyDescent="0.25">
      <c r="B5206" s="23"/>
      <c r="E5206" s="23"/>
      <c r="G5206" s="23"/>
      <c r="H5206" s="23"/>
      <c r="J5206" s="23"/>
      <c r="K5206" s="23"/>
      <c r="M5206" s="23"/>
      <c r="N5206" s="23"/>
      <c r="P5206" s="23"/>
    </row>
    <row r="5207" spans="2:16" x14ac:dyDescent="0.25">
      <c r="B5207" s="23"/>
      <c r="E5207" s="23"/>
      <c r="G5207" s="23"/>
      <c r="H5207" s="23"/>
      <c r="J5207" s="23"/>
      <c r="K5207" s="23"/>
      <c r="M5207" s="23"/>
      <c r="N5207" s="23"/>
      <c r="P5207" s="23"/>
    </row>
    <row r="5208" spans="2:16" x14ac:dyDescent="0.25">
      <c r="B5208" s="23"/>
      <c r="E5208" s="23"/>
      <c r="G5208" s="23"/>
      <c r="H5208" s="23"/>
      <c r="J5208" s="23"/>
      <c r="K5208" s="23"/>
      <c r="M5208" s="23"/>
      <c r="N5208" s="23"/>
      <c r="P5208" s="23"/>
    </row>
    <row r="5209" spans="2:16" x14ac:dyDescent="0.25">
      <c r="B5209" s="23"/>
      <c r="E5209" s="23"/>
      <c r="G5209" s="23"/>
      <c r="H5209" s="23"/>
      <c r="J5209" s="23"/>
      <c r="K5209" s="23"/>
      <c r="M5209" s="23"/>
      <c r="N5209" s="23"/>
      <c r="P5209" s="23"/>
    </row>
    <row r="5210" spans="2:16" x14ac:dyDescent="0.25">
      <c r="B5210" s="23"/>
      <c r="E5210" s="23"/>
      <c r="G5210" s="23"/>
      <c r="H5210" s="23"/>
      <c r="J5210" s="23"/>
      <c r="K5210" s="23"/>
      <c r="M5210" s="23"/>
      <c r="N5210" s="23"/>
      <c r="P5210" s="23"/>
    </row>
    <row r="5211" spans="2:16" x14ac:dyDescent="0.25">
      <c r="B5211" s="23"/>
      <c r="E5211" s="23"/>
      <c r="G5211" s="23"/>
      <c r="H5211" s="23"/>
      <c r="J5211" s="23"/>
      <c r="K5211" s="23"/>
      <c r="M5211" s="23"/>
      <c r="N5211" s="23"/>
      <c r="P5211" s="23"/>
    </row>
    <row r="5212" spans="2:16" x14ac:dyDescent="0.25">
      <c r="B5212" s="23"/>
      <c r="E5212" s="23"/>
      <c r="G5212" s="23"/>
      <c r="H5212" s="23"/>
      <c r="J5212" s="23"/>
      <c r="K5212" s="23"/>
      <c r="M5212" s="23"/>
      <c r="N5212" s="23"/>
      <c r="P5212" s="23"/>
    </row>
    <row r="5213" spans="2:16" x14ac:dyDescent="0.25">
      <c r="B5213" s="23"/>
      <c r="E5213" s="23"/>
      <c r="G5213" s="23"/>
      <c r="H5213" s="23"/>
      <c r="J5213" s="23"/>
      <c r="K5213" s="23"/>
      <c r="M5213" s="23"/>
      <c r="N5213" s="23"/>
      <c r="P5213" s="23"/>
    </row>
    <row r="5214" spans="2:16" x14ac:dyDescent="0.25">
      <c r="B5214" s="23"/>
      <c r="E5214" s="23"/>
      <c r="G5214" s="23"/>
      <c r="H5214" s="23"/>
      <c r="J5214" s="23"/>
      <c r="K5214" s="23"/>
      <c r="M5214" s="23"/>
      <c r="N5214" s="23"/>
      <c r="P5214" s="23"/>
    </row>
    <row r="5215" spans="2:16" x14ac:dyDescent="0.25">
      <c r="B5215" s="23"/>
      <c r="E5215" s="23"/>
      <c r="G5215" s="23"/>
      <c r="H5215" s="23"/>
      <c r="J5215" s="23"/>
      <c r="K5215" s="23"/>
      <c r="M5215" s="23"/>
      <c r="N5215" s="23"/>
      <c r="P5215" s="23"/>
    </row>
    <row r="5216" spans="2:16" x14ac:dyDescent="0.25">
      <c r="B5216" s="23"/>
      <c r="E5216" s="23"/>
      <c r="G5216" s="23"/>
      <c r="H5216" s="23"/>
      <c r="J5216" s="23"/>
      <c r="K5216" s="23"/>
      <c r="M5216" s="23"/>
      <c r="N5216" s="23"/>
      <c r="P5216" s="23"/>
    </row>
    <row r="5217" spans="2:16" x14ac:dyDescent="0.25">
      <c r="B5217" s="23"/>
      <c r="E5217" s="23"/>
      <c r="G5217" s="23"/>
      <c r="H5217" s="23"/>
      <c r="J5217" s="23"/>
      <c r="K5217" s="23"/>
      <c r="M5217" s="23"/>
      <c r="N5217" s="23"/>
      <c r="P5217" s="23"/>
    </row>
    <row r="5218" spans="2:16" x14ac:dyDescent="0.25">
      <c r="B5218" s="23"/>
      <c r="E5218" s="23"/>
      <c r="G5218" s="23"/>
      <c r="H5218" s="23"/>
      <c r="J5218" s="23"/>
      <c r="K5218" s="23"/>
      <c r="M5218" s="23"/>
      <c r="N5218" s="23"/>
      <c r="P5218" s="23"/>
    </row>
    <row r="5219" spans="2:16" x14ac:dyDescent="0.25">
      <c r="B5219" s="23"/>
      <c r="E5219" s="23"/>
      <c r="G5219" s="23"/>
      <c r="H5219" s="23"/>
      <c r="J5219" s="23"/>
      <c r="K5219" s="23"/>
      <c r="M5219" s="23"/>
      <c r="N5219" s="23"/>
      <c r="P5219" s="23"/>
    </row>
    <row r="5220" spans="2:16" x14ac:dyDescent="0.25">
      <c r="B5220" s="23"/>
      <c r="E5220" s="23"/>
      <c r="G5220" s="23"/>
      <c r="H5220" s="23"/>
      <c r="J5220" s="23"/>
      <c r="K5220" s="23"/>
      <c r="M5220" s="23"/>
      <c r="N5220" s="23"/>
      <c r="P5220" s="23"/>
    </row>
    <row r="5221" spans="2:16" x14ac:dyDescent="0.25">
      <c r="B5221" s="23"/>
      <c r="E5221" s="23"/>
      <c r="G5221" s="23"/>
      <c r="H5221" s="23"/>
      <c r="J5221" s="23"/>
      <c r="K5221" s="23"/>
      <c r="M5221" s="23"/>
      <c r="N5221" s="23"/>
      <c r="P5221" s="23"/>
    </row>
    <row r="5222" spans="2:16" x14ac:dyDescent="0.25">
      <c r="B5222" s="23"/>
      <c r="E5222" s="23"/>
      <c r="G5222" s="23"/>
      <c r="H5222" s="23"/>
      <c r="J5222" s="23"/>
      <c r="K5222" s="23"/>
      <c r="M5222" s="23"/>
      <c r="N5222" s="23"/>
      <c r="P5222" s="23"/>
    </row>
    <row r="5223" spans="2:16" x14ac:dyDescent="0.25">
      <c r="B5223" s="23"/>
      <c r="E5223" s="23"/>
      <c r="G5223" s="23"/>
      <c r="H5223" s="23"/>
      <c r="J5223" s="23"/>
      <c r="K5223" s="23"/>
      <c r="M5223" s="23"/>
      <c r="N5223" s="23"/>
      <c r="P5223" s="23"/>
    </row>
    <row r="5224" spans="2:16" x14ac:dyDescent="0.25">
      <c r="B5224" s="23"/>
      <c r="E5224" s="23"/>
      <c r="G5224" s="23"/>
      <c r="H5224" s="23"/>
      <c r="J5224" s="23"/>
      <c r="K5224" s="23"/>
      <c r="M5224" s="23"/>
      <c r="N5224" s="23"/>
      <c r="P5224" s="23"/>
    </row>
    <row r="5225" spans="2:16" x14ac:dyDescent="0.25">
      <c r="B5225" s="23"/>
      <c r="E5225" s="23"/>
      <c r="G5225" s="23"/>
      <c r="H5225" s="23"/>
      <c r="J5225" s="23"/>
      <c r="K5225" s="23"/>
      <c r="M5225" s="23"/>
      <c r="N5225" s="23"/>
      <c r="P5225" s="23"/>
    </row>
    <row r="5226" spans="2:16" x14ac:dyDescent="0.25">
      <c r="B5226" s="23"/>
      <c r="E5226" s="23"/>
      <c r="G5226" s="23"/>
      <c r="H5226" s="23"/>
      <c r="J5226" s="23"/>
      <c r="K5226" s="23"/>
      <c r="M5226" s="23"/>
      <c r="N5226" s="23"/>
      <c r="P5226" s="23"/>
    </row>
    <row r="5227" spans="2:16" x14ac:dyDescent="0.25">
      <c r="B5227" s="23"/>
      <c r="E5227" s="23"/>
      <c r="G5227" s="23"/>
      <c r="H5227" s="23"/>
      <c r="J5227" s="23"/>
      <c r="K5227" s="23"/>
      <c r="M5227" s="23"/>
      <c r="N5227" s="23"/>
      <c r="P5227" s="23"/>
    </row>
    <row r="5228" spans="2:16" x14ac:dyDescent="0.25">
      <c r="B5228" s="23"/>
      <c r="E5228" s="23"/>
      <c r="G5228" s="23"/>
      <c r="H5228" s="23"/>
      <c r="J5228" s="23"/>
      <c r="K5228" s="23"/>
      <c r="M5228" s="23"/>
      <c r="N5228" s="23"/>
      <c r="P5228" s="23"/>
    </row>
    <row r="5229" spans="2:16" x14ac:dyDescent="0.25">
      <c r="B5229" s="23"/>
      <c r="E5229" s="23"/>
      <c r="G5229" s="23"/>
      <c r="H5229" s="23"/>
      <c r="J5229" s="23"/>
      <c r="K5229" s="23"/>
      <c r="M5229" s="23"/>
      <c r="N5229" s="23"/>
      <c r="P5229" s="23"/>
    </row>
    <row r="5230" spans="2:16" x14ac:dyDescent="0.25">
      <c r="B5230" s="23"/>
      <c r="E5230" s="23"/>
      <c r="G5230" s="23"/>
      <c r="H5230" s="23"/>
      <c r="J5230" s="23"/>
      <c r="K5230" s="23"/>
      <c r="M5230" s="23"/>
      <c r="N5230" s="23"/>
      <c r="P5230" s="23"/>
    </row>
    <row r="5231" spans="2:16" x14ac:dyDescent="0.25">
      <c r="B5231" s="23"/>
      <c r="E5231" s="23"/>
      <c r="G5231" s="23"/>
      <c r="H5231" s="23"/>
      <c r="J5231" s="23"/>
      <c r="K5231" s="23"/>
      <c r="M5231" s="23"/>
      <c r="N5231" s="23"/>
      <c r="P5231" s="23"/>
    </row>
    <row r="5232" spans="2:16" x14ac:dyDescent="0.25">
      <c r="B5232" s="23"/>
      <c r="E5232" s="23"/>
      <c r="G5232" s="23"/>
      <c r="H5232" s="23"/>
      <c r="J5232" s="23"/>
      <c r="K5232" s="23"/>
      <c r="M5232" s="23"/>
      <c r="N5232" s="23"/>
      <c r="P5232" s="23"/>
    </row>
    <row r="5233" spans="2:16" x14ac:dyDescent="0.25">
      <c r="B5233" s="23"/>
      <c r="E5233" s="23"/>
      <c r="G5233" s="23"/>
      <c r="H5233" s="23"/>
      <c r="J5233" s="23"/>
      <c r="K5233" s="23"/>
      <c r="M5233" s="23"/>
      <c r="N5233" s="23"/>
      <c r="P5233" s="23"/>
    </row>
    <row r="5234" spans="2:16" x14ac:dyDescent="0.25">
      <c r="B5234" s="23"/>
      <c r="E5234" s="23"/>
      <c r="G5234" s="23"/>
      <c r="H5234" s="23"/>
      <c r="J5234" s="23"/>
      <c r="K5234" s="23"/>
      <c r="M5234" s="23"/>
      <c r="N5234" s="23"/>
      <c r="P5234" s="23"/>
    </row>
    <row r="5235" spans="2:16" x14ac:dyDescent="0.25">
      <c r="B5235" s="23"/>
      <c r="E5235" s="23"/>
      <c r="G5235" s="23"/>
      <c r="H5235" s="23"/>
      <c r="J5235" s="23"/>
      <c r="K5235" s="23"/>
      <c r="M5235" s="23"/>
      <c r="N5235" s="23"/>
      <c r="P5235" s="23"/>
    </row>
    <row r="5236" spans="2:16" x14ac:dyDescent="0.25">
      <c r="B5236" s="23"/>
      <c r="E5236" s="23"/>
      <c r="G5236" s="23"/>
      <c r="H5236" s="23"/>
      <c r="J5236" s="23"/>
      <c r="K5236" s="23"/>
      <c r="M5236" s="23"/>
      <c r="N5236" s="23"/>
      <c r="P5236" s="23"/>
    </row>
    <row r="5237" spans="2:16" x14ac:dyDescent="0.25">
      <c r="B5237" s="23"/>
      <c r="E5237" s="23"/>
      <c r="G5237" s="23"/>
      <c r="H5237" s="23"/>
      <c r="J5237" s="23"/>
      <c r="K5237" s="23"/>
      <c r="M5237" s="23"/>
      <c r="N5237" s="23"/>
      <c r="P5237" s="23"/>
    </row>
    <row r="5238" spans="2:16" x14ac:dyDescent="0.25">
      <c r="B5238" s="23"/>
      <c r="E5238" s="23"/>
      <c r="G5238" s="23"/>
      <c r="H5238" s="23"/>
      <c r="J5238" s="23"/>
      <c r="K5238" s="23"/>
      <c r="M5238" s="23"/>
      <c r="N5238" s="23"/>
      <c r="P5238" s="23"/>
    </row>
    <row r="5239" spans="2:16" x14ac:dyDescent="0.25">
      <c r="B5239" s="23"/>
      <c r="E5239" s="23"/>
      <c r="G5239" s="23"/>
      <c r="H5239" s="23"/>
      <c r="J5239" s="23"/>
      <c r="K5239" s="23"/>
      <c r="M5239" s="23"/>
      <c r="N5239" s="23"/>
      <c r="P5239" s="23"/>
    </row>
    <row r="5240" spans="2:16" x14ac:dyDescent="0.25">
      <c r="B5240" s="23"/>
      <c r="E5240" s="23"/>
      <c r="G5240" s="23"/>
      <c r="H5240" s="23"/>
      <c r="J5240" s="23"/>
      <c r="K5240" s="23"/>
      <c r="M5240" s="23"/>
      <c r="N5240" s="23"/>
      <c r="P5240" s="23"/>
    </row>
    <row r="5241" spans="2:16" x14ac:dyDescent="0.25">
      <c r="B5241" s="23"/>
      <c r="E5241" s="23"/>
      <c r="G5241" s="23"/>
      <c r="H5241" s="23"/>
      <c r="J5241" s="23"/>
      <c r="K5241" s="23"/>
      <c r="M5241" s="23"/>
      <c r="N5241" s="23"/>
      <c r="P5241" s="23"/>
    </row>
    <row r="5242" spans="2:16" x14ac:dyDescent="0.25">
      <c r="B5242" s="23"/>
      <c r="E5242" s="23"/>
      <c r="G5242" s="23"/>
      <c r="H5242" s="23"/>
      <c r="J5242" s="23"/>
      <c r="K5242" s="23"/>
      <c r="M5242" s="23"/>
      <c r="N5242" s="23"/>
      <c r="P5242" s="23"/>
    </row>
    <row r="5243" spans="2:16" x14ac:dyDescent="0.25">
      <c r="B5243" s="23"/>
      <c r="E5243" s="23"/>
      <c r="G5243" s="23"/>
      <c r="H5243" s="23"/>
      <c r="J5243" s="23"/>
      <c r="K5243" s="23"/>
      <c r="M5243" s="23"/>
      <c r="N5243" s="23"/>
      <c r="P5243" s="23"/>
    </row>
    <row r="5244" spans="2:16" x14ac:dyDescent="0.25">
      <c r="B5244" s="23"/>
      <c r="E5244" s="23"/>
      <c r="G5244" s="23"/>
      <c r="H5244" s="23"/>
      <c r="J5244" s="23"/>
      <c r="K5244" s="23"/>
      <c r="M5244" s="23"/>
      <c r="N5244" s="23"/>
      <c r="P5244" s="23"/>
    </row>
    <row r="5245" spans="2:16" x14ac:dyDescent="0.25">
      <c r="B5245" s="23"/>
      <c r="E5245" s="23"/>
      <c r="G5245" s="23"/>
      <c r="H5245" s="23"/>
      <c r="J5245" s="23"/>
      <c r="K5245" s="23"/>
      <c r="M5245" s="23"/>
      <c r="N5245" s="23"/>
      <c r="P5245" s="23"/>
    </row>
    <row r="5246" spans="2:16" x14ac:dyDescent="0.25">
      <c r="B5246" s="23"/>
      <c r="E5246" s="23"/>
      <c r="G5246" s="23"/>
      <c r="H5246" s="23"/>
      <c r="J5246" s="23"/>
      <c r="K5246" s="23"/>
      <c r="M5246" s="23"/>
      <c r="N5246" s="23"/>
      <c r="P5246" s="23"/>
    </row>
    <row r="5247" spans="2:16" x14ac:dyDescent="0.25">
      <c r="B5247" s="23"/>
      <c r="E5247" s="23"/>
      <c r="G5247" s="23"/>
      <c r="H5247" s="23"/>
      <c r="J5247" s="23"/>
      <c r="K5247" s="23"/>
      <c r="M5247" s="23"/>
      <c r="N5247" s="23"/>
      <c r="P5247" s="23"/>
    </row>
    <row r="5248" spans="2:16" x14ac:dyDescent="0.25">
      <c r="B5248" s="23"/>
      <c r="E5248" s="23"/>
      <c r="G5248" s="23"/>
      <c r="H5248" s="23"/>
      <c r="J5248" s="23"/>
      <c r="K5248" s="23"/>
      <c r="M5248" s="23"/>
      <c r="N5248" s="23"/>
      <c r="P5248" s="23"/>
    </row>
    <row r="5249" spans="2:16" x14ac:dyDescent="0.25">
      <c r="B5249" s="23"/>
      <c r="E5249" s="23"/>
      <c r="G5249" s="23"/>
      <c r="H5249" s="23"/>
      <c r="J5249" s="23"/>
      <c r="K5249" s="23"/>
      <c r="M5249" s="23"/>
      <c r="N5249" s="23"/>
      <c r="P5249" s="23"/>
    </row>
    <row r="5250" spans="2:16" x14ac:dyDescent="0.25">
      <c r="B5250" s="23"/>
      <c r="E5250" s="23"/>
      <c r="G5250" s="23"/>
      <c r="H5250" s="23"/>
      <c r="J5250" s="23"/>
      <c r="K5250" s="23"/>
      <c r="M5250" s="23"/>
      <c r="N5250" s="23"/>
      <c r="P5250" s="23"/>
    </row>
    <row r="5251" spans="2:16" x14ac:dyDescent="0.25">
      <c r="B5251" s="23"/>
      <c r="E5251" s="23"/>
      <c r="G5251" s="23"/>
      <c r="H5251" s="23"/>
      <c r="J5251" s="23"/>
      <c r="K5251" s="23"/>
      <c r="M5251" s="23"/>
      <c r="N5251" s="23"/>
      <c r="P5251" s="23"/>
    </row>
    <row r="5252" spans="2:16" x14ac:dyDescent="0.25">
      <c r="B5252" s="23"/>
      <c r="E5252" s="23"/>
      <c r="G5252" s="23"/>
      <c r="H5252" s="23"/>
      <c r="J5252" s="23"/>
      <c r="K5252" s="23"/>
      <c r="M5252" s="23"/>
      <c r="N5252" s="23"/>
      <c r="P5252" s="23"/>
    </row>
    <row r="5253" spans="2:16" x14ac:dyDescent="0.25">
      <c r="B5253" s="23"/>
      <c r="E5253" s="23"/>
      <c r="G5253" s="23"/>
      <c r="H5253" s="23"/>
      <c r="J5253" s="23"/>
      <c r="K5253" s="23"/>
      <c r="M5253" s="23"/>
      <c r="N5253" s="23"/>
      <c r="P5253" s="23"/>
    </row>
    <row r="5254" spans="2:16" x14ac:dyDescent="0.25">
      <c r="B5254" s="23"/>
      <c r="E5254" s="23"/>
      <c r="G5254" s="23"/>
      <c r="H5254" s="23"/>
      <c r="J5254" s="23"/>
      <c r="K5254" s="23"/>
      <c r="M5254" s="23"/>
      <c r="N5254" s="23"/>
      <c r="P5254" s="23"/>
    </row>
    <row r="5255" spans="2:16" x14ac:dyDescent="0.25">
      <c r="B5255" s="23"/>
      <c r="E5255" s="23"/>
      <c r="G5255" s="23"/>
      <c r="H5255" s="23"/>
      <c r="J5255" s="23"/>
      <c r="K5255" s="23"/>
      <c r="M5255" s="23"/>
      <c r="N5255" s="23"/>
      <c r="P5255" s="23"/>
    </row>
    <row r="5256" spans="2:16" x14ac:dyDescent="0.25">
      <c r="B5256" s="23"/>
      <c r="E5256" s="23"/>
      <c r="G5256" s="23"/>
      <c r="H5256" s="23"/>
      <c r="J5256" s="23"/>
      <c r="K5256" s="23"/>
      <c r="M5256" s="23"/>
      <c r="N5256" s="23"/>
      <c r="P5256" s="23"/>
    </row>
    <row r="5257" spans="2:16" x14ac:dyDescent="0.25">
      <c r="B5257" s="23"/>
      <c r="E5257" s="23"/>
      <c r="G5257" s="23"/>
      <c r="H5257" s="23"/>
      <c r="J5257" s="23"/>
      <c r="K5257" s="23"/>
      <c r="M5257" s="23"/>
      <c r="N5257" s="23"/>
      <c r="P5257" s="23"/>
    </row>
    <row r="5258" spans="2:16" x14ac:dyDescent="0.25">
      <c r="B5258" s="23"/>
      <c r="E5258" s="23"/>
      <c r="G5258" s="23"/>
      <c r="H5258" s="23"/>
      <c r="J5258" s="23"/>
      <c r="K5258" s="23"/>
      <c r="M5258" s="23"/>
      <c r="N5258" s="23"/>
      <c r="P5258" s="23"/>
    </row>
    <row r="5259" spans="2:16" x14ac:dyDescent="0.25">
      <c r="B5259" s="23"/>
      <c r="E5259" s="23"/>
      <c r="G5259" s="23"/>
      <c r="H5259" s="23"/>
      <c r="J5259" s="23"/>
      <c r="K5259" s="23"/>
      <c r="M5259" s="23"/>
      <c r="N5259" s="23"/>
      <c r="P5259" s="23"/>
    </row>
    <row r="5260" spans="2:16" x14ac:dyDescent="0.25">
      <c r="B5260" s="23"/>
      <c r="E5260" s="23"/>
      <c r="G5260" s="23"/>
      <c r="H5260" s="23"/>
      <c r="J5260" s="23"/>
      <c r="K5260" s="23"/>
      <c r="M5260" s="23"/>
      <c r="N5260" s="23"/>
      <c r="P5260" s="23"/>
    </row>
    <row r="5261" spans="2:16" x14ac:dyDescent="0.25">
      <c r="B5261" s="23"/>
      <c r="E5261" s="23"/>
      <c r="G5261" s="23"/>
      <c r="H5261" s="23"/>
      <c r="J5261" s="23"/>
      <c r="K5261" s="23"/>
      <c r="M5261" s="23"/>
      <c r="N5261" s="23"/>
      <c r="P5261" s="23"/>
    </row>
    <row r="5262" spans="2:16" x14ac:dyDescent="0.25">
      <c r="B5262" s="23"/>
      <c r="E5262" s="23"/>
      <c r="G5262" s="23"/>
      <c r="H5262" s="23"/>
      <c r="J5262" s="23"/>
      <c r="K5262" s="23"/>
      <c r="M5262" s="23"/>
      <c r="N5262" s="23"/>
      <c r="P5262" s="23"/>
    </row>
    <row r="5263" spans="2:16" x14ac:dyDescent="0.25">
      <c r="B5263" s="23"/>
      <c r="E5263" s="23"/>
      <c r="G5263" s="23"/>
      <c r="H5263" s="23"/>
      <c r="J5263" s="23"/>
      <c r="K5263" s="23"/>
      <c r="M5263" s="23"/>
      <c r="N5263" s="23"/>
      <c r="P5263" s="23"/>
    </row>
    <row r="5264" spans="2:16" x14ac:dyDescent="0.25">
      <c r="B5264" s="23"/>
      <c r="E5264" s="23"/>
      <c r="G5264" s="23"/>
      <c r="H5264" s="23"/>
      <c r="J5264" s="23"/>
      <c r="K5264" s="23"/>
      <c r="M5264" s="23"/>
      <c r="N5264" s="23"/>
      <c r="P5264" s="23"/>
    </row>
    <row r="5265" spans="2:16" x14ac:dyDescent="0.25">
      <c r="B5265" s="23"/>
      <c r="E5265" s="23"/>
      <c r="G5265" s="23"/>
      <c r="H5265" s="23"/>
      <c r="J5265" s="23"/>
      <c r="K5265" s="23"/>
      <c r="M5265" s="23"/>
      <c r="N5265" s="23"/>
      <c r="P5265" s="23"/>
    </row>
    <row r="5266" spans="2:16" x14ac:dyDescent="0.25">
      <c r="B5266" s="23"/>
      <c r="E5266" s="23"/>
      <c r="G5266" s="23"/>
      <c r="H5266" s="23"/>
      <c r="J5266" s="23"/>
      <c r="K5266" s="23"/>
      <c r="M5266" s="23"/>
      <c r="N5266" s="23"/>
      <c r="P5266" s="23"/>
    </row>
    <row r="5267" spans="2:16" x14ac:dyDescent="0.25">
      <c r="B5267" s="23"/>
      <c r="E5267" s="23"/>
      <c r="G5267" s="23"/>
      <c r="H5267" s="23"/>
      <c r="J5267" s="23"/>
      <c r="K5267" s="23"/>
      <c r="M5267" s="23"/>
      <c r="N5267" s="23"/>
      <c r="P5267" s="23"/>
    </row>
    <row r="5268" spans="2:16" x14ac:dyDescent="0.25">
      <c r="B5268" s="23"/>
      <c r="E5268" s="23"/>
      <c r="G5268" s="23"/>
      <c r="H5268" s="23"/>
      <c r="J5268" s="23"/>
      <c r="K5268" s="23"/>
      <c r="M5268" s="23"/>
      <c r="N5268" s="23"/>
      <c r="P5268" s="23"/>
    </row>
    <row r="5269" spans="2:16" x14ac:dyDescent="0.25">
      <c r="B5269" s="23"/>
      <c r="E5269" s="23"/>
      <c r="G5269" s="23"/>
      <c r="H5269" s="23"/>
      <c r="J5269" s="23"/>
      <c r="K5269" s="23"/>
      <c r="M5269" s="23"/>
      <c r="N5269" s="23"/>
      <c r="P5269" s="23"/>
    </row>
    <row r="5270" spans="2:16" x14ac:dyDescent="0.25">
      <c r="B5270" s="23"/>
      <c r="E5270" s="23"/>
      <c r="G5270" s="23"/>
      <c r="H5270" s="23"/>
      <c r="J5270" s="23"/>
      <c r="K5270" s="23"/>
      <c r="M5270" s="23"/>
      <c r="N5270" s="23"/>
      <c r="P5270" s="23"/>
    </row>
    <row r="5271" spans="2:16" x14ac:dyDescent="0.25">
      <c r="B5271" s="23"/>
      <c r="E5271" s="23"/>
      <c r="G5271" s="23"/>
      <c r="H5271" s="23"/>
      <c r="J5271" s="23"/>
      <c r="K5271" s="23"/>
      <c r="M5271" s="23"/>
      <c r="N5271" s="23"/>
      <c r="P5271" s="23"/>
    </row>
    <row r="5272" spans="2:16" x14ac:dyDescent="0.25">
      <c r="B5272" s="23"/>
      <c r="E5272" s="23"/>
      <c r="G5272" s="23"/>
      <c r="H5272" s="23"/>
      <c r="J5272" s="23"/>
      <c r="K5272" s="23"/>
      <c r="M5272" s="23"/>
      <c r="N5272" s="23"/>
      <c r="P5272" s="23"/>
    </row>
    <row r="5273" spans="2:16" x14ac:dyDescent="0.25">
      <c r="B5273" s="23"/>
      <c r="E5273" s="23"/>
      <c r="G5273" s="23"/>
      <c r="H5273" s="23"/>
      <c r="J5273" s="23"/>
      <c r="K5273" s="23"/>
      <c r="M5273" s="23"/>
      <c r="N5273" s="23"/>
      <c r="P5273" s="23"/>
    </row>
    <row r="5274" spans="2:16" x14ac:dyDescent="0.25">
      <c r="B5274" s="23"/>
      <c r="E5274" s="23"/>
      <c r="G5274" s="23"/>
      <c r="H5274" s="23"/>
      <c r="J5274" s="23"/>
      <c r="K5274" s="23"/>
      <c r="M5274" s="23"/>
      <c r="N5274" s="23"/>
      <c r="P5274" s="23"/>
    </row>
    <row r="5275" spans="2:16" x14ac:dyDescent="0.25">
      <c r="B5275" s="23"/>
      <c r="E5275" s="23"/>
      <c r="G5275" s="23"/>
      <c r="H5275" s="23"/>
      <c r="J5275" s="23"/>
      <c r="K5275" s="23"/>
      <c r="M5275" s="23"/>
      <c r="N5275" s="23"/>
      <c r="P5275" s="23"/>
    </row>
    <row r="5276" spans="2:16" x14ac:dyDescent="0.25">
      <c r="B5276" s="23"/>
      <c r="E5276" s="23"/>
      <c r="G5276" s="23"/>
      <c r="H5276" s="23"/>
      <c r="J5276" s="23"/>
      <c r="K5276" s="23"/>
      <c r="M5276" s="23"/>
      <c r="N5276" s="23"/>
      <c r="P5276" s="23"/>
    </row>
    <row r="5277" spans="2:16" x14ac:dyDescent="0.25">
      <c r="B5277" s="23"/>
      <c r="E5277" s="23"/>
      <c r="G5277" s="23"/>
      <c r="H5277" s="23"/>
      <c r="J5277" s="23"/>
      <c r="K5277" s="23"/>
      <c r="M5277" s="23"/>
      <c r="N5277" s="23"/>
      <c r="P5277" s="23"/>
    </row>
    <row r="5278" spans="2:16" x14ac:dyDescent="0.25">
      <c r="B5278" s="23"/>
      <c r="E5278" s="23"/>
      <c r="G5278" s="23"/>
      <c r="H5278" s="23"/>
      <c r="J5278" s="23"/>
      <c r="K5278" s="23"/>
      <c r="M5278" s="23"/>
      <c r="N5278" s="23"/>
      <c r="P5278" s="23"/>
    </row>
    <row r="5279" spans="2:16" x14ac:dyDescent="0.25">
      <c r="B5279" s="23"/>
      <c r="E5279" s="23"/>
      <c r="G5279" s="23"/>
      <c r="H5279" s="23"/>
      <c r="J5279" s="23"/>
      <c r="K5279" s="23"/>
      <c r="M5279" s="23"/>
      <c r="N5279" s="23"/>
      <c r="P5279" s="23"/>
    </row>
    <row r="5280" spans="2:16" x14ac:dyDescent="0.25">
      <c r="B5280" s="23"/>
      <c r="E5280" s="23"/>
      <c r="G5280" s="23"/>
      <c r="H5280" s="23"/>
      <c r="J5280" s="23"/>
      <c r="K5280" s="23"/>
      <c r="M5280" s="23"/>
      <c r="N5280" s="23"/>
      <c r="P5280" s="23"/>
    </row>
    <row r="5281" spans="2:16" x14ac:dyDescent="0.25">
      <c r="B5281" s="23"/>
      <c r="E5281" s="23"/>
      <c r="G5281" s="23"/>
      <c r="H5281" s="23"/>
      <c r="J5281" s="23"/>
      <c r="K5281" s="23"/>
      <c r="M5281" s="23"/>
      <c r="N5281" s="23"/>
      <c r="P5281" s="23"/>
    </row>
    <row r="5282" spans="2:16" x14ac:dyDescent="0.25">
      <c r="B5282" s="23"/>
      <c r="E5282" s="23"/>
      <c r="G5282" s="23"/>
      <c r="H5282" s="23"/>
      <c r="J5282" s="23"/>
      <c r="K5282" s="23"/>
      <c r="M5282" s="23"/>
      <c r="N5282" s="23"/>
      <c r="P5282" s="23"/>
    </row>
    <row r="5283" spans="2:16" x14ac:dyDescent="0.25">
      <c r="B5283" s="23"/>
      <c r="E5283" s="23"/>
      <c r="G5283" s="23"/>
      <c r="H5283" s="23"/>
      <c r="J5283" s="23"/>
      <c r="K5283" s="23"/>
      <c r="M5283" s="23"/>
      <c r="N5283" s="23"/>
      <c r="P5283" s="23"/>
    </row>
    <row r="5284" spans="2:16" x14ac:dyDescent="0.25">
      <c r="B5284" s="23"/>
      <c r="E5284" s="23"/>
      <c r="G5284" s="23"/>
      <c r="H5284" s="23"/>
      <c r="J5284" s="23"/>
      <c r="K5284" s="23"/>
      <c r="M5284" s="23"/>
      <c r="N5284" s="23"/>
      <c r="P5284" s="23"/>
    </row>
    <row r="5285" spans="2:16" x14ac:dyDescent="0.25">
      <c r="B5285" s="23"/>
      <c r="E5285" s="23"/>
      <c r="G5285" s="23"/>
      <c r="H5285" s="23"/>
      <c r="J5285" s="23"/>
      <c r="K5285" s="23"/>
      <c r="M5285" s="23"/>
      <c r="N5285" s="23"/>
      <c r="P5285" s="23"/>
    </row>
    <row r="5286" spans="2:16" x14ac:dyDescent="0.25">
      <c r="B5286" s="23"/>
      <c r="E5286" s="23"/>
      <c r="G5286" s="23"/>
      <c r="H5286" s="23"/>
      <c r="J5286" s="23"/>
      <c r="K5286" s="23"/>
      <c r="M5286" s="23"/>
      <c r="N5286" s="23"/>
      <c r="P5286" s="23"/>
    </row>
    <row r="5287" spans="2:16" x14ac:dyDescent="0.25">
      <c r="B5287" s="23"/>
      <c r="E5287" s="23"/>
      <c r="G5287" s="23"/>
      <c r="H5287" s="23"/>
      <c r="J5287" s="23"/>
      <c r="K5287" s="23"/>
      <c r="M5287" s="23"/>
      <c r="N5287" s="23"/>
      <c r="P5287" s="23"/>
    </row>
    <row r="5288" spans="2:16" x14ac:dyDescent="0.25">
      <c r="B5288" s="23"/>
      <c r="E5288" s="23"/>
      <c r="G5288" s="23"/>
      <c r="H5288" s="23"/>
      <c r="J5288" s="23"/>
      <c r="K5288" s="23"/>
      <c r="M5288" s="23"/>
      <c r="N5288" s="23"/>
      <c r="P5288" s="23"/>
    </row>
    <row r="5289" spans="2:16" x14ac:dyDescent="0.25">
      <c r="B5289" s="23"/>
      <c r="E5289" s="23"/>
      <c r="G5289" s="23"/>
      <c r="H5289" s="23"/>
      <c r="J5289" s="23"/>
      <c r="K5289" s="23"/>
      <c r="M5289" s="23"/>
      <c r="N5289" s="23"/>
      <c r="P5289" s="23"/>
    </row>
    <row r="5290" spans="2:16" x14ac:dyDescent="0.25">
      <c r="B5290" s="23"/>
      <c r="E5290" s="23"/>
      <c r="G5290" s="23"/>
      <c r="H5290" s="23"/>
      <c r="J5290" s="23"/>
      <c r="K5290" s="23"/>
      <c r="M5290" s="23"/>
      <c r="N5290" s="23"/>
      <c r="P5290" s="23"/>
    </row>
    <row r="5291" spans="2:16" x14ac:dyDescent="0.25">
      <c r="B5291" s="23"/>
      <c r="E5291" s="23"/>
      <c r="G5291" s="23"/>
      <c r="H5291" s="23"/>
      <c r="J5291" s="23"/>
      <c r="K5291" s="23"/>
      <c r="M5291" s="23"/>
      <c r="N5291" s="23"/>
      <c r="P5291" s="23"/>
    </row>
    <row r="5292" spans="2:16" x14ac:dyDescent="0.25">
      <c r="B5292" s="23"/>
      <c r="E5292" s="23"/>
      <c r="G5292" s="23"/>
      <c r="H5292" s="23"/>
      <c r="J5292" s="23"/>
      <c r="K5292" s="23"/>
      <c r="M5292" s="23"/>
      <c r="N5292" s="23"/>
      <c r="P5292" s="23"/>
    </row>
    <row r="5293" spans="2:16" x14ac:dyDescent="0.25">
      <c r="B5293" s="23"/>
      <c r="E5293" s="23"/>
      <c r="G5293" s="23"/>
      <c r="H5293" s="23"/>
      <c r="J5293" s="23"/>
      <c r="K5293" s="23"/>
      <c r="M5293" s="23"/>
      <c r="N5293" s="23"/>
      <c r="P5293" s="23"/>
    </row>
    <row r="5294" spans="2:16" x14ac:dyDescent="0.25">
      <c r="B5294" s="23"/>
      <c r="E5294" s="23"/>
      <c r="G5294" s="23"/>
      <c r="H5294" s="23"/>
      <c r="J5294" s="23"/>
      <c r="K5294" s="23"/>
      <c r="M5294" s="23"/>
      <c r="N5294" s="23"/>
      <c r="P5294" s="23"/>
    </row>
    <row r="5295" spans="2:16" x14ac:dyDescent="0.25">
      <c r="B5295" s="23"/>
      <c r="E5295" s="23"/>
      <c r="G5295" s="23"/>
      <c r="H5295" s="23"/>
      <c r="J5295" s="23"/>
      <c r="K5295" s="23"/>
      <c r="M5295" s="23"/>
      <c r="N5295" s="23"/>
      <c r="P5295" s="23"/>
    </row>
    <row r="5296" spans="2:16" x14ac:dyDescent="0.25">
      <c r="B5296" s="23"/>
      <c r="E5296" s="23"/>
      <c r="G5296" s="23"/>
      <c r="H5296" s="23"/>
      <c r="J5296" s="23"/>
      <c r="K5296" s="23"/>
      <c r="M5296" s="23"/>
      <c r="N5296" s="23"/>
      <c r="P5296" s="23"/>
    </row>
    <row r="5297" spans="2:16" x14ac:dyDescent="0.25">
      <c r="B5297" s="23"/>
      <c r="E5297" s="23"/>
      <c r="G5297" s="23"/>
      <c r="H5297" s="23"/>
      <c r="J5297" s="23"/>
      <c r="K5297" s="23"/>
      <c r="M5297" s="23"/>
      <c r="N5297" s="23"/>
      <c r="P5297" s="23"/>
    </row>
    <row r="5298" spans="2:16" x14ac:dyDescent="0.25">
      <c r="B5298" s="23"/>
      <c r="E5298" s="23"/>
      <c r="G5298" s="23"/>
      <c r="H5298" s="23"/>
      <c r="J5298" s="23"/>
      <c r="K5298" s="23"/>
      <c r="M5298" s="23"/>
      <c r="N5298" s="23"/>
      <c r="P5298" s="23"/>
    </row>
    <row r="5299" spans="2:16" x14ac:dyDescent="0.25">
      <c r="B5299" s="23"/>
      <c r="E5299" s="23"/>
      <c r="G5299" s="23"/>
      <c r="H5299" s="23"/>
      <c r="J5299" s="23"/>
      <c r="K5299" s="23"/>
      <c r="M5299" s="23"/>
      <c r="N5299" s="23"/>
      <c r="P5299" s="23"/>
    </row>
    <row r="5300" spans="2:16" x14ac:dyDescent="0.25">
      <c r="B5300" s="23"/>
      <c r="E5300" s="23"/>
      <c r="G5300" s="23"/>
      <c r="H5300" s="23"/>
      <c r="J5300" s="23"/>
      <c r="K5300" s="23"/>
      <c r="M5300" s="23"/>
      <c r="N5300" s="23"/>
      <c r="P5300" s="23"/>
    </row>
    <row r="5301" spans="2:16" x14ac:dyDescent="0.25">
      <c r="B5301" s="23"/>
      <c r="E5301" s="23"/>
      <c r="G5301" s="23"/>
      <c r="H5301" s="23"/>
      <c r="J5301" s="23"/>
      <c r="K5301" s="23"/>
      <c r="M5301" s="23"/>
      <c r="N5301" s="23"/>
      <c r="P5301" s="23"/>
    </row>
    <row r="5302" spans="2:16" x14ac:dyDescent="0.25">
      <c r="B5302" s="23"/>
      <c r="E5302" s="23"/>
      <c r="G5302" s="23"/>
      <c r="H5302" s="23"/>
      <c r="J5302" s="23"/>
      <c r="K5302" s="23"/>
      <c r="M5302" s="23"/>
      <c r="N5302" s="23"/>
      <c r="P5302" s="23"/>
    </row>
    <row r="5303" spans="2:16" x14ac:dyDescent="0.25">
      <c r="B5303" s="23"/>
      <c r="E5303" s="23"/>
      <c r="G5303" s="23"/>
      <c r="H5303" s="23"/>
      <c r="J5303" s="23"/>
      <c r="K5303" s="23"/>
      <c r="M5303" s="23"/>
      <c r="N5303" s="23"/>
      <c r="P5303" s="23"/>
    </row>
    <row r="5304" spans="2:16" x14ac:dyDescent="0.25">
      <c r="B5304" s="23"/>
      <c r="E5304" s="23"/>
      <c r="G5304" s="23"/>
      <c r="H5304" s="23"/>
      <c r="J5304" s="23"/>
      <c r="K5304" s="23"/>
      <c r="M5304" s="23"/>
      <c r="N5304" s="23"/>
      <c r="P5304" s="23"/>
    </row>
    <row r="5305" spans="2:16" x14ac:dyDescent="0.25">
      <c r="B5305" s="23"/>
      <c r="E5305" s="23"/>
      <c r="G5305" s="23"/>
      <c r="H5305" s="23"/>
      <c r="J5305" s="23"/>
      <c r="K5305" s="23"/>
      <c r="M5305" s="23"/>
      <c r="N5305" s="23"/>
      <c r="P5305" s="23"/>
    </row>
    <row r="5306" spans="2:16" x14ac:dyDescent="0.25">
      <c r="B5306" s="23"/>
      <c r="E5306" s="23"/>
      <c r="G5306" s="23"/>
      <c r="H5306" s="23"/>
      <c r="J5306" s="23"/>
      <c r="K5306" s="23"/>
      <c r="M5306" s="23"/>
      <c r="N5306" s="23"/>
      <c r="P5306" s="23"/>
    </row>
    <row r="5307" spans="2:16" x14ac:dyDescent="0.25">
      <c r="B5307" s="23"/>
      <c r="E5307" s="23"/>
      <c r="G5307" s="23"/>
      <c r="H5307" s="23"/>
      <c r="J5307" s="23"/>
      <c r="K5307" s="23"/>
      <c r="M5307" s="23"/>
      <c r="N5307" s="23"/>
      <c r="P5307" s="23"/>
    </row>
    <row r="5308" spans="2:16" x14ac:dyDescent="0.25">
      <c r="B5308" s="23"/>
      <c r="E5308" s="23"/>
      <c r="G5308" s="23"/>
      <c r="H5308" s="23"/>
      <c r="J5308" s="23"/>
      <c r="K5308" s="23"/>
      <c r="M5308" s="23"/>
      <c r="N5308" s="23"/>
      <c r="P5308" s="23"/>
    </row>
    <row r="5309" spans="2:16" x14ac:dyDescent="0.25">
      <c r="B5309" s="23"/>
      <c r="E5309" s="23"/>
      <c r="G5309" s="23"/>
      <c r="H5309" s="23"/>
      <c r="J5309" s="23"/>
      <c r="K5309" s="23"/>
      <c r="M5309" s="23"/>
      <c r="N5309" s="23"/>
      <c r="P5309" s="23"/>
    </row>
    <row r="5310" spans="2:16" x14ac:dyDescent="0.25">
      <c r="B5310" s="23"/>
      <c r="E5310" s="23"/>
      <c r="G5310" s="23"/>
      <c r="H5310" s="23"/>
      <c r="J5310" s="23"/>
      <c r="K5310" s="23"/>
      <c r="M5310" s="23"/>
      <c r="N5310" s="23"/>
      <c r="P5310" s="23"/>
    </row>
    <row r="5311" spans="2:16" x14ac:dyDescent="0.25">
      <c r="B5311" s="23"/>
      <c r="E5311" s="23"/>
      <c r="G5311" s="23"/>
      <c r="H5311" s="23"/>
      <c r="J5311" s="23"/>
      <c r="K5311" s="23"/>
      <c r="M5311" s="23"/>
      <c r="N5311" s="23"/>
      <c r="P5311" s="23"/>
    </row>
    <row r="5312" spans="2:16" x14ac:dyDescent="0.25">
      <c r="B5312" s="23"/>
      <c r="E5312" s="23"/>
      <c r="G5312" s="23"/>
      <c r="H5312" s="23"/>
      <c r="J5312" s="23"/>
      <c r="K5312" s="23"/>
      <c r="M5312" s="23"/>
      <c r="N5312" s="23"/>
      <c r="P5312" s="23"/>
    </row>
    <row r="5313" spans="2:16" x14ac:dyDescent="0.25">
      <c r="B5313" s="23"/>
      <c r="E5313" s="23"/>
      <c r="G5313" s="23"/>
      <c r="H5313" s="23"/>
      <c r="J5313" s="23"/>
      <c r="K5313" s="23"/>
      <c r="M5313" s="23"/>
      <c r="N5313" s="23"/>
      <c r="P5313" s="23"/>
    </row>
    <row r="5314" spans="2:16" x14ac:dyDescent="0.25">
      <c r="B5314" s="23"/>
      <c r="E5314" s="23"/>
      <c r="G5314" s="23"/>
      <c r="H5314" s="23"/>
      <c r="J5314" s="23"/>
      <c r="K5314" s="23"/>
      <c r="M5314" s="23"/>
      <c r="N5314" s="23"/>
      <c r="P5314" s="23"/>
    </row>
    <row r="5315" spans="2:16" x14ac:dyDescent="0.25">
      <c r="B5315" s="23"/>
      <c r="E5315" s="23"/>
      <c r="G5315" s="23"/>
      <c r="H5315" s="23"/>
      <c r="J5315" s="23"/>
      <c r="K5315" s="23"/>
      <c r="M5315" s="23"/>
      <c r="N5315" s="23"/>
      <c r="P5315" s="23"/>
    </row>
    <row r="5316" spans="2:16" x14ac:dyDescent="0.25">
      <c r="B5316" s="23"/>
      <c r="E5316" s="23"/>
      <c r="G5316" s="23"/>
      <c r="H5316" s="23"/>
      <c r="J5316" s="23"/>
      <c r="K5316" s="23"/>
      <c r="M5316" s="23"/>
      <c r="N5316" s="23"/>
      <c r="P5316" s="23"/>
    </row>
    <row r="5317" spans="2:16" x14ac:dyDescent="0.25">
      <c r="B5317" s="23"/>
      <c r="E5317" s="23"/>
      <c r="G5317" s="23"/>
      <c r="H5317" s="23"/>
      <c r="J5317" s="23"/>
      <c r="K5317" s="23"/>
      <c r="M5317" s="23"/>
      <c r="N5317" s="23"/>
      <c r="P5317" s="23"/>
    </row>
    <row r="5318" spans="2:16" x14ac:dyDescent="0.25">
      <c r="B5318" s="23"/>
      <c r="E5318" s="23"/>
      <c r="G5318" s="23"/>
      <c r="H5318" s="23"/>
      <c r="J5318" s="23"/>
      <c r="K5318" s="23"/>
      <c r="M5318" s="23"/>
      <c r="N5318" s="23"/>
      <c r="P5318" s="23"/>
    </row>
    <row r="5319" spans="2:16" x14ac:dyDescent="0.25">
      <c r="B5319" s="23"/>
      <c r="E5319" s="23"/>
      <c r="G5319" s="23"/>
      <c r="H5319" s="23"/>
      <c r="J5319" s="23"/>
      <c r="K5319" s="23"/>
      <c r="M5319" s="23"/>
      <c r="N5319" s="23"/>
      <c r="P5319" s="23"/>
    </row>
    <row r="5320" spans="2:16" x14ac:dyDescent="0.25">
      <c r="B5320" s="23"/>
      <c r="E5320" s="23"/>
      <c r="G5320" s="23"/>
      <c r="H5320" s="23"/>
      <c r="J5320" s="23"/>
      <c r="K5320" s="23"/>
      <c r="M5320" s="23"/>
      <c r="N5320" s="23"/>
      <c r="P5320" s="23"/>
    </row>
    <row r="5321" spans="2:16" x14ac:dyDescent="0.25">
      <c r="B5321" s="23"/>
      <c r="E5321" s="23"/>
      <c r="G5321" s="23"/>
      <c r="H5321" s="23"/>
      <c r="J5321" s="23"/>
      <c r="K5321" s="23"/>
      <c r="M5321" s="23"/>
      <c r="N5321" s="23"/>
      <c r="P5321" s="23"/>
    </row>
    <row r="5322" spans="2:16" x14ac:dyDescent="0.25">
      <c r="B5322" s="23"/>
      <c r="E5322" s="23"/>
      <c r="G5322" s="23"/>
      <c r="H5322" s="23"/>
      <c r="J5322" s="23"/>
      <c r="K5322" s="23"/>
      <c r="M5322" s="23"/>
      <c r="N5322" s="23"/>
      <c r="P5322" s="23"/>
    </row>
    <row r="5323" spans="2:16" x14ac:dyDescent="0.25">
      <c r="B5323" s="23"/>
      <c r="E5323" s="23"/>
      <c r="G5323" s="23"/>
      <c r="H5323" s="23"/>
      <c r="J5323" s="23"/>
      <c r="K5323" s="23"/>
      <c r="M5323" s="23"/>
      <c r="N5323" s="23"/>
      <c r="P5323" s="23"/>
    </row>
    <row r="5324" spans="2:16" x14ac:dyDescent="0.25">
      <c r="B5324" s="23"/>
      <c r="E5324" s="23"/>
      <c r="G5324" s="23"/>
      <c r="H5324" s="23"/>
      <c r="J5324" s="23"/>
      <c r="K5324" s="23"/>
      <c r="M5324" s="23"/>
      <c r="N5324" s="23"/>
      <c r="P5324" s="23"/>
    </row>
    <row r="5325" spans="2:16" x14ac:dyDescent="0.25">
      <c r="B5325" s="23"/>
      <c r="E5325" s="23"/>
      <c r="G5325" s="23"/>
      <c r="H5325" s="23"/>
      <c r="J5325" s="23"/>
      <c r="K5325" s="23"/>
      <c r="M5325" s="23"/>
      <c r="N5325" s="23"/>
      <c r="P5325" s="23"/>
    </row>
    <row r="5326" spans="2:16" x14ac:dyDescent="0.25">
      <c r="B5326" s="23"/>
      <c r="E5326" s="23"/>
      <c r="G5326" s="23"/>
      <c r="H5326" s="23"/>
      <c r="J5326" s="23"/>
      <c r="K5326" s="23"/>
      <c r="M5326" s="23"/>
      <c r="N5326" s="23"/>
      <c r="P5326" s="23"/>
    </row>
    <row r="5327" spans="2:16" x14ac:dyDescent="0.25">
      <c r="B5327" s="23"/>
      <c r="E5327" s="23"/>
      <c r="G5327" s="23"/>
      <c r="H5327" s="23"/>
      <c r="J5327" s="23"/>
      <c r="K5327" s="23"/>
      <c r="M5327" s="23"/>
      <c r="N5327" s="23"/>
      <c r="P5327" s="23"/>
    </row>
    <row r="5328" spans="2:16" x14ac:dyDescent="0.25">
      <c r="B5328" s="23"/>
      <c r="E5328" s="23"/>
      <c r="G5328" s="23"/>
      <c r="H5328" s="23"/>
      <c r="J5328" s="23"/>
      <c r="K5328" s="23"/>
      <c r="M5328" s="23"/>
      <c r="N5328" s="23"/>
      <c r="P5328" s="23"/>
    </row>
    <row r="5329" spans="2:16" x14ac:dyDescent="0.25">
      <c r="B5329" s="23"/>
      <c r="E5329" s="23"/>
      <c r="G5329" s="23"/>
      <c r="H5329" s="23"/>
      <c r="J5329" s="23"/>
      <c r="K5329" s="23"/>
      <c r="M5329" s="23"/>
      <c r="N5329" s="23"/>
      <c r="P5329" s="23"/>
    </row>
    <row r="5330" spans="2:16" x14ac:dyDescent="0.25">
      <c r="B5330" s="23"/>
      <c r="E5330" s="23"/>
      <c r="G5330" s="23"/>
      <c r="H5330" s="23"/>
      <c r="J5330" s="23"/>
      <c r="K5330" s="23"/>
      <c r="M5330" s="23"/>
      <c r="N5330" s="23"/>
      <c r="P5330" s="23"/>
    </row>
    <row r="5331" spans="2:16" x14ac:dyDescent="0.25">
      <c r="B5331" s="23"/>
      <c r="E5331" s="23"/>
      <c r="G5331" s="23"/>
      <c r="H5331" s="23"/>
      <c r="J5331" s="23"/>
      <c r="K5331" s="23"/>
      <c r="M5331" s="23"/>
      <c r="N5331" s="23"/>
      <c r="P5331" s="23"/>
    </row>
    <row r="5332" spans="2:16" x14ac:dyDescent="0.25">
      <c r="B5332" s="23"/>
      <c r="E5332" s="23"/>
      <c r="G5332" s="23"/>
      <c r="H5332" s="23"/>
      <c r="J5332" s="23"/>
      <c r="K5332" s="23"/>
      <c r="M5332" s="23"/>
      <c r="N5332" s="23"/>
      <c r="P5332" s="23"/>
    </row>
    <row r="5333" spans="2:16" x14ac:dyDescent="0.25">
      <c r="B5333" s="23"/>
      <c r="E5333" s="23"/>
      <c r="G5333" s="23"/>
      <c r="H5333" s="23"/>
      <c r="J5333" s="23"/>
      <c r="K5333" s="23"/>
      <c r="M5333" s="23"/>
      <c r="N5333" s="23"/>
      <c r="P5333" s="23"/>
    </row>
    <row r="5334" spans="2:16" x14ac:dyDescent="0.25">
      <c r="B5334" s="23"/>
      <c r="E5334" s="23"/>
      <c r="G5334" s="23"/>
      <c r="H5334" s="23"/>
      <c r="J5334" s="23"/>
      <c r="K5334" s="23"/>
      <c r="M5334" s="23"/>
      <c r="N5334" s="23"/>
      <c r="P5334" s="23"/>
    </row>
    <row r="5335" spans="2:16" x14ac:dyDescent="0.25">
      <c r="B5335" s="23"/>
      <c r="E5335" s="23"/>
      <c r="G5335" s="23"/>
      <c r="H5335" s="23"/>
      <c r="J5335" s="23"/>
      <c r="K5335" s="23"/>
      <c r="M5335" s="23"/>
      <c r="N5335" s="23"/>
      <c r="P5335" s="23"/>
    </row>
    <row r="5336" spans="2:16" x14ac:dyDescent="0.25">
      <c r="B5336" s="23"/>
      <c r="E5336" s="23"/>
      <c r="G5336" s="23"/>
      <c r="H5336" s="23"/>
      <c r="J5336" s="23"/>
      <c r="K5336" s="23"/>
      <c r="M5336" s="23"/>
      <c r="N5336" s="23"/>
      <c r="P5336" s="23"/>
    </row>
    <row r="5337" spans="2:16" x14ac:dyDescent="0.25">
      <c r="B5337" s="23"/>
      <c r="E5337" s="23"/>
      <c r="G5337" s="23"/>
      <c r="H5337" s="23"/>
      <c r="J5337" s="23"/>
      <c r="K5337" s="23"/>
      <c r="M5337" s="23"/>
      <c r="N5337" s="23"/>
      <c r="P5337" s="23"/>
    </row>
    <row r="5338" spans="2:16" x14ac:dyDescent="0.25">
      <c r="B5338" s="23"/>
      <c r="E5338" s="23"/>
      <c r="G5338" s="23"/>
      <c r="H5338" s="23"/>
      <c r="J5338" s="23"/>
      <c r="K5338" s="23"/>
      <c r="M5338" s="23"/>
      <c r="N5338" s="23"/>
      <c r="P5338" s="23"/>
    </row>
    <row r="5339" spans="2:16" x14ac:dyDescent="0.25">
      <c r="B5339" s="23"/>
      <c r="E5339" s="23"/>
      <c r="G5339" s="23"/>
      <c r="H5339" s="23"/>
      <c r="J5339" s="23"/>
      <c r="K5339" s="23"/>
      <c r="M5339" s="23"/>
      <c r="N5339" s="23"/>
      <c r="P5339" s="23"/>
    </row>
    <row r="5340" spans="2:16" x14ac:dyDescent="0.25">
      <c r="B5340" s="23"/>
      <c r="E5340" s="23"/>
      <c r="G5340" s="23"/>
      <c r="H5340" s="23"/>
      <c r="J5340" s="23"/>
      <c r="K5340" s="23"/>
      <c r="M5340" s="23"/>
      <c r="N5340" s="23"/>
      <c r="P5340" s="23"/>
    </row>
    <row r="5341" spans="2:16" x14ac:dyDescent="0.25">
      <c r="B5341" s="23"/>
      <c r="E5341" s="23"/>
      <c r="G5341" s="23"/>
      <c r="H5341" s="23"/>
      <c r="J5341" s="23"/>
      <c r="K5341" s="23"/>
      <c r="M5341" s="23"/>
      <c r="N5341" s="23"/>
      <c r="P5341" s="23"/>
    </row>
    <row r="5342" spans="2:16" x14ac:dyDescent="0.25">
      <c r="B5342" s="23"/>
      <c r="E5342" s="23"/>
      <c r="G5342" s="23"/>
      <c r="H5342" s="23"/>
      <c r="J5342" s="23"/>
      <c r="K5342" s="23"/>
      <c r="M5342" s="23"/>
      <c r="N5342" s="23"/>
      <c r="P5342" s="23"/>
    </row>
    <row r="5343" spans="2:16" x14ac:dyDescent="0.25">
      <c r="B5343" s="23"/>
      <c r="E5343" s="23"/>
      <c r="G5343" s="23"/>
      <c r="H5343" s="23"/>
      <c r="J5343" s="23"/>
      <c r="K5343" s="23"/>
      <c r="M5343" s="23"/>
      <c r="N5343" s="23"/>
      <c r="P5343" s="23"/>
    </row>
    <row r="5344" spans="2:16" x14ac:dyDescent="0.25">
      <c r="B5344" s="23"/>
      <c r="E5344" s="23"/>
      <c r="G5344" s="23"/>
      <c r="H5344" s="23"/>
      <c r="J5344" s="23"/>
      <c r="K5344" s="23"/>
      <c r="M5344" s="23"/>
      <c r="N5344" s="23"/>
      <c r="P5344" s="23"/>
    </row>
    <row r="5345" spans="2:16" x14ac:dyDescent="0.25">
      <c r="B5345" s="23"/>
      <c r="E5345" s="23"/>
      <c r="G5345" s="23"/>
      <c r="H5345" s="23"/>
      <c r="J5345" s="23"/>
      <c r="K5345" s="23"/>
      <c r="M5345" s="23"/>
      <c r="N5345" s="23"/>
      <c r="P5345" s="23"/>
    </row>
    <row r="5346" spans="2:16" x14ac:dyDescent="0.25">
      <c r="B5346" s="23"/>
      <c r="E5346" s="23"/>
      <c r="G5346" s="23"/>
      <c r="H5346" s="23"/>
      <c r="J5346" s="23"/>
      <c r="K5346" s="23"/>
      <c r="M5346" s="23"/>
      <c r="N5346" s="23"/>
      <c r="P5346" s="23"/>
    </row>
    <row r="5347" spans="2:16" x14ac:dyDescent="0.25">
      <c r="B5347" s="23"/>
      <c r="E5347" s="23"/>
      <c r="G5347" s="23"/>
      <c r="H5347" s="23"/>
      <c r="J5347" s="23"/>
      <c r="K5347" s="23"/>
      <c r="M5347" s="23"/>
      <c r="N5347" s="23"/>
      <c r="P5347" s="23"/>
    </row>
    <row r="5348" spans="2:16" x14ac:dyDescent="0.25">
      <c r="B5348" s="23"/>
      <c r="E5348" s="23"/>
      <c r="G5348" s="23"/>
      <c r="H5348" s="23"/>
      <c r="J5348" s="23"/>
      <c r="K5348" s="23"/>
      <c r="M5348" s="23"/>
      <c r="N5348" s="23"/>
      <c r="P5348" s="23"/>
    </row>
    <row r="5349" spans="2:16" x14ac:dyDescent="0.25">
      <c r="B5349" s="23"/>
      <c r="E5349" s="23"/>
      <c r="G5349" s="23"/>
      <c r="H5349" s="23"/>
      <c r="J5349" s="23"/>
      <c r="K5349" s="23"/>
      <c r="M5349" s="23"/>
      <c r="N5349" s="23"/>
      <c r="P5349" s="23"/>
    </row>
    <row r="5350" spans="2:16" x14ac:dyDescent="0.25">
      <c r="B5350" s="23"/>
      <c r="E5350" s="23"/>
      <c r="G5350" s="23"/>
      <c r="H5350" s="23"/>
      <c r="J5350" s="23"/>
      <c r="K5350" s="23"/>
      <c r="M5350" s="23"/>
      <c r="N5350" s="23"/>
      <c r="P5350" s="23"/>
    </row>
    <row r="5351" spans="2:16" x14ac:dyDescent="0.25">
      <c r="B5351" s="23"/>
      <c r="E5351" s="23"/>
      <c r="G5351" s="23"/>
      <c r="H5351" s="23"/>
      <c r="J5351" s="23"/>
      <c r="K5351" s="23"/>
      <c r="M5351" s="23"/>
      <c r="N5351" s="23"/>
      <c r="P5351" s="23"/>
    </row>
    <row r="5352" spans="2:16" x14ac:dyDescent="0.25">
      <c r="B5352" s="23"/>
      <c r="E5352" s="23"/>
      <c r="G5352" s="23"/>
      <c r="H5352" s="23"/>
      <c r="J5352" s="23"/>
      <c r="K5352" s="23"/>
      <c r="M5352" s="23"/>
      <c r="N5352" s="23"/>
      <c r="P5352" s="23"/>
    </row>
    <row r="5353" spans="2:16" x14ac:dyDescent="0.25">
      <c r="B5353" s="23"/>
      <c r="E5353" s="23"/>
      <c r="G5353" s="23"/>
      <c r="H5353" s="23"/>
      <c r="J5353" s="23"/>
      <c r="K5353" s="23"/>
      <c r="M5353" s="23"/>
      <c r="N5353" s="23"/>
      <c r="P5353" s="23"/>
    </row>
    <row r="5354" spans="2:16" x14ac:dyDescent="0.25">
      <c r="B5354" s="23"/>
      <c r="E5354" s="23"/>
      <c r="G5354" s="23"/>
      <c r="H5354" s="23"/>
      <c r="J5354" s="23"/>
      <c r="K5354" s="23"/>
      <c r="M5354" s="23"/>
      <c r="N5354" s="23"/>
      <c r="P5354" s="23"/>
    </row>
    <row r="5355" spans="2:16" x14ac:dyDescent="0.25">
      <c r="B5355" s="23"/>
      <c r="E5355" s="23"/>
      <c r="G5355" s="23"/>
      <c r="H5355" s="23"/>
      <c r="J5355" s="23"/>
      <c r="K5355" s="23"/>
      <c r="M5355" s="23"/>
      <c r="N5355" s="23"/>
      <c r="P5355" s="23"/>
    </row>
    <row r="5356" spans="2:16" x14ac:dyDescent="0.25">
      <c r="B5356" s="23"/>
      <c r="E5356" s="23"/>
      <c r="G5356" s="23"/>
      <c r="H5356" s="23"/>
      <c r="J5356" s="23"/>
      <c r="K5356" s="23"/>
      <c r="M5356" s="23"/>
      <c r="N5356" s="23"/>
      <c r="P5356" s="23"/>
    </row>
    <row r="5357" spans="2:16" x14ac:dyDescent="0.25">
      <c r="B5357" s="23"/>
      <c r="E5357" s="23"/>
      <c r="G5357" s="23"/>
      <c r="H5357" s="23"/>
      <c r="J5357" s="23"/>
      <c r="K5357" s="23"/>
      <c r="M5357" s="23"/>
      <c r="N5357" s="23"/>
      <c r="P5357" s="23"/>
    </row>
    <row r="5358" spans="2:16" x14ac:dyDescent="0.25">
      <c r="B5358" s="23"/>
      <c r="E5358" s="23"/>
      <c r="G5358" s="23"/>
      <c r="H5358" s="23"/>
      <c r="J5358" s="23"/>
      <c r="K5358" s="23"/>
      <c r="M5358" s="23"/>
      <c r="N5358" s="23"/>
      <c r="P5358" s="23"/>
    </row>
    <row r="5359" spans="2:16" x14ac:dyDescent="0.25">
      <c r="B5359" s="23"/>
      <c r="E5359" s="23"/>
      <c r="G5359" s="23"/>
      <c r="H5359" s="23"/>
      <c r="J5359" s="23"/>
      <c r="K5359" s="23"/>
      <c r="M5359" s="23"/>
      <c r="N5359" s="23"/>
      <c r="P5359" s="23"/>
    </row>
    <row r="5360" spans="2:16" x14ac:dyDescent="0.25">
      <c r="B5360" s="23"/>
      <c r="E5360" s="23"/>
      <c r="G5360" s="23"/>
      <c r="H5360" s="23"/>
      <c r="J5360" s="23"/>
      <c r="K5360" s="23"/>
      <c r="M5360" s="23"/>
      <c r="N5360" s="23"/>
      <c r="P5360" s="23"/>
    </row>
    <row r="5361" spans="2:16" x14ac:dyDescent="0.25">
      <c r="B5361" s="23"/>
      <c r="E5361" s="23"/>
      <c r="G5361" s="23"/>
      <c r="H5361" s="23"/>
      <c r="J5361" s="23"/>
      <c r="K5361" s="23"/>
      <c r="M5361" s="23"/>
      <c r="N5361" s="23"/>
      <c r="P5361" s="23"/>
    </row>
    <row r="5362" spans="2:16" x14ac:dyDescent="0.25">
      <c r="B5362" s="23"/>
      <c r="E5362" s="23"/>
      <c r="G5362" s="23"/>
      <c r="H5362" s="23"/>
      <c r="J5362" s="23"/>
      <c r="K5362" s="23"/>
      <c r="M5362" s="23"/>
      <c r="N5362" s="23"/>
      <c r="P5362" s="23"/>
    </row>
    <row r="5363" spans="2:16" x14ac:dyDescent="0.25">
      <c r="B5363" s="23"/>
      <c r="E5363" s="23"/>
      <c r="G5363" s="23"/>
      <c r="H5363" s="23"/>
      <c r="J5363" s="23"/>
      <c r="K5363" s="23"/>
      <c r="M5363" s="23"/>
      <c r="N5363" s="23"/>
      <c r="P5363" s="23"/>
    </row>
    <row r="5364" spans="2:16" x14ac:dyDescent="0.25">
      <c r="B5364" s="23"/>
      <c r="E5364" s="23"/>
      <c r="G5364" s="23"/>
      <c r="H5364" s="23"/>
      <c r="J5364" s="23"/>
      <c r="K5364" s="23"/>
      <c r="M5364" s="23"/>
      <c r="N5364" s="23"/>
      <c r="P5364" s="23"/>
    </row>
    <row r="5365" spans="2:16" x14ac:dyDescent="0.25">
      <c r="B5365" s="23"/>
      <c r="E5365" s="23"/>
      <c r="G5365" s="23"/>
      <c r="H5365" s="23"/>
      <c r="J5365" s="23"/>
      <c r="K5365" s="23"/>
      <c r="M5365" s="23"/>
      <c r="N5365" s="23"/>
      <c r="P5365" s="23"/>
    </row>
    <row r="5366" spans="2:16" x14ac:dyDescent="0.25">
      <c r="B5366" s="23"/>
      <c r="E5366" s="23"/>
      <c r="G5366" s="23"/>
      <c r="H5366" s="23"/>
      <c r="J5366" s="23"/>
      <c r="K5366" s="23"/>
      <c r="M5366" s="23"/>
      <c r="N5366" s="23"/>
      <c r="P5366" s="23"/>
    </row>
    <row r="5367" spans="2:16" x14ac:dyDescent="0.25">
      <c r="B5367" s="23"/>
      <c r="E5367" s="23"/>
      <c r="G5367" s="23"/>
      <c r="H5367" s="23"/>
      <c r="J5367" s="23"/>
      <c r="K5367" s="23"/>
      <c r="M5367" s="23"/>
      <c r="N5367" s="23"/>
      <c r="P5367" s="23"/>
    </row>
    <row r="5368" spans="2:16" x14ac:dyDescent="0.25">
      <c r="B5368" s="23"/>
      <c r="E5368" s="23"/>
      <c r="G5368" s="23"/>
      <c r="H5368" s="23"/>
      <c r="J5368" s="23"/>
      <c r="K5368" s="23"/>
      <c r="M5368" s="23"/>
      <c r="N5368" s="23"/>
      <c r="P5368" s="23"/>
    </row>
    <row r="5369" spans="2:16" x14ac:dyDescent="0.25">
      <c r="B5369" s="23"/>
      <c r="E5369" s="23"/>
      <c r="G5369" s="23"/>
      <c r="H5369" s="23"/>
      <c r="J5369" s="23"/>
      <c r="K5369" s="23"/>
      <c r="M5369" s="23"/>
      <c r="N5369" s="23"/>
      <c r="P5369" s="23"/>
    </row>
    <row r="5370" spans="2:16" x14ac:dyDescent="0.25">
      <c r="B5370" s="23"/>
      <c r="E5370" s="23"/>
      <c r="G5370" s="23"/>
      <c r="H5370" s="23"/>
      <c r="J5370" s="23"/>
      <c r="K5370" s="23"/>
      <c r="M5370" s="23"/>
      <c r="N5370" s="23"/>
      <c r="P5370" s="23"/>
    </row>
    <row r="5371" spans="2:16" x14ac:dyDescent="0.25">
      <c r="B5371" s="23"/>
      <c r="E5371" s="23"/>
      <c r="G5371" s="23"/>
      <c r="H5371" s="23"/>
      <c r="J5371" s="23"/>
      <c r="K5371" s="23"/>
      <c r="M5371" s="23"/>
      <c r="N5371" s="23"/>
      <c r="P5371" s="23"/>
    </row>
    <row r="5372" spans="2:16" x14ac:dyDescent="0.25">
      <c r="B5372" s="23"/>
      <c r="E5372" s="23"/>
      <c r="G5372" s="23"/>
      <c r="H5372" s="23"/>
      <c r="J5372" s="23"/>
      <c r="K5372" s="23"/>
      <c r="M5372" s="23"/>
      <c r="N5372" s="23"/>
      <c r="P5372" s="23"/>
    </row>
    <row r="5373" spans="2:16" x14ac:dyDescent="0.25">
      <c r="B5373" s="23"/>
      <c r="E5373" s="23"/>
      <c r="G5373" s="23"/>
      <c r="H5373" s="23"/>
      <c r="J5373" s="23"/>
      <c r="K5373" s="23"/>
      <c r="M5373" s="23"/>
      <c r="N5373" s="23"/>
      <c r="P5373" s="23"/>
    </row>
    <row r="5374" spans="2:16" x14ac:dyDescent="0.25">
      <c r="B5374" s="23"/>
      <c r="E5374" s="23"/>
      <c r="G5374" s="23"/>
      <c r="H5374" s="23"/>
      <c r="J5374" s="23"/>
      <c r="K5374" s="23"/>
      <c r="M5374" s="23"/>
      <c r="N5374" s="23"/>
      <c r="P5374" s="23"/>
    </row>
    <row r="5375" spans="2:16" x14ac:dyDescent="0.25">
      <c r="B5375" s="23"/>
      <c r="E5375" s="23"/>
      <c r="G5375" s="23"/>
      <c r="H5375" s="23"/>
      <c r="J5375" s="23"/>
      <c r="K5375" s="23"/>
      <c r="M5375" s="23"/>
      <c r="N5375" s="23"/>
      <c r="P5375" s="23"/>
    </row>
    <row r="5376" spans="2:16" x14ac:dyDescent="0.25">
      <c r="B5376" s="23"/>
      <c r="E5376" s="23"/>
      <c r="G5376" s="23"/>
      <c r="H5376" s="23"/>
      <c r="J5376" s="23"/>
      <c r="K5376" s="23"/>
      <c r="M5376" s="23"/>
      <c r="N5376" s="23"/>
      <c r="P5376" s="23"/>
    </row>
    <row r="5377" spans="2:16" x14ac:dyDescent="0.25">
      <c r="B5377" s="23"/>
      <c r="E5377" s="23"/>
      <c r="G5377" s="23"/>
      <c r="H5377" s="23"/>
      <c r="J5377" s="23"/>
      <c r="K5377" s="23"/>
      <c r="M5377" s="23"/>
      <c r="N5377" s="23"/>
      <c r="P5377" s="23"/>
    </row>
    <row r="5378" spans="2:16" x14ac:dyDescent="0.25">
      <c r="B5378" s="23"/>
      <c r="E5378" s="23"/>
      <c r="G5378" s="23"/>
      <c r="H5378" s="23"/>
      <c r="J5378" s="23"/>
      <c r="K5378" s="23"/>
      <c r="M5378" s="23"/>
      <c r="N5378" s="23"/>
      <c r="P5378" s="23"/>
    </row>
    <row r="5379" spans="2:16" x14ac:dyDescent="0.25">
      <c r="B5379" s="23"/>
      <c r="E5379" s="23"/>
      <c r="G5379" s="23"/>
      <c r="H5379" s="23"/>
      <c r="J5379" s="23"/>
      <c r="K5379" s="23"/>
      <c r="M5379" s="23"/>
      <c r="N5379" s="23"/>
      <c r="P5379" s="23"/>
    </row>
    <row r="5380" spans="2:16" x14ac:dyDescent="0.25">
      <c r="B5380" s="23"/>
      <c r="E5380" s="23"/>
      <c r="G5380" s="23"/>
      <c r="H5380" s="23"/>
      <c r="J5380" s="23"/>
      <c r="K5380" s="23"/>
      <c r="M5380" s="23"/>
      <c r="N5380" s="23"/>
      <c r="P5380" s="23"/>
    </row>
    <row r="5381" spans="2:16" x14ac:dyDescent="0.25">
      <c r="B5381" s="23"/>
      <c r="E5381" s="23"/>
      <c r="G5381" s="23"/>
      <c r="H5381" s="23"/>
      <c r="J5381" s="23"/>
      <c r="K5381" s="23"/>
      <c r="M5381" s="23"/>
      <c r="N5381" s="23"/>
      <c r="P5381" s="23"/>
    </row>
    <row r="5382" spans="2:16" x14ac:dyDescent="0.25">
      <c r="B5382" s="23"/>
      <c r="E5382" s="23"/>
      <c r="G5382" s="23"/>
      <c r="H5382" s="23"/>
      <c r="J5382" s="23"/>
      <c r="K5382" s="23"/>
      <c r="M5382" s="23"/>
      <c r="N5382" s="23"/>
      <c r="P5382" s="23"/>
    </row>
    <row r="5383" spans="2:16" x14ac:dyDescent="0.25">
      <c r="B5383" s="23"/>
      <c r="E5383" s="23"/>
      <c r="G5383" s="23"/>
      <c r="H5383" s="23"/>
      <c r="J5383" s="23"/>
      <c r="K5383" s="23"/>
      <c r="M5383" s="23"/>
      <c r="N5383" s="23"/>
      <c r="P5383" s="23"/>
    </row>
    <row r="5384" spans="2:16" x14ac:dyDescent="0.25">
      <c r="B5384" s="23"/>
      <c r="E5384" s="23"/>
      <c r="G5384" s="23"/>
      <c r="H5384" s="23"/>
      <c r="J5384" s="23"/>
      <c r="K5384" s="23"/>
      <c r="M5384" s="23"/>
      <c r="N5384" s="23"/>
      <c r="P5384" s="23"/>
    </row>
    <row r="5385" spans="2:16" x14ac:dyDescent="0.25">
      <c r="B5385" s="23"/>
      <c r="E5385" s="23"/>
      <c r="G5385" s="23"/>
      <c r="H5385" s="23"/>
      <c r="J5385" s="23"/>
      <c r="K5385" s="23"/>
      <c r="M5385" s="23"/>
      <c r="N5385" s="23"/>
      <c r="P5385" s="23"/>
    </row>
    <row r="5386" spans="2:16" x14ac:dyDescent="0.25">
      <c r="B5386" s="23"/>
      <c r="E5386" s="23"/>
      <c r="G5386" s="23"/>
      <c r="H5386" s="23"/>
      <c r="J5386" s="23"/>
      <c r="K5386" s="23"/>
      <c r="M5386" s="23"/>
      <c r="N5386" s="23"/>
      <c r="P5386" s="23"/>
    </row>
    <row r="5387" spans="2:16" x14ac:dyDescent="0.25">
      <c r="B5387" s="23"/>
      <c r="E5387" s="23"/>
      <c r="G5387" s="23"/>
      <c r="H5387" s="23"/>
      <c r="J5387" s="23"/>
      <c r="K5387" s="23"/>
      <c r="M5387" s="23"/>
      <c r="N5387" s="23"/>
      <c r="P5387" s="23"/>
    </row>
    <row r="5388" spans="2:16" x14ac:dyDescent="0.25">
      <c r="B5388" s="23"/>
      <c r="E5388" s="23"/>
      <c r="G5388" s="23"/>
      <c r="H5388" s="23"/>
      <c r="J5388" s="23"/>
      <c r="K5388" s="23"/>
      <c r="M5388" s="23"/>
      <c r="N5388" s="23"/>
      <c r="P5388" s="23"/>
    </row>
    <row r="5389" spans="2:16" x14ac:dyDescent="0.25">
      <c r="B5389" s="23"/>
      <c r="E5389" s="23"/>
      <c r="G5389" s="23"/>
      <c r="H5389" s="23"/>
      <c r="J5389" s="23"/>
      <c r="K5389" s="23"/>
      <c r="M5389" s="23"/>
      <c r="N5389" s="23"/>
      <c r="P5389" s="23"/>
    </row>
    <row r="5390" spans="2:16" x14ac:dyDescent="0.25">
      <c r="B5390" s="23"/>
      <c r="E5390" s="23"/>
      <c r="G5390" s="23"/>
      <c r="H5390" s="23"/>
      <c r="J5390" s="23"/>
      <c r="K5390" s="23"/>
      <c r="M5390" s="23"/>
      <c r="N5390" s="23"/>
      <c r="P5390" s="23"/>
    </row>
    <row r="5391" spans="2:16" x14ac:dyDescent="0.25">
      <c r="B5391" s="23"/>
      <c r="E5391" s="23"/>
      <c r="G5391" s="23"/>
      <c r="H5391" s="23"/>
      <c r="J5391" s="23"/>
      <c r="K5391" s="23"/>
      <c r="M5391" s="23"/>
      <c r="N5391" s="23"/>
      <c r="P5391" s="23"/>
    </row>
    <row r="5392" spans="2:16" x14ac:dyDescent="0.25">
      <c r="B5392" s="23"/>
      <c r="E5392" s="23"/>
      <c r="G5392" s="23"/>
      <c r="H5392" s="23"/>
      <c r="J5392" s="23"/>
      <c r="K5392" s="23"/>
      <c r="M5392" s="23"/>
      <c r="N5392" s="23"/>
      <c r="P5392" s="23"/>
    </row>
    <row r="5393" spans="2:16" x14ac:dyDescent="0.25">
      <c r="B5393" s="23"/>
      <c r="E5393" s="23"/>
      <c r="G5393" s="23"/>
      <c r="H5393" s="23"/>
      <c r="J5393" s="23"/>
      <c r="K5393" s="23"/>
      <c r="M5393" s="23"/>
      <c r="N5393" s="23"/>
      <c r="P5393" s="23"/>
    </row>
    <row r="5394" spans="2:16" x14ac:dyDescent="0.25">
      <c r="B5394" s="23"/>
      <c r="E5394" s="23"/>
      <c r="G5394" s="23"/>
      <c r="H5394" s="23"/>
      <c r="J5394" s="23"/>
      <c r="K5394" s="23"/>
      <c r="M5394" s="23"/>
      <c r="N5394" s="23"/>
      <c r="P5394" s="23"/>
    </row>
    <row r="5395" spans="2:16" x14ac:dyDescent="0.25">
      <c r="B5395" s="23"/>
      <c r="E5395" s="23"/>
      <c r="G5395" s="23"/>
      <c r="H5395" s="23"/>
      <c r="J5395" s="23"/>
      <c r="K5395" s="23"/>
      <c r="M5395" s="23"/>
      <c r="N5395" s="23"/>
      <c r="P5395" s="23"/>
    </row>
    <row r="5396" spans="2:16" x14ac:dyDescent="0.25">
      <c r="B5396" s="23"/>
      <c r="E5396" s="23"/>
      <c r="G5396" s="23"/>
      <c r="H5396" s="23"/>
      <c r="J5396" s="23"/>
      <c r="K5396" s="23"/>
      <c r="M5396" s="23"/>
      <c r="N5396" s="23"/>
      <c r="P5396" s="23"/>
    </row>
    <row r="5397" spans="2:16" x14ac:dyDescent="0.25">
      <c r="B5397" s="23"/>
      <c r="E5397" s="23"/>
      <c r="G5397" s="23"/>
      <c r="H5397" s="23"/>
      <c r="J5397" s="23"/>
      <c r="K5397" s="23"/>
      <c r="M5397" s="23"/>
      <c r="N5397" s="23"/>
      <c r="P5397" s="23"/>
    </row>
    <row r="5398" spans="2:16" x14ac:dyDescent="0.25">
      <c r="B5398" s="23"/>
      <c r="E5398" s="23"/>
      <c r="G5398" s="23"/>
      <c r="H5398" s="23"/>
      <c r="J5398" s="23"/>
      <c r="K5398" s="23"/>
      <c r="M5398" s="23"/>
      <c r="N5398" s="23"/>
      <c r="P5398" s="23"/>
    </row>
    <row r="5399" spans="2:16" x14ac:dyDescent="0.25">
      <c r="B5399" s="23"/>
      <c r="E5399" s="23"/>
      <c r="G5399" s="23"/>
      <c r="H5399" s="23"/>
      <c r="J5399" s="23"/>
      <c r="K5399" s="23"/>
      <c r="M5399" s="23"/>
      <c r="N5399" s="23"/>
      <c r="P5399" s="23"/>
    </row>
  </sheetData>
  <pageMargins left="0.75" right="0.75" top="1" bottom="1" header="0.5" footer="0.5"/>
  <pageSetup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99"/>
  <sheetViews>
    <sheetView zoomScaleNormal="100" workbookViewId="0"/>
  </sheetViews>
  <sheetFormatPr defaultRowHeight="13.2" x14ac:dyDescent="0.25"/>
  <cols>
    <col min="1" max="1" width="124.6640625" customWidth="1"/>
    <col min="2" max="2" width="23.6640625" style="29" customWidth="1"/>
    <col min="3" max="3" width="18.6640625" style="23" customWidth="1"/>
    <col min="4" max="4" width="19.5546875" style="23" customWidth="1"/>
    <col min="5" max="5" width="25.88671875" style="29" customWidth="1"/>
    <col min="6" max="6" width="25.109375" style="23" customWidth="1"/>
    <col min="7" max="7" width="25.5546875" style="15" customWidth="1"/>
    <col min="8" max="8" width="78.88671875" customWidth="1"/>
    <col min="9" max="9" width="25" style="23" customWidth="1"/>
    <col min="10" max="10" width="28.6640625" style="15" customWidth="1"/>
    <col min="11" max="11" width="28" customWidth="1"/>
    <col min="12" max="12" width="29.88671875" style="23" customWidth="1"/>
    <col min="13" max="13" width="30.44140625" style="15" customWidth="1"/>
    <col min="14" max="14" width="24.88671875" customWidth="1"/>
    <col min="15" max="15" width="9.109375" style="23"/>
    <col min="16" max="16" width="29.44140625" style="15" customWidth="1"/>
  </cols>
  <sheetData>
    <row r="1" spans="1:16" x14ac:dyDescent="0.25">
      <c r="A1" s="90" t="s">
        <v>1578</v>
      </c>
      <c r="B1" s="80"/>
      <c r="C1" s="366"/>
      <c r="D1" s="80"/>
      <c r="E1" s="80"/>
      <c r="F1" s="80"/>
      <c r="G1" s="80"/>
      <c r="H1" s="33"/>
      <c r="I1" s="80"/>
      <c r="J1" s="80"/>
      <c r="K1" s="80"/>
      <c r="L1" s="80"/>
      <c r="M1" s="80"/>
      <c r="N1" s="33"/>
      <c r="O1" s="80"/>
      <c r="P1" s="367"/>
    </row>
    <row r="2" spans="1:16" x14ac:dyDescent="0.25">
      <c r="A2" s="80"/>
      <c r="B2" s="80"/>
      <c r="C2" s="366"/>
      <c r="D2" s="80"/>
      <c r="E2" s="80"/>
      <c r="F2" s="80"/>
      <c r="G2" s="80"/>
      <c r="H2" s="33"/>
      <c r="I2" s="80"/>
      <c r="J2" s="80"/>
      <c r="K2" s="80"/>
      <c r="L2" s="80"/>
      <c r="M2" s="80"/>
      <c r="N2" s="33"/>
      <c r="O2" s="80"/>
      <c r="P2" s="367"/>
    </row>
    <row r="3" spans="1:16" x14ac:dyDescent="0.25">
      <c r="A3" s="934" t="str">
        <f>SummaryEtEnergy!A3</f>
        <v>Produced by Onesmus Mwabonje, Charlotte Hatto and Nigel Mortimer, North Energy Associates Ltd., on 2 November 2014 for the SUNLIBB Project</v>
      </c>
      <c r="B3" s="80"/>
      <c r="C3" s="366"/>
      <c r="D3" s="80"/>
      <c r="E3" s="80"/>
      <c r="F3" s="80"/>
      <c r="G3" s="80"/>
      <c r="H3" s="33"/>
      <c r="I3" s="80"/>
      <c r="J3" s="80"/>
      <c r="K3" s="80"/>
      <c r="L3" s="80"/>
      <c r="M3" s="80"/>
      <c r="N3" s="33"/>
      <c r="O3" s="80"/>
      <c r="P3" s="367"/>
    </row>
    <row r="4" spans="1:16" x14ac:dyDescent="0.25">
      <c r="A4" s="80"/>
      <c r="B4" s="80"/>
      <c r="C4" s="366"/>
      <c r="D4" s="80"/>
      <c r="E4" s="80"/>
      <c r="F4" s="80"/>
      <c r="G4" s="80"/>
      <c r="H4" s="33"/>
      <c r="I4" s="80"/>
      <c r="J4" s="80"/>
      <c r="K4" s="80"/>
      <c r="L4" s="80"/>
      <c r="M4" s="80"/>
      <c r="N4" s="33"/>
      <c r="O4" s="80"/>
      <c r="P4" s="367"/>
    </row>
    <row r="5" spans="1:16" x14ac:dyDescent="0.25">
      <c r="A5" s="80" t="s">
        <v>240</v>
      </c>
      <c r="B5" s="918" t="s">
        <v>1576</v>
      </c>
      <c r="C5" s="366"/>
      <c r="D5" s="80"/>
      <c r="E5" s="80"/>
      <c r="F5" s="80"/>
      <c r="G5" s="80"/>
      <c r="H5" s="33"/>
      <c r="I5" s="80"/>
      <c r="J5" s="80"/>
      <c r="K5" s="80"/>
      <c r="L5" s="80"/>
      <c r="M5" s="80"/>
      <c r="N5" s="33"/>
      <c r="O5" s="80"/>
      <c r="P5" s="367"/>
    </row>
    <row r="6" spans="1:16" x14ac:dyDescent="0.25">
      <c r="A6" s="80" t="s">
        <v>243</v>
      </c>
      <c r="B6" s="226" t="s">
        <v>441</v>
      </c>
      <c r="C6" s="366"/>
      <c r="D6" s="80"/>
      <c r="E6" s="80"/>
      <c r="F6" s="80"/>
      <c r="G6" s="80"/>
      <c r="H6" s="33"/>
      <c r="I6" s="80"/>
      <c r="J6" s="80"/>
      <c r="K6" s="80"/>
      <c r="L6" s="80"/>
      <c r="M6" s="80"/>
      <c r="N6" s="33"/>
      <c r="O6" s="80"/>
      <c r="P6" s="367"/>
    </row>
    <row r="7" spans="1:16" x14ac:dyDescent="0.25">
      <c r="A7" s="80" t="s">
        <v>241</v>
      </c>
      <c r="B7" s="918" t="s">
        <v>1115</v>
      </c>
      <c r="C7" s="366"/>
      <c r="D7" s="80"/>
      <c r="E7" s="80"/>
      <c r="F7" s="80"/>
      <c r="G7" s="80"/>
      <c r="H7" s="33"/>
      <c r="I7" s="80"/>
      <c r="J7" s="80"/>
      <c r="K7" s="80"/>
      <c r="L7" s="80"/>
      <c r="M7" s="80"/>
      <c r="N7" s="33"/>
      <c r="O7" s="80"/>
      <c r="P7" s="367"/>
    </row>
    <row r="8" spans="1:16" x14ac:dyDescent="0.25">
      <c r="A8" s="80" t="s">
        <v>242</v>
      </c>
      <c r="B8" s="350">
        <v>2010</v>
      </c>
      <c r="C8" s="366"/>
      <c r="D8" s="80"/>
      <c r="E8" s="80"/>
      <c r="F8" s="80"/>
      <c r="G8" s="80"/>
      <c r="H8" s="33"/>
      <c r="I8" s="80"/>
      <c r="J8" s="80"/>
      <c r="K8" s="80"/>
      <c r="L8" s="80"/>
      <c r="M8" s="80"/>
      <c r="N8" s="33"/>
      <c r="O8" s="80"/>
      <c r="P8" s="367"/>
    </row>
    <row r="9" spans="1:16" x14ac:dyDescent="0.25">
      <c r="A9" s="80"/>
      <c r="B9" s="80"/>
      <c r="C9" s="366"/>
      <c r="D9" s="80"/>
      <c r="E9" s="80"/>
      <c r="F9" s="80"/>
      <c r="G9" s="80"/>
      <c r="H9" s="33"/>
      <c r="I9" s="80"/>
      <c r="J9" s="80"/>
      <c r="K9" s="80"/>
      <c r="L9" s="80"/>
      <c r="M9" s="80"/>
      <c r="N9" s="33"/>
      <c r="O9" s="80"/>
      <c r="P9" s="367"/>
    </row>
    <row r="10" spans="1:16" ht="13.8" thickBot="1" x14ac:dyDescent="0.3">
      <c r="A10" s="32" t="s">
        <v>418</v>
      </c>
      <c r="B10" s="80"/>
      <c r="C10" s="366"/>
      <c r="D10" s="80"/>
      <c r="E10" s="80"/>
      <c r="F10" s="80"/>
      <c r="G10" s="80"/>
      <c r="H10" s="32" t="s">
        <v>158</v>
      </c>
      <c r="I10" s="80"/>
      <c r="J10" s="366"/>
      <c r="K10" s="68"/>
      <c r="L10" s="68"/>
      <c r="M10" s="68"/>
      <c r="N10" s="33"/>
      <c r="O10" s="80"/>
      <c r="P10" s="367"/>
    </row>
    <row r="11" spans="1:16" ht="30.75" customHeight="1" x14ac:dyDescent="0.25">
      <c r="A11" s="35" t="s">
        <v>38</v>
      </c>
      <c r="B11" s="36" t="s">
        <v>899</v>
      </c>
      <c r="C11" s="369" t="s">
        <v>22</v>
      </c>
      <c r="D11" s="36" t="s">
        <v>23</v>
      </c>
      <c r="E11" s="36" t="s">
        <v>24</v>
      </c>
      <c r="F11" s="368" t="s">
        <v>25</v>
      </c>
      <c r="G11" s="367"/>
      <c r="H11" s="35" t="s">
        <v>38</v>
      </c>
      <c r="I11" s="370" t="s">
        <v>899</v>
      </c>
      <c r="J11" s="36" t="s">
        <v>22</v>
      </c>
      <c r="K11" s="370" t="s">
        <v>23</v>
      </c>
      <c r="L11" s="370" t="s">
        <v>24</v>
      </c>
      <c r="M11" s="791" t="s">
        <v>25</v>
      </c>
      <c r="N11" s="80"/>
      <c r="O11" s="80"/>
      <c r="P11" s="367"/>
    </row>
    <row r="12" spans="1:16" ht="17.25" customHeight="1" x14ac:dyDescent="0.25">
      <c r="A12" s="37"/>
      <c r="B12" s="38" t="s">
        <v>442</v>
      </c>
      <c r="C12" s="38" t="s">
        <v>1681</v>
      </c>
      <c r="D12" s="38" t="s">
        <v>1681</v>
      </c>
      <c r="E12" s="38" t="s">
        <v>1681</v>
      </c>
      <c r="F12" s="502" t="s">
        <v>1681</v>
      </c>
      <c r="G12" s="367"/>
      <c r="H12" s="37"/>
      <c r="I12" s="371" t="s">
        <v>1682</v>
      </c>
      <c r="J12" s="38" t="s">
        <v>1683</v>
      </c>
      <c r="K12" s="38" t="s">
        <v>1683</v>
      </c>
      <c r="L12" s="38" t="s">
        <v>1683</v>
      </c>
      <c r="M12" s="502" t="s">
        <v>1683</v>
      </c>
      <c r="N12" s="80"/>
      <c r="O12" s="80"/>
      <c r="P12" s="367"/>
    </row>
    <row r="13" spans="1:16" x14ac:dyDescent="0.25">
      <c r="A13" s="412" t="s">
        <v>40</v>
      </c>
      <c r="B13" s="372">
        <f>B104</f>
        <v>8309.899498278497</v>
      </c>
      <c r="C13" s="372">
        <f>E104</f>
        <v>522.75174180388285</v>
      </c>
      <c r="D13" s="373">
        <f>GlobalWarmingPotentials!$B$11*H104</f>
        <v>17.290514540541231</v>
      </c>
      <c r="E13" s="372">
        <f>GlobalWarmingPotentials!$C$11*K104</f>
        <v>492.79798826435962</v>
      </c>
      <c r="F13" s="374">
        <f t="shared" ref="F13:F27" si="0">SUM(C13:E13)</f>
        <v>1032.8402446087837</v>
      </c>
      <c r="G13" s="375"/>
      <c r="H13" s="412" t="s">
        <v>40</v>
      </c>
      <c r="I13" s="372">
        <f>D104</f>
        <v>488.63429742730733</v>
      </c>
      <c r="J13" s="372">
        <f>G104</f>
        <v>28.318118318326512</v>
      </c>
      <c r="K13" s="373">
        <f>GlobalWarmingPotentials!$B$11*J104</f>
        <v>1.7218725116867057</v>
      </c>
      <c r="L13" s="377">
        <f>GlobalWarmingPotentials!$C$11*M104</f>
        <v>41.24810847845022</v>
      </c>
      <c r="M13" s="413">
        <f t="shared" ref="M13:M27" si="1">SUM(J13:L13)</f>
        <v>71.288099308463444</v>
      </c>
      <c r="N13" s="33"/>
      <c r="O13" s="80"/>
      <c r="P13" s="367"/>
    </row>
    <row r="14" spans="1:16" x14ac:dyDescent="0.25">
      <c r="A14" s="412" t="s">
        <v>852</v>
      </c>
      <c r="B14" s="372">
        <f>B138</f>
        <v>601.53586980511921</v>
      </c>
      <c r="C14" s="372">
        <f>E138</f>
        <v>43.167066146313303</v>
      </c>
      <c r="D14" s="373">
        <f>GlobalWarmingPotentials!$B$11*H138</f>
        <v>0.20630493950445838</v>
      </c>
      <c r="E14" s="372">
        <f>GlobalWarmingPotentials!$C$11*K138</f>
        <v>3.4515713357093745</v>
      </c>
      <c r="F14" s="374">
        <f t="shared" si="0"/>
        <v>46.824942421527133</v>
      </c>
      <c r="G14" s="375"/>
      <c r="H14" s="412" t="s">
        <v>852</v>
      </c>
      <c r="I14" s="372">
        <f>D138</f>
        <v>28.272185880840603</v>
      </c>
      <c r="J14" s="372">
        <f>G138</f>
        <v>2.0288521088767251</v>
      </c>
      <c r="K14" s="373">
        <f>GlobalWarmingPotentials!$B$11*J138</f>
        <v>9.6963321567095449E-3</v>
      </c>
      <c r="L14" s="372">
        <f>GlobalWarmingPotentials!$C$11*M138</f>
        <v>0.16222385277834056</v>
      </c>
      <c r="M14" s="374">
        <f t="shared" si="1"/>
        <v>2.2007722938117751</v>
      </c>
      <c r="N14" s="33"/>
      <c r="O14" s="80"/>
      <c r="P14" s="367"/>
    </row>
    <row r="15" spans="1:16" x14ac:dyDescent="0.25">
      <c r="A15" s="412" t="s">
        <v>853</v>
      </c>
      <c r="B15" s="372">
        <f>B172</f>
        <v>0</v>
      </c>
      <c r="C15" s="372">
        <f>E172</f>
        <v>0</v>
      </c>
      <c r="D15" s="373">
        <f>GlobalWarmingPotentials!$B$11*H172</f>
        <v>0</v>
      </c>
      <c r="E15" s="372">
        <f>GlobalWarmingPotentials!$C$11*K172</f>
        <v>0</v>
      </c>
      <c r="F15" s="374">
        <f>SUM(C15:E15)</f>
        <v>0</v>
      </c>
      <c r="G15" s="375"/>
      <c r="H15" s="412" t="s">
        <v>853</v>
      </c>
      <c r="I15" s="372">
        <f>D172</f>
        <v>0</v>
      </c>
      <c r="J15" s="372">
        <f>G172</f>
        <v>0</v>
      </c>
      <c r="K15" s="373">
        <f>GlobalWarmingPotentials!$B$11*J172</f>
        <v>0</v>
      </c>
      <c r="L15" s="372">
        <f>GlobalWarmingPotentials!$C$11*M172</f>
        <v>0</v>
      </c>
      <c r="M15" s="374">
        <f t="shared" si="1"/>
        <v>0</v>
      </c>
      <c r="N15" s="33"/>
      <c r="O15" s="80"/>
      <c r="P15" s="367"/>
    </row>
    <row r="16" spans="1:16" x14ac:dyDescent="0.25">
      <c r="A16" s="1511" t="s">
        <v>1779</v>
      </c>
      <c r="B16" s="372">
        <f>B178</f>
        <v>0</v>
      </c>
      <c r="C16" s="372">
        <f>E178</f>
        <v>0</v>
      </c>
      <c r="D16" s="373">
        <f>GlobalWarmingPotentials!$B$11*H178</f>
        <v>0.11475477369690439</v>
      </c>
      <c r="E16" s="372">
        <f>GlobalWarmingPotentials!$C$11*K178</f>
        <v>0.4430532132297873</v>
      </c>
      <c r="F16" s="374">
        <f>SUM(C16:E16)</f>
        <v>0.55780798692669165</v>
      </c>
      <c r="G16" s="375"/>
      <c r="H16" s="1511" t="s">
        <v>1779</v>
      </c>
      <c r="I16" s="372">
        <f>D178</f>
        <v>0</v>
      </c>
      <c r="J16" s="372">
        <f>G178</f>
        <v>0</v>
      </c>
      <c r="K16" s="373">
        <f>GlobalWarmingPotentials!$B$11*J178</f>
        <v>0</v>
      </c>
      <c r="L16" s="372">
        <f>GlobalWarmingPotentials!$C$11*M178</f>
        <v>0</v>
      </c>
      <c r="M16" s="374">
        <f t="shared" si="1"/>
        <v>0</v>
      </c>
      <c r="N16" s="33"/>
      <c r="O16" s="80"/>
      <c r="P16" s="367"/>
    </row>
    <row r="17" spans="1:16" x14ac:dyDescent="0.25">
      <c r="A17" s="1511" t="s">
        <v>1917</v>
      </c>
      <c r="B17" s="376">
        <f>B195</f>
        <v>7672.8025191554007</v>
      </c>
      <c r="C17" s="376">
        <f>E195</f>
        <v>485.14931842733705</v>
      </c>
      <c r="D17" s="373">
        <f>GlobalWarmingPotentials!$B$11*H195</f>
        <v>16.114622607186242</v>
      </c>
      <c r="E17" s="372">
        <f>GlobalWarmingPotentials!$C$11*K195</f>
        <v>38.01024928250856</v>
      </c>
      <c r="F17" s="374">
        <f>SUM(C17:E17)</f>
        <v>539.27419031703187</v>
      </c>
      <c r="G17" s="375"/>
      <c r="H17" s="1511" t="s">
        <v>1917</v>
      </c>
      <c r="I17" s="376">
        <f>D195</f>
        <v>732.66079238041505</v>
      </c>
      <c r="J17" s="376">
        <f>G195</f>
        <v>46.039485184534769</v>
      </c>
      <c r="K17" s="373">
        <f>GlobalWarmingPotentials!$B$11*J195</f>
        <v>1.6317635915191515</v>
      </c>
      <c r="L17" s="372">
        <f>GlobalWarmingPotentials!$C$11*M195</f>
        <v>0.18885232489165812</v>
      </c>
      <c r="M17" s="374">
        <f>SUM(J17:L17)</f>
        <v>47.860101100945577</v>
      </c>
      <c r="N17" s="33"/>
      <c r="O17" s="80"/>
      <c r="P17" s="367"/>
    </row>
    <row r="18" spans="1:16" x14ac:dyDescent="0.25">
      <c r="A18" s="1516" t="s">
        <v>405</v>
      </c>
      <c r="B18" s="376">
        <f>B202</f>
        <v>0</v>
      </c>
      <c r="C18" s="376">
        <f>E202</f>
        <v>0</v>
      </c>
      <c r="D18" s="373">
        <f>GlobalWarmingPotentials!$B$11*H202</f>
        <v>7.7929411764705902E-3</v>
      </c>
      <c r="E18" s="372">
        <f>GlobalWarmingPotentials!$C$11*K202</f>
        <v>3.0087529411764707E-2</v>
      </c>
      <c r="F18" s="374">
        <f t="shared" si="0"/>
        <v>3.78804705882353E-2</v>
      </c>
      <c r="G18" s="375"/>
      <c r="H18" s="1516" t="s">
        <v>405</v>
      </c>
      <c r="I18" s="376">
        <f>D202</f>
        <v>0</v>
      </c>
      <c r="J18" s="376">
        <f>G202</f>
        <v>0</v>
      </c>
      <c r="K18" s="373">
        <f>GlobalWarmingPotentials!$B$11*J202</f>
        <v>0</v>
      </c>
      <c r="L18" s="372">
        <f>GlobalWarmingPotentials!$C$11*M202</f>
        <v>0</v>
      </c>
      <c r="M18" s="374">
        <f t="shared" si="1"/>
        <v>0</v>
      </c>
      <c r="N18" s="33"/>
      <c r="O18" s="80"/>
      <c r="P18" s="367"/>
    </row>
    <row r="19" spans="1:16" x14ac:dyDescent="0.25">
      <c r="A19" s="1511" t="s">
        <v>1984</v>
      </c>
      <c r="B19" s="376">
        <f>B209</f>
        <v>0</v>
      </c>
      <c r="C19" s="376">
        <f>E209</f>
        <v>0</v>
      </c>
      <c r="D19" s="373">
        <f>GlobalWarmingPotentials!$B$11*H209</f>
        <v>0.73139999999999983</v>
      </c>
      <c r="E19" s="372">
        <f>GlobalWarmingPotentials!$C$11*K209</f>
        <v>2.8238400000000001</v>
      </c>
      <c r="F19" s="374">
        <f t="shared" ref="F19" si="2">SUM(C19:E19)</f>
        <v>3.55524</v>
      </c>
      <c r="G19" s="375"/>
      <c r="H19" s="1511" t="s">
        <v>1984</v>
      </c>
      <c r="I19" s="376">
        <f>D209</f>
        <v>0</v>
      </c>
      <c r="J19" s="376">
        <f>G209</f>
        <v>0</v>
      </c>
      <c r="K19" s="373">
        <f>GlobalWarmingPotentials!$B$11*J209</f>
        <v>0</v>
      </c>
      <c r="L19" s="372">
        <f>GlobalWarmingPotentials!$C$11*M209</f>
        <v>0</v>
      </c>
      <c r="M19" s="374">
        <f t="shared" ref="M19" si="3">SUM(J19:L19)</f>
        <v>0</v>
      </c>
      <c r="N19" s="33"/>
      <c r="O19" s="80"/>
      <c r="P19" s="367"/>
    </row>
    <row r="20" spans="1:16" x14ac:dyDescent="0.25">
      <c r="A20" s="1511" t="s">
        <v>2009</v>
      </c>
      <c r="B20" s="376">
        <f>B216</f>
        <v>0</v>
      </c>
      <c r="C20" s="376">
        <f>E216</f>
        <v>0</v>
      </c>
      <c r="D20" s="373">
        <f>GlobalWarmingPotentials!$B$11*H216</f>
        <v>7.4760982540280546E-2</v>
      </c>
      <c r="E20" s="372">
        <f>GlobalWarmingPotentials!$C$11*K216</f>
        <v>0.2886424021555179</v>
      </c>
      <c r="F20" s="374">
        <f t="shared" si="0"/>
        <v>0.36340338469579847</v>
      </c>
      <c r="G20" s="375"/>
      <c r="H20" s="1511" t="s">
        <v>2009</v>
      </c>
      <c r="I20" s="376">
        <f>D216</f>
        <v>0</v>
      </c>
      <c r="J20" s="376">
        <f>G216</f>
        <v>0</v>
      </c>
      <c r="K20" s="373">
        <f>GlobalWarmingPotentials!$B$11*J216</f>
        <v>0</v>
      </c>
      <c r="L20" s="372">
        <f>GlobalWarmingPotentials!$C$11*M216</f>
        <v>0</v>
      </c>
      <c r="M20" s="374">
        <f t="shared" si="1"/>
        <v>0</v>
      </c>
      <c r="N20" s="33"/>
      <c r="O20" s="80"/>
      <c r="P20" s="367"/>
    </row>
    <row r="21" spans="1:16" x14ac:dyDescent="0.25">
      <c r="A21" s="1516" t="s">
        <v>873</v>
      </c>
      <c r="B21" s="376">
        <f>B223</f>
        <v>1927.7999999999997</v>
      </c>
      <c r="C21" s="376">
        <f>E223</f>
        <v>107.9568</v>
      </c>
      <c r="D21" s="373">
        <f>GlobalWarmingPotentials!$B$11*H223</f>
        <v>7.4248549941176458</v>
      </c>
      <c r="E21" s="372">
        <f>GlobalWarmingPotentials!$C$11*K223</f>
        <v>0.8482426729411765</v>
      </c>
      <c r="F21" s="374">
        <f t="shared" si="0"/>
        <v>116.22989766705884</v>
      </c>
      <c r="G21" s="375"/>
      <c r="H21" s="1516" t="s">
        <v>873</v>
      </c>
      <c r="I21" s="376">
        <f>D223</f>
        <v>289.16999999999996</v>
      </c>
      <c r="J21" s="376">
        <f>G223</f>
        <v>16.386299999999999</v>
      </c>
      <c r="K21" s="373">
        <f>GlobalWarmingPotentials!$B$11*J223</f>
        <v>1.0863152999999999</v>
      </c>
      <c r="L21" s="372">
        <f>GlobalWarmingPotentials!$C$11*M223</f>
        <v>0</v>
      </c>
      <c r="M21" s="374">
        <f t="shared" si="1"/>
        <v>17.472615299999998</v>
      </c>
      <c r="N21" s="33"/>
      <c r="O21" s="80"/>
      <c r="P21" s="367"/>
    </row>
    <row r="22" spans="1:16" x14ac:dyDescent="0.25">
      <c r="A22" s="1511" t="s">
        <v>2018</v>
      </c>
      <c r="B22" s="376">
        <f>B229</f>
        <v>0</v>
      </c>
      <c r="C22" s="376">
        <f>E229</f>
        <v>0</v>
      </c>
      <c r="D22" s="373">
        <f>GlobalWarmingPotentials!$B$11*H229</f>
        <v>9.767152941176474E-2</v>
      </c>
      <c r="E22" s="372">
        <f>GlobalWarmingPotentials!$C$11*K229</f>
        <v>0.3770970352941177</v>
      </c>
      <c r="F22" s="374">
        <f t="shared" si="0"/>
        <v>0.47476856470588247</v>
      </c>
      <c r="G22" s="375"/>
      <c r="H22" s="1497" t="s">
        <v>2018</v>
      </c>
      <c r="I22" s="376">
        <f>D229</f>
        <v>0</v>
      </c>
      <c r="J22" s="376">
        <f>G229</f>
        <v>0</v>
      </c>
      <c r="K22" s="373">
        <f>GlobalWarmingPotentials!$B$11*J229</f>
        <v>0</v>
      </c>
      <c r="L22" s="372">
        <f>GlobalWarmingPotentials!$C$11*M229</f>
        <v>0</v>
      </c>
      <c r="M22" s="374">
        <f t="shared" si="1"/>
        <v>0</v>
      </c>
      <c r="N22" s="33"/>
      <c r="O22" s="80"/>
      <c r="P22" s="367"/>
    </row>
    <row r="23" spans="1:16" x14ac:dyDescent="0.25">
      <c r="A23" s="378" t="s">
        <v>869</v>
      </c>
      <c r="B23" s="376">
        <f>B235</f>
        <v>0</v>
      </c>
      <c r="C23" s="376">
        <f>E235</f>
        <v>0</v>
      </c>
      <c r="D23" s="373">
        <f>GlobalWarmingPotentials!$B$11*H235</f>
        <v>-1.1280488043874071</v>
      </c>
      <c r="E23" s="372">
        <f>GlobalWarmingPotentials!$C$11*K235</f>
        <v>-4.3552492969392063</v>
      </c>
      <c r="F23" s="374">
        <f t="shared" si="0"/>
        <v>-5.4832981013266133</v>
      </c>
      <c r="G23" s="375"/>
      <c r="H23" s="378" t="s">
        <v>869</v>
      </c>
      <c r="I23" s="376">
        <f>D235</f>
        <v>0</v>
      </c>
      <c r="J23" s="376">
        <f>G235</f>
        <v>0</v>
      </c>
      <c r="K23" s="373">
        <f>GlobalWarmingPotentials!$B$11*J235</f>
        <v>0</v>
      </c>
      <c r="L23" s="372">
        <f>GlobalWarmingPotentials!$C$11*M235</f>
        <v>0</v>
      </c>
      <c r="M23" s="374">
        <f t="shared" si="1"/>
        <v>0</v>
      </c>
      <c r="N23" s="33"/>
      <c r="O23" s="80"/>
      <c r="P23" s="367"/>
    </row>
    <row r="24" spans="1:16" x14ac:dyDescent="0.25">
      <c r="A24" s="412" t="s">
        <v>855</v>
      </c>
      <c r="B24" s="376">
        <f>B345</f>
        <v>0</v>
      </c>
      <c r="C24" s="376">
        <f>E345</f>
        <v>0</v>
      </c>
      <c r="D24" s="373">
        <f>GlobalWarmingPotentials!$B$11*H345</f>
        <v>0</v>
      </c>
      <c r="E24" s="372">
        <f>GlobalWarmingPotentials!$C$11*K345</f>
        <v>0</v>
      </c>
      <c r="F24" s="374">
        <f t="shared" si="0"/>
        <v>0</v>
      </c>
      <c r="G24" s="375"/>
      <c r="H24" s="412" t="s">
        <v>855</v>
      </c>
      <c r="I24" s="376">
        <f>D345</f>
        <v>0</v>
      </c>
      <c r="J24" s="376">
        <f>G345</f>
        <v>0</v>
      </c>
      <c r="K24" s="373">
        <f>GlobalWarmingPotentials!$B$11*J345</f>
        <v>0</v>
      </c>
      <c r="L24" s="372">
        <f>GlobalWarmingPotentials!$C$11*M345</f>
        <v>0</v>
      </c>
      <c r="M24" s="374">
        <f t="shared" si="1"/>
        <v>0</v>
      </c>
      <c r="N24" s="33"/>
      <c r="O24" s="80"/>
      <c r="P24" s="367"/>
    </row>
    <row r="25" spans="1:16" x14ac:dyDescent="0.25">
      <c r="A25" s="412" t="s">
        <v>874</v>
      </c>
      <c r="B25" s="376">
        <f>B269</f>
        <v>517.88672232212184</v>
      </c>
      <c r="C25" s="376">
        <f>E269</f>
        <v>37.164284826471004</v>
      </c>
      <c r="D25" s="373">
        <f>GlobalWarmingPotentials!$B$11*H269</f>
        <v>0.1776163222875497</v>
      </c>
      <c r="E25" s="372">
        <f>GlobalWarmingPotentials!$C$11*K269</f>
        <v>2.9715982963586582</v>
      </c>
      <c r="F25" s="374">
        <f t="shared" si="0"/>
        <v>40.313499445117209</v>
      </c>
      <c r="G25" s="375"/>
      <c r="H25" s="412" t="s">
        <v>874</v>
      </c>
      <c r="I25" s="376">
        <f>D269</f>
        <v>24.34067594913973</v>
      </c>
      <c r="J25" s="376">
        <f>G269</f>
        <v>1.7467213868441371</v>
      </c>
      <c r="K25" s="373">
        <f>GlobalWarmingPotentials!$B$11*J269</f>
        <v>8.3479671475148367E-3</v>
      </c>
      <c r="L25" s="372">
        <f>GlobalWarmingPotentials!$C$11*M269</f>
        <v>0.13966511992885694</v>
      </c>
      <c r="M25" s="374">
        <f t="shared" si="1"/>
        <v>1.894734473920509</v>
      </c>
      <c r="N25" s="33"/>
      <c r="O25" s="80"/>
      <c r="P25" s="367"/>
    </row>
    <row r="26" spans="1:16" x14ac:dyDescent="0.25">
      <c r="A26" s="412" t="s">
        <v>877</v>
      </c>
      <c r="B26" s="787">
        <f>B303</f>
        <v>0</v>
      </c>
      <c r="C26" s="787">
        <f>E303</f>
        <v>0</v>
      </c>
      <c r="D26" s="376">
        <f>GlobalWarmingPotentials!$B$11*H303</f>
        <v>0</v>
      </c>
      <c r="E26" s="376">
        <f>GlobalWarmingPotentials!$C$11*K303</f>
        <v>0</v>
      </c>
      <c r="F26" s="792">
        <f t="shared" si="0"/>
        <v>0</v>
      </c>
      <c r="G26" s="788"/>
      <c r="H26" s="412" t="s">
        <v>877</v>
      </c>
      <c r="I26" s="787">
        <f>D303</f>
        <v>0</v>
      </c>
      <c r="J26" s="787">
        <f>G303</f>
        <v>0</v>
      </c>
      <c r="K26" s="376">
        <f>GlobalWarmingPotentials!$B$11*J303</f>
        <v>0</v>
      </c>
      <c r="L26" s="376">
        <f>GlobalWarmingPotentials!$C$11*M303</f>
        <v>0</v>
      </c>
      <c r="M26" s="792">
        <f t="shared" si="1"/>
        <v>0</v>
      </c>
      <c r="N26" s="33"/>
      <c r="O26" s="80"/>
      <c r="P26" s="367"/>
    </row>
    <row r="27" spans="1:16" x14ac:dyDescent="0.25">
      <c r="A27" s="412" t="s">
        <v>878</v>
      </c>
      <c r="B27" s="787">
        <f>B337</f>
        <v>0</v>
      </c>
      <c r="C27" s="787">
        <f>E337</f>
        <v>0</v>
      </c>
      <c r="D27" s="376">
        <f>GlobalWarmingPotentials!$B$11*H337</f>
        <v>0</v>
      </c>
      <c r="E27" s="376">
        <f>GlobalWarmingPotentials!$C$11*K337</f>
        <v>0</v>
      </c>
      <c r="F27" s="792">
        <f t="shared" si="0"/>
        <v>0</v>
      </c>
      <c r="G27" s="788"/>
      <c r="H27" s="412" t="s">
        <v>878</v>
      </c>
      <c r="I27" s="787">
        <f>D337</f>
        <v>0</v>
      </c>
      <c r="J27" s="787">
        <f>G337</f>
        <v>0</v>
      </c>
      <c r="K27" s="376">
        <f>GlobalWarmingPotentials!$B$11*J337</f>
        <v>0</v>
      </c>
      <c r="L27" s="376">
        <f>GlobalWarmingPotentials!$C$11*M337</f>
        <v>0</v>
      </c>
      <c r="M27" s="792">
        <f t="shared" si="1"/>
        <v>0</v>
      </c>
      <c r="N27" s="33"/>
      <c r="O27" s="80"/>
      <c r="P27" s="367"/>
    </row>
    <row r="28" spans="1:16" ht="13.8" thickBot="1" x14ac:dyDescent="0.3">
      <c r="A28" s="379" t="s">
        <v>369</v>
      </c>
      <c r="B28" s="380">
        <f>SUM(B13:B27)</f>
        <v>19029.924609561138</v>
      </c>
      <c r="C28" s="380">
        <f>SUM(C13:C27)</f>
        <v>1196.1892112040041</v>
      </c>
      <c r="D28" s="380">
        <f>SUM(D13:D27)</f>
        <v>41.112244826075141</v>
      </c>
      <c r="E28" s="380">
        <f>SUM(E13:E27)</f>
        <v>537.68712073502957</v>
      </c>
      <c r="F28" s="790">
        <f>SUM(F13:F27)</f>
        <v>1774.988576765109</v>
      </c>
      <c r="G28" s="789"/>
      <c r="H28" s="379" t="s">
        <v>369</v>
      </c>
      <c r="I28" s="380">
        <f>SQRT(SUMSQ(I13:I27))</f>
        <v>927.66717480673935</v>
      </c>
      <c r="J28" s="380">
        <f>SQRT(SUMSQ(J13:J27))</f>
        <v>56.544037044773241</v>
      </c>
      <c r="K28" s="380">
        <f>SQRT(SUMSQ(K13:K27))</f>
        <v>2.6091650012095138</v>
      </c>
      <c r="L28" s="380">
        <f>SQRT(SUMSQ(L13:L27))</f>
        <v>41.249096246763379</v>
      </c>
      <c r="M28" s="790">
        <f>SQRT(SUMSQ(M13:M27))</f>
        <v>87.671592224869187</v>
      </c>
      <c r="N28" s="80"/>
      <c r="O28" s="80"/>
      <c r="P28" s="367"/>
    </row>
    <row r="29" spans="1:16" x14ac:dyDescent="0.25">
      <c r="A29" s="33"/>
      <c r="B29" s="80"/>
      <c r="C29" s="366"/>
      <c r="D29" s="80"/>
      <c r="E29" s="80"/>
      <c r="F29" s="80"/>
      <c r="G29" s="80"/>
      <c r="H29" s="58"/>
      <c r="I29" s="80"/>
      <c r="J29" s="80"/>
      <c r="K29" s="58"/>
      <c r="L29" s="58"/>
      <c r="M29" s="58"/>
      <c r="N29" s="33"/>
      <c r="O29" s="80"/>
      <c r="P29" s="367"/>
    </row>
    <row r="30" spans="1:16" x14ac:dyDescent="0.25">
      <c r="A30" s="33"/>
      <c r="B30" s="80"/>
      <c r="C30" s="366"/>
      <c r="D30" s="80"/>
      <c r="E30" s="80"/>
      <c r="F30" s="80"/>
      <c r="G30" s="80"/>
      <c r="H30" s="80"/>
      <c r="I30" s="80"/>
      <c r="J30" s="80"/>
      <c r="K30" s="80"/>
      <c r="L30" s="80"/>
      <c r="M30" s="80"/>
      <c r="N30" s="33"/>
      <c r="O30" s="80"/>
      <c r="P30" s="367"/>
    </row>
    <row r="31" spans="1:16" x14ac:dyDescent="0.25">
      <c r="A31" s="33"/>
      <c r="B31" s="80"/>
      <c r="C31" s="366"/>
      <c r="D31" s="80"/>
      <c r="E31" s="80"/>
      <c r="F31" s="80"/>
      <c r="G31" s="80"/>
      <c r="H31" s="80"/>
      <c r="I31" s="80"/>
      <c r="J31" s="80"/>
      <c r="K31" s="80"/>
      <c r="L31" s="80"/>
      <c r="M31" s="80"/>
      <c r="N31" s="33"/>
      <c r="O31" s="80"/>
      <c r="P31" s="367"/>
    </row>
    <row r="32" spans="1:16" x14ac:dyDescent="0.25">
      <c r="A32" s="33"/>
      <c r="B32" s="80"/>
      <c r="C32" s="366"/>
      <c r="D32" s="80"/>
      <c r="E32" s="80"/>
      <c r="F32" s="80"/>
      <c r="G32" s="80"/>
      <c r="H32" s="80"/>
      <c r="I32" s="80"/>
      <c r="J32" s="80"/>
      <c r="K32" s="80"/>
      <c r="L32" s="80"/>
      <c r="M32" s="80"/>
      <c r="N32" s="33"/>
      <c r="O32" s="80"/>
      <c r="P32" s="367"/>
    </row>
    <row r="33" spans="1:16" x14ac:dyDescent="0.25">
      <c r="A33" s="33"/>
      <c r="B33" s="80"/>
      <c r="C33" s="366"/>
      <c r="D33" s="80"/>
      <c r="E33" s="80"/>
      <c r="F33" s="80"/>
      <c r="G33" s="80"/>
      <c r="H33" s="80"/>
      <c r="I33" s="80"/>
      <c r="J33" s="80"/>
      <c r="K33" s="80"/>
      <c r="L33" s="80"/>
      <c r="M33" s="80"/>
      <c r="N33" s="33"/>
      <c r="O33" s="80"/>
      <c r="P33" s="367"/>
    </row>
    <row r="34" spans="1:16" x14ac:dyDescent="0.25">
      <c r="A34" s="33"/>
      <c r="B34" s="80"/>
      <c r="C34" s="366"/>
      <c r="D34" s="80"/>
      <c r="E34" s="80"/>
      <c r="F34" s="80"/>
      <c r="G34" s="80"/>
      <c r="H34" s="80"/>
      <c r="I34" s="80"/>
      <c r="J34" s="80"/>
      <c r="K34" s="80"/>
      <c r="L34" s="80"/>
      <c r="M34" s="80"/>
      <c r="N34" s="33"/>
      <c r="O34" s="80"/>
      <c r="P34" s="367"/>
    </row>
    <row r="35" spans="1:16" x14ac:dyDescent="0.25">
      <c r="A35" s="33"/>
      <c r="B35" s="80"/>
      <c r="C35" s="366"/>
      <c r="D35" s="80"/>
      <c r="E35" s="80"/>
      <c r="F35" s="80"/>
      <c r="G35" s="80"/>
      <c r="H35" s="80"/>
      <c r="I35" s="80"/>
      <c r="J35" s="80"/>
      <c r="K35" s="80"/>
      <c r="L35" s="80"/>
      <c r="M35" s="80"/>
      <c r="N35" s="33"/>
      <c r="O35" s="80"/>
      <c r="P35" s="367"/>
    </row>
    <row r="36" spans="1:16" x14ac:dyDescent="0.25">
      <c r="A36" s="33"/>
      <c r="B36" s="80"/>
      <c r="C36" s="366"/>
      <c r="D36" s="80"/>
      <c r="E36" s="80"/>
      <c r="F36" s="80"/>
      <c r="G36" s="80"/>
      <c r="H36" s="80"/>
      <c r="I36" s="80"/>
      <c r="J36" s="80"/>
      <c r="K36" s="80"/>
      <c r="L36" s="80"/>
      <c r="M36" s="80"/>
      <c r="N36" s="33"/>
      <c r="O36" s="80"/>
      <c r="P36" s="367"/>
    </row>
    <row r="37" spans="1:16" x14ac:dyDescent="0.25">
      <c r="A37" s="33"/>
      <c r="B37" s="80"/>
      <c r="C37" s="366"/>
      <c r="D37" s="80"/>
      <c r="E37" s="80"/>
      <c r="F37" s="80"/>
      <c r="G37" s="80"/>
      <c r="H37" s="80"/>
      <c r="I37" s="80"/>
      <c r="J37" s="80"/>
      <c r="K37" s="80"/>
      <c r="L37" s="80"/>
      <c r="M37" s="80"/>
      <c r="N37" s="33"/>
      <c r="O37" s="80"/>
      <c r="P37" s="367"/>
    </row>
    <row r="38" spans="1:16" x14ac:dyDescent="0.25">
      <c r="A38" s="33"/>
      <c r="B38" s="80"/>
      <c r="C38" s="366"/>
      <c r="D38" s="80"/>
      <c r="E38" s="80"/>
      <c r="F38" s="80"/>
      <c r="G38" s="80"/>
      <c r="H38" s="80"/>
      <c r="I38" s="80"/>
      <c r="J38" s="80"/>
      <c r="K38" s="80"/>
      <c r="L38" s="80"/>
      <c r="M38" s="80"/>
      <c r="N38" s="33"/>
      <c r="O38" s="80"/>
      <c r="P38" s="367"/>
    </row>
    <row r="39" spans="1:16" x14ac:dyDescent="0.25">
      <c r="A39" s="33"/>
      <c r="B39" s="80"/>
      <c r="C39" s="366"/>
      <c r="D39" s="80"/>
      <c r="E39" s="80"/>
      <c r="F39" s="80"/>
      <c r="G39" s="80"/>
      <c r="H39" s="80"/>
      <c r="I39" s="80"/>
      <c r="J39" s="80"/>
      <c r="K39" s="80"/>
      <c r="L39" s="80"/>
      <c r="M39" s="80"/>
      <c r="N39" s="33"/>
      <c r="O39" s="80"/>
      <c r="P39" s="367"/>
    </row>
    <row r="40" spans="1:16" x14ac:dyDescent="0.25">
      <c r="A40" s="33"/>
      <c r="B40" s="80"/>
      <c r="C40" s="366"/>
      <c r="D40" s="80"/>
      <c r="E40" s="80"/>
      <c r="F40" s="80"/>
      <c r="G40" s="80"/>
      <c r="H40" s="80"/>
      <c r="I40" s="80"/>
      <c r="J40" s="80"/>
      <c r="K40" s="80"/>
      <c r="L40" s="80"/>
      <c r="M40" s="80"/>
      <c r="N40" s="33"/>
      <c r="O40" s="80"/>
      <c r="P40" s="367"/>
    </row>
    <row r="41" spans="1:16" x14ac:dyDescent="0.25">
      <c r="A41" s="33"/>
      <c r="B41" s="80"/>
      <c r="C41" s="366"/>
      <c r="D41" s="80"/>
      <c r="E41" s="80"/>
      <c r="F41" s="80"/>
      <c r="G41" s="80"/>
      <c r="H41" s="80"/>
      <c r="I41" s="80"/>
      <c r="J41" s="80"/>
      <c r="K41" s="80"/>
      <c r="L41" s="80"/>
      <c r="M41" s="80"/>
      <c r="N41" s="33"/>
      <c r="O41" s="80"/>
      <c r="P41" s="367"/>
    </row>
    <row r="42" spans="1:16" x14ac:dyDescent="0.25">
      <c r="A42" s="33"/>
      <c r="B42" s="80"/>
      <c r="C42" s="366"/>
      <c r="D42" s="80"/>
      <c r="E42" s="80"/>
      <c r="F42" s="80"/>
      <c r="G42" s="80"/>
      <c r="H42" s="80"/>
      <c r="I42" s="80"/>
      <c r="J42" s="80"/>
      <c r="K42" s="80"/>
      <c r="L42" s="80"/>
      <c r="M42" s="80"/>
      <c r="N42" s="33"/>
      <c r="O42" s="80"/>
      <c r="P42" s="367"/>
    </row>
    <row r="43" spans="1:16" x14ac:dyDescent="0.25">
      <c r="A43" s="33"/>
      <c r="B43" s="80"/>
      <c r="C43" s="366"/>
      <c r="D43" s="80"/>
      <c r="E43" s="80"/>
      <c r="F43" s="80"/>
      <c r="G43" s="80"/>
      <c r="H43" s="80"/>
      <c r="I43" s="80"/>
      <c r="J43" s="80"/>
      <c r="K43" s="80"/>
      <c r="L43" s="80"/>
      <c r="M43" s="80"/>
      <c r="N43" s="33"/>
      <c r="O43" s="80"/>
      <c r="P43" s="367"/>
    </row>
    <row r="44" spans="1:16" x14ac:dyDescent="0.25">
      <c r="A44" s="33"/>
      <c r="B44" s="80"/>
      <c r="C44" s="366"/>
      <c r="D44" s="80"/>
      <c r="E44" s="80"/>
      <c r="F44" s="80"/>
      <c r="G44" s="80"/>
      <c r="H44" s="80"/>
      <c r="I44" s="80"/>
      <c r="J44" s="80"/>
      <c r="K44" s="80"/>
      <c r="L44" s="80"/>
      <c r="M44" s="80"/>
      <c r="N44" s="33"/>
      <c r="O44" s="80"/>
      <c r="P44" s="367"/>
    </row>
    <row r="45" spans="1:16" x14ac:dyDescent="0.25">
      <c r="A45" s="33"/>
      <c r="B45" s="80"/>
      <c r="C45" s="366"/>
      <c r="D45" s="80"/>
      <c r="E45" s="80"/>
      <c r="F45" s="80"/>
      <c r="G45" s="80"/>
      <c r="H45" s="80"/>
      <c r="I45" s="80"/>
      <c r="J45" s="80"/>
      <c r="K45" s="80"/>
      <c r="L45" s="80"/>
      <c r="M45" s="80"/>
      <c r="N45" s="33"/>
      <c r="O45" s="80"/>
      <c r="P45" s="367"/>
    </row>
    <row r="46" spans="1:16" x14ac:dyDescent="0.25">
      <c r="A46" s="33"/>
      <c r="B46" s="80"/>
      <c r="C46" s="366"/>
      <c r="D46" s="80"/>
      <c r="E46" s="80"/>
      <c r="F46" s="80"/>
      <c r="G46" s="80"/>
      <c r="H46" s="80"/>
      <c r="I46" s="80"/>
      <c r="J46" s="80"/>
      <c r="K46" s="80"/>
      <c r="L46" s="80"/>
      <c r="M46" s="80"/>
      <c r="N46" s="33"/>
      <c r="O46" s="80"/>
      <c r="P46" s="367"/>
    </row>
    <row r="47" spans="1:16" x14ac:dyDescent="0.25">
      <c r="A47" s="33"/>
      <c r="B47" s="80"/>
      <c r="C47" s="366"/>
      <c r="D47" s="80"/>
      <c r="E47" s="80"/>
      <c r="F47" s="80"/>
      <c r="G47" s="80"/>
      <c r="H47" s="80"/>
      <c r="I47" s="80"/>
      <c r="J47" s="80"/>
      <c r="K47" s="80"/>
      <c r="L47" s="80"/>
      <c r="M47" s="80"/>
      <c r="N47" s="33"/>
      <c r="O47" s="80"/>
      <c r="P47" s="367"/>
    </row>
    <row r="48" spans="1:16" x14ac:dyDescent="0.25">
      <c r="A48" s="33"/>
      <c r="B48" s="80"/>
      <c r="C48" s="366"/>
      <c r="D48" s="80"/>
      <c r="E48" s="80"/>
      <c r="F48" s="80"/>
      <c r="G48" s="80"/>
      <c r="H48" s="80"/>
      <c r="I48" s="80"/>
      <c r="J48" s="80"/>
      <c r="K48" s="80"/>
      <c r="L48" s="80"/>
      <c r="M48" s="80"/>
      <c r="N48" s="33"/>
      <c r="O48" s="80"/>
      <c r="P48" s="367"/>
    </row>
    <row r="49" spans="1:16" x14ac:dyDescent="0.25">
      <c r="A49" s="33"/>
      <c r="B49" s="80"/>
      <c r="C49" s="366"/>
      <c r="D49" s="80"/>
      <c r="E49" s="80"/>
      <c r="F49" s="80"/>
      <c r="G49" s="80"/>
      <c r="H49" s="80"/>
      <c r="I49" s="80"/>
      <c r="J49" s="80"/>
      <c r="K49" s="80"/>
      <c r="L49" s="80"/>
      <c r="M49" s="80"/>
      <c r="N49" s="33"/>
      <c r="O49" s="80"/>
      <c r="P49" s="367"/>
    </row>
    <row r="50" spans="1:16" x14ac:dyDescent="0.25">
      <c r="A50" s="33"/>
      <c r="B50" s="80"/>
      <c r="C50" s="366"/>
      <c r="D50" s="80"/>
      <c r="E50" s="80"/>
      <c r="F50" s="80"/>
      <c r="G50" s="80"/>
      <c r="H50" s="80"/>
      <c r="I50" s="80"/>
      <c r="J50" s="80"/>
      <c r="K50" s="80"/>
      <c r="L50" s="80"/>
      <c r="M50" s="80"/>
      <c r="N50" s="33"/>
      <c r="O50" s="80"/>
      <c r="P50" s="367"/>
    </row>
    <row r="51" spans="1:16" x14ac:dyDescent="0.25">
      <c r="A51" s="33"/>
      <c r="B51" s="80"/>
      <c r="C51" s="366"/>
      <c r="D51" s="80"/>
      <c r="E51" s="80"/>
      <c r="F51" s="80"/>
      <c r="G51" s="80"/>
      <c r="H51" s="80"/>
      <c r="I51" s="80"/>
      <c r="J51" s="80"/>
      <c r="K51" s="80"/>
      <c r="L51" s="80"/>
      <c r="M51" s="80"/>
      <c r="N51" s="33"/>
      <c r="O51" s="80"/>
      <c r="P51" s="367"/>
    </row>
    <row r="52" spans="1:16" x14ac:dyDescent="0.25">
      <c r="A52" s="33"/>
      <c r="B52" s="80"/>
      <c r="C52" s="366"/>
      <c r="D52" s="80"/>
      <c r="E52" s="80"/>
      <c r="F52" s="80"/>
      <c r="G52" s="80"/>
      <c r="H52" s="80"/>
      <c r="I52" s="80"/>
      <c r="J52" s="80"/>
      <c r="K52" s="80"/>
      <c r="L52" s="80"/>
      <c r="M52" s="80"/>
      <c r="N52" s="33"/>
      <c r="O52" s="80"/>
      <c r="P52" s="367"/>
    </row>
    <row r="53" spans="1:16" x14ac:dyDescent="0.25">
      <c r="A53" s="33"/>
      <c r="B53" s="80"/>
      <c r="C53" s="366"/>
      <c r="D53" s="80"/>
      <c r="E53" s="80"/>
      <c r="F53" s="80"/>
      <c r="G53" s="80"/>
      <c r="H53" s="80"/>
      <c r="I53" s="80"/>
      <c r="J53" s="80"/>
      <c r="K53" s="80"/>
      <c r="L53" s="80"/>
      <c r="M53" s="80"/>
      <c r="N53" s="33"/>
      <c r="O53" s="80"/>
      <c r="P53" s="367"/>
    </row>
    <row r="54" spans="1:16" x14ac:dyDescent="0.25">
      <c r="A54" s="32" t="s">
        <v>43</v>
      </c>
      <c r="B54" s="90"/>
      <c r="C54" s="90"/>
      <c r="D54" s="90"/>
      <c r="E54" s="90"/>
      <c r="F54" s="90"/>
      <c r="G54" s="90"/>
      <c r="H54" s="90"/>
      <c r="I54" s="90"/>
      <c r="J54" s="381"/>
      <c r="K54" s="90"/>
      <c r="L54" s="90"/>
      <c r="M54" s="381"/>
      <c r="N54" s="32"/>
      <c r="O54" s="90"/>
      <c r="P54" s="382"/>
    </row>
    <row r="55" spans="1:16" x14ac:dyDescent="0.25">
      <c r="A55" s="39"/>
      <c r="B55" s="39"/>
      <c r="C55" s="39"/>
      <c r="D55" s="39"/>
      <c r="E55" s="39"/>
      <c r="F55" s="39"/>
      <c r="G55" s="39"/>
      <c r="H55" s="39"/>
      <c r="I55" s="39"/>
      <c r="J55" s="40"/>
      <c r="K55" s="39"/>
      <c r="L55" s="39"/>
      <c r="M55" s="40"/>
      <c r="N55" s="39"/>
      <c r="O55" s="39"/>
      <c r="P55" s="383"/>
    </row>
    <row r="56" spans="1:16" x14ac:dyDescent="0.25">
      <c r="A56" s="21" t="s">
        <v>245</v>
      </c>
      <c r="B56" s="28" t="s">
        <v>21</v>
      </c>
      <c r="C56" s="22"/>
      <c r="D56" s="21"/>
      <c r="E56" s="28" t="s">
        <v>22</v>
      </c>
      <c r="F56" s="22"/>
      <c r="G56" s="18"/>
      <c r="H56" s="6" t="s">
        <v>23</v>
      </c>
      <c r="I56" s="22"/>
      <c r="J56" s="18"/>
      <c r="K56" s="6" t="s">
        <v>24</v>
      </c>
      <c r="L56" s="22"/>
      <c r="M56" s="18"/>
      <c r="N56" s="6" t="s">
        <v>25</v>
      </c>
      <c r="O56" s="22"/>
      <c r="P56" s="18"/>
    </row>
    <row r="57" spans="1:16" x14ac:dyDescent="0.25">
      <c r="A57" s="22"/>
    </row>
    <row r="58" spans="1:16" x14ac:dyDescent="0.25">
      <c r="A58" s="20"/>
      <c r="B58" s="27" t="s">
        <v>1684</v>
      </c>
      <c r="C58" s="20" t="s">
        <v>20</v>
      </c>
      <c r="D58" s="20" t="s">
        <v>1685</v>
      </c>
      <c r="E58" s="27" t="s">
        <v>1686</v>
      </c>
      <c r="F58" s="20" t="s">
        <v>20</v>
      </c>
      <c r="G58" s="19" t="s">
        <v>1687</v>
      </c>
      <c r="H58" s="27" t="s">
        <v>1688</v>
      </c>
      <c r="I58" s="20" t="s">
        <v>20</v>
      </c>
      <c r="J58" s="19" t="s">
        <v>1689</v>
      </c>
      <c r="K58" s="27" t="s">
        <v>1690</v>
      </c>
      <c r="L58" s="20" t="s">
        <v>20</v>
      </c>
      <c r="M58" s="19" t="s">
        <v>1691</v>
      </c>
      <c r="N58" s="27" t="s">
        <v>1692</v>
      </c>
      <c r="O58" s="20" t="s">
        <v>20</v>
      </c>
      <c r="P58" s="19" t="s">
        <v>1693</v>
      </c>
    </row>
    <row r="59" spans="1:16" x14ac:dyDescent="0.25">
      <c r="A59" s="384" t="s">
        <v>19</v>
      </c>
    </row>
    <row r="60" spans="1:16" x14ac:dyDescent="0.25">
      <c r="A60" s="384" t="str">
        <f>Cultivation!A43</f>
        <v>MAIN LAND USE</v>
      </c>
    </row>
    <row r="61" spans="1:16" x14ac:dyDescent="0.25">
      <c r="A61" s="894" t="str">
        <f>Cultivation!A44</f>
        <v xml:space="preserve"> - Diesel Fuel</v>
      </c>
      <c r="B61" s="710">
        <f>(Unitflowchart!$S$15*(AllocationMass!$F$19/100)*Cultivation!J44)/Unitflowchart!$S$357</f>
        <v>3335.5910597487418</v>
      </c>
      <c r="C61" s="25">
        <f>(B61/B$347)*100</f>
        <v>17.528135965777039</v>
      </c>
      <c r="D61" s="724">
        <f>(Unitflowchart!$S$15*(AllocationMass!$F$19/100)*Cultivation!K44)/Unitflowchart!$S$357</f>
        <v>0</v>
      </c>
      <c r="E61" s="710">
        <f>(Unitflowchart!$S$15*(AllocationMass!$F$19/100)*Cultivation!P44)/Unitflowchart!$S$357</f>
        <v>239.36673960918276</v>
      </c>
      <c r="F61" s="25">
        <f>(E61/E$347)*100</f>
        <v>20.010775667191663</v>
      </c>
      <c r="G61" s="724">
        <f>(Unitflowchart!$S$15*(AllocationMass!$F$19/100)*Cultivation!Q44)/Unitflowchart!$S$357</f>
        <v>0</v>
      </c>
      <c r="H61" s="710">
        <f>(Unitflowchart!$S$15*(AllocationMass!$F$19/100)*Cultivation!V44)/Unitflowchart!$S$357</f>
        <v>4.9738543295414606E-2</v>
      </c>
      <c r="I61" s="25">
        <f>(H61/H$347)*100</f>
        <v>2.7825931194809654</v>
      </c>
      <c r="J61" s="724">
        <f>(Unitflowchart!$S$15*(AllocationMass!$F$19/100)*Cultivation!W44)/Unitflowchart!$S$357</f>
        <v>0</v>
      </c>
      <c r="K61" s="710">
        <f>(Unitflowchart!$S$15*(AllocationMass!$F$19/100)*Cultivation!AB44)/Unitflowchart!$S$357</f>
        <v>6.4660106284038982E-2</v>
      </c>
      <c r="L61" s="25">
        <f>(K61/K$347)*100</f>
        <v>3.559577814307993</v>
      </c>
      <c r="M61" s="724">
        <f>(Unitflowchart!$S$15*(AllocationMass!$F$19/100)*Cultivation!AC44)/Unitflowchart!$S$357</f>
        <v>0</v>
      </c>
      <c r="N61" s="711">
        <f>E61+(GlobalWarmingPotentials!$B$11*H61)+(GlobalWarmingPotentials!$C$11*K61)</f>
        <v>259.65011756505282</v>
      </c>
      <c r="O61" s="25">
        <f>(N61/N$347)*100</f>
        <v>14.628269779530717</v>
      </c>
      <c r="P61" s="736">
        <f>SQRT((G61^2)+((GlobalWarmingPotentials!$B$11*J61)^2)+((GlobalWarmingPotentials!$C$11*M61)^2))</f>
        <v>0</v>
      </c>
    </row>
    <row r="62" spans="1:16" s="42" customFormat="1" x14ac:dyDescent="0.25">
      <c r="A62" s="852"/>
      <c r="B62" s="713"/>
      <c r="C62" s="863"/>
      <c r="D62" s="719"/>
      <c r="E62" s="713"/>
      <c r="F62" s="863"/>
      <c r="G62" s="719"/>
      <c r="H62" s="713"/>
      <c r="I62" s="863"/>
      <c r="J62" s="719"/>
      <c r="K62" s="713"/>
      <c r="L62" s="863"/>
      <c r="M62" s="719"/>
      <c r="N62" s="713"/>
      <c r="O62" s="863"/>
      <c r="P62" s="738"/>
    </row>
    <row r="63" spans="1:16" s="5" customFormat="1" x14ac:dyDescent="0.25">
      <c r="A63" s="122" t="str">
        <f>Cultivation!A46</f>
        <v>Sub-Totals for Fuel</v>
      </c>
      <c r="B63" s="867">
        <f>(Unitflowchart!$S$15*(AllocationMass!$F$19/100)*Cultivation!J46)/Unitflowchart!$S$357</f>
        <v>3335.5910597487418</v>
      </c>
      <c r="C63" s="868">
        <f>(B63/B$347)*100</f>
        <v>17.528135965777039</v>
      </c>
      <c r="D63" s="1304">
        <f>(Unitflowchart!$S$15*(AllocationMass!$F$19/100)*Cultivation!K46)/Unitflowchart!$S$357</f>
        <v>0</v>
      </c>
      <c r="E63" s="867">
        <f>(Unitflowchart!$S$15*(AllocationMass!$F$19/100)*Cultivation!P46)/Unitflowchart!$S$357</f>
        <v>239.36673960918276</v>
      </c>
      <c r="F63" s="868">
        <f>(E63/E$347)*100</f>
        <v>20.010775667191663</v>
      </c>
      <c r="G63" s="1304">
        <f>(Unitflowchart!$S$15*(AllocationMass!$F$19/100)*Cultivation!Q46)/Unitflowchart!$S$357</f>
        <v>0</v>
      </c>
      <c r="H63" s="867">
        <f>(Unitflowchart!$S$15*(AllocationMass!$F$19/100)*Cultivation!V46)/Unitflowchart!$S$357</f>
        <v>4.9738543295414606E-2</v>
      </c>
      <c r="I63" s="868">
        <f>(H63/H$347)*100</f>
        <v>2.7825931194809654</v>
      </c>
      <c r="J63" s="1304">
        <f>(Unitflowchart!$S$15*(AllocationMass!$F$19/100)*Cultivation!W46)/Unitflowchart!$S$357</f>
        <v>0</v>
      </c>
      <c r="K63" s="867">
        <f>(Unitflowchart!$S$15*(AllocationMass!$F$19/100)*Cultivation!AB46)/Unitflowchart!$S$357</f>
        <v>6.4660106284038982E-2</v>
      </c>
      <c r="L63" s="868">
        <f>(K63/K$347)*100</f>
        <v>3.559577814307993</v>
      </c>
      <c r="M63" s="1304">
        <f>(Unitflowchart!$S$15*(AllocationMass!$F$19/100)*Cultivation!AC46)/Unitflowchart!$S$357</f>
        <v>0</v>
      </c>
      <c r="N63" s="870">
        <f>E63+(GlobalWarmingPotentials!$B$11*H63)+(GlobalWarmingPotentials!$C$11*K63)</f>
        <v>259.65011756505282</v>
      </c>
      <c r="O63" s="868">
        <f>(N63/N$347)*100</f>
        <v>14.628269779530717</v>
      </c>
      <c r="P63" s="895">
        <f>SQRT((G63^2)+((GlobalWarmingPotentials!$B$11*J63)^2)+((GlobalWarmingPotentials!$C$11*M63)^2))</f>
        <v>0</v>
      </c>
    </row>
    <row r="64" spans="1:16" s="42" customFormat="1" x14ac:dyDescent="0.25">
      <c r="A64" s="852"/>
      <c r="B64" s="713"/>
      <c r="C64" s="863"/>
      <c r="D64" s="719"/>
      <c r="E64" s="713"/>
      <c r="F64" s="863"/>
      <c r="G64" s="719"/>
      <c r="H64" s="713"/>
      <c r="I64" s="863"/>
      <c r="J64" s="719"/>
      <c r="K64" s="713"/>
      <c r="L64" s="863"/>
      <c r="M64" s="719"/>
      <c r="N64" s="713"/>
      <c r="O64" s="863"/>
      <c r="P64" s="738"/>
    </row>
    <row r="65" spans="1:16" x14ac:dyDescent="0.25">
      <c r="A65" s="894" t="str">
        <f>Cultivation!A48</f>
        <v>Machinery:</v>
      </c>
      <c r="B65" s="713"/>
      <c r="C65" s="863"/>
      <c r="D65" s="719"/>
      <c r="E65" s="713"/>
      <c r="F65" s="863"/>
      <c r="G65" s="719"/>
      <c r="H65" s="713"/>
      <c r="I65" s="863"/>
      <c r="J65" s="719"/>
      <c r="K65" s="713"/>
      <c r="L65" s="863"/>
      <c r="M65" s="719"/>
      <c r="N65" s="713"/>
      <c r="O65" s="863"/>
      <c r="P65" s="738"/>
    </row>
    <row r="66" spans="1:16" x14ac:dyDescent="0.25">
      <c r="A66" s="894" t="str">
        <f>Cultivation!A49</f>
        <v xml:space="preserve"> - sub soiling</v>
      </c>
      <c r="B66" s="867">
        <f>(Unitflowchart!$S$15*(AllocationMass!$F$19/100)*Cultivation!J49)/Unitflowchart!$S$357</f>
        <v>0</v>
      </c>
      <c r="C66" s="868">
        <f t="shared" ref="C66:C73" si="4">(B66/B$347)*100</f>
        <v>0</v>
      </c>
      <c r="D66" s="1304">
        <f>(Unitflowchart!$S$15*(AllocationMass!$F$19/100)*Cultivation!K49)/Unitflowchart!$S$357</f>
        <v>0</v>
      </c>
      <c r="E66" s="867">
        <f>(Unitflowchart!$S$15*(AllocationMass!$F$19/100)*Cultivation!P49)/Unitflowchart!$S$357</f>
        <v>0</v>
      </c>
      <c r="F66" s="868">
        <f t="shared" ref="F66:F73" si="5">(E66/E$347)*100</f>
        <v>0</v>
      </c>
      <c r="G66" s="1304">
        <f>(Unitflowchart!$S$15*(AllocationMass!$F$19/100)*Cultivation!Q49)/Unitflowchart!$S$357</f>
        <v>0</v>
      </c>
      <c r="H66" s="867">
        <f>(Unitflowchart!$S$15*(AllocationMass!$F$19/100)*Cultivation!V49)/Unitflowchart!$S$357</f>
        <v>0</v>
      </c>
      <c r="I66" s="868">
        <f t="shared" ref="I66:I73" si="6">(H66/H$347)*100</f>
        <v>0</v>
      </c>
      <c r="J66" s="1304">
        <f>(Unitflowchart!$S$15*(AllocationMass!$F$19/100)*Cultivation!W49)/Unitflowchart!$S$357</f>
        <v>0</v>
      </c>
      <c r="K66" s="867">
        <f>(Unitflowchart!$S$15*(AllocationMass!$F$19/100)*Cultivation!AB49)/Unitflowchart!$S$357</f>
        <v>0</v>
      </c>
      <c r="L66" s="868">
        <f t="shared" ref="L66:L73" si="7">(K66/K$347)*100</f>
        <v>0</v>
      </c>
      <c r="M66" s="1304">
        <f>(Unitflowchart!$S$15*(AllocationMass!$F$19/100)*Cultivation!AC49)/Unitflowchart!$S$357</f>
        <v>0</v>
      </c>
      <c r="N66" s="870">
        <f>E66+(GlobalWarmingPotentials!$B$11*H66)+(GlobalWarmingPotentials!$C$11*K66)</f>
        <v>0</v>
      </c>
      <c r="O66" s="868">
        <f t="shared" ref="O66:O73" si="8">(N66/N$347)*100</f>
        <v>0</v>
      </c>
      <c r="P66" s="895">
        <f>SQRT((G66^2)+((GlobalWarmingPotentials!$B$11*J66)^2)+((GlobalWarmingPotentials!$C$11*M66)^2))</f>
        <v>0</v>
      </c>
    </row>
    <row r="67" spans="1:16" x14ac:dyDescent="0.25">
      <c r="A67" s="894" t="str">
        <f>Cultivation!A50</f>
        <v xml:space="preserve"> - ploughing</v>
      </c>
      <c r="B67" s="867">
        <f>(Unitflowchart!$S$15*(AllocationMass!$F$19/100)*Cultivation!J50)/Unitflowchart!$S$357</f>
        <v>0</v>
      </c>
      <c r="C67" s="868">
        <f t="shared" si="4"/>
        <v>0</v>
      </c>
      <c r="D67" s="1304">
        <f>(Unitflowchart!$S$15*(AllocationMass!$F$19/100)*Cultivation!K50)/Unitflowchart!$S$357</f>
        <v>0</v>
      </c>
      <c r="E67" s="867">
        <f>(Unitflowchart!$S$15*(AllocationMass!$F$19/100)*Cultivation!P50)/Unitflowchart!$S$357</f>
        <v>0</v>
      </c>
      <c r="F67" s="868">
        <f t="shared" si="5"/>
        <v>0</v>
      </c>
      <c r="G67" s="1304">
        <f>(Unitflowchart!$S$15*(AllocationMass!$F$19/100)*Cultivation!Q50)/Unitflowchart!$S$357</f>
        <v>0</v>
      </c>
      <c r="H67" s="867">
        <f>(Unitflowchart!$S$15*(AllocationMass!$F$19/100)*Cultivation!V50)/Unitflowchart!$S$357</f>
        <v>0</v>
      </c>
      <c r="I67" s="868">
        <f t="shared" si="6"/>
        <v>0</v>
      </c>
      <c r="J67" s="1304">
        <f>(Unitflowchart!$S$15*(AllocationMass!$F$19/100)*Cultivation!W50)/Unitflowchart!$S$357</f>
        <v>0</v>
      </c>
      <c r="K67" s="867">
        <f>(Unitflowchart!$S$15*(AllocationMass!$F$19/100)*Cultivation!AB50)/Unitflowchart!$S$357</f>
        <v>0</v>
      </c>
      <c r="L67" s="868">
        <f t="shared" si="7"/>
        <v>0</v>
      </c>
      <c r="M67" s="1304">
        <f>(Unitflowchart!$S$15*(AllocationMass!$F$19/100)*Cultivation!AC50)/Unitflowchart!$S$357</f>
        <v>0</v>
      </c>
      <c r="N67" s="870">
        <f>E67+(GlobalWarmingPotentials!$B$11*H67)+(GlobalWarmingPotentials!$C$11*K67)</f>
        <v>0</v>
      </c>
      <c r="O67" s="868">
        <f t="shared" si="8"/>
        <v>0</v>
      </c>
      <c r="P67" s="895">
        <f>SQRT((G67^2)+((GlobalWarmingPotentials!$B$11*J67)^2)+((GlobalWarmingPotentials!$C$11*M67)^2))</f>
        <v>0</v>
      </c>
    </row>
    <row r="68" spans="1:16" x14ac:dyDescent="0.25">
      <c r="A68" s="894" t="str">
        <f>Cultivation!A51</f>
        <v xml:space="preserve"> - harrowing (with power harrow)</v>
      </c>
      <c r="B68" s="867">
        <f>(Unitflowchart!$S$15*(AllocationMass!$F$19/100)*Cultivation!J51)/Unitflowchart!$S$357</f>
        <v>0</v>
      </c>
      <c r="C68" s="868">
        <f t="shared" si="4"/>
        <v>0</v>
      </c>
      <c r="D68" s="1304">
        <f>(Unitflowchart!$S$15*(AllocationMass!$F$19/100)*Cultivation!K51)/Unitflowchart!$S$357</f>
        <v>0</v>
      </c>
      <c r="E68" s="867">
        <f>(Unitflowchart!$S$15*(AllocationMass!$F$19/100)*Cultivation!P51)/Unitflowchart!$S$357</f>
        <v>0</v>
      </c>
      <c r="F68" s="868">
        <f t="shared" si="5"/>
        <v>0</v>
      </c>
      <c r="G68" s="1304">
        <f>(Unitflowchart!$S$15*(AllocationMass!$F$19/100)*Cultivation!Q51)/Unitflowchart!$S$357</f>
        <v>0</v>
      </c>
      <c r="H68" s="867">
        <f>(Unitflowchart!$S$15*(AllocationMass!$F$19/100)*Cultivation!V51)/Unitflowchart!$S$357</f>
        <v>0</v>
      </c>
      <c r="I68" s="868">
        <f t="shared" si="6"/>
        <v>0</v>
      </c>
      <c r="J68" s="1304">
        <f>(Unitflowchart!$S$15*(AllocationMass!$F$19/100)*Cultivation!W51)/Unitflowchart!$S$357</f>
        <v>0</v>
      </c>
      <c r="K68" s="867">
        <f>(Unitflowchart!$S$15*(AllocationMass!$F$19/100)*Cultivation!AB51)/Unitflowchart!$S$357</f>
        <v>0</v>
      </c>
      <c r="L68" s="868">
        <f t="shared" si="7"/>
        <v>0</v>
      </c>
      <c r="M68" s="1304">
        <f>(Unitflowchart!$S$15*(AllocationMass!$F$19/100)*Cultivation!AC51)/Unitflowchart!$S$357</f>
        <v>0</v>
      </c>
      <c r="N68" s="870">
        <f>E68+(GlobalWarmingPotentials!$B$11*H68)+(GlobalWarmingPotentials!$C$11*K68)</f>
        <v>0</v>
      </c>
      <c r="O68" s="868">
        <f t="shared" si="8"/>
        <v>0</v>
      </c>
      <c r="P68" s="895">
        <f>SQRT((G68^2)+((GlobalWarmingPotentials!$B$11*J68)^2)+((GlobalWarmingPotentials!$C$11*M68)^2))</f>
        <v>0</v>
      </c>
    </row>
    <row r="69" spans="1:16" x14ac:dyDescent="0.25">
      <c r="A69" s="894" t="str">
        <f>Cultivation!A52</f>
        <v xml:space="preserve"> - drilling (with power harrow)</v>
      </c>
      <c r="B69" s="867">
        <f>(Unitflowchart!$S$15*(AllocationMass!$F$19/100)*Cultivation!J52)/Unitflowchart!$S$357</f>
        <v>0</v>
      </c>
      <c r="C69" s="868">
        <f t="shared" si="4"/>
        <v>0</v>
      </c>
      <c r="D69" s="1304">
        <f>(Unitflowchart!$S$15*(AllocationMass!$F$19/100)*Cultivation!K52)/Unitflowchart!$S$357</f>
        <v>0</v>
      </c>
      <c r="E69" s="867">
        <f>(Unitflowchart!$S$15*(AllocationMass!$F$19/100)*Cultivation!P52)/Unitflowchart!$S$357</f>
        <v>0</v>
      </c>
      <c r="F69" s="868">
        <f t="shared" si="5"/>
        <v>0</v>
      </c>
      <c r="G69" s="1304">
        <f>(Unitflowchart!$S$15*(AllocationMass!$F$19/100)*Cultivation!Q52)/Unitflowchart!$S$357</f>
        <v>0</v>
      </c>
      <c r="H69" s="867">
        <f>(Unitflowchart!$S$15*(AllocationMass!$F$19/100)*Cultivation!V52)/Unitflowchart!$S$357</f>
        <v>0</v>
      </c>
      <c r="I69" s="868">
        <f t="shared" si="6"/>
        <v>0</v>
      </c>
      <c r="J69" s="1304">
        <f>(Unitflowchart!$S$15*(AllocationMass!$F$19/100)*Cultivation!W52)/Unitflowchart!$S$357</f>
        <v>0</v>
      </c>
      <c r="K69" s="867">
        <f>(Unitflowchart!$S$15*(AllocationMass!$F$19/100)*Cultivation!AB52)/Unitflowchart!$S$357</f>
        <v>0</v>
      </c>
      <c r="L69" s="868">
        <f t="shared" si="7"/>
        <v>0</v>
      </c>
      <c r="M69" s="1304">
        <f>(Unitflowchart!$S$15*(AllocationMass!$F$19/100)*Cultivation!AC52)/Unitflowchart!$S$357</f>
        <v>0</v>
      </c>
      <c r="N69" s="870">
        <f>E69+(GlobalWarmingPotentials!$B$11*H69)+(GlobalWarmingPotentials!$C$11*K69)</f>
        <v>0</v>
      </c>
      <c r="O69" s="868">
        <f t="shared" si="8"/>
        <v>0</v>
      </c>
      <c r="P69" s="895">
        <f>SQRT((G69^2)+((GlobalWarmingPotentials!$B$11*J69)^2)+((GlobalWarmingPotentials!$C$11*M69)^2))</f>
        <v>0</v>
      </c>
    </row>
    <row r="70" spans="1:16" x14ac:dyDescent="0.25">
      <c r="A70" s="894" t="str">
        <f>Cultivation!A53</f>
        <v xml:space="preserve"> - FYM application</v>
      </c>
      <c r="B70" s="867">
        <f>(Unitflowchart!$S$15*(AllocationMass!$F$19/100)*Cultivation!J53)/Unitflowchart!$S$357</f>
        <v>0</v>
      </c>
      <c r="C70" s="868">
        <f t="shared" si="4"/>
        <v>0</v>
      </c>
      <c r="D70" s="1304">
        <f>(Unitflowchart!$S$15*(AllocationMass!$F$19/100)*Cultivation!K53)/Unitflowchart!$S$357</f>
        <v>0</v>
      </c>
      <c r="E70" s="867">
        <f>(Unitflowchart!$S$15*(AllocationMass!$F$19/100)*Cultivation!P53)/Unitflowchart!$S$357</f>
        <v>0</v>
      </c>
      <c r="F70" s="868">
        <f t="shared" si="5"/>
        <v>0</v>
      </c>
      <c r="G70" s="1304">
        <f>(Unitflowchart!$S$15*(AllocationMass!$F$19/100)*Cultivation!Q53)/Unitflowchart!$S$357</f>
        <v>0</v>
      </c>
      <c r="H70" s="867">
        <f>(Unitflowchart!$S$15*(AllocationMass!$F$19/100)*Cultivation!V53)/Unitflowchart!$S$357</f>
        <v>0</v>
      </c>
      <c r="I70" s="868">
        <f t="shared" si="6"/>
        <v>0</v>
      </c>
      <c r="J70" s="1304">
        <f>(Unitflowchart!$S$15*(AllocationMass!$F$19/100)*Cultivation!W53)/Unitflowchart!$S$357</f>
        <v>0</v>
      </c>
      <c r="K70" s="867">
        <f>(Unitflowchart!$S$15*(AllocationMass!$F$19/100)*Cultivation!AB53)/Unitflowchart!$S$357</f>
        <v>0</v>
      </c>
      <c r="L70" s="868">
        <f t="shared" si="7"/>
        <v>0</v>
      </c>
      <c r="M70" s="1304">
        <f>(Unitflowchart!$S$15*(AllocationMass!$F$19/100)*Cultivation!AC53)/Unitflowchart!$S$357</f>
        <v>0</v>
      </c>
      <c r="N70" s="870">
        <f>E70+(GlobalWarmingPotentials!$B$11*H70)+(GlobalWarmingPotentials!$C$11*K70)</f>
        <v>0</v>
      </c>
      <c r="O70" s="868">
        <f t="shared" si="8"/>
        <v>0</v>
      </c>
      <c r="P70" s="895">
        <f>SQRT((G70^2)+((GlobalWarmingPotentials!$B$11*J70)^2)+((GlobalWarmingPotentials!$C$11*M70)^2))</f>
        <v>0</v>
      </c>
    </row>
    <row r="71" spans="1:16" s="42" customFormat="1" x14ac:dyDescent="0.25">
      <c r="A71" s="894" t="str">
        <f>Cultivation!A54</f>
        <v xml:space="preserve"> - fertiliser application</v>
      </c>
      <c r="B71" s="867">
        <f>(Unitflowchart!$S$15*(AllocationMass!$F$19/100)*Cultivation!J54)/Unitflowchart!$S$357</f>
        <v>0</v>
      </c>
      <c r="C71" s="868">
        <f t="shared" si="4"/>
        <v>0</v>
      </c>
      <c r="D71" s="1304">
        <f>(Unitflowchart!$S$15*(AllocationMass!$F$19/100)*Cultivation!K54)/Unitflowchart!$S$357</f>
        <v>0</v>
      </c>
      <c r="E71" s="867">
        <f>(Unitflowchart!$S$15*(AllocationMass!$F$19/100)*Cultivation!P54)/Unitflowchart!$S$357</f>
        <v>0</v>
      </c>
      <c r="F71" s="868">
        <f t="shared" si="5"/>
        <v>0</v>
      </c>
      <c r="G71" s="1304">
        <f>(Unitflowchart!$S$15*(AllocationMass!$F$19/100)*Cultivation!Q54)/Unitflowchart!$S$357</f>
        <v>0</v>
      </c>
      <c r="H71" s="867">
        <f>(Unitflowchart!$S$15*(AllocationMass!$F$19/100)*Cultivation!V54)/Unitflowchart!$S$357</f>
        <v>0</v>
      </c>
      <c r="I71" s="868">
        <f t="shared" si="6"/>
        <v>0</v>
      </c>
      <c r="J71" s="1304">
        <f>(Unitflowchart!$S$15*(AllocationMass!$F$19/100)*Cultivation!W54)/Unitflowchart!$S$357</f>
        <v>0</v>
      </c>
      <c r="K71" s="867">
        <f>(Unitflowchart!$S$15*(AllocationMass!$F$19/100)*Cultivation!AB54)/Unitflowchart!$S$357</f>
        <v>0</v>
      </c>
      <c r="L71" s="868">
        <f t="shared" si="7"/>
        <v>0</v>
      </c>
      <c r="M71" s="1304">
        <f>(Unitflowchart!$S$15*(AllocationMass!$F$19/100)*Cultivation!AC54)/Unitflowchart!$S$357</f>
        <v>0</v>
      </c>
      <c r="N71" s="870">
        <f>E71+(GlobalWarmingPotentials!$B$11*H71)+(GlobalWarmingPotentials!$C$11*K71)</f>
        <v>0</v>
      </c>
      <c r="O71" s="868">
        <f t="shared" si="8"/>
        <v>0</v>
      </c>
      <c r="P71" s="895">
        <f>SQRT((G71^2)+((GlobalWarmingPotentials!$B$11*J71)^2)+((GlobalWarmingPotentials!$C$11*M71)^2))</f>
        <v>0</v>
      </c>
    </row>
    <row r="72" spans="1:16" x14ac:dyDescent="0.25">
      <c r="A72" s="894" t="str">
        <f>Cultivation!A55</f>
        <v xml:space="preserve"> - applying pesticides, herbicides and fungicides</v>
      </c>
      <c r="B72" s="867">
        <f>(Unitflowchart!$S$15*(AllocationMass!$F$19/100)*Cultivation!J55)/Unitflowchart!$S$357</f>
        <v>0</v>
      </c>
      <c r="C72" s="868">
        <f t="shared" si="4"/>
        <v>0</v>
      </c>
      <c r="D72" s="1304">
        <f>(Unitflowchart!$S$15*(AllocationMass!$F$19/100)*Cultivation!K55)/Unitflowchart!$S$357</f>
        <v>0</v>
      </c>
      <c r="E72" s="867">
        <f>(Unitflowchart!$S$15*(AllocationMass!$F$19/100)*Cultivation!P55)/Unitflowchart!$S$357</f>
        <v>0</v>
      </c>
      <c r="F72" s="868">
        <f t="shared" si="5"/>
        <v>0</v>
      </c>
      <c r="G72" s="1304">
        <f>(Unitflowchart!$S$15*(AllocationMass!$F$19/100)*Cultivation!Q55)/Unitflowchart!$S$357</f>
        <v>0</v>
      </c>
      <c r="H72" s="867">
        <f>(Unitflowchart!$S$15*(AllocationMass!$F$19/100)*Cultivation!V55)/Unitflowchart!$S$357</f>
        <v>0</v>
      </c>
      <c r="I72" s="868">
        <f t="shared" si="6"/>
        <v>0</v>
      </c>
      <c r="J72" s="1304">
        <f>(Unitflowchart!$S$15*(AllocationMass!$F$19/100)*Cultivation!W55)/Unitflowchart!$S$357</f>
        <v>0</v>
      </c>
      <c r="K72" s="867">
        <f>(Unitflowchart!$S$15*(AllocationMass!$F$19/100)*Cultivation!AB55)/Unitflowchart!$S$357</f>
        <v>0</v>
      </c>
      <c r="L72" s="868">
        <f t="shared" si="7"/>
        <v>0</v>
      </c>
      <c r="M72" s="1304">
        <f>(Unitflowchart!$S$15*(AllocationMass!$F$19/100)*Cultivation!AC55)/Unitflowchart!$S$357</f>
        <v>0</v>
      </c>
      <c r="N72" s="870">
        <f>E72+(GlobalWarmingPotentials!$B$11*H72)+(GlobalWarmingPotentials!$C$11*K72)</f>
        <v>0</v>
      </c>
      <c r="O72" s="868">
        <f t="shared" si="8"/>
        <v>0</v>
      </c>
      <c r="P72" s="895">
        <f>SQRT((G72^2)+((GlobalWarmingPotentials!$B$11*J72)^2)+((GlobalWarmingPotentials!$C$11*M72)^2))</f>
        <v>0</v>
      </c>
    </row>
    <row r="73" spans="1:16" s="42" customFormat="1" x14ac:dyDescent="0.25">
      <c r="A73" s="894" t="str">
        <f>Cultivation!A56</f>
        <v xml:space="preserve"> - maize harvesting </v>
      </c>
      <c r="B73" s="867">
        <f>(Unitflowchart!$S$15*(AllocationMass!$F$19/100)*Cultivation!J56)/Unitflowchart!$S$357</f>
        <v>0</v>
      </c>
      <c r="C73" s="868">
        <f t="shared" si="4"/>
        <v>0</v>
      </c>
      <c r="D73" s="1304">
        <f>(Unitflowchart!$S$15*(AllocationMass!$F$19/100)*Cultivation!K56)/Unitflowchart!$S$357</f>
        <v>0</v>
      </c>
      <c r="E73" s="867">
        <f>(Unitflowchart!$S$15*(AllocationMass!$F$19/100)*Cultivation!P56)/Unitflowchart!$S$357</f>
        <v>0</v>
      </c>
      <c r="F73" s="868">
        <f t="shared" si="5"/>
        <v>0</v>
      </c>
      <c r="G73" s="1304">
        <f>(Unitflowchart!$S$15*(AllocationMass!$F$19/100)*Cultivation!Q56)/Unitflowchart!$S$357</f>
        <v>0</v>
      </c>
      <c r="H73" s="867">
        <f>(Unitflowchart!$S$15*(AllocationMass!$F$19/100)*Cultivation!V56)/Unitflowchart!$S$357</f>
        <v>0</v>
      </c>
      <c r="I73" s="868">
        <f t="shared" si="6"/>
        <v>0</v>
      </c>
      <c r="J73" s="1304">
        <f>(Unitflowchart!$S$15*(AllocationMass!$F$19/100)*Cultivation!W56)/Unitflowchart!$S$357</f>
        <v>0</v>
      </c>
      <c r="K73" s="867">
        <f>(Unitflowchart!$S$15*(AllocationMass!$F$19/100)*Cultivation!AB56)/Unitflowchart!$S$357</f>
        <v>0</v>
      </c>
      <c r="L73" s="868">
        <f t="shared" si="7"/>
        <v>0</v>
      </c>
      <c r="M73" s="1304">
        <f>(Unitflowchart!$S$15*(AllocationMass!$F$19/100)*Cultivation!AC56)/Unitflowchart!$S$357</f>
        <v>0</v>
      </c>
      <c r="N73" s="870">
        <f>E73+(GlobalWarmingPotentials!$B$11*H73)+(GlobalWarmingPotentials!$C$11*K73)</f>
        <v>0</v>
      </c>
      <c r="O73" s="868">
        <f t="shared" si="8"/>
        <v>0</v>
      </c>
      <c r="P73" s="895">
        <f>SQRT((G73^2)+((GlobalWarmingPotentials!$B$11*J73)^2)+((GlobalWarmingPotentials!$C$11*M73)^2))</f>
        <v>0</v>
      </c>
    </row>
    <row r="74" spans="1:16" s="42" customFormat="1" x14ac:dyDescent="0.25">
      <c r="A74" s="852"/>
      <c r="B74" s="1305"/>
      <c r="C74" s="1306"/>
      <c r="D74" s="1307"/>
      <c r="E74" s="1305"/>
      <c r="F74" s="1306"/>
      <c r="G74" s="1307"/>
      <c r="H74" s="1305"/>
      <c r="I74" s="1306"/>
      <c r="J74" s="1307"/>
      <c r="K74" s="1305"/>
      <c r="L74" s="1306"/>
      <c r="M74" s="1307"/>
      <c r="N74" s="1305"/>
      <c r="O74" s="1306"/>
      <c r="P74" s="1308"/>
    </row>
    <row r="75" spans="1:16" x14ac:dyDescent="0.25">
      <c r="A75" s="122" t="str">
        <f>Cultivation!A58</f>
        <v>Sub-Totals for Machinery</v>
      </c>
      <c r="B75" s="867">
        <f>(Unitflowchart!$S$15*(AllocationMass!$F$19/100)*Cultivation!J58)/Unitflowchart!$S$357</f>
        <v>0</v>
      </c>
      <c r="C75" s="868">
        <f>(B75/B$347)*100</f>
        <v>0</v>
      </c>
      <c r="D75" s="1304">
        <f>(Unitflowchart!$S$15*(AllocationMass!$F$19/100)*Cultivation!K58)/Unitflowchart!$S$357</f>
        <v>0</v>
      </c>
      <c r="E75" s="867">
        <f>(Unitflowchart!$S$15*(AllocationMass!$F$19/100)*Cultivation!P58)/Unitflowchart!$S$357</f>
        <v>0</v>
      </c>
      <c r="F75" s="868">
        <f>(E75/E$347)*100</f>
        <v>0</v>
      </c>
      <c r="G75" s="1304">
        <f>(Unitflowchart!$S$15*(AllocationMass!$F$19/100)*Cultivation!Q58)/Unitflowchart!$S$357</f>
        <v>0</v>
      </c>
      <c r="H75" s="867">
        <f>(Unitflowchart!$S$15*(AllocationMass!$F$19/100)*Cultivation!V58)/Unitflowchart!$S$357</f>
        <v>0</v>
      </c>
      <c r="I75" s="868">
        <f>(H75/H$347)*100</f>
        <v>0</v>
      </c>
      <c r="J75" s="1304">
        <f>(Unitflowchart!$S$15*(AllocationMass!$F$19/100)*Cultivation!W58)/Unitflowchart!$S$357</f>
        <v>0</v>
      </c>
      <c r="K75" s="867">
        <f>(Unitflowchart!$S$15*(AllocationMass!$F$19/100)*Cultivation!AB58)/Unitflowchart!$S$357</f>
        <v>0</v>
      </c>
      <c r="L75" s="868">
        <f>(K75/K$347)*100</f>
        <v>0</v>
      </c>
      <c r="M75" s="1304">
        <f>(Unitflowchart!$S$15*(AllocationMass!$F$19/100)*Cultivation!AC58)/Unitflowchart!$S$357</f>
        <v>0</v>
      </c>
      <c r="N75" s="870">
        <f>E75+(GlobalWarmingPotentials!$B$11*H75)+(GlobalWarmingPotentials!$C$11*K75)</f>
        <v>0</v>
      </c>
      <c r="O75" s="868">
        <f>(N75/N$347)*100</f>
        <v>0</v>
      </c>
      <c r="P75" s="895">
        <f>SQRT((G75^2)+((GlobalWarmingPotentials!$B$11*J75)^2)+((GlobalWarmingPotentials!$C$11*M75)^2))</f>
        <v>0</v>
      </c>
    </row>
    <row r="76" spans="1:16" s="42" customFormat="1" x14ac:dyDescent="0.25">
      <c r="A76" s="852"/>
      <c r="B76" s="713"/>
      <c r="C76" s="863"/>
      <c r="D76" s="719"/>
      <c r="E76" s="713"/>
      <c r="F76" s="863"/>
      <c r="G76" s="719"/>
      <c r="H76" s="713"/>
      <c r="I76" s="863"/>
      <c r="J76" s="719"/>
      <c r="K76" s="713"/>
      <c r="L76" s="863"/>
      <c r="M76" s="719"/>
      <c r="N76" s="713"/>
      <c r="O76" s="863"/>
      <c r="P76" s="738"/>
    </row>
    <row r="77" spans="1:16" x14ac:dyDescent="0.25">
      <c r="A77" s="894" t="str">
        <f>Cultivation!A60</f>
        <v>Maintenance:</v>
      </c>
      <c r="B77" s="713"/>
      <c r="C77" s="863"/>
      <c r="D77" s="719"/>
      <c r="E77" s="713"/>
      <c r="F77" s="863"/>
      <c r="G77" s="719"/>
      <c r="H77" s="713"/>
      <c r="I77" s="863"/>
      <c r="J77" s="719"/>
      <c r="K77" s="713"/>
      <c r="L77" s="863"/>
      <c r="M77" s="719"/>
      <c r="N77" s="713"/>
      <c r="O77" s="863"/>
      <c r="P77" s="738"/>
    </row>
    <row r="78" spans="1:16" x14ac:dyDescent="0.25">
      <c r="A78" s="894" t="str">
        <f>Cultivation!A61</f>
        <v xml:space="preserve"> - sub soiling</v>
      </c>
      <c r="B78" s="867">
        <f>(Unitflowchart!$S$15*(AllocationMass!$F$19/100)*Cultivation!J61)/Unitflowchart!$S$357</f>
        <v>0</v>
      </c>
      <c r="C78" s="868">
        <f t="shared" ref="C78:C85" si="9">(B78/B$347)*100</f>
        <v>0</v>
      </c>
      <c r="D78" s="1304">
        <f>(Unitflowchart!$S$15*(AllocationMass!$F$19/100)*Cultivation!K61)/Unitflowchart!$S$357</f>
        <v>0</v>
      </c>
      <c r="E78" s="867">
        <f>(Unitflowchart!$S$15*(AllocationMass!$F$19/100)*Cultivation!P61)/Unitflowchart!$S$357</f>
        <v>0</v>
      </c>
      <c r="F78" s="868">
        <f t="shared" ref="F78:F85" si="10">(E78/E$347)*100</f>
        <v>0</v>
      </c>
      <c r="G78" s="1304">
        <f>(Unitflowchart!$S$15*(AllocationMass!$F$19/100)*Cultivation!Q61)/Unitflowchart!$S$357</f>
        <v>0</v>
      </c>
      <c r="H78" s="867">
        <f>(Unitflowchart!$S$15*(AllocationMass!$F$19/100)*Cultivation!V61)/Unitflowchart!$S$357</f>
        <v>0</v>
      </c>
      <c r="I78" s="868">
        <f t="shared" ref="I78:I85" si="11">(H78/H$347)*100</f>
        <v>0</v>
      </c>
      <c r="J78" s="1304">
        <f>(Unitflowchart!$S$15*(AllocationMass!$F$19/100)*Cultivation!W61)/Unitflowchart!$S$357</f>
        <v>0</v>
      </c>
      <c r="K78" s="867">
        <f>(Unitflowchart!$S$15*(AllocationMass!$F$19/100)*Cultivation!AB61)/Unitflowchart!$S$357</f>
        <v>0</v>
      </c>
      <c r="L78" s="868">
        <f t="shared" ref="L78:L85" si="12">(K78/K$347)*100</f>
        <v>0</v>
      </c>
      <c r="M78" s="1304">
        <f>(Unitflowchart!$S$15*(AllocationMass!$F$19/100)*Cultivation!AC61)/Unitflowchart!$S$357</f>
        <v>0</v>
      </c>
      <c r="N78" s="870">
        <f>E78+(GlobalWarmingPotentials!$B$11*H78)+(GlobalWarmingPotentials!$C$11*K78)</f>
        <v>0</v>
      </c>
      <c r="O78" s="868">
        <f t="shared" ref="O78:O85" si="13">(N78/N$347)*100</f>
        <v>0</v>
      </c>
      <c r="P78" s="895">
        <f>SQRT((G78^2)+((GlobalWarmingPotentials!$B$11*J78)^2)+((GlobalWarmingPotentials!$C$11*M78)^2))</f>
        <v>0</v>
      </c>
    </row>
    <row r="79" spans="1:16" x14ac:dyDescent="0.25">
      <c r="A79" s="894" t="str">
        <f>Cultivation!A62</f>
        <v xml:space="preserve"> - ploughing</v>
      </c>
      <c r="B79" s="867">
        <f>(Unitflowchart!$S$15*(AllocationMass!$F$19/100)*Cultivation!J62)/Unitflowchart!$S$357</f>
        <v>0</v>
      </c>
      <c r="C79" s="868">
        <f t="shared" si="9"/>
        <v>0</v>
      </c>
      <c r="D79" s="1304">
        <f>(Unitflowchart!$S$15*(AllocationMass!$F$19/100)*Cultivation!K62)/Unitflowchart!$S$357</f>
        <v>0</v>
      </c>
      <c r="E79" s="867">
        <f>(Unitflowchart!$S$15*(AllocationMass!$F$19/100)*Cultivation!P62)/Unitflowchart!$S$357</f>
        <v>0</v>
      </c>
      <c r="F79" s="868">
        <f t="shared" si="10"/>
        <v>0</v>
      </c>
      <c r="G79" s="1304">
        <f>(Unitflowchart!$S$15*(AllocationMass!$F$19/100)*Cultivation!Q62)/Unitflowchart!$S$357</f>
        <v>0</v>
      </c>
      <c r="H79" s="867">
        <f>(Unitflowchart!$S$15*(AllocationMass!$F$19/100)*Cultivation!V62)/Unitflowchart!$S$357</f>
        <v>0</v>
      </c>
      <c r="I79" s="868">
        <f t="shared" si="11"/>
        <v>0</v>
      </c>
      <c r="J79" s="1304">
        <f>(Unitflowchart!$S$15*(AllocationMass!$F$19/100)*Cultivation!W62)/Unitflowchart!$S$357</f>
        <v>0</v>
      </c>
      <c r="K79" s="867">
        <f>(Unitflowchart!$S$15*(AllocationMass!$F$19/100)*Cultivation!AB62)/Unitflowchart!$S$357</f>
        <v>0</v>
      </c>
      <c r="L79" s="868">
        <f t="shared" si="12"/>
        <v>0</v>
      </c>
      <c r="M79" s="1304">
        <f>(Unitflowchart!$S$15*(AllocationMass!$F$19/100)*Cultivation!AC62)/Unitflowchart!$S$357</f>
        <v>0</v>
      </c>
      <c r="N79" s="870">
        <f>E79+(GlobalWarmingPotentials!$B$11*H79)+(GlobalWarmingPotentials!$C$11*K79)</f>
        <v>0</v>
      </c>
      <c r="O79" s="868">
        <f t="shared" si="13"/>
        <v>0</v>
      </c>
      <c r="P79" s="895">
        <f>SQRT((G79^2)+((GlobalWarmingPotentials!$B$11*J79)^2)+((GlobalWarmingPotentials!$C$11*M79)^2))</f>
        <v>0</v>
      </c>
    </row>
    <row r="80" spans="1:16" x14ac:dyDescent="0.25">
      <c r="A80" s="894" t="str">
        <f>Cultivation!A63</f>
        <v xml:space="preserve"> - harrowing (with power harrow)</v>
      </c>
      <c r="B80" s="867">
        <f>(Unitflowchart!$S$15*(AllocationMass!$F$19/100)*Cultivation!J63)/Unitflowchart!$S$357</f>
        <v>0</v>
      </c>
      <c r="C80" s="868">
        <f t="shared" si="9"/>
        <v>0</v>
      </c>
      <c r="D80" s="1304">
        <f>(Unitflowchart!$S$15*(AllocationMass!$F$19/100)*Cultivation!K63)/Unitflowchart!$S$357</f>
        <v>0</v>
      </c>
      <c r="E80" s="867">
        <f>(Unitflowchart!$S$15*(AllocationMass!$F$19/100)*Cultivation!P63)/Unitflowchart!$S$357</f>
        <v>0</v>
      </c>
      <c r="F80" s="868">
        <f t="shared" si="10"/>
        <v>0</v>
      </c>
      <c r="G80" s="1304">
        <f>(Unitflowchart!$S$15*(AllocationMass!$F$19/100)*Cultivation!Q63)/Unitflowchart!$S$357</f>
        <v>0</v>
      </c>
      <c r="H80" s="867">
        <f>(Unitflowchart!$S$15*(AllocationMass!$F$19/100)*Cultivation!V63)/Unitflowchart!$S$357</f>
        <v>0</v>
      </c>
      <c r="I80" s="868">
        <f t="shared" si="11"/>
        <v>0</v>
      </c>
      <c r="J80" s="1304">
        <f>(Unitflowchart!$S$15*(AllocationMass!$F$19/100)*Cultivation!W63)/Unitflowchart!$S$357</f>
        <v>0</v>
      </c>
      <c r="K80" s="867">
        <f>(Unitflowchart!$S$15*(AllocationMass!$F$19/100)*Cultivation!AB63)/Unitflowchart!$S$357</f>
        <v>0</v>
      </c>
      <c r="L80" s="868">
        <f t="shared" si="12"/>
        <v>0</v>
      </c>
      <c r="M80" s="1304">
        <f>(Unitflowchart!$S$15*(AllocationMass!$F$19/100)*Cultivation!AC63)/Unitflowchart!$S$357</f>
        <v>0</v>
      </c>
      <c r="N80" s="870">
        <f>E80+(GlobalWarmingPotentials!$B$11*H80)+(GlobalWarmingPotentials!$C$11*K80)</f>
        <v>0</v>
      </c>
      <c r="O80" s="868">
        <f t="shared" si="13"/>
        <v>0</v>
      </c>
      <c r="P80" s="895">
        <f>SQRT((G80^2)+((GlobalWarmingPotentials!$B$11*J80)^2)+((GlobalWarmingPotentials!$C$11*M80)^2))</f>
        <v>0</v>
      </c>
    </row>
    <row r="81" spans="1:16" x14ac:dyDescent="0.25">
      <c r="A81" s="894" t="str">
        <f>Cultivation!A64</f>
        <v xml:space="preserve"> - drilling (with power harrow)</v>
      </c>
      <c r="B81" s="867">
        <f>(Unitflowchart!$S$15*(AllocationMass!$F$19/100)*Cultivation!J64)/Unitflowchart!$S$357</f>
        <v>0</v>
      </c>
      <c r="C81" s="868">
        <f t="shared" si="9"/>
        <v>0</v>
      </c>
      <c r="D81" s="1304">
        <f>(Unitflowchart!$S$15*(AllocationMass!$F$19/100)*Cultivation!K64)/Unitflowchart!$S$357</f>
        <v>0</v>
      </c>
      <c r="E81" s="867">
        <f>(Unitflowchart!$S$15*(AllocationMass!$F$19/100)*Cultivation!P64)/Unitflowchart!$S$357</f>
        <v>0</v>
      </c>
      <c r="F81" s="868">
        <f t="shared" si="10"/>
        <v>0</v>
      </c>
      <c r="G81" s="1304">
        <f>(Unitflowchart!$S$15*(AllocationMass!$F$19/100)*Cultivation!Q64)/Unitflowchart!$S$357</f>
        <v>0</v>
      </c>
      <c r="H81" s="867">
        <f>(Unitflowchart!$S$15*(AllocationMass!$F$19/100)*Cultivation!V64)/Unitflowchart!$S$357</f>
        <v>0</v>
      </c>
      <c r="I81" s="868">
        <f t="shared" si="11"/>
        <v>0</v>
      </c>
      <c r="J81" s="1304">
        <f>(Unitflowchart!$S$15*(AllocationMass!$F$19/100)*Cultivation!W64)/Unitflowchart!$S$357</f>
        <v>0</v>
      </c>
      <c r="K81" s="867">
        <f>(Unitflowchart!$S$15*(AllocationMass!$F$19/100)*Cultivation!AB64)/Unitflowchart!$S$357</f>
        <v>0</v>
      </c>
      <c r="L81" s="868">
        <f t="shared" si="12"/>
        <v>0</v>
      </c>
      <c r="M81" s="1304">
        <f>(Unitflowchart!$S$15*(AllocationMass!$F$19/100)*Cultivation!AC64)/Unitflowchart!$S$357</f>
        <v>0</v>
      </c>
      <c r="N81" s="870">
        <f>E81+(GlobalWarmingPotentials!$B$11*H81)+(GlobalWarmingPotentials!$C$11*K81)</f>
        <v>0</v>
      </c>
      <c r="O81" s="868">
        <f t="shared" si="13"/>
        <v>0</v>
      </c>
      <c r="P81" s="895">
        <f>SQRT((G81^2)+((GlobalWarmingPotentials!$B$11*J81)^2)+((GlobalWarmingPotentials!$C$11*M81)^2))</f>
        <v>0</v>
      </c>
    </row>
    <row r="82" spans="1:16" x14ac:dyDescent="0.25">
      <c r="A82" s="894" t="str">
        <f>Cultivation!A65</f>
        <v xml:space="preserve"> - FYM/slurry application</v>
      </c>
      <c r="B82" s="867">
        <f>(Unitflowchart!$S$15*(AllocationMass!$F$19/100)*Cultivation!J65)/Unitflowchart!$S$357</f>
        <v>0</v>
      </c>
      <c r="C82" s="868">
        <f t="shared" si="9"/>
        <v>0</v>
      </c>
      <c r="D82" s="1304">
        <f>(Unitflowchart!$S$15*(AllocationMass!$F$19/100)*Cultivation!K65)/Unitflowchart!$S$357</f>
        <v>0</v>
      </c>
      <c r="E82" s="867">
        <f>(Unitflowchart!$S$15*(AllocationMass!$F$19/100)*Cultivation!P65)/Unitflowchart!$S$357</f>
        <v>0</v>
      </c>
      <c r="F82" s="868">
        <f t="shared" si="10"/>
        <v>0</v>
      </c>
      <c r="G82" s="1304">
        <f>(Unitflowchart!$S$15*(AllocationMass!$F$19/100)*Cultivation!Q65)/Unitflowchart!$S$357</f>
        <v>0</v>
      </c>
      <c r="H82" s="867">
        <f>(Unitflowchart!$S$15*(AllocationMass!$F$19/100)*Cultivation!V65)/Unitflowchart!$S$357</f>
        <v>0</v>
      </c>
      <c r="I82" s="868">
        <f t="shared" si="11"/>
        <v>0</v>
      </c>
      <c r="J82" s="1304">
        <f>(Unitflowchart!$S$15*(AllocationMass!$F$19/100)*Cultivation!W65)/Unitflowchart!$S$357</f>
        <v>0</v>
      </c>
      <c r="K82" s="867">
        <f>(Unitflowchart!$S$15*(AllocationMass!$F$19/100)*Cultivation!AB65)/Unitflowchart!$S$357</f>
        <v>0</v>
      </c>
      <c r="L82" s="868">
        <f t="shared" si="12"/>
        <v>0</v>
      </c>
      <c r="M82" s="1304">
        <f>(Unitflowchart!$S$15*(AllocationMass!$F$19/100)*Cultivation!AC65)/Unitflowchart!$S$357</f>
        <v>0</v>
      </c>
      <c r="N82" s="870">
        <f>E82+(GlobalWarmingPotentials!$B$11*H82)+(GlobalWarmingPotentials!$C$11*K82)</f>
        <v>0</v>
      </c>
      <c r="O82" s="868">
        <f t="shared" si="13"/>
        <v>0</v>
      </c>
      <c r="P82" s="895">
        <f>SQRT((G82^2)+((GlobalWarmingPotentials!$B$11*J82)^2)+((GlobalWarmingPotentials!$C$11*M82)^2))</f>
        <v>0</v>
      </c>
    </row>
    <row r="83" spans="1:16" x14ac:dyDescent="0.25">
      <c r="A83" s="894" t="str">
        <f>Cultivation!A66</f>
        <v xml:space="preserve"> - fertiliser application</v>
      </c>
      <c r="B83" s="867">
        <f>(Unitflowchart!$S$15*(AllocationMass!$F$19/100)*Cultivation!J66)/Unitflowchart!$S$357</f>
        <v>0</v>
      </c>
      <c r="C83" s="868">
        <f t="shared" si="9"/>
        <v>0</v>
      </c>
      <c r="D83" s="1304">
        <f>(Unitflowchart!$S$15*(AllocationMass!$F$19/100)*Cultivation!K66)/Unitflowchart!$S$357</f>
        <v>0</v>
      </c>
      <c r="E83" s="867">
        <f>(Unitflowchart!$S$15*(AllocationMass!$F$19/100)*Cultivation!P66)/Unitflowchart!$S$357</f>
        <v>0</v>
      </c>
      <c r="F83" s="868">
        <f t="shared" si="10"/>
        <v>0</v>
      </c>
      <c r="G83" s="1304">
        <f>(Unitflowchart!$S$15*(AllocationMass!$F$19/100)*Cultivation!Q66)/Unitflowchart!$S$357</f>
        <v>0</v>
      </c>
      <c r="H83" s="867">
        <f>(Unitflowchart!$S$15*(AllocationMass!$F$19/100)*Cultivation!V66)/Unitflowchart!$S$357</f>
        <v>0</v>
      </c>
      <c r="I83" s="868">
        <f t="shared" si="11"/>
        <v>0</v>
      </c>
      <c r="J83" s="1304">
        <f>(Unitflowchart!$S$15*(AllocationMass!$F$19/100)*Cultivation!W66)/Unitflowchart!$S$357</f>
        <v>0</v>
      </c>
      <c r="K83" s="867">
        <f>(Unitflowchart!$S$15*(AllocationMass!$F$19/100)*Cultivation!AB66)/Unitflowchart!$S$357</f>
        <v>0</v>
      </c>
      <c r="L83" s="868">
        <f t="shared" si="12"/>
        <v>0</v>
      </c>
      <c r="M83" s="1304">
        <f>(Unitflowchart!$S$15*(AllocationMass!$F$19/100)*Cultivation!AC66)/Unitflowchart!$S$357</f>
        <v>0</v>
      </c>
      <c r="N83" s="870">
        <f>E83+(GlobalWarmingPotentials!$B$11*H83)+(GlobalWarmingPotentials!$C$11*K83)</f>
        <v>0</v>
      </c>
      <c r="O83" s="868">
        <f t="shared" si="13"/>
        <v>0</v>
      </c>
      <c r="P83" s="895">
        <f>SQRT((G83^2)+((GlobalWarmingPotentials!$B$11*J83)^2)+((GlobalWarmingPotentials!$C$11*M83)^2))</f>
        <v>0</v>
      </c>
    </row>
    <row r="84" spans="1:16" s="42" customFormat="1" x14ac:dyDescent="0.25">
      <c r="A84" s="894" t="str">
        <f>Cultivation!A67</f>
        <v xml:space="preserve"> - applying pesticides, herbicides and fungicides</v>
      </c>
      <c r="B84" s="867">
        <f>(Unitflowchart!$S$15*(AllocationMass!$F$19/100)*Cultivation!J67)/Unitflowchart!$S$357</f>
        <v>0</v>
      </c>
      <c r="C84" s="868">
        <f t="shared" si="9"/>
        <v>0</v>
      </c>
      <c r="D84" s="1304">
        <f>(Unitflowchart!$S$15*(AllocationMass!$F$19/100)*Cultivation!K67)/Unitflowchart!$S$357</f>
        <v>0</v>
      </c>
      <c r="E84" s="867">
        <f>(Unitflowchart!$S$15*(AllocationMass!$F$19/100)*Cultivation!P67)/Unitflowchart!$S$357</f>
        <v>0</v>
      </c>
      <c r="F84" s="868">
        <f t="shared" si="10"/>
        <v>0</v>
      </c>
      <c r="G84" s="1304">
        <f>(Unitflowchart!$S$15*(AllocationMass!$F$19/100)*Cultivation!Q67)/Unitflowchart!$S$357</f>
        <v>0</v>
      </c>
      <c r="H84" s="867">
        <f>(Unitflowchart!$S$15*(AllocationMass!$F$19/100)*Cultivation!V67)/Unitflowchart!$S$357</f>
        <v>0</v>
      </c>
      <c r="I84" s="868">
        <f t="shared" si="11"/>
        <v>0</v>
      </c>
      <c r="J84" s="1304">
        <f>(Unitflowchart!$S$15*(AllocationMass!$F$19/100)*Cultivation!W67)/Unitflowchart!$S$357</f>
        <v>0</v>
      </c>
      <c r="K84" s="867">
        <f>(Unitflowchart!$S$15*(AllocationMass!$F$19/100)*Cultivation!AB67)/Unitflowchart!$S$357</f>
        <v>0</v>
      </c>
      <c r="L84" s="868">
        <f t="shared" si="12"/>
        <v>0</v>
      </c>
      <c r="M84" s="1304">
        <f>(Unitflowchart!$S$15*(AllocationMass!$F$19/100)*Cultivation!AC67)/Unitflowchart!$S$357</f>
        <v>0</v>
      </c>
      <c r="N84" s="870">
        <f>E84+(GlobalWarmingPotentials!$B$11*H84)+(GlobalWarmingPotentials!$C$11*K84)</f>
        <v>0</v>
      </c>
      <c r="O84" s="868">
        <f t="shared" si="13"/>
        <v>0</v>
      </c>
      <c r="P84" s="895">
        <f>SQRT((G84^2)+((GlobalWarmingPotentials!$B$11*J84)^2)+((GlobalWarmingPotentials!$C$11*M84)^2))</f>
        <v>0</v>
      </c>
    </row>
    <row r="85" spans="1:16" s="5" customFormat="1" x14ac:dyDescent="0.25">
      <c r="A85" s="894" t="str">
        <f>Cultivation!A68</f>
        <v xml:space="preserve"> - maize harvesting </v>
      </c>
      <c r="B85" s="867">
        <f>(Unitflowchart!$S$15*(AllocationMass!$F$19/100)*Cultivation!J68)/Unitflowchart!$S$357</f>
        <v>0</v>
      </c>
      <c r="C85" s="868">
        <f t="shared" si="9"/>
        <v>0</v>
      </c>
      <c r="D85" s="1304">
        <f>(Unitflowchart!$S$15*(AllocationMass!$F$19/100)*Cultivation!K68)/Unitflowchart!$S$357</f>
        <v>0</v>
      </c>
      <c r="E85" s="867">
        <f>(Unitflowchart!$S$15*(AllocationMass!$F$19/100)*Cultivation!P68)/Unitflowchart!$S$357</f>
        <v>0</v>
      </c>
      <c r="F85" s="868">
        <f t="shared" si="10"/>
        <v>0</v>
      </c>
      <c r="G85" s="1304">
        <f>(Unitflowchart!$S$15*(AllocationMass!$F$19/100)*Cultivation!Q68)/Unitflowchart!$S$357</f>
        <v>0</v>
      </c>
      <c r="H85" s="867">
        <f>(Unitflowchart!$S$15*(AllocationMass!$F$19/100)*Cultivation!V68)/Unitflowchart!$S$357</f>
        <v>0</v>
      </c>
      <c r="I85" s="868">
        <f t="shared" si="11"/>
        <v>0</v>
      </c>
      <c r="J85" s="1304">
        <f>(Unitflowchart!$S$15*(AllocationMass!$F$19/100)*Cultivation!W68)/Unitflowchart!$S$357</f>
        <v>0</v>
      </c>
      <c r="K85" s="867">
        <f>(Unitflowchart!$S$15*(AllocationMass!$F$19/100)*Cultivation!AB68)/Unitflowchart!$S$357</f>
        <v>0</v>
      </c>
      <c r="L85" s="868">
        <f t="shared" si="12"/>
        <v>0</v>
      </c>
      <c r="M85" s="1304">
        <f>(Unitflowchart!$S$15*(AllocationMass!$F$19/100)*Cultivation!AC68)/Unitflowchart!$S$357</f>
        <v>0</v>
      </c>
      <c r="N85" s="870">
        <f>E85+(GlobalWarmingPotentials!$B$11*H85)+(GlobalWarmingPotentials!$C$11*K85)</f>
        <v>0</v>
      </c>
      <c r="O85" s="868">
        <f t="shared" si="13"/>
        <v>0</v>
      </c>
      <c r="P85" s="895">
        <f>SQRT((G85^2)+((GlobalWarmingPotentials!$B$11*J85)^2)+((GlobalWarmingPotentials!$C$11*M85)^2))</f>
        <v>0</v>
      </c>
    </row>
    <row r="86" spans="1:16" s="42" customFormat="1" x14ac:dyDescent="0.25">
      <c r="A86" s="852"/>
      <c r="B86" s="1305"/>
      <c r="C86" s="1306"/>
      <c r="D86" s="1307"/>
      <c r="E86" s="1305"/>
      <c r="F86" s="1306"/>
      <c r="G86" s="1307"/>
      <c r="H86" s="1305"/>
      <c r="I86" s="1306"/>
      <c r="J86" s="1307"/>
      <c r="K86" s="1305"/>
      <c r="L86" s="1306"/>
      <c r="M86" s="1307"/>
      <c r="N86" s="1305"/>
      <c r="O86" s="1306"/>
      <c r="P86" s="1308"/>
    </row>
    <row r="87" spans="1:16" s="5" customFormat="1" x14ac:dyDescent="0.25">
      <c r="A87" s="894" t="str">
        <f>Cultivation!A70</f>
        <v>Sub-Totals for Maintenance</v>
      </c>
      <c r="B87" s="867">
        <f>(Unitflowchart!$S$15*(AllocationMass!$F$19/100)*Cultivation!J70)/Unitflowchart!$S$357</f>
        <v>0</v>
      </c>
      <c r="C87" s="868">
        <f>(B87/B$347)*100</f>
        <v>0</v>
      </c>
      <c r="D87" s="1304">
        <f>(Unitflowchart!$S$15*(AllocationMass!$F$19/100)*Cultivation!K70)/Unitflowchart!$S$357</f>
        <v>0</v>
      </c>
      <c r="E87" s="867">
        <f>(Unitflowchart!$S$15*(AllocationMass!$F$19/100)*Cultivation!P70)/Unitflowchart!$S$357</f>
        <v>0</v>
      </c>
      <c r="F87" s="868">
        <f>(E87/E$347)*100</f>
        <v>0</v>
      </c>
      <c r="G87" s="1304">
        <f>(Unitflowchart!$S$15*(AllocationMass!$F$19/100)*Cultivation!Q70)/Unitflowchart!$S$357</f>
        <v>0</v>
      </c>
      <c r="H87" s="867">
        <f>(Unitflowchart!$S$15*(AllocationMass!$F$19/100)*Cultivation!V70)/Unitflowchart!$S$357</f>
        <v>0</v>
      </c>
      <c r="I87" s="868">
        <f>(H87/H$347)*100</f>
        <v>0</v>
      </c>
      <c r="J87" s="1304">
        <f>(Unitflowchart!$S$15*(AllocationMass!$F$19/100)*Cultivation!W70)/Unitflowchart!$S$357</f>
        <v>0</v>
      </c>
      <c r="K87" s="867">
        <f>(Unitflowchart!$S$15*(AllocationMass!$F$19/100)*Cultivation!AB70)/Unitflowchart!$S$357</f>
        <v>0</v>
      </c>
      <c r="L87" s="868">
        <f>(K87/K$347)*100</f>
        <v>0</v>
      </c>
      <c r="M87" s="1304">
        <f>(Unitflowchart!$S$15*(AllocationMass!$F$19/100)*Cultivation!AC70)/Unitflowchart!$S$357</f>
        <v>0</v>
      </c>
      <c r="N87" s="870">
        <f>E87+(GlobalWarmingPotentials!$B$11*H87)+(GlobalWarmingPotentials!$C$11*K87)</f>
        <v>0</v>
      </c>
      <c r="O87" s="868">
        <f>(N87/N$347)*100</f>
        <v>0</v>
      </c>
      <c r="P87" s="895">
        <f>SQRT((G87^2)+((GlobalWarmingPotentials!$B$11*J87)^2)+((GlobalWarmingPotentials!$C$11*M87)^2))</f>
        <v>0</v>
      </c>
    </row>
    <row r="88" spans="1:16" s="838" customFormat="1" x14ac:dyDescent="0.25">
      <c r="A88" s="852"/>
      <c r="B88" s="713"/>
      <c r="C88" s="863"/>
      <c r="D88" s="719"/>
      <c r="E88" s="713"/>
      <c r="F88" s="863"/>
      <c r="G88" s="719"/>
      <c r="H88" s="713"/>
      <c r="I88" s="863"/>
      <c r="J88" s="719"/>
      <c r="K88" s="713"/>
      <c r="L88" s="863"/>
      <c r="M88" s="719"/>
      <c r="N88" s="713"/>
      <c r="O88" s="863"/>
      <c r="P88" s="738"/>
    </row>
    <row r="89" spans="1:16" s="5" customFormat="1" x14ac:dyDescent="0.25">
      <c r="A89" s="894" t="str">
        <f>Cultivation!A72</f>
        <v xml:space="preserve"> - Seeds</v>
      </c>
      <c r="B89" s="867">
        <f>(Unitflowchart!$S$15*(AllocationMass!$F$19/100)*Cultivation!J72)/Unitflowchart!$S$357</f>
        <v>88.698699709296875</v>
      </c>
      <c r="C89" s="868">
        <f t="shared" ref="C89:C95" si="14">(B89/B$347)*100</f>
        <v>0.46610116187602918</v>
      </c>
      <c r="D89" s="1304">
        <f>(Unitflowchart!$S$15*(AllocationMass!$F$19/100)*Cultivation!K72)/Unitflowchart!$S$357</f>
        <v>0</v>
      </c>
      <c r="E89" s="867">
        <f>(Unitflowchart!$S$15*(AllocationMass!$F$19/100)*Cultivation!P72)/Unitflowchart!$S$357</f>
        <v>6.3651443407417156</v>
      </c>
      <c r="F89" s="868">
        <f t="shared" ref="F89:F95" si="15">(E89/E$347)*100</f>
        <v>0.53211852114390723</v>
      </c>
      <c r="G89" s="1304">
        <f>(Unitflowchart!$S$15*(AllocationMass!$F$19/100)*Cultivation!Q72)/Unitflowchart!$S$357</f>
        <v>0</v>
      </c>
      <c r="H89" s="867">
        <f>(Unitflowchart!$S$15*(AllocationMass!$F$19/100)*Cultivation!V72)/Unitflowchart!$S$357</f>
        <v>1.3226273954787978E-3</v>
      </c>
      <c r="I89" s="868">
        <f t="shared" ref="I89:I95" si="16">(H89/H$347)*100</f>
        <v>7.3993600263633427E-2</v>
      </c>
      <c r="J89" s="1304">
        <f>(Unitflowchart!$S$15*(AllocationMass!$F$19/100)*Cultivation!W72)/Unitflowchart!$S$357</f>
        <v>0</v>
      </c>
      <c r="K89" s="867">
        <f>(Unitflowchart!$S$15*(AllocationMass!$F$19/100)*Cultivation!AB72)/Unitflowchart!$S$357</f>
        <v>1.7194156141224371E-3</v>
      </c>
      <c r="L89" s="868">
        <f t="shared" ref="L89:L95" si="17">(K89/K$347)*100</f>
        <v>9.4654865655792578E-2</v>
      </c>
      <c r="M89" s="1304">
        <f>(Unitflowchart!$S$15*(AllocationMass!$F$19/100)*Cultivation!AC72)/Unitflowchart!$S$357</f>
        <v>0</v>
      </c>
      <c r="N89" s="870">
        <f>E89+(GlobalWarmingPotentials!$B$11*H89)+(GlobalWarmingPotentials!$C$11*K89)</f>
        <v>6.9045117926179698</v>
      </c>
      <c r="O89" s="868">
        <f t="shared" ref="O89:O95" si="18">(N89/N$347)*100</f>
        <v>0.38898908325378312</v>
      </c>
      <c r="P89" s="895">
        <f>SQRT((G89^2)+((GlobalWarmingPotentials!$B$11*J89)^2)+((GlobalWarmingPotentials!$C$11*M89)^2))</f>
        <v>0</v>
      </c>
    </row>
    <row r="90" spans="1:16" x14ac:dyDescent="0.25">
      <c r="A90" s="894" t="str">
        <f>Cultivation!A73</f>
        <v xml:space="preserve"> - Farm Yard Manure</v>
      </c>
      <c r="B90" s="867">
        <f>(Unitflowchart!$S$15*(AllocationMass!$F$19/100)*Cultivation!J73)/Unitflowchart!$S$357</f>
        <v>0</v>
      </c>
      <c r="C90" s="868">
        <f t="shared" si="14"/>
        <v>0</v>
      </c>
      <c r="D90" s="1304">
        <f>(Unitflowchart!$S$15*(AllocationMass!$F$19/100)*Cultivation!K73)/Unitflowchart!$S$357</f>
        <v>0</v>
      </c>
      <c r="E90" s="867">
        <f>(Unitflowchart!$S$15*(AllocationMass!$F$19/100)*Cultivation!P73)/Unitflowchart!$S$357</f>
        <v>0</v>
      </c>
      <c r="F90" s="868">
        <f t="shared" si="15"/>
        <v>0</v>
      </c>
      <c r="G90" s="1304">
        <f>(Unitflowchart!$S$15*(AllocationMass!$F$19/100)*Cultivation!Q73)/Unitflowchart!$S$357</f>
        <v>0</v>
      </c>
      <c r="H90" s="867">
        <f>(Unitflowchart!$S$15*(AllocationMass!$F$19/100)*Cultivation!V73)/Unitflowchart!$S$357</f>
        <v>0</v>
      </c>
      <c r="I90" s="868">
        <f t="shared" si="16"/>
        <v>0</v>
      </c>
      <c r="J90" s="1304">
        <f>(Unitflowchart!$S$15*(AllocationMass!$F$19/100)*Cultivation!W73)/Unitflowchart!$S$357</f>
        <v>0</v>
      </c>
      <c r="K90" s="867">
        <f>(Unitflowchart!$S$15*(AllocationMass!$F$19/100)*Cultivation!AB73)/Unitflowchart!$S$357</f>
        <v>0</v>
      </c>
      <c r="L90" s="868">
        <f t="shared" si="17"/>
        <v>0</v>
      </c>
      <c r="M90" s="1304">
        <f>(Unitflowchart!$S$15*(AllocationMass!$F$19/100)*Cultivation!AC73)/Unitflowchart!$S$357</f>
        <v>0</v>
      </c>
      <c r="N90" s="870">
        <f>E90+(GlobalWarmingPotentials!$B$11*H90)+(GlobalWarmingPotentials!$C$11*K90)</f>
        <v>0</v>
      </c>
      <c r="O90" s="868">
        <f t="shared" si="18"/>
        <v>0</v>
      </c>
      <c r="P90" s="895">
        <f>SQRT((G90^2)+((GlobalWarmingPotentials!$B$11*J90)^2)+((GlobalWarmingPotentials!$C$11*M90)^2))</f>
        <v>0</v>
      </c>
    </row>
    <row r="91" spans="1:16" x14ac:dyDescent="0.25">
      <c r="A91" s="894" t="str">
        <f>Cultivation!A74</f>
        <v xml:space="preserve"> - N Fertiliser</v>
      </c>
      <c r="B91" s="867">
        <f>(Unitflowchart!$S$15*(AllocationMass!$F$19/100)*Cultivation!J74)/Unitflowchart!$S$357</f>
        <v>2972.8326016496312</v>
      </c>
      <c r="C91" s="868">
        <f t="shared" si="14"/>
        <v>15.621883232033412</v>
      </c>
      <c r="D91" s="1304">
        <f>(Unitflowchart!$S$15*(AllocationMass!$F$19/100)*Cultivation!K74)/Unitflowchart!$S$357</f>
        <v>445.92489024744469</v>
      </c>
      <c r="E91" s="867">
        <f>(Unitflowchart!$S$15*(AllocationMass!$F$19/100)*Cultivation!P74)/Unitflowchart!$S$357</f>
        <v>174.13366964162716</v>
      </c>
      <c r="F91" s="868">
        <f t="shared" si="15"/>
        <v>14.557368350309385</v>
      </c>
      <c r="G91" s="1304">
        <f>(Unitflowchart!$S$15*(AllocationMass!$F$19/100)*Cultivation!Q74)/Unitflowchart!$S$357</f>
        <v>26.120050446244072</v>
      </c>
      <c r="H91" s="867">
        <f>(Unitflowchart!$S$15*(AllocationMass!$F$19/100)*Cultivation!V74)/Unitflowchart!$S$357</f>
        <v>0.46153226140610526</v>
      </c>
      <c r="I91" s="868">
        <f t="shared" si="16"/>
        <v>25.82014691060553</v>
      </c>
      <c r="J91" s="1304">
        <f>(Unitflowchart!$S$15*(AllocationMass!$F$19/100)*Cultivation!W74)/Unitflowchart!$S$357</f>
        <v>6.92298392109158E-2</v>
      </c>
      <c r="K91" s="867">
        <f>(Unitflowchart!$S$15*(AllocationMass!$F$19/100)*Cultivation!AB74)/Unitflowchart!$S$357</f>
        <v>0.92901018801550983</v>
      </c>
      <c r="L91" s="868">
        <f t="shared" si="17"/>
        <v>51.142570660178357</v>
      </c>
      <c r="M91" s="1304">
        <f>(Unitflowchart!$S$15*(AllocationMass!$F$19/100)*Cultivation!AC74)/Unitflowchart!$S$357</f>
        <v>0.13935152820232646</v>
      </c>
      <c r="N91" s="870">
        <f>E91+(GlobalWarmingPotentials!$B$11*H91)+(GlobalWarmingPotentials!$C$11*K91)</f>
        <v>459.73592730655849</v>
      </c>
      <c r="O91" s="868">
        <f t="shared" si="18"/>
        <v>25.900782310634391</v>
      </c>
      <c r="P91" s="895">
        <f>SQRT((G91^2)+((GlobalWarmingPotentials!$B$11*J91)^2)+((GlobalWarmingPotentials!$C$11*M91)^2))</f>
        <v>48.84868712130919</v>
      </c>
    </row>
    <row r="92" spans="1:16" x14ac:dyDescent="0.25">
      <c r="A92" s="894" t="str">
        <f>Cultivation!A75</f>
        <v xml:space="preserve"> - P Fertiliser</v>
      </c>
      <c r="B92" s="867">
        <f>(Unitflowchart!$S$15*(AllocationMass!$F$19/100)*Cultivation!J75)/Unitflowchart!$S$357</f>
        <v>696.2415242405126</v>
      </c>
      <c r="C92" s="868">
        <f t="shared" si="14"/>
        <v>3.6586667500022698</v>
      </c>
      <c r="D92" s="1304">
        <f>(Unitflowchart!$S$15*(AllocationMass!$F$19/100)*Cultivation!K75)/Unitflowchart!$S$357</f>
        <v>104.43622863607689</v>
      </c>
      <c r="E92" s="867">
        <f>(Unitflowchart!$S$15*(AllocationMass!$F$19/100)*Cultivation!P75)/Unitflowchart!$S$357</f>
        <v>37.043971577055778</v>
      </c>
      <c r="F92" s="868">
        <f t="shared" si="15"/>
        <v>3.0968321090080551</v>
      </c>
      <c r="G92" s="1304">
        <f>(Unitflowchart!$S$15*(AllocationMass!$F$19/100)*Cultivation!Q75)/Unitflowchart!$S$357</f>
        <v>5.5565957365583669</v>
      </c>
      <c r="H92" s="867">
        <f>(Unitflowchart!$S$15*(AllocationMass!$F$19/100)*Cultivation!V75)/Unitflowchart!$S$357</f>
        <v>4.7383648522959967E-2</v>
      </c>
      <c r="I92" s="868">
        <f t="shared" si="16"/>
        <v>2.650849936894875</v>
      </c>
      <c r="J92" s="1304">
        <f>(Unitflowchart!$S$15*(AllocationMass!$F$19/100)*Cultivation!W75)/Unitflowchart!$S$357</f>
        <v>7.1075472784439941E-3</v>
      </c>
      <c r="K92" s="867">
        <f>(Unitflowchart!$S$15*(AllocationMass!$F$19/100)*Cultivation!AB75)/Unitflowchart!$S$357</f>
        <v>0</v>
      </c>
      <c r="L92" s="868">
        <f t="shared" si="17"/>
        <v>0</v>
      </c>
      <c r="M92" s="1304">
        <f>(Unitflowchart!$S$15*(AllocationMass!$F$19/100)*Cultivation!AC75)/Unitflowchart!$S$357</f>
        <v>0</v>
      </c>
      <c r="N92" s="870">
        <f>E92+(GlobalWarmingPotentials!$B$11*H92)+(GlobalWarmingPotentials!$C$11*K92)</f>
        <v>38.133795493083859</v>
      </c>
      <c r="O92" s="868">
        <f t="shared" si="18"/>
        <v>2.1483966709567306</v>
      </c>
      <c r="P92" s="895">
        <f>SQRT((G92^2)+((GlobalWarmingPotentials!$B$11*J92)^2)+((GlobalWarmingPotentials!$C$11*M92)^2))</f>
        <v>5.5589998914658585</v>
      </c>
    </row>
    <row r="93" spans="1:16" x14ac:dyDescent="0.25">
      <c r="A93" s="894" t="str">
        <f>Cultivation!A76</f>
        <v xml:space="preserve"> - K Fertiliser</v>
      </c>
      <c r="B93" s="867">
        <f>(Unitflowchart!$S$15*(AllocationMass!$F$19/100)*Cultivation!J76)/Unitflowchart!$S$357</f>
        <v>1132.3120249380445</v>
      </c>
      <c r="C93" s="868">
        <f t="shared" si="14"/>
        <v>5.950165584834429</v>
      </c>
      <c r="D93" s="1304">
        <f>(Unitflowchart!$S$15*(AllocationMass!$F$19/100)*Cultivation!K76)/Unitflowchart!$S$357</f>
        <v>169.84680374070669</v>
      </c>
      <c r="E93" s="867">
        <f>(Unitflowchart!$S$15*(AllocationMass!$F$19/100)*Cultivation!P76)/Unitflowchart!$S$357</f>
        <v>62.739842853008923</v>
      </c>
      <c r="F93" s="868">
        <f t="shared" si="15"/>
        <v>5.2449764857734493</v>
      </c>
      <c r="G93" s="1304">
        <f>(Unitflowchart!$S$15*(AllocationMass!$F$19/100)*Cultivation!Q76)/Unitflowchart!$S$357</f>
        <v>9.4109764279513382</v>
      </c>
      <c r="H93" s="867">
        <f>(Unitflowchart!$S$15*(AllocationMass!$F$19/100)*Cultivation!V76)/Unitflowchart!$S$357</f>
        <v>0.18377404277044884</v>
      </c>
      <c r="I93" s="868">
        <f t="shared" si="16"/>
        <v>10.281129141942417</v>
      </c>
      <c r="J93" s="1304">
        <f>(Unitflowchart!$S$15*(AllocationMass!$F$19/100)*Cultivation!W76)/Unitflowchart!$S$357</f>
        <v>2.7566106415567324E-2</v>
      </c>
      <c r="K93" s="867">
        <f>(Unitflowchart!$S$15*(AllocationMass!$F$19/100)*Cultivation!AB76)/Unitflowchart!$S$357</f>
        <v>1.4389335578818007E-3</v>
      </c>
      <c r="L93" s="868">
        <f t="shared" si="17"/>
        <v>7.9214159444765134E-2</v>
      </c>
      <c r="M93" s="1304">
        <f>(Unitflowchart!$S$15*(AllocationMass!$F$19/100)*Cultivation!AC76)/Unitflowchart!$S$357</f>
        <v>2.1584003368227013E-4</v>
      </c>
      <c r="N93" s="870">
        <f>E93+(GlobalWarmingPotentials!$B$11*H93)+(GlobalWarmingPotentials!$C$11*K93)</f>
        <v>67.392570169862253</v>
      </c>
      <c r="O93" s="868">
        <f t="shared" si="18"/>
        <v>3.7967889513229567</v>
      </c>
      <c r="P93" s="895">
        <f>SQRT((G93^2)+((GlobalWarmingPotentials!$B$11*J93)^2)+((GlobalWarmingPotentials!$C$11*M93)^2))</f>
        <v>9.4325256964914974</v>
      </c>
    </row>
    <row r="94" spans="1:16" x14ac:dyDescent="0.25">
      <c r="A94" s="894" t="str">
        <f>Cultivation!A77</f>
        <v xml:space="preserve"> - Crop Protection Chemicals</v>
      </c>
      <c r="B94" s="867">
        <f>(Unitflowchart!$S$15*(AllocationMass!$F$19/100)*Cultivation!J77)/Unitflowchart!$S$357</f>
        <v>84.223587992269856</v>
      </c>
      <c r="C94" s="868">
        <f t="shared" si="14"/>
        <v>0.44258497981622946</v>
      </c>
      <c r="D94" s="1304">
        <f>(Unitflowchart!$S$15*(AllocationMass!$F$19/100)*Cultivation!K77)/Unitflowchart!$S$357</f>
        <v>12.633538198840476</v>
      </c>
      <c r="E94" s="867">
        <f>(Unitflowchart!$S$15*(AllocationMass!$F$19/100)*Cultivation!P77)/Unitflowchart!$S$357</f>
        <v>3.1023737822665134</v>
      </c>
      <c r="F94" s="868">
        <f t="shared" si="15"/>
        <v>0.25935477039989946</v>
      </c>
      <c r="G94" s="1304">
        <f>(Unitflowchart!$S$15*(AllocationMass!$F$19/100)*Cultivation!Q77)/Unitflowchart!$S$357</f>
        <v>0.46535606733997709</v>
      </c>
      <c r="H94" s="867">
        <f>(Unitflowchart!$S$15*(AllocationMass!$F$19/100)*Cultivation!V77)/Unitflowchart!$S$357</f>
        <v>8.0103783722546423E-3</v>
      </c>
      <c r="I94" s="868">
        <f t="shared" si="16"/>
        <v>0.4481358372457559</v>
      </c>
      <c r="J94" s="1304">
        <f>(Unitflowchart!$S$15*(AllocationMass!$F$19/100)*Cultivation!W77)/Unitflowchart!$S$357</f>
        <v>1.2015567558381962E-3</v>
      </c>
      <c r="K94" s="867">
        <f>(Unitflowchart!$S$15*(AllocationMass!$F$19/100)*Cultivation!AB77)/Unitflowchart!$S$357</f>
        <v>5.2762163328811177E-4</v>
      </c>
      <c r="L94" s="868">
        <f t="shared" si="17"/>
        <v>2.9045888850710293E-2</v>
      </c>
      <c r="M94" s="1304">
        <f>(Unitflowchart!$S$15*(AllocationMass!$F$19/100)*Cultivation!AC77)/Unitflowchart!$S$357</f>
        <v>7.9143244993216751E-5</v>
      </c>
      <c r="N94" s="870">
        <f>E94+(GlobalWarmingPotentials!$B$11*H94)+(GlobalWarmingPotentials!$C$11*K94)</f>
        <v>3.4427884882816513</v>
      </c>
      <c r="O94" s="868">
        <f t="shared" si="18"/>
        <v>0.19396116309413569</v>
      </c>
      <c r="P94" s="895">
        <f>SQRT((G94^2)+((GlobalWarmingPotentials!$B$11*J94)^2)+((GlobalWarmingPotentials!$C$11*M94)^2))</f>
        <v>0.46676418392009938</v>
      </c>
    </row>
    <row r="95" spans="1:16" x14ac:dyDescent="0.25">
      <c r="A95" s="894" t="str">
        <f>Cultivation!A78</f>
        <v xml:space="preserve"> - Lime</v>
      </c>
      <c r="B95" s="867">
        <f>(Unitflowchart!$S$15*(AllocationMass!$F$19/100)*Cultivation!J78)/Unitflowchart!$S$357</f>
        <v>0</v>
      </c>
      <c r="C95" s="868">
        <f t="shared" si="14"/>
        <v>0</v>
      </c>
      <c r="D95" s="1304">
        <f>(Unitflowchart!$S$15*(AllocationMass!$F$19/100)*Cultivation!K78)/Unitflowchart!$S$357</f>
        <v>0</v>
      </c>
      <c r="E95" s="867">
        <f>(Unitflowchart!$S$15*(AllocationMass!$F$19/100)*Cultivation!P78)/Unitflowchart!$S$357</f>
        <v>0</v>
      </c>
      <c r="F95" s="868">
        <f t="shared" si="15"/>
        <v>0</v>
      </c>
      <c r="G95" s="1304">
        <f>(Unitflowchart!$S$15*(AllocationMass!$F$19/100)*Cultivation!Q78)/Unitflowchart!$S$357</f>
        <v>0</v>
      </c>
      <c r="H95" s="867">
        <f>(Unitflowchart!$S$15*(AllocationMass!$F$19/100)*Cultivation!V78)/Unitflowchart!$S$357</f>
        <v>0</v>
      </c>
      <c r="I95" s="868">
        <f t="shared" si="16"/>
        <v>0</v>
      </c>
      <c r="J95" s="1304">
        <f>(Unitflowchart!$S$15*(AllocationMass!$F$19/100)*Cultivation!W78)/Unitflowchart!$S$357</f>
        <v>0</v>
      </c>
      <c r="K95" s="867">
        <f>(Unitflowchart!$S$15*(AllocationMass!$F$19/100)*Cultivation!AB78)/Unitflowchart!$S$357</f>
        <v>0</v>
      </c>
      <c r="L95" s="868">
        <f t="shared" si="17"/>
        <v>0</v>
      </c>
      <c r="M95" s="1304">
        <f>(Unitflowchart!$S$15*(AllocationMass!$F$19/100)*Cultivation!AC78)/Unitflowchart!$S$357</f>
        <v>0</v>
      </c>
      <c r="N95" s="870">
        <f>E95+(GlobalWarmingPotentials!$B$11*H95)+(GlobalWarmingPotentials!$C$11*K95)</f>
        <v>0</v>
      </c>
      <c r="O95" s="868">
        <f t="shared" si="18"/>
        <v>0</v>
      </c>
      <c r="P95" s="895">
        <f>SQRT((G95^2)+((GlobalWarmingPotentials!$B$11*J95)^2)+((GlobalWarmingPotentials!$C$11*M95)^2))</f>
        <v>0</v>
      </c>
    </row>
    <row r="96" spans="1:16" s="42" customFormat="1" x14ac:dyDescent="0.25">
      <c r="A96" s="852"/>
      <c r="B96" s="1305"/>
      <c r="C96" s="1306"/>
      <c r="D96" s="1307"/>
      <c r="E96" s="1305"/>
      <c r="F96" s="1306"/>
      <c r="G96" s="1307"/>
      <c r="H96" s="1305"/>
      <c r="I96" s="1306"/>
      <c r="J96" s="1307"/>
      <c r="K96" s="1305"/>
      <c r="L96" s="1306"/>
      <c r="M96" s="1307"/>
      <c r="N96" s="1305"/>
      <c r="O96" s="1306"/>
      <c r="P96" s="1308"/>
    </row>
    <row r="97" spans="1:16" s="42" customFormat="1" x14ac:dyDescent="0.25">
      <c r="A97" s="894" t="str">
        <f>Cultivation!A80</f>
        <v xml:space="preserve"> - Emissions from Soil (N Fertiliser)</v>
      </c>
      <c r="B97" s="867">
        <f>(Unitflowchart!$S$15*(AllocationMass!$F$19/100)*Cultivation!J80)/Unitflowchart!$S$357</f>
        <v>0</v>
      </c>
      <c r="C97" s="868">
        <f t="shared" ref="C97:C102" si="19">(B97/B$347)*100</f>
        <v>0</v>
      </c>
      <c r="D97" s="1304">
        <f>(Unitflowchart!$S$15*(AllocationMass!$F$19/100)*Cultivation!K80)/Unitflowchart!$S$357</f>
        <v>0</v>
      </c>
      <c r="E97" s="867">
        <f>(Unitflowchart!$S$15*(AllocationMass!$F$19/100)*Cultivation!P80)/Unitflowchart!$S$357</f>
        <v>0</v>
      </c>
      <c r="F97" s="868">
        <f t="shared" ref="F97:F102" si="20">(E97/E$347)*100</f>
        <v>0</v>
      </c>
      <c r="G97" s="1304">
        <f>(Unitflowchart!$S$15*(AllocationMass!$F$19/100)*Cultivation!Q80)/Unitflowchart!$S$357</f>
        <v>0</v>
      </c>
      <c r="H97" s="867">
        <f>(Unitflowchart!$S$15*(AllocationMass!$F$19/100)*Cultivation!V80)/Unitflowchart!$S$357</f>
        <v>0</v>
      </c>
      <c r="I97" s="868">
        <f t="shared" ref="I97:I102" si="21">(H97/H$347)*100</f>
        <v>0</v>
      </c>
      <c r="J97" s="1304">
        <f>(Unitflowchart!$S$15*(AllocationMass!$F$19/100)*Cultivation!W80)/Unitflowchart!$S$357</f>
        <v>0</v>
      </c>
      <c r="K97" s="867">
        <f>(Unitflowchart!$S$15*(AllocationMass!$F$19/100)*Cultivation!AB80)/Unitflowchart!$S$357</f>
        <v>0.43822635485828387</v>
      </c>
      <c r="L97" s="868">
        <f t="shared" ref="L97:L102" si="22">(K97/K$347)*100</f>
        <v>24.12462490467113</v>
      </c>
      <c r="M97" s="1304">
        <f>(Unitflowchart!$S$15*(AllocationMass!$F$19/100)*Cultivation!AC80)/Unitflowchart!$S$357</f>
        <v>0</v>
      </c>
      <c r="N97" s="870">
        <f>E97+(GlobalWarmingPotentials!$B$11*H97)+(GlobalWarmingPotentials!$C$11*K97)</f>
        <v>129.71500103805204</v>
      </c>
      <c r="O97" s="868">
        <f t="shared" ref="O97:O102" si="23">(N97/N$347)*100</f>
        <v>7.307934413553002</v>
      </c>
      <c r="P97" s="895">
        <f>SQRT((G97^2)+((GlobalWarmingPotentials!$B$11*J97)^2)+((GlobalWarmingPotentials!$C$11*M97)^2))</f>
        <v>0</v>
      </c>
    </row>
    <row r="98" spans="1:16" s="5" customFormat="1" x14ac:dyDescent="0.25">
      <c r="A98" s="894" t="str">
        <f>Cultivation!A81</f>
        <v xml:space="preserve"> - Carbon Dioxide Emissions from Soil (Lime)</v>
      </c>
      <c r="B98" s="867">
        <f>(Unitflowchart!$S$15*(AllocationMass!$F$19/100)*Cultivation!J81)/Unitflowchart!$S$357</f>
        <v>0</v>
      </c>
      <c r="C98" s="868">
        <f t="shared" si="19"/>
        <v>0</v>
      </c>
      <c r="D98" s="1304">
        <f>(Unitflowchart!$S$15*(AllocationMass!$F$19/100)*Cultivation!K81)/Unitflowchart!$S$357</f>
        <v>0</v>
      </c>
      <c r="E98" s="867">
        <f>(Unitflowchart!$S$15*(AllocationMass!$F$19/100)*Cultivation!P81)/Unitflowchart!$S$357</f>
        <v>0</v>
      </c>
      <c r="F98" s="868">
        <f t="shared" si="20"/>
        <v>0</v>
      </c>
      <c r="G98" s="1304">
        <f>(Unitflowchart!$S$15*(AllocationMass!$F$19/100)*Cultivation!Q81)/Unitflowchart!$S$357</f>
        <v>0</v>
      </c>
      <c r="H98" s="867">
        <f>(Unitflowchart!$S$15*(AllocationMass!$F$19/100)*Cultivation!V81)/Unitflowchart!$S$357</f>
        <v>0</v>
      </c>
      <c r="I98" s="868">
        <f t="shared" si="21"/>
        <v>0</v>
      </c>
      <c r="J98" s="1304">
        <f>(Unitflowchart!$S$15*(AllocationMass!$F$19/100)*Cultivation!W81)/Unitflowchart!$S$357</f>
        <v>0</v>
      </c>
      <c r="K98" s="867">
        <f>(Unitflowchart!$S$15*(AllocationMass!$F$19/100)*Cultivation!AB81)/Unitflowchart!$S$357</f>
        <v>0</v>
      </c>
      <c r="L98" s="868">
        <f t="shared" si="22"/>
        <v>0</v>
      </c>
      <c r="M98" s="1304">
        <f>(Unitflowchart!$S$15*(AllocationMass!$F$19/100)*Cultivation!AC81)/Unitflowchart!$S$357</f>
        <v>0</v>
      </c>
      <c r="N98" s="870">
        <f>E98+(GlobalWarmingPotentials!$B$11*H98)+(GlobalWarmingPotentials!$C$11*K98)</f>
        <v>0</v>
      </c>
      <c r="O98" s="868">
        <f t="shared" si="23"/>
        <v>0</v>
      </c>
      <c r="P98" s="895">
        <f>SQRT((G98^2)+((GlobalWarmingPotentials!$B$11*J98)^2)+((GlobalWarmingPotentials!$C$11*M98)^2))</f>
        <v>0</v>
      </c>
    </row>
    <row r="99" spans="1:16" s="42" customFormat="1" x14ac:dyDescent="0.25">
      <c r="A99" s="894" t="str">
        <f>Cultivation!A82</f>
        <v xml:space="preserve"> - Nitrous Oxide Emissions from Soil (Crop Residues)</v>
      </c>
      <c r="B99" s="867">
        <f>(Unitflowchart!$S$15*(AllocationMass!$F$19/100)*Cultivation!J82)/Unitflowchart!$S$357</f>
        <v>0</v>
      </c>
      <c r="C99" s="868">
        <f t="shared" si="19"/>
        <v>0</v>
      </c>
      <c r="D99" s="1304">
        <f>(Unitflowchart!$S$15*(AllocationMass!$F$19/100)*Cultivation!K82)/Unitflowchart!$S$357</f>
        <v>0</v>
      </c>
      <c r="E99" s="867">
        <f>(Unitflowchart!$S$15*(AllocationMass!$F$19/100)*Cultivation!P82)/Unitflowchart!$S$357</f>
        <v>0</v>
      </c>
      <c r="F99" s="868">
        <f t="shared" si="20"/>
        <v>0</v>
      </c>
      <c r="G99" s="1304">
        <f>(Unitflowchart!$S$15*(AllocationMass!$F$19/100)*Cultivation!Q82)/Unitflowchart!$S$357</f>
        <v>0</v>
      </c>
      <c r="H99" s="867">
        <f>(Unitflowchart!$S$15*(AllocationMass!$F$19/100)*Cultivation!V82)/Unitflowchart!$S$357</f>
        <v>0</v>
      </c>
      <c r="I99" s="868">
        <f t="shared" si="21"/>
        <v>0</v>
      </c>
      <c r="J99" s="1304">
        <f>(Unitflowchart!$S$15*(AllocationMass!$F$19/100)*Cultivation!W82)/Unitflowchart!$S$357</f>
        <v>0</v>
      </c>
      <c r="K99" s="867">
        <f>(Unitflowchart!$S$15*(AllocationMass!$F$19/100)*Cultivation!AB82)/Unitflowchart!$S$357</f>
        <v>0.22927544849754938</v>
      </c>
      <c r="L99" s="868">
        <f t="shared" si="22"/>
        <v>12.621751598308888</v>
      </c>
      <c r="M99" s="1304">
        <f>(Unitflowchart!$S$15*(AllocationMass!$F$19/100)*Cultivation!AC82)/Unitflowchart!$S$357</f>
        <v>0</v>
      </c>
      <c r="N99" s="870">
        <f>E99+(GlobalWarmingPotentials!$B$11*H99)+(GlobalWarmingPotentials!$C$11*K99)</f>
        <v>67.865532755274614</v>
      </c>
      <c r="O99" s="868">
        <f t="shared" si="23"/>
        <v>3.8234349022661638</v>
      </c>
      <c r="P99" s="895">
        <f>SQRT((G99^2)+((GlobalWarmingPotentials!$B$11*J99)^2)+((GlobalWarmingPotentials!$C$11*M99)^2))</f>
        <v>0</v>
      </c>
    </row>
    <row r="100" spans="1:16" s="5" customFormat="1" x14ac:dyDescent="0.25">
      <c r="A100" s="894" t="str">
        <f>Cultivation!A83</f>
        <v xml:space="preserve"> - Carbon Dioxide Sequestration in Soil (Crop Residues)</v>
      </c>
      <c r="B100" s="867">
        <f>(Unitflowchart!$S$15*(AllocationMass!$F$19/100)*Cultivation!J83)/Unitflowchart!$S$357</f>
        <v>0</v>
      </c>
      <c r="C100" s="868">
        <f t="shared" si="19"/>
        <v>0</v>
      </c>
      <c r="D100" s="1304">
        <f>(Unitflowchart!$S$15*(AllocationMass!$F$19/100)*Cultivation!K83)/Unitflowchart!$S$357</f>
        <v>0</v>
      </c>
      <c r="E100" s="867">
        <f>(Unitflowchart!$S$15*(AllocationMass!$F$19/100)*Cultivation!P83)/Unitflowchart!$S$357</f>
        <v>0</v>
      </c>
      <c r="F100" s="868">
        <f t="shared" si="20"/>
        <v>0</v>
      </c>
      <c r="G100" s="1304">
        <f>(Unitflowchart!$S$15*(AllocationMass!$F$19/100)*Cultivation!Q83)/Unitflowchart!$S$357</f>
        <v>0</v>
      </c>
      <c r="H100" s="867">
        <f>(Unitflowchart!$S$15*(AllocationMass!$F$19/100)*Cultivation!V83)/Unitflowchart!$S$357</f>
        <v>0</v>
      </c>
      <c r="I100" s="868">
        <f t="shared" si="21"/>
        <v>0</v>
      </c>
      <c r="J100" s="1304">
        <f>(Unitflowchart!$S$15*(AllocationMass!$F$19/100)*Cultivation!W83)/Unitflowchart!$S$357</f>
        <v>0</v>
      </c>
      <c r="K100" s="867">
        <f>(Unitflowchart!$S$15*(AllocationMass!$F$19/100)*Cultivation!AB83)/Unitflowchart!$S$357</f>
        <v>0</v>
      </c>
      <c r="L100" s="868">
        <f t="shared" si="22"/>
        <v>0</v>
      </c>
      <c r="M100" s="1304">
        <f>(Unitflowchart!$S$15*(AllocationMass!$F$19/100)*Cultivation!AC83)/Unitflowchart!$S$357</f>
        <v>0</v>
      </c>
      <c r="N100" s="870">
        <f>E100+(GlobalWarmingPotentials!$B$11*H100)+(GlobalWarmingPotentials!$C$11*K100)</f>
        <v>0</v>
      </c>
      <c r="O100" s="868">
        <f t="shared" si="23"/>
        <v>0</v>
      </c>
      <c r="P100" s="895">
        <f>SQRT((G100^2)+((GlobalWarmingPotentials!$B$11*J100)^2)+((GlobalWarmingPotentials!$C$11*M100)^2))</f>
        <v>0</v>
      </c>
    </row>
    <row r="101" spans="1:16" s="5" customFormat="1" x14ac:dyDescent="0.25">
      <c r="A101" s="894" t="str">
        <f>Cultivation!A84</f>
        <v xml:space="preserve"> - Nitrous Oxide Emissions from Soil (Organic Manure)</v>
      </c>
      <c r="B101" s="867">
        <f>(Unitflowchart!$S$15*(AllocationMass!$F$19/100)*Cultivation!J84)/Unitflowchart!$S$357</f>
        <v>0</v>
      </c>
      <c r="C101" s="868">
        <f t="shared" si="19"/>
        <v>0</v>
      </c>
      <c r="D101" s="1304">
        <f>(Unitflowchart!$S$15*(AllocationMass!$F$19/100)*Cultivation!K84)/Unitflowchart!$S$357</f>
        <v>0</v>
      </c>
      <c r="E101" s="867">
        <f>(Unitflowchart!$S$15*(AllocationMass!$F$19/100)*Cultivation!P84)/Unitflowchart!$S$357</f>
        <v>0</v>
      </c>
      <c r="F101" s="868">
        <f t="shared" si="20"/>
        <v>0</v>
      </c>
      <c r="G101" s="1304">
        <f>(Unitflowchart!$S$15*(AllocationMass!$F$19/100)*Cultivation!Q84)/Unitflowchart!$S$357</f>
        <v>0</v>
      </c>
      <c r="H101" s="867">
        <f>(Unitflowchart!$S$15*(AllocationMass!$F$19/100)*Cultivation!V84)/Unitflowchart!$S$357</f>
        <v>0</v>
      </c>
      <c r="I101" s="868">
        <f t="shared" si="21"/>
        <v>0</v>
      </c>
      <c r="J101" s="1304">
        <f>(Unitflowchart!$S$15*(AllocationMass!$F$19/100)*Cultivation!W84)/Unitflowchart!$S$357</f>
        <v>0</v>
      </c>
      <c r="K101" s="867">
        <f>(Unitflowchart!$S$15*(AllocationMass!$F$19/100)*Cultivation!AB84)/Unitflowchart!$S$357</f>
        <v>0</v>
      </c>
      <c r="L101" s="868">
        <f t="shared" si="22"/>
        <v>0</v>
      </c>
      <c r="M101" s="1304">
        <f>(Unitflowchart!$S$15*(AllocationMass!$F$19/100)*Cultivation!AC84)/Unitflowchart!$S$357</f>
        <v>0</v>
      </c>
      <c r="N101" s="870">
        <f>E101+(GlobalWarmingPotentials!$B$11*H101)+(GlobalWarmingPotentials!$C$11*K101)</f>
        <v>0</v>
      </c>
      <c r="O101" s="868">
        <f t="shared" si="23"/>
        <v>0</v>
      </c>
      <c r="P101" s="895">
        <f>SQRT((G101^2)+((GlobalWarmingPotentials!$B$11*J101)^2)+((GlobalWarmingPotentials!$C$11*M101)^2))</f>
        <v>0</v>
      </c>
    </row>
    <row r="102" spans="1:16" s="5" customFormat="1" x14ac:dyDescent="0.25">
      <c r="A102" s="894" t="str">
        <f>Cultivation!A85</f>
        <v xml:space="preserve"> - Carbon Dioxide Sequestration in Soil (Organic Manure)</v>
      </c>
      <c r="B102" s="867">
        <f>(Unitflowchart!$S$15*(AllocationMass!$F$19/100)*Cultivation!J85)/Unitflowchart!$S$357</f>
        <v>0</v>
      </c>
      <c r="C102" s="868">
        <f t="shared" si="19"/>
        <v>0</v>
      </c>
      <c r="D102" s="1304">
        <f>(Unitflowchart!$S$15*(AllocationMass!$F$19/100)*Cultivation!K85)/Unitflowchart!$S$357</f>
        <v>0</v>
      </c>
      <c r="E102" s="867">
        <f>(Unitflowchart!$S$15*(AllocationMass!$F$19/100)*Cultivation!P85)/Unitflowchart!$S$357</f>
        <v>0</v>
      </c>
      <c r="F102" s="868">
        <f t="shared" si="20"/>
        <v>0</v>
      </c>
      <c r="G102" s="1304">
        <f>(Unitflowchart!$S$15*(AllocationMass!$F$19/100)*Cultivation!Q85)/Unitflowchart!$S$357</f>
        <v>0</v>
      </c>
      <c r="H102" s="867">
        <f>(Unitflowchart!$S$15*(AllocationMass!$F$19/100)*Cultivation!V85)/Unitflowchart!$S$357</f>
        <v>0</v>
      </c>
      <c r="I102" s="868">
        <f t="shared" si="21"/>
        <v>0</v>
      </c>
      <c r="J102" s="1304">
        <f>(Unitflowchart!$S$15*(AllocationMass!$F$19/100)*Cultivation!W85)/Unitflowchart!$S$357</f>
        <v>0</v>
      </c>
      <c r="K102" s="867">
        <f>(Unitflowchart!$S$15*(AllocationMass!$F$19/100)*Cultivation!AB85)/Unitflowchart!$S$357</f>
        <v>0</v>
      </c>
      <c r="L102" s="868">
        <f t="shared" si="22"/>
        <v>0</v>
      </c>
      <c r="M102" s="1304">
        <f>(Unitflowchart!$S$15*(AllocationMass!$F$19/100)*Cultivation!AC85)/Unitflowchart!$S$357</f>
        <v>0</v>
      </c>
      <c r="N102" s="870">
        <f>E102+(GlobalWarmingPotentials!$B$11*H102)+(GlobalWarmingPotentials!$C$11*K102)</f>
        <v>0</v>
      </c>
      <c r="O102" s="868">
        <f t="shared" si="23"/>
        <v>0</v>
      </c>
      <c r="P102" s="895">
        <f>SQRT((G102^2)+((GlobalWarmingPotentials!$B$11*J102)^2)+((GlobalWarmingPotentials!$C$11*M102)^2))</f>
        <v>0</v>
      </c>
    </row>
    <row r="103" spans="1:16" s="838" customFormat="1" x14ac:dyDescent="0.25">
      <c r="A103" s="852"/>
      <c r="B103" s="1305"/>
      <c r="C103" s="1306"/>
      <c r="D103" s="1307"/>
      <c r="E103" s="1305"/>
      <c r="F103" s="1306"/>
      <c r="G103" s="1307"/>
      <c r="H103" s="1305"/>
      <c r="I103" s="1306"/>
      <c r="J103" s="1307"/>
      <c r="K103" s="1305"/>
      <c r="L103" s="1306"/>
      <c r="M103" s="1307"/>
      <c r="N103" s="1305"/>
      <c r="O103" s="1306"/>
      <c r="P103" s="1308"/>
    </row>
    <row r="104" spans="1:16" s="6" customFormat="1" x14ac:dyDescent="0.25">
      <c r="A104" s="214" t="s">
        <v>26</v>
      </c>
      <c r="B104" s="717">
        <f>(Unitflowchart!$S$15*(AllocationMass!$F$19/100)*Cultivation!J87)/Unitflowchart!$S$357</f>
        <v>8309.899498278497</v>
      </c>
      <c r="C104" s="14">
        <f>(B104/B$347)*100</f>
        <v>43.667537674339414</v>
      </c>
      <c r="D104" s="722">
        <f>(Unitflowchart!$S$15*(AllocationMass!$F$19/100)*Cultivation!K87)/Unitflowchart!$S$357</f>
        <v>488.63429742730733</v>
      </c>
      <c r="E104" s="717">
        <f>(Unitflowchart!$S$15*(AllocationMass!$F$19/100)*Cultivation!P87)/Unitflowchart!$S$357</f>
        <v>522.75174180388285</v>
      </c>
      <c r="F104" s="14">
        <f>(E104/E$347)*100</f>
        <v>43.701425903826355</v>
      </c>
      <c r="G104" s="722">
        <f>(Unitflowchart!$S$15*(AllocationMass!$F$19/100)*Cultivation!Q87)/Unitflowchart!$S$357</f>
        <v>28.318118318326512</v>
      </c>
      <c r="H104" s="717">
        <f>(Unitflowchart!$S$15*(AllocationMass!$F$19/100)*Cultivation!V87)/Unitflowchart!$S$357</f>
        <v>0.75176150176266221</v>
      </c>
      <c r="I104" s="14">
        <f>(H104/H$347)*100</f>
        <v>42.056848546433187</v>
      </c>
      <c r="J104" s="722">
        <f>(Unitflowchart!$S$15*(AllocationMass!$F$19/100)*Cultivation!W87)/Unitflowchart!$S$357</f>
        <v>7.4864022247248072E-2</v>
      </c>
      <c r="K104" s="717">
        <f>(Unitflowchart!$S$15*(AllocationMass!$F$19/100)*Cultivation!AB87)/Unitflowchart!$S$357</f>
        <v>1.6648580684606744</v>
      </c>
      <c r="L104" s="14">
        <f>(K104/K$347)*100</f>
        <v>91.651439891417624</v>
      </c>
      <c r="M104" s="722">
        <f>(Unitflowchart!$S$15*(AllocationMass!$F$19/100)*Cultivation!AC87)/Unitflowchart!$S$357</f>
        <v>0.13935171783260208</v>
      </c>
      <c r="N104" s="714">
        <f>E104+(GlobalWarmingPotentials!$B$11*H104)+(GlobalWarmingPotentials!$C$11*K104)</f>
        <v>1032.8402446087837</v>
      </c>
      <c r="O104" s="14">
        <f>(N104/N$347)*100</f>
        <v>58.188557274611874</v>
      </c>
      <c r="P104" s="739">
        <f>SQRT((G104^2)+((GlobalWarmingPotentials!$B$11*J104)^2)+((GlobalWarmingPotentials!$C$11*M104)^2))</f>
        <v>50.062831752581062</v>
      </c>
    </row>
    <row r="105" spans="1:16" s="838" customFormat="1" x14ac:dyDescent="0.25">
      <c r="A105" s="852"/>
      <c r="B105" s="713"/>
      <c r="C105" s="863"/>
      <c r="D105" s="719"/>
      <c r="E105" s="713"/>
      <c r="F105" s="863"/>
      <c r="G105" s="719"/>
      <c r="H105" s="713"/>
      <c r="I105" s="863"/>
      <c r="J105" s="719"/>
      <c r="K105" s="713"/>
      <c r="L105" s="863"/>
      <c r="M105" s="719"/>
      <c r="N105" s="713"/>
      <c r="O105" s="863"/>
      <c r="P105" s="738"/>
    </row>
    <row r="106" spans="1:16" x14ac:dyDescent="0.25">
      <c r="A106" s="384" t="s">
        <v>33</v>
      </c>
      <c r="B106" s="712"/>
      <c r="C106" s="25"/>
      <c r="D106" s="718"/>
      <c r="E106" s="712"/>
      <c r="F106" s="25"/>
      <c r="G106" s="721"/>
      <c r="H106" s="190"/>
      <c r="I106" s="25"/>
      <c r="J106" s="31"/>
      <c r="K106" s="190"/>
      <c r="L106" s="25"/>
      <c r="M106" s="31"/>
      <c r="N106" s="735"/>
      <c r="O106" s="25"/>
      <c r="P106" s="737"/>
    </row>
    <row r="107" spans="1:16" x14ac:dyDescent="0.25">
      <c r="B107" s="712"/>
      <c r="D107" s="721"/>
      <c r="E107" s="718"/>
      <c r="G107" s="721"/>
      <c r="H107" s="708"/>
      <c r="J107" s="31"/>
      <c r="K107" s="708"/>
      <c r="M107" s="708"/>
      <c r="N107" s="712"/>
      <c r="P107" s="721"/>
    </row>
    <row r="108" spans="1:16" x14ac:dyDescent="0.25">
      <c r="A108" s="13" t="str">
        <f>RoadTransportStage1!A28</f>
        <v xml:space="preserve"> - Diesel Fuel</v>
      </c>
      <c r="B108" s="715">
        <f>Unitflowchart!$S$24*(AllocationMass!$F$24/100)/Unitflowchart!$S$357*(RoadTransportStage1!J28)*Unitflowchart!$S$39</f>
        <v>601.53586980511921</v>
      </c>
      <c r="C108" s="25">
        <f>(B108/B$347)*100</f>
        <v>3.1609997524787445</v>
      </c>
      <c r="D108" s="481">
        <f>Unitflowchart!$S$24*(AllocationMass!$F$24/100)/Unitflowchart!$S$357*(RoadTransportStage1!K28)*Unitflowchart!$S$39</f>
        <v>28.272185880840603</v>
      </c>
      <c r="E108" s="715">
        <f>Unitflowchart!$S$24*(AllocationMass!$F$24/100)/Unitflowchart!$S$357*(RoadTransportStage1!P28)*Unitflowchart!$S$39</f>
        <v>43.167066146313303</v>
      </c>
      <c r="F108" s="25">
        <f>(E108/E$347)*100</f>
        <v>3.6087155562006963</v>
      </c>
      <c r="G108" s="481">
        <f>Unitflowchart!$S$24*(AllocationMass!$F$24/100)/Unitflowchart!$S$357*(RoadTransportStage1!Q28)*Unitflowchart!$S$39</f>
        <v>2.0288521088767251</v>
      </c>
      <c r="H108" s="715">
        <f>Unitflowchart!$S$24*(AllocationMass!$F$24/100)/Unitflowchart!$S$357*(RoadTransportStage1!V28)*Unitflowchart!$S$39</f>
        <v>8.969779978454712E-3</v>
      </c>
      <c r="I108" s="25">
        <f>(H108/H$347)*100</f>
        <v>0.50180898751023928</v>
      </c>
      <c r="J108" s="481">
        <f>Unitflowchart!$S$24*(AllocationMass!$F$24/100)/Unitflowchart!$S$357*(RoadTransportStage1!W28)*Unitflowchart!$S$39</f>
        <v>4.215796589873715E-4</v>
      </c>
      <c r="K108" s="715">
        <f>Unitflowchart!$S$24*(AllocationMass!$F$24/100)/Unitflowchart!$S$357*(RoadTransportStage1!AB28)*Unitflowchart!$S$39</f>
        <v>1.166071397199113E-2</v>
      </c>
      <c r="L108" s="25">
        <f>(K108/K$347)*100</f>
        <v>0.64192933075856551</v>
      </c>
      <c r="M108" s="481">
        <f>Unitflowchart!$S$24*(AllocationMass!$F$24/100)/Unitflowchart!$S$357*(RoadTransportStage1!AC28)*Unitflowchart!$S$39</f>
        <v>5.4805355668358297E-4</v>
      </c>
      <c r="N108" s="711">
        <f>E108+(GlobalWarmingPotentials!$B$11*H108)+(GlobalWarmingPotentials!$C$11*K108)</f>
        <v>46.824942421527133</v>
      </c>
      <c r="O108" s="25">
        <f>(N108/N$347)*100</f>
        <v>2.6380419026056448</v>
      </c>
      <c r="P108" s="736">
        <f>SQRT((G108^2)+((GlobalWarmingPotentials!$B$11*J108)^2)+((GlobalWarmingPotentials!$C$11*M108)^2))</f>
        <v>2.035350455563139</v>
      </c>
    </row>
    <row r="109" spans="1:16" x14ac:dyDescent="0.25">
      <c r="A109" s="13" t="str">
        <f>RoadTransportStage1!A29</f>
        <v xml:space="preserve"> - Vehicle </v>
      </c>
      <c r="B109" s="715">
        <f>Unitflowchart!$S$24*(AllocationMass!$F$24/100)/Unitflowchart!$S$357*(RoadTransportStage1!J29)*Unitflowchart!$S$39</f>
        <v>0</v>
      </c>
      <c r="C109" s="25">
        <f>(B109/B$347)*100</f>
        <v>0</v>
      </c>
      <c r="D109" s="481">
        <f>Unitflowchart!$S$24*(AllocationMass!$F$24/100)/Unitflowchart!$S$357*(RoadTransportStage1!K29)*Unitflowchart!$S$39</f>
        <v>0</v>
      </c>
      <c r="E109" s="715">
        <f>Unitflowchart!$S$24*(AllocationMass!$F$24/100)/Unitflowchart!$S$357*(RoadTransportStage1!P29)*Unitflowchart!$S$39</f>
        <v>0</v>
      </c>
      <c r="F109" s="25">
        <f>(E109/E$347)*100</f>
        <v>0</v>
      </c>
      <c r="G109" s="481">
        <f>Unitflowchart!$S$24*(AllocationMass!$F$24/100)/Unitflowchart!$S$357*(RoadTransportStage1!Q29)*Unitflowchart!$S$39</f>
        <v>0</v>
      </c>
      <c r="H109" s="715">
        <f>Unitflowchart!$S$24*(AllocationMass!$F$24/100)/Unitflowchart!$S$357*(RoadTransportStage1!V29)*Unitflowchart!$S$39</f>
        <v>0</v>
      </c>
      <c r="I109" s="25">
        <f>(H109/H$347)*100</f>
        <v>0</v>
      </c>
      <c r="J109" s="481">
        <f>Unitflowchart!$S$24*(AllocationMass!$F$24/100)/Unitflowchart!$S$357*(RoadTransportStage1!W29)*Unitflowchart!$S$39</f>
        <v>0</v>
      </c>
      <c r="K109" s="715">
        <f>Unitflowchart!$S$24*(AllocationMass!$F$24/100)/Unitflowchart!$S$357*(RoadTransportStage1!AB29)*Unitflowchart!$S$39</f>
        <v>0</v>
      </c>
      <c r="L109" s="25">
        <f>(K109/K$347)*100</f>
        <v>0</v>
      </c>
      <c r="M109" s="481">
        <f>Unitflowchart!$S$24*(AllocationMass!$F$24/100)/Unitflowchart!$S$357*(RoadTransportStage1!AC29)*Unitflowchart!$S$39</f>
        <v>0</v>
      </c>
      <c r="N109" s="711">
        <f>E109+(GlobalWarmingPotentials!$B$11*H109)+(GlobalWarmingPotentials!$C$11*K109)</f>
        <v>0</v>
      </c>
      <c r="O109" s="25">
        <f>(N109/N$347)*100</f>
        <v>0</v>
      </c>
      <c r="P109" s="736">
        <f>SQRT((G109^2)+((GlobalWarmingPotentials!$B$11*J109)^2)+((GlobalWarmingPotentials!$C$11*M109)^2))</f>
        <v>0</v>
      </c>
    </row>
    <row r="110" spans="1:16" x14ac:dyDescent="0.25">
      <c r="A110" s="13" t="str">
        <f>RoadTransportStage1!A30</f>
        <v xml:space="preserve"> - Maintenance</v>
      </c>
      <c r="B110" s="715">
        <f>Unitflowchart!$S$24*(AllocationMass!$F$24/100)/Unitflowchart!$S$357*(RoadTransportStage1!J30)*Unitflowchart!$S$39</f>
        <v>0</v>
      </c>
      <c r="C110" s="25">
        <f>(B110/B$347)*100</f>
        <v>0</v>
      </c>
      <c r="D110" s="481">
        <f>Unitflowchart!$S$24*(AllocationMass!$F$24/100)/Unitflowchart!$S$357*(RoadTransportStage1!K30)*Unitflowchart!$S$39</f>
        <v>0</v>
      </c>
      <c r="E110" s="715">
        <f>Unitflowchart!$S$24*(AllocationMass!$F$24/100)/Unitflowchart!$S$357*(RoadTransportStage1!P30)*Unitflowchart!$S$39</f>
        <v>0</v>
      </c>
      <c r="F110" s="25">
        <f>(E110/E$347)*100</f>
        <v>0</v>
      </c>
      <c r="G110" s="481">
        <f>Unitflowchart!$S$24*(AllocationMass!$F$24/100)/Unitflowchart!$S$357*(RoadTransportStage1!Q30)*Unitflowchart!$S$39</f>
        <v>0</v>
      </c>
      <c r="H110" s="715">
        <f>Unitflowchart!$S$24*(AllocationMass!$F$24/100)/Unitflowchart!$S$357*(RoadTransportStage1!V30)*Unitflowchart!$S$39</f>
        <v>0</v>
      </c>
      <c r="I110" s="25">
        <f>(H110/H$347)*100</f>
        <v>0</v>
      </c>
      <c r="J110" s="481">
        <f>Unitflowchart!$S$24*(AllocationMass!$F$24/100)/Unitflowchart!$S$357*(RoadTransportStage1!W30)*Unitflowchart!$S$39</f>
        <v>0</v>
      </c>
      <c r="K110" s="715">
        <f>Unitflowchart!$S$24*(AllocationMass!$F$24/100)/Unitflowchart!$S$357*(RoadTransportStage1!AB30)*Unitflowchart!$S$39</f>
        <v>0</v>
      </c>
      <c r="L110" s="25">
        <f>(K110/K$347)*100</f>
        <v>0</v>
      </c>
      <c r="M110" s="481">
        <f>Unitflowchart!$S$24*(AllocationMass!$F$24/100)/Unitflowchart!$S$357*(RoadTransportStage1!AC30)*Unitflowchart!$S$39</f>
        <v>0</v>
      </c>
      <c r="N110" s="711">
        <f>E110+(GlobalWarmingPotentials!$B$11*H110)+(GlobalWarmingPotentials!$C$11*K110)</f>
        <v>0</v>
      </c>
      <c r="O110" s="25">
        <f>(N110/N$347)*100</f>
        <v>0</v>
      </c>
      <c r="P110" s="736">
        <f>SQRT((G110^2)+((GlobalWarmingPotentials!$B$11*J110)^2)+((GlobalWarmingPotentials!$C$11*M110)^2))</f>
        <v>0</v>
      </c>
    </row>
    <row r="111" spans="1:16" s="42" customFormat="1" x14ac:dyDescent="0.25">
      <c r="A111" s="152"/>
      <c r="B111" s="746"/>
      <c r="C111" s="863"/>
      <c r="D111" s="759"/>
      <c r="E111" s="746"/>
      <c r="F111" s="863"/>
      <c r="G111" s="759"/>
      <c r="H111" s="746"/>
      <c r="I111" s="863"/>
      <c r="J111" s="1309"/>
      <c r="K111" s="746"/>
      <c r="L111" s="863"/>
      <c r="M111" s="759"/>
      <c r="N111" s="713"/>
      <c r="O111" s="863"/>
      <c r="P111" s="738"/>
    </row>
    <row r="112" spans="1:16" s="6" customFormat="1" x14ac:dyDescent="0.25">
      <c r="A112" s="214" t="s">
        <v>842</v>
      </c>
      <c r="B112" s="717">
        <f>Unitflowchart!$S$24*(AllocationMass!$F$24/100)/Unitflowchart!$S$357*(RoadTransportStage1!J32)*Unitflowchart!$S$39</f>
        <v>601.53586980511921</v>
      </c>
      <c r="C112" s="14">
        <f>(B112/B$347)*100</f>
        <v>3.1609997524787445</v>
      </c>
      <c r="D112" s="722">
        <f>Unitflowchart!$S$24*(AllocationMass!$F$24/100)/Unitflowchart!$S$357*(RoadTransportStage1!K32)*Unitflowchart!$S$39</f>
        <v>28.272185880840603</v>
      </c>
      <c r="E112" s="717">
        <f>Unitflowchart!$S$24*(AllocationMass!$F$24/100)/Unitflowchart!$S$357*(RoadTransportStage1!P32)*Unitflowchart!$S$39</f>
        <v>43.167066146313303</v>
      </c>
      <c r="F112" s="14">
        <f>(E112/E$347)*100</f>
        <v>3.6087155562006963</v>
      </c>
      <c r="G112" s="722">
        <f>Unitflowchart!$S$24*(AllocationMass!$F$24/100)/Unitflowchart!$S$357*(RoadTransportStage1!Q32)*Unitflowchart!$S$39</f>
        <v>2.0288521088767251</v>
      </c>
      <c r="H112" s="717">
        <f>Unitflowchart!$S$24*(AllocationMass!$F$24/100)/Unitflowchart!$S$357*(RoadTransportStage1!V32)*Unitflowchart!$S$39</f>
        <v>8.969779978454712E-3</v>
      </c>
      <c r="I112" s="14">
        <f>(H112/H$347)*100</f>
        <v>0.50180898751023928</v>
      </c>
      <c r="J112" s="722">
        <f>Unitflowchart!$S$24*(AllocationMass!$F$24/100)/Unitflowchart!$S$357*(RoadTransportStage1!W32)*Unitflowchart!$S$39</f>
        <v>4.215796589873715E-4</v>
      </c>
      <c r="K112" s="717">
        <f>Unitflowchart!$S$24*(AllocationMass!$F$24/100)/Unitflowchart!$S$357*(RoadTransportStage1!AB32)*Unitflowchart!$S$39</f>
        <v>1.166071397199113E-2</v>
      </c>
      <c r="L112" s="14">
        <f>(K112/K$347)*100</f>
        <v>0.64192933075856551</v>
      </c>
      <c r="M112" s="722">
        <f>Unitflowchart!$S$24*(AllocationMass!$F$24/100)/Unitflowchart!$S$357*(RoadTransportStage1!AC32)*Unitflowchart!$S$39</f>
        <v>5.4805355668358297E-4</v>
      </c>
      <c r="N112" s="714">
        <f>E112+(GlobalWarmingPotentials!$B$11*H112)+(GlobalWarmingPotentials!$C$11*K112)</f>
        <v>46.824942421527133</v>
      </c>
      <c r="O112" s="14">
        <f>(N112/N$347)*100</f>
        <v>2.6380419026056448</v>
      </c>
      <c r="P112" s="739">
        <f>SQRT((G112^2)+((GlobalWarmingPotentials!$B$11*J112)^2)+((GlobalWarmingPotentials!$C$11*M112)^2))</f>
        <v>2.035350455563139</v>
      </c>
    </row>
    <row r="113" spans="1:16" x14ac:dyDescent="0.25">
      <c r="B113" s="712"/>
      <c r="D113" s="721"/>
      <c r="E113" s="718"/>
      <c r="G113" s="718"/>
      <c r="H113" s="30"/>
      <c r="J113" s="708"/>
      <c r="K113" s="30"/>
      <c r="M113" s="708"/>
      <c r="N113" s="712"/>
      <c r="P113" s="721"/>
    </row>
    <row r="114" spans="1:16" x14ac:dyDescent="0.25">
      <c r="A114" s="384" t="s">
        <v>838</v>
      </c>
      <c r="B114" s="712"/>
      <c r="D114" s="721"/>
      <c r="E114" s="718"/>
      <c r="G114" s="718"/>
      <c r="H114" s="30"/>
      <c r="J114" s="708"/>
      <c r="K114" s="30"/>
      <c r="M114" s="708"/>
      <c r="N114" s="712"/>
      <c r="P114" s="721"/>
    </row>
    <row r="115" spans="1:16" x14ac:dyDescent="0.25">
      <c r="B115" s="712"/>
      <c r="D115" s="721"/>
      <c r="E115" s="718"/>
      <c r="G115" s="718"/>
      <c r="H115" s="30"/>
      <c r="J115" s="708"/>
      <c r="K115" s="30"/>
      <c r="M115" s="708"/>
      <c r="N115" s="712"/>
      <c r="P115" s="721"/>
    </row>
    <row r="116" spans="1:16" x14ac:dyDescent="0.25">
      <c r="A116" s="13" t="str">
        <f>RailTransport!A11</f>
        <v xml:space="preserve"> - Gas Oil</v>
      </c>
      <c r="B116" s="710">
        <f>Unitflowchart!$S$24*(AllocationMass!$F$24/100)/Unitflowchart!$S$357*(RailTransport!J11)*Unitflowchart!$S$41</f>
        <v>0</v>
      </c>
      <c r="C116" s="24">
        <f>(B116/B$347)*100</f>
        <v>0</v>
      </c>
      <c r="D116" s="724">
        <f>Unitflowchart!$S$24*(AllocationMass!$F$24/100)/Unitflowchart!$S$357*(RailTransport!K11)*Unitflowchart!$S$41</f>
        <v>0</v>
      </c>
      <c r="E116" s="726">
        <f>Unitflowchart!$S$24*(AllocationMass!$F$24/100)/Unitflowchart!$S$357*(RailTransport!P11)*Unitflowchart!$S$41</f>
        <v>0</v>
      </c>
      <c r="F116" s="24">
        <f>(E116/E$347)*100</f>
        <v>0</v>
      </c>
      <c r="G116" s="726">
        <f>Unitflowchart!$S$24*(AllocationMass!$F$24/100)/Unitflowchart!$S$357*(RailTransport!Q11)*Unitflowchart!$S$41</f>
        <v>0</v>
      </c>
      <c r="H116" s="707">
        <f>Unitflowchart!$S$24*(AllocationMass!$F$24/100)/Unitflowchart!$S$357*(RailTransport!V11)*Unitflowchart!$S$41</f>
        <v>0</v>
      </c>
      <c r="I116" s="24">
        <f>(H116/H$347)*100</f>
        <v>0</v>
      </c>
      <c r="J116" s="709">
        <f>Unitflowchart!$S$24*(AllocationMass!$F$24/100)/Unitflowchart!$S$357*(RailTransport!W11)*Unitflowchart!$S$41</f>
        <v>0</v>
      </c>
      <c r="K116" s="707">
        <f>Unitflowchart!$S$24*(AllocationMass!$F$24/100)/Unitflowchart!$S$357*(RailTransport!AB11)*Unitflowchart!$S$41</f>
        <v>0</v>
      </c>
      <c r="L116" s="24">
        <f>(K116/K$347)*100</f>
        <v>0</v>
      </c>
      <c r="M116" s="709">
        <f>Unitflowchart!$S$24*(AllocationMass!$F$24/100)/Unitflowchart!$S$357*(RailTransport!AC11)*Unitflowchart!$S$41</f>
        <v>0</v>
      </c>
      <c r="N116" s="710">
        <f>E116+(GlobalWarmingPotentials!$B$11*H116)+(GlobalWarmingPotentials!$C$11*K116)</f>
        <v>0</v>
      </c>
      <c r="O116" s="24">
        <f>(N116/N$347)*100</f>
        <v>0</v>
      </c>
      <c r="P116" s="724">
        <f>SQRT((G116^2)+((GlobalWarmingPotentials!$B$11*J116)^2)+((GlobalWarmingPotentials!$C$11*M116)^2))</f>
        <v>0</v>
      </c>
    </row>
    <row r="117" spans="1:16" x14ac:dyDescent="0.25">
      <c r="A117" s="13" t="str">
        <f>RailTransport!A12</f>
        <v xml:space="preserve"> - Capital Equipment</v>
      </c>
      <c r="B117" s="710">
        <f>Unitflowchart!$S$24*(AllocationMass!$F$24/100)/Unitflowchart!$S$357*(RailTransport!J12)*Unitflowchart!$S$41</f>
        <v>0</v>
      </c>
      <c r="C117" s="24">
        <f>(B117/B$347)*100</f>
        <v>0</v>
      </c>
      <c r="D117" s="724">
        <f>Unitflowchart!$S$24*(AllocationMass!$F$24/100)/Unitflowchart!$S$357*(RailTransport!K12)*Unitflowchart!$S$41</f>
        <v>0</v>
      </c>
      <c r="E117" s="726">
        <f>Unitflowchart!$S$24*(AllocationMass!$F$24/100)/Unitflowchart!$S$357*(RailTransport!P12)*Unitflowchart!$S$41</f>
        <v>0</v>
      </c>
      <c r="F117" s="24">
        <f>(E117/E$347)*100</f>
        <v>0</v>
      </c>
      <c r="G117" s="726">
        <f>Unitflowchart!$S$24*(AllocationMass!$F$24/100)/Unitflowchart!$S$357*(RailTransport!Q12)*Unitflowchart!$S$41</f>
        <v>0</v>
      </c>
      <c r="H117" s="707">
        <f>Unitflowchart!$S$24*(AllocationMass!$F$24/100)/Unitflowchart!$S$357*(RailTransport!V12)*Unitflowchart!$S$41</f>
        <v>0</v>
      </c>
      <c r="I117" s="24">
        <f>(H117/H$347)*100</f>
        <v>0</v>
      </c>
      <c r="J117" s="709">
        <f>Unitflowchart!$S$24*(AllocationMass!$F$24/100)/Unitflowchart!$S$357*(RailTransport!W12)*Unitflowchart!$S$41</f>
        <v>0</v>
      </c>
      <c r="K117" s="707">
        <f>Unitflowchart!$S$24*(AllocationMass!$F$24/100)/Unitflowchart!$S$357*(RailTransport!AB12)*Unitflowchart!$S$41</f>
        <v>0</v>
      </c>
      <c r="L117" s="24">
        <f>(K117/K$347)*100</f>
        <v>0</v>
      </c>
      <c r="M117" s="709">
        <f>Unitflowchart!$S$24*(AllocationMass!$F$24/100)/Unitflowchart!$S$357*(RailTransport!AC12)*Unitflowchart!$S$41</f>
        <v>0</v>
      </c>
      <c r="N117" s="710">
        <f>E117+(GlobalWarmingPotentials!$B$11*H117)+(GlobalWarmingPotentials!$C$11*K117)</f>
        <v>0</v>
      </c>
      <c r="O117" s="24">
        <f>(N117/N$347)*100</f>
        <v>0</v>
      </c>
      <c r="P117" s="724">
        <f>SQRT((G117^2)+((GlobalWarmingPotentials!$B$11*J117)^2)+((GlobalWarmingPotentials!$C$11*M117)^2))</f>
        <v>0</v>
      </c>
    </row>
    <row r="118" spans="1:16" x14ac:dyDescent="0.25">
      <c r="A118" s="13" t="str">
        <f>RailTransport!A13</f>
        <v xml:space="preserve"> - Maintenance</v>
      </c>
      <c r="B118" s="710">
        <f>Unitflowchart!$S$24*(AllocationMass!$F$24/100)/Unitflowchart!$S$357*(RailTransport!J13)*Unitflowchart!$S$41</f>
        <v>0</v>
      </c>
      <c r="C118" s="24">
        <f>(B118/B$347)*100</f>
        <v>0</v>
      </c>
      <c r="D118" s="724">
        <f>Unitflowchart!$S$24*(AllocationMass!$F$24/100)/Unitflowchart!$S$357*(RailTransport!K13)*Unitflowchart!$S$41</f>
        <v>0</v>
      </c>
      <c r="E118" s="726">
        <f>Unitflowchart!$S$24*(AllocationMass!$F$24/100)/Unitflowchart!$S$357*(RailTransport!P13)*Unitflowchart!$S$41</f>
        <v>0</v>
      </c>
      <c r="F118" s="24">
        <f>(E118/E$347)*100</f>
        <v>0</v>
      </c>
      <c r="G118" s="726">
        <f>Unitflowchart!$S$24*(AllocationMass!$F$24/100)/Unitflowchart!$S$357*(RailTransport!Q13)*Unitflowchart!$S$41</f>
        <v>0</v>
      </c>
      <c r="H118" s="707">
        <f>Unitflowchart!$S$24*(AllocationMass!$F$24/100)/Unitflowchart!$S$357*(RailTransport!V13)*Unitflowchart!$S$41</f>
        <v>0</v>
      </c>
      <c r="I118" s="24">
        <f>(H118/H$347)*100</f>
        <v>0</v>
      </c>
      <c r="J118" s="709">
        <f>Unitflowchart!$S$24*(AllocationMass!$F$24/100)/Unitflowchart!$S$357*(RailTransport!W13)*Unitflowchart!$S$41</f>
        <v>0</v>
      </c>
      <c r="K118" s="707">
        <f>Unitflowchart!$S$24*(AllocationMass!$F$24/100)/Unitflowchart!$S$357*(RailTransport!AB13)*Unitflowchart!$S$41</f>
        <v>0</v>
      </c>
      <c r="L118" s="24">
        <f>(K118/K$347)*100</f>
        <v>0</v>
      </c>
      <c r="M118" s="709">
        <f>Unitflowchart!$S$24*(AllocationMass!$F$24/100)/Unitflowchart!$S$357*(RailTransport!AC13)*Unitflowchart!$S$41</f>
        <v>0</v>
      </c>
      <c r="N118" s="710">
        <f>E118+(GlobalWarmingPotentials!$B$11*H118)+(GlobalWarmingPotentials!$C$11*K118)</f>
        <v>0</v>
      </c>
      <c r="O118" s="24">
        <f>(N118/N$347)*100</f>
        <v>0</v>
      </c>
      <c r="P118" s="724">
        <f>SQRT((G118^2)+((GlobalWarmingPotentials!$B$11*J118)^2)+((GlobalWarmingPotentials!$C$11*M118)^2))</f>
        <v>0</v>
      </c>
    </row>
    <row r="119" spans="1:16" s="42" customFormat="1" x14ac:dyDescent="0.25">
      <c r="A119" s="152"/>
      <c r="B119" s="713"/>
      <c r="C119" s="882"/>
      <c r="D119" s="719"/>
      <c r="E119" s="209"/>
      <c r="F119" s="882"/>
      <c r="G119" s="209"/>
      <c r="H119" s="495"/>
      <c r="I119" s="882"/>
      <c r="J119" s="889"/>
      <c r="K119" s="495"/>
      <c r="L119" s="882"/>
      <c r="M119" s="889"/>
      <c r="N119" s="713"/>
      <c r="O119" s="882"/>
      <c r="P119" s="719"/>
    </row>
    <row r="120" spans="1:16" s="6" customFormat="1" x14ac:dyDescent="0.25">
      <c r="A120" s="214" t="s">
        <v>843</v>
      </c>
      <c r="B120" s="717">
        <f>Unitflowchart!$S$24*(AllocationMass!$F$24/100)/Unitflowchart!$S$357*(RailTransport!J15)*Unitflowchart!$S$41</f>
        <v>0</v>
      </c>
      <c r="C120" s="14">
        <f>(B120/B$347)*100</f>
        <v>0</v>
      </c>
      <c r="D120" s="722">
        <f>Unitflowchart!$S$24*(AllocationMass!$F$24/100)/Unitflowchart!$S$357*(RailTransport!K15)*Unitflowchart!$S$41</f>
        <v>0</v>
      </c>
      <c r="E120" s="717">
        <f>Unitflowchart!$S$24*(AllocationMass!$F$24/100)/Unitflowchart!$S$357*(RailTransport!P15)*Unitflowchart!$S$41</f>
        <v>0</v>
      </c>
      <c r="F120" s="14">
        <f>(E120/E$347)*100</f>
        <v>0</v>
      </c>
      <c r="G120" s="722">
        <f>Unitflowchart!$S$24*(AllocationMass!$F$24/100)/Unitflowchart!$S$357*(RailTransport!Q15)*Unitflowchart!$S$41</f>
        <v>0</v>
      </c>
      <c r="H120" s="717">
        <f>Unitflowchart!$S$24*(AllocationMass!$F$24/100)/Unitflowchart!$S$357*(RailTransport!V15)*Unitflowchart!$S$41</f>
        <v>0</v>
      </c>
      <c r="I120" s="14">
        <f>(H120/H$347)*100</f>
        <v>0</v>
      </c>
      <c r="J120" s="722">
        <f>Unitflowchart!$S$24*(AllocationMass!$F$24/100)/Unitflowchart!$S$357*(RailTransport!W15)*Unitflowchart!$S$41</f>
        <v>0</v>
      </c>
      <c r="K120" s="717">
        <f>Unitflowchart!$S$24*(AllocationMass!$F$24/100)/Unitflowchart!$S$357*(RailTransport!AB15)*Unitflowchart!$S$41</f>
        <v>0</v>
      </c>
      <c r="L120" s="14">
        <f>(K120/K$347)*100</f>
        <v>0</v>
      </c>
      <c r="M120" s="722">
        <f>Unitflowchart!$S$24*(AllocationMass!$F$24/100)/Unitflowchart!$S$357*(RailTransport!AC15)*Unitflowchart!$S$41</f>
        <v>0</v>
      </c>
      <c r="N120" s="714">
        <f>E120+(GlobalWarmingPotentials!$B$11*H120)+(GlobalWarmingPotentials!$C$11*K120)</f>
        <v>0</v>
      </c>
      <c r="O120" s="14">
        <f>(N120/N$347)*100</f>
        <v>0</v>
      </c>
      <c r="P120" s="739">
        <f>SQRT((G120^2)+((GlobalWarmingPotentials!$B$11*J120)^2)+((GlobalWarmingPotentials!$C$11*M120)^2))</f>
        <v>0</v>
      </c>
    </row>
    <row r="121" spans="1:16" x14ac:dyDescent="0.25">
      <c r="B121" s="712"/>
      <c r="C121" s="24"/>
      <c r="D121" s="721"/>
      <c r="E121" s="718"/>
      <c r="F121" s="24"/>
      <c r="G121" s="718"/>
      <c r="H121" s="30"/>
      <c r="I121" s="24"/>
      <c r="J121" s="708"/>
      <c r="K121" s="30"/>
      <c r="L121" s="24"/>
      <c r="M121" s="708"/>
      <c r="N121" s="712"/>
      <c r="O121" s="24"/>
      <c r="P121" s="721"/>
    </row>
    <row r="122" spans="1:16" x14ac:dyDescent="0.25">
      <c r="A122" s="384" t="s">
        <v>846</v>
      </c>
      <c r="B122" s="712"/>
      <c r="C122" s="24"/>
      <c r="D122" s="721"/>
      <c r="E122" s="718"/>
      <c r="F122" s="24"/>
      <c r="G122" s="718"/>
      <c r="H122" s="30"/>
      <c r="I122" s="24"/>
      <c r="J122" s="708"/>
      <c r="K122" s="30"/>
      <c r="L122" s="24"/>
      <c r="M122" s="708"/>
      <c r="N122" s="712"/>
      <c r="O122" s="24"/>
      <c r="P122" s="721"/>
    </row>
    <row r="123" spans="1:16" x14ac:dyDescent="0.25">
      <c r="B123" s="712"/>
      <c r="C123" s="24"/>
      <c r="D123" s="721"/>
      <c r="E123" s="718"/>
      <c r="F123" s="24"/>
      <c r="G123" s="718"/>
      <c r="H123" s="30"/>
      <c r="I123" s="24"/>
      <c r="J123" s="708"/>
      <c r="K123" s="30"/>
      <c r="L123" s="24"/>
      <c r="M123" s="708"/>
      <c r="N123" s="712"/>
      <c r="O123" s="24"/>
      <c r="P123" s="721"/>
    </row>
    <row r="124" spans="1:16" x14ac:dyDescent="0.25">
      <c r="A124" s="13" t="str">
        <f>BargeTransport!A11</f>
        <v xml:space="preserve"> - Marine Diesel</v>
      </c>
      <c r="B124" s="710">
        <f>Unitflowchart!$S$24*(AllocationMass!$F$24/100)/Unitflowchart!$S$357*(BargeTransport!J11)*Unitflowchart!$S$43</f>
        <v>0</v>
      </c>
      <c r="C124" s="24">
        <f>(B124/B$347)*100</f>
        <v>0</v>
      </c>
      <c r="D124" s="724">
        <f>Unitflowchart!$S$24*(AllocationMass!$F$24/100)/Unitflowchart!$S$357*(BargeTransport!K11)*Unitflowchart!$S$43</f>
        <v>0</v>
      </c>
      <c r="E124" s="726">
        <f>Unitflowchart!$S$24*(AllocationMass!$F$24/100)/Unitflowchart!$S$357*(BargeTransport!P11)*Unitflowchart!$S$43</f>
        <v>0</v>
      </c>
      <c r="F124" s="24">
        <f>(E124/E$347)*100</f>
        <v>0</v>
      </c>
      <c r="G124" s="726">
        <f>Unitflowchart!$S$24*(AllocationMass!$F$24/100)/Unitflowchart!$S$357*(BargeTransport!Q11)*Unitflowchart!$S$43</f>
        <v>0</v>
      </c>
      <c r="H124" s="707">
        <f>Unitflowchart!$S$24*(AllocationMass!$F$24/100)/Unitflowchart!$S$357*(BargeTransport!V11)*Unitflowchart!$S$43</f>
        <v>0</v>
      </c>
      <c r="I124" s="24">
        <f>(H124/H$347)*100</f>
        <v>0</v>
      </c>
      <c r="J124" s="709">
        <f>Unitflowchart!$S$24*(AllocationMass!$F$24/100)/Unitflowchart!$S$357*(BargeTransport!W11)*Unitflowchart!$S$43</f>
        <v>0</v>
      </c>
      <c r="K124" s="707">
        <f>Unitflowchart!$S$24*(AllocationMass!$F$24/100)/Unitflowchart!$S$357*(BargeTransport!AB11)*Unitflowchart!$S$43</f>
        <v>0</v>
      </c>
      <c r="L124" s="24">
        <f>(K124/K$347)*100</f>
        <v>0</v>
      </c>
      <c r="M124" s="709">
        <f>Unitflowchart!$S$24*(AllocationMass!$F$24/100)/Unitflowchart!$S$357*(BargeTransport!AC11)*Unitflowchart!$S$43</f>
        <v>0</v>
      </c>
      <c r="N124" s="710">
        <f>E124+(GlobalWarmingPotentials!$B$11*H124)+(GlobalWarmingPotentials!$C$11*K124)</f>
        <v>0</v>
      </c>
      <c r="O124" s="24">
        <f>(N124/N$347)*100</f>
        <v>0</v>
      </c>
      <c r="P124" s="724">
        <f>SQRT((G124^2)+((GlobalWarmingPotentials!$B$11*J124)^2)+((GlobalWarmingPotentials!$C$11*M124)^2))</f>
        <v>0</v>
      </c>
    </row>
    <row r="125" spans="1:16" x14ac:dyDescent="0.25">
      <c r="A125" s="13" t="str">
        <f>BargeTransport!A12</f>
        <v xml:space="preserve"> - Barge Construction</v>
      </c>
      <c r="B125" s="710">
        <f>Unitflowchart!$S$24*(AllocationMass!$F$24/100)/Unitflowchart!$S$357*(BargeTransport!J12)*Unitflowchart!$S$43</f>
        <v>0</v>
      </c>
      <c r="C125" s="24">
        <f>(B125/B$347)*100</f>
        <v>0</v>
      </c>
      <c r="D125" s="724">
        <f>Unitflowchart!$S$24*(AllocationMass!$F$24/100)/Unitflowchart!$S$357*(BargeTransport!K12)*Unitflowchart!$S$43</f>
        <v>0</v>
      </c>
      <c r="E125" s="726">
        <f>Unitflowchart!$S$24*(AllocationMass!$F$24/100)/Unitflowchart!$S$357*(BargeTransport!P12)*Unitflowchart!$S$43</f>
        <v>0</v>
      </c>
      <c r="F125" s="24">
        <f>(E125/E$347)*100</f>
        <v>0</v>
      </c>
      <c r="G125" s="726">
        <f>Unitflowchart!$S$24*(AllocationMass!$F$24/100)/Unitflowchart!$S$357*(BargeTransport!Q12)*Unitflowchart!$S$43</f>
        <v>0</v>
      </c>
      <c r="H125" s="707">
        <f>Unitflowchart!$S$24*(AllocationMass!$F$24/100)/Unitflowchart!$S$357*(BargeTransport!V12)*Unitflowchart!$S$43</f>
        <v>0</v>
      </c>
      <c r="I125" s="24">
        <f>(H125/H$347)*100</f>
        <v>0</v>
      </c>
      <c r="J125" s="709">
        <f>Unitflowchart!$S$24*(AllocationMass!$F$24/100)/Unitflowchart!$S$357*(BargeTransport!W12)*Unitflowchart!$S$43</f>
        <v>0</v>
      </c>
      <c r="K125" s="707">
        <f>Unitflowchart!$S$24*(AllocationMass!$F$24/100)/Unitflowchart!$S$357*(BargeTransport!AB12)*Unitflowchart!$S$43</f>
        <v>0</v>
      </c>
      <c r="L125" s="24">
        <f>(K125/K$347)*100</f>
        <v>0</v>
      </c>
      <c r="M125" s="709">
        <f>Unitflowchart!$S$24*(AllocationMass!$F$24/100)/Unitflowchart!$S$357*(BargeTransport!AC12)*Unitflowchart!$S$43</f>
        <v>0</v>
      </c>
      <c r="N125" s="710">
        <f>E125+(GlobalWarmingPotentials!$B$11*H125)+(GlobalWarmingPotentials!$C$11*K125)</f>
        <v>0</v>
      </c>
      <c r="O125" s="24">
        <f>(N125/N$347)*100</f>
        <v>0</v>
      </c>
      <c r="P125" s="724">
        <f>SQRT((G125^2)+((GlobalWarmingPotentials!$B$11*J125)^2)+((GlobalWarmingPotentials!$C$11*M125)^2))</f>
        <v>0</v>
      </c>
    </row>
    <row r="126" spans="1:16" x14ac:dyDescent="0.25">
      <c r="A126" s="13" t="str">
        <f>BargeTransport!A13</f>
        <v xml:space="preserve"> - Barge Maintenance</v>
      </c>
      <c r="B126" s="710">
        <f>Unitflowchart!$S$24*(AllocationMass!$F$24/100)/Unitflowchart!$S$357*(BargeTransport!J13)*Unitflowchart!$S$43</f>
        <v>0</v>
      </c>
      <c r="C126" s="24">
        <f>(B126/B$347)*100</f>
        <v>0</v>
      </c>
      <c r="D126" s="724">
        <f>Unitflowchart!$S$24*(AllocationMass!$F$24/100)/Unitflowchart!$S$357*(BargeTransport!K13)*Unitflowchart!$S$43</f>
        <v>0</v>
      </c>
      <c r="E126" s="726">
        <f>Unitflowchart!$S$24*(AllocationMass!$F$24/100)/Unitflowchart!$S$357*(BargeTransport!P13)*Unitflowchart!$S$43</f>
        <v>0</v>
      </c>
      <c r="F126" s="24">
        <f>(E126/E$347)*100</f>
        <v>0</v>
      </c>
      <c r="G126" s="726">
        <f>Unitflowchart!$S$24*(AllocationMass!$F$24/100)/Unitflowchart!$S$357*(BargeTransport!Q13)*Unitflowchart!$S$43</f>
        <v>0</v>
      </c>
      <c r="H126" s="707">
        <f>Unitflowchart!$S$24*(AllocationMass!$F$24/100)/Unitflowchart!$S$357*(BargeTransport!V13)*Unitflowchart!$S$43</f>
        <v>0</v>
      </c>
      <c r="I126" s="24">
        <f>(H126/H$347)*100</f>
        <v>0</v>
      </c>
      <c r="J126" s="709">
        <f>Unitflowchart!$S$24*(AllocationMass!$F$24/100)/Unitflowchart!$S$357*(BargeTransport!W13)*Unitflowchart!$S$43</f>
        <v>0</v>
      </c>
      <c r="K126" s="707">
        <f>Unitflowchart!$S$24*(AllocationMass!$F$24/100)/Unitflowchart!$S$357*(BargeTransport!AB13)*Unitflowchart!$S$43</f>
        <v>0</v>
      </c>
      <c r="L126" s="24">
        <f>(K126/K$347)*100</f>
        <v>0</v>
      </c>
      <c r="M126" s="709">
        <f>Unitflowchart!$S$24*(AllocationMass!$F$24/100)/Unitflowchart!$S$357*(BargeTransport!AC13)*Unitflowchart!$S$43</f>
        <v>0</v>
      </c>
      <c r="N126" s="710">
        <f>E126+(GlobalWarmingPotentials!$B$11*H126)+(GlobalWarmingPotentials!$C$11*K126)</f>
        <v>0</v>
      </c>
      <c r="O126" s="24">
        <f>(N126/N$347)*100</f>
        <v>0</v>
      </c>
      <c r="P126" s="724">
        <f>SQRT((G126^2)+((GlobalWarmingPotentials!$B$11*J126)^2)+((GlobalWarmingPotentials!$C$11*M126)^2))</f>
        <v>0</v>
      </c>
    </row>
    <row r="127" spans="1:16" s="42" customFormat="1" x14ac:dyDescent="0.25">
      <c r="A127" s="152"/>
      <c r="B127" s="713"/>
      <c r="C127" s="882"/>
      <c r="D127" s="719"/>
      <c r="E127" s="209"/>
      <c r="F127" s="882"/>
      <c r="G127" s="209"/>
      <c r="H127" s="495"/>
      <c r="I127" s="882"/>
      <c r="J127" s="889"/>
      <c r="K127" s="495"/>
      <c r="L127" s="882"/>
      <c r="M127" s="889"/>
      <c r="N127" s="713"/>
      <c r="O127" s="882"/>
      <c r="P127" s="719"/>
    </row>
    <row r="128" spans="1:16" s="6" customFormat="1" x14ac:dyDescent="0.25">
      <c r="A128" s="214" t="s">
        <v>847</v>
      </c>
      <c r="B128" s="717">
        <f>Unitflowchart!$S$24*(AllocationMass!$F$24/100)/Unitflowchart!$S$357*(BargeTransport!J15)*Unitflowchart!$S$43</f>
        <v>0</v>
      </c>
      <c r="C128" s="14">
        <f>(B128/B$347)*100</f>
        <v>0</v>
      </c>
      <c r="D128" s="722">
        <f>Unitflowchart!$S$24*(AllocationMass!$F$24/100)/Unitflowchart!$S$357*(BargeTransport!K15)*Unitflowchart!$S$43</f>
        <v>0</v>
      </c>
      <c r="E128" s="717">
        <f>Unitflowchart!$S$24*(AllocationMass!$F$24/100)/Unitflowchart!$S$357*(BargeTransport!P15)*Unitflowchart!$S$43</f>
        <v>0</v>
      </c>
      <c r="F128" s="14">
        <f>(E128/E$347)*100</f>
        <v>0</v>
      </c>
      <c r="G128" s="722">
        <f>Unitflowchart!$S$24*(AllocationMass!$F$24/100)/Unitflowchart!$S$357*(BargeTransport!Q15)*Unitflowchart!$S$43</f>
        <v>0</v>
      </c>
      <c r="H128" s="717">
        <f>Unitflowchart!$S$24*(AllocationMass!$F$24/100)/Unitflowchart!$S$357*(BargeTransport!V15)*Unitflowchart!$S$43</f>
        <v>0</v>
      </c>
      <c r="I128" s="14">
        <f>(H128/H$347)*100</f>
        <v>0</v>
      </c>
      <c r="J128" s="722">
        <f>Unitflowchart!$S$24*(AllocationMass!$F$24/100)/Unitflowchart!$S$357*(BargeTransport!W15)*Unitflowchart!$S$43</f>
        <v>0</v>
      </c>
      <c r="K128" s="717">
        <f>Unitflowchart!$S$24*(AllocationMass!$F$24/100)/Unitflowchart!$S$357*(BargeTransport!AB15)*Unitflowchart!$S$43</f>
        <v>0</v>
      </c>
      <c r="L128" s="14">
        <f>(K128/K$347)*100</f>
        <v>0</v>
      </c>
      <c r="M128" s="722">
        <f>Unitflowchart!$S$24*(AllocationMass!$F$24/100)/Unitflowchart!$S$357*(BargeTransport!AC15)*Unitflowchart!$S$43</f>
        <v>0</v>
      </c>
      <c r="N128" s="714">
        <f>E128+(GlobalWarmingPotentials!$B$11*H128)+(GlobalWarmingPotentials!$C$11*K128)</f>
        <v>0</v>
      </c>
      <c r="O128" s="14">
        <f>(N128/N$347)*100</f>
        <v>0</v>
      </c>
      <c r="P128" s="739">
        <f>SQRT((G128^2)+((GlobalWarmingPotentials!$B$11*J128)^2)+((GlobalWarmingPotentials!$C$11*M128)^2))</f>
        <v>0</v>
      </c>
    </row>
    <row r="129" spans="1:16" x14ac:dyDescent="0.25">
      <c r="B129" s="712"/>
      <c r="C129" s="24"/>
      <c r="D129" s="721"/>
      <c r="E129" s="718"/>
      <c r="F129" s="24"/>
      <c r="G129" s="718"/>
      <c r="H129" s="30"/>
      <c r="I129" s="24"/>
      <c r="J129" s="708"/>
      <c r="K129" s="30"/>
      <c r="L129" s="24"/>
      <c r="M129" s="708"/>
      <c r="N129" s="712"/>
      <c r="O129" s="24"/>
      <c r="P129" s="721"/>
    </row>
    <row r="130" spans="1:16" x14ac:dyDescent="0.25">
      <c r="A130" s="384" t="s">
        <v>848</v>
      </c>
      <c r="B130" s="712"/>
      <c r="C130" s="24"/>
      <c r="D130" s="721"/>
      <c r="E130" s="718"/>
      <c r="F130" s="24"/>
      <c r="G130" s="718"/>
      <c r="H130" s="30"/>
      <c r="I130" s="24"/>
      <c r="J130" s="708"/>
      <c r="K130" s="30"/>
      <c r="L130" s="24"/>
      <c r="M130" s="708"/>
      <c r="N130" s="712"/>
      <c r="O130" s="24"/>
      <c r="P130" s="721"/>
    </row>
    <row r="131" spans="1:16" x14ac:dyDescent="0.25">
      <c r="B131" s="712"/>
      <c r="C131" s="24"/>
      <c r="D131" s="721"/>
      <c r="E131" s="718"/>
      <c r="F131" s="24"/>
      <c r="G131" s="718"/>
      <c r="H131" s="30"/>
      <c r="I131" s="24"/>
      <c r="J131" s="708"/>
      <c r="K131" s="30"/>
      <c r="L131" s="24"/>
      <c r="M131" s="708"/>
      <c r="N131" s="712"/>
      <c r="O131" s="24"/>
      <c r="P131" s="721"/>
    </row>
    <row r="132" spans="1:16" x14ac:dyDescent="0.25">
      <c r="A132" s="13" t="str">
        <f>ShipTransport!A11</f>
        <v xml:space="preserve"> - Marine Diesel</v>
      </c>
      <c r="B132" s="710">
        <f>Unitflowchart!$S$24*(AllocationMass!$F$24/100)/Unitflowchart!$S$357*(ShipTransport!J11)*Unitflowchart!$S$45</f>
        <v>0</v>
      </c>
      <c r="C132" s="24">
        <f>(B132/B$347)*100</f>
        <v>0</v>
      </c>
      <c r="D132" s="724">
        <f>Unitflowchart!$S$24*(AllocationMass!$F$24/100)/Unitflowchart!$S$357*(ShipTransport!K11)*Unitflowchart!$S$45</f>
        <v>0</v>
      </c>
      <c r="E132" s="726">
        <f>Unitflowchart!$S$24*(AllocationMass!$F$24/100)/Unitflowchart!$S$357*(ShipTransport!P11)*Unitflowchart!$S$45</f>
        <v>0</v>
      </c>
      <c r="F132" s="24">
        <f>(E132/E$347)*100</f>
        <v>0</v>
      </c>
      <c r="G132" s="726">
        <f>Unitflowchart!$S$24*(AllocationMass!$F$24/100)/Unitflowchart!$S$357*(ShipTransport!Q11)*Unitflowchart!$S$45</f>
        <v>0</v>
      </c>
      <c r="H132" s="707">
        <f>Unitflowchart!$S$24*(AllocationMass!$F$24/100)/Unitflowchart!$S$357*(ShipTransport!V11)*Unitflowchart!$S$45</f>
        <v>0</v>
      </c>
      <c r="I132" s="24">
        <f>(H132/H$347)*100</f>
        <v>0</v>
      </c>
      <c r="J132" s="709">
        <f>Unitflowchart!$S$24*(AllocationMass!$F$24/100)/Unitflowchart!$S$357*(ShipTransport!W11)*Unitflowchart!$S$45</f>
        <v>0</v>
      </c>
      <c r="K132" s="707">
        <f>Unitflowchart!$S$24*(AllocationMass!$F$24/100)/Unitflowchart!$S$357*(ShipTransport!AB11)*Unitflowchart!$S$45</f>
        <v>0</v>
      </c>
      <c r="L132" s="24">
        <f>(K132/K$347)*100</f>
        <v>0</v>
      </c>
      <c r="M132" s="709">
        <f>Unitflowchart!$S$24*(AllocationMass!$F$24/100)/Unitflowchart!$S$357*(ShipTransport!AC11)*Unitflowchart!$S$45</f>
        <v>0</v>
      </c>
      <c r="N132" s="710">
        <f>E132+(GlobalWarmingPotentials!$B$11*H132)+(GlobalWarmingPotentials!$C$11*K132)</f>
        <v>0</v>
      </c>
      <c r="O132" s="24">
        <f>(N132/N$347)*100</f>
        <v>0</v>
      </c>
      <c r="P132" s="724">
        <f>SQRT((G132^2)+((GlobalWarmingPotentials!$B$11*J132)^2)+((GlobalWarmingPotentials!$C$11*M132)^2))</f>
        <v>0</v>
      </c>
    </row>
    <row r="133" spans="1:16" x14ac:dyDescent="0.25">
      <c r="A133" s="13" t="str">
        <f>ShipTransport!A12</f>
        <v xml:space="preserve"> - Ship Construction</v>
      </c>
      <c r="B133" s="710">
        <f>Unitflowchart!$S$24*(AllocationMass!$F$24/100)/Unitflowchart!$S$357*(ShipTransport!J12)*Unitflowchart!$S$45</f>
        <v>0</v>
      </c>
      <c r="C133" s="24">
        <f>(B133/B$347)*100</f>
        <v>0</v>
      </c>
      <c r="D133" s="724">
        <f>Unitflowchart!$S$24*(AllocationMass!$F$24/100)/Unitflowchart!$S$357*(ShipTransport!K12)*Unitflowchart!$S$45</f>
        <v>0</v>
      </c>
      <c r="E133" s="726">
        <f>Unitflowchart!$S$24*(AllocationMass!$F$24/100)/Unitflowchart!$S$357*(ShipTransport!P12)*Unitflowchart!$S$45</f>
        <v>0</v>
      </c>
      <c r="F133" s="24">
        <f>(E133/E$347)*100</f>
        <v>0</v>
      </c>
      <c r="G133" s="726">
        <f>Unitflowchart!$S$24*(AllocationMass!$F$24/100)/Unitflowchart!$S$357*(ShipTransport!Q12)*Unitflowchart!$S$45</f>
        <v>0</v>
      </c>
      <c r="H133" s="707">
        <f>Unitflowchart!$S$24*(AllocationMass!$F$24/100)/Unitflowchart!$S$357*(ShipTransport!V12)*Unitflowchart!$S$45</f>
        <v>0</v>
      </c>
      <c r="I133" s="24">
        <f>(H133/H$347)*100</f>
        <v>0</v>
      </c>
      <c r="J133" s="709">
        <f>Unitflowchart!$S$24*(AllocationMass!$F$24/100)/Unitflowchart!$S$357*(ShipTransport!W12)*Unitflowchart!$S$45</f>
        <v>0</v>
      </c>
      <c r="K133" s="707">
        <f>Unitflowchart!$S$24*(AllocationMass!$F$24/100)/Unitflowchart!$S$357*(ShipTransport!AB12)*Unitflowchart!$S$45</f>
        <v>0</v>
      </c>
      <c r="L133" s="24">
        <f>(K133/K$347)*100</f>
        <v>0</v>
      </c>
      <c r="M133" s="709">
        <f>Unitflowchart!$S$24*(AllocationMass!$F$24/100)/Unitflowchart!$S$357*(ShipTransport!AC12)*Unitflowchart!$S$45</f>
        <v>0</v>
      </c>
      <c r="N133" s="710">
        <f>E133+(GlobalWarmingPotentials!$B$11*H133)+(GlobalWarmingPotentials!$C$11*K133)</f>
        <v>0</v>
      </c>
      <c r="O133" s="24">
        <f>(N133/N$347)*100</f>
        <v>0</v>
      </c>
      <c r="P133" s="724">
        <f>SQRT((G133^2)+((GlobalWarmingPotentials!$B$11*J133)^2)+((GlobalWarmingPotentials!$C$11*M133)^2))</f>
        <v>0</v>
      </c>
    </row>
    <row r="134" spans="1:16" x14ac:dyDescent="0.25">
      <c r="A134" s="13" t="str">
        <f>ShipTransport!A13</f>
        <v xml:space="preserve"> - Ship Maintenance</v>
      </c>
      <c r="B134" s="710">
        <f>Unitflowchart!$S$24*(AllocationMass!$F$24/100)/Unitflowchart!$S$357*(ShipTransport!J13)*Unitflowchart!$S$45</f>
        <v>0</v>
      </c>
      <c r="C134" s="24">
        <f>(B134/B$347)*100</f>
        <v>0</v>
      </c>
      <c r="D134" s="724">
        <f>Unitflowchart!$S$24*(AllocationMass!$F$24/100)/Unitflowchart!$S$357*(ShipTransport!K13)*Unitflowchart!$S$45</f>
        <v>0</v>
      </c>
      <c r="E134" s="726">
        <f>Unitflowchart!$S$24*(AllocationMass!$F$24/100)/Unitflowchart!$S$357*(ShipTransport!P13)*Unitflowchart!$S$45</f>
        <v>0</v>
      </c>
      <c r="F134" s="24">
        <f>(E134/E$347)*100</f>
        <v>0</v>
      </c>
      <c r="G134" s="726">
        <f>Unitflowchart!$S$24*(AllocationMass!$F$24/100)/Unitflowchart!$S$357*(ShipTransport!Q13)*Unitflowchart!$S$45</f>
        <v>0</v>
      </c>
      <c r="H134" s="707">
        <f>Unitflowchart!$S$24*(AllocationMass!$F$24/100)/Unitflowchart!$S$357*(ShipTransport!V13)*Unitflowchart!$S$45</f>
        <v>0</v>
      </c>
      <c r="I134" s="24">
        <f>(H134/H$347)*100</f>
        <v>0</v>
      </c>
      <c r="J134" s="709">
        <f>Unitflowchart!$S$24*(AllocationMass!$F$24/100)/Unitflowchart!$S$357*(ShipTransport!W13)*Unitflowchart!$S$45</f>
        <v>0</v>
      </c>
      <c r="K134" s="707">
        <f>Unitflowchart!$S$24*(AllocationMass!$F$24/100)/Unitflowchart!$S$357*(ShipTransport!AB13)*Unitflowchart!$S$45</f>
        <v>0</v>
      </c>
      <c r="L134" s="24">
        <f>(K134/K$347)*100</f>
        <v>0</v>
      </c>
      <c r="M134" s="709">
        <f>Unitflowchart!$S$24*(AllocationMass!$F$24/100)/Unitflowchart!$S$357*(ShipTransport!AC13)*Unitflowchart!$S$45</f>
        <v>0</v>
      </c>
      <c r="N134" s="710">
        <f>E134+(GlobalWarmingPotentials!$B$11*H134)+(GlobalWarmingPotentials!$C$11*K134)</f>
        <v>0</v>
      </c>
      <c r="O134" s="24">
        <f>(N134/N$347)*100</f>
        <v>0</v>
      </c>
      <c r="P134" s="724">
        <f>SQRT((G134^2)+((GlobalWarmingPotentials!$B$11*J134)^2)+((GlobalWarmingPotentials!$C$11*M134)^2))</f>
        <v>0</v>
      </c>
    </row>
    <row r="135" spans="1:16" s="42" customFormat="1" x14ac:dyDescent="0.25">
      <c r="A135" s="152"/>
      <c r="B135" s="713"/>
      <c r="C135" s="882"/>
      <c r="D135" s="719"/>
      <c r="E135" s="209"/>
      <c r="F135" s="882"/>
      <c r="G135" s="209"/>
      <c r="H135" s="495"/>
      <c r="I135" s="882"/>
      <c r="J135" s="889"/>
      <c r="K135" s="495"/>
      <c r="L135" s="882"/>
      <c r="M135" s="889"/>
      <c r="N135" s="713"/>
      <c r="O135" s="882"/>
      <c r="P135" s="719"/>
    </row>
    <row r="136" spans="1:16" s="6" customFormat="1" x14ac:dyDescent="0.25">
      <c r="A136" s="214" t="s">
        <v>849</v>
      </c>
      <c r="B136" s="717">
        <f>Unitflowchart!$S$24*(AllocationMass!$F$24/100)/Unitflowchart!$S$357*(ShipTransport!J15)*Unitflowchart!$S$45</f>
        <v>0</v>
      </c>
      <c r="C136" s="14">
        <f>(B136/B$347)*100</f>
        <v>0</v>
      </c>
      <c r="D136" s="722">
        <f>Unitflowchart!$S$24*(AllocationMass!$F$24/100)/Unitflowchart!$S$357*(ShipTransport!K15)*Unitflowchart!$S$45</f>
        <v>0</v>
      </c>
      <c r="E136" s="717">
        <f>Unitflowchart!$S$24*(AllocationMass!$F$24/100)/Unitflowchart!$S$357*(ShipTransport!P15)*Unitflowchart!$S$45</f>
        <v>0</v>
      </c>
      <c r="F136" s="14">
        <f>(E136/E$347)*100</f>
        <v>0</v>
      </c>
      <c r="G136" s="722">
        <f>Unitflowchart!$S$24*(AllocationMass!$F$24/100)/Unitflowchart!$S$357*(ShipTransport!Q15)*Unitflowchart!$S$45</f>
        <v>0</v>
      </c>
      <c r="H136" s="717">
        <f>Unitflowchart!$S$24*(AllocationMass!$F$24/100)/Unitflowchart!$S$357*(ShipTransport!V15)*Unitflowchart!$S$45</f>
        <v>0</v>
      </c>
      <c r="I136" s="14">
        <f>(H136/H$347)*100</f>
        <v>0</v>
      </c>
      <c r="J136" s="722">
        <f>Unitflowchart!$S$24*(AllocationMass!$F$24/100)/Unitflowchart!$S$357*(ShipTransport!W15)*Unitflowchart!$S$45</f>
        <v>0</v>
      </c>
      <c r="K136" s="717">
        <f>Unitflowchart!$S$24*(AllocationMass!$F$24/100)/Unitflowchart!$S$357*(ShipTransport!AB15)*Unitflowchart!$S$45</f>
        <v>0</v>
      </c>
      <c r="L136" s="14">
        <f>(K136/K$347)*100</f>
        <v>0</v>
      </c>
      <c r="M136" s="722">
        <f>Unitflowchart!$S$24*(AllocationMass!$F$24/100)/Unitflowchart!$S$357*(ShipTransport!AC15)*Unitflowchart!$S$45</f>
        <v>0</v>
      </c>
      <c r="N136" s="714">
        <f>E136+(GlobalWarmingPotentials!$B$11*H136)+(GlobalWarmingPotentials!$C$11*K136)</f>
        <v>0</v>
      </c>
      <c r="O136" s="14">
        <f>(N136/N$347)*100</f>
        <v>0</v>
      </c>
      <c r="P136" s="739">
        <f>SQRT((G136^2)+((GlobalWarmingPotentials!$B$11*J136)^2)+((GlobalWarmingPotentials!$C$11*M136)^2))</f>
        <v>0</v>
      </c>
    </row>
    <row r="137" spans="1:16" x14ac:dyDescent="0.25">
      <c r="B137" s="712"/>
      <c r="D137" s="721"/>
      <c r="E137" s="718"/>
      <c r="G137" s="718"/>
      <c r="H137" s="30"/>
      <c r="J137" s="708"/>
      <c r="K137" s="30"/>
      <c r="M137" s="708"/>
      <c r="N137" s="712"/>
      <c r="P137" s="721"/>
    </row>
    <row r="138" spans="1:16" x14ac:dyDescent="0.25">
      <c r="A138" s="214" t="s">
        <v>851</v>
      </c>
      <c r="B138" s="717">
        <f>B112+B120+B128+B136</f>
        <v>601.53586980511921</v>
      </c>
      <c r="C138" s="705">
        <f>(B138/B$347)*100</f>
        <v>3.1609997524787445</v>
      </c>
      <c r="D138" s="725">
        <f>SQRT((D112^2)+(D120^2)+(D128^2)+(D136^2))</f>
        <v>28.272185880840603</v>
      </c>
      <c r="E138" s="727">
        <f t="shared" ref="E138" si="24">E112+E120+E128+E136</f>
        <v>43.167066146313303</v>
      </c>
      <c r="F138" s="705">
        <f>(E138/E$347)*100</f>
        <v>3.6087155562006963</v>
      </c>
      <c r="G138" s="727">
        <f t="shared" ref="G138" si="25">SQRT((G112^2)+(G120^2)+(G128^2)+(G136^2))</f>
        <v>2.0288521088767251</v>
      </c>
      <c r="H138" s="706">
        <f t="shared" ref="H138" si="26">H112+H120+H128+H136</f>
        <v>8.969779978454712E-3</v>
      </c>
      <c r="I138" s="705">
        <f>(H138/H$347)*100</f>
        <v>0.50180898751023928</v>
      </c>
      <c r="J138" s="704">
        <f t="shared" ref="J138" si="27">SQRT((J112^2)+(J120^2)+(J128^2)+(J136^2))</f>
        <v>4.215796589873715E-4</v>
      </c>
      <c r="K138" s="706">
        <f t="shared" ref="K138" si="28">K112+K120+K128+K136</f>
        <v>1.166071397199113E-2</v>
      </c>
      <c r="L138" s="705">
        <f>(K138/K$347)*100</f>
        <v>0.64192933075856551</v>
      </c>
      <c r="M138" s="704">
        <f t="shared" ref="M138" si="29">SQRT((M112^2)+(M120^2)+(M128^2)+(M136^2))</f>
        <v>5.4805355668358297E-4</v>
      </c>
      <c r="N138" s="717">
        <f t="shared" ref="N138" si="30">N112+N120+N128+N136</f>
        <v>46.824942421527133</v>
      </c>
      <c r="O138" s="705">
        <f>(N138/N$347)*100</f>
        <v>2.6380419026056448</v>
      </c>
      <c r="P138" s="725">
        <f t="shared" ref="P138" si="31">SQRT((P112^2)+(P120^2)+(P128^2)+(P136^2))</f>
        <v>2.035350455563139</v>
      </c>
    </row>
    <row r="139" spans="1:16" x14ac:dyDescent="0.25">
      <c r="B139" s="712"/>
      <c r="D139" s="721"/>
      <c r="E139" s="718"/>
      <c r="G139" s="718"/>
      <c r="H139" s="30"/>
      <c r="J139" s="708"/>
      <c r="K139" s="30"/>
      <c r="M139" s="708"/>
      <c r="N139" s="712"/>
      <c r="P139" s="721"/>
    </row>
    <row r="140" spans="1:16" x14ac:dyDescent="0.25">
      <c r="A140" s="384" t="s">
        <v>42</v>
      </c>
      <c r="B140" s="712"/>
      <c r="D140" s="721"/>
      <c r="E140" s="718"/>
      <c r="G140" s="718"/>
      <c r="H140" s="30"/>
      <c r="J140" s="708"/>
      <c r="K140" s="30"/>
      <c r="M140" s="708"/>
      <c r="N140" s="712"/>
      <c r="P140" s="721"/>
    </row>
    <row r="141" spans="1:16" x14ac:dyDescent="0.25">
      <c r="B141" s="712"/>
      <c r="D141" s="721"/>
      <c r="E141" s="718"/>
      <c r="G141" s="718"/>
      <c r="H141" s="30"/>
      <c r="J141" s="708"/>
      <c r="K141" s="30"/>
      <c r="M141" s="708"/>
      <c r="N141" s="712"/>
      <c r="P141" s="721"/>
    </row>
    <row r="142" spans="1:16" x14ac:dyDescent="0.25">
      <c r="A142" t="str">
        <f>RoadTransportStage2!A28</f>
        <v xml:space="preserve"> - Diesel Fuel</v>
      </c>
      <c r="B142" s="715">
        <f>Unitflowchart!$S$51*(AllocationMass!$F$24/100)/Unitflowchart!$S$357*(RoadTransportStage2!J35)*Unitflowchart!$S$60</f>
        <v>0</v>
      </c>
      <c r="C142" s="25">
        <f>(B142/B$347)*100</f>
        <v>0</v>
      </c>
      <c r="D142" s="481">
        <f>Unitflowchart!$S$51*(AllocationMass!$F$24/100)/Unitflowchart!$S$357*(RoadTransportStage2!K35)*Unitflowchart!$S$60</f>
        <v>0</v>
      </c>
      <c r="E142" s="715">
        <f>Unitflowchart!$S$51*(AllocationMass!$F$24/100)/Unitflowchart!$S$357*(RoadTransportStage2!P35)*Unitflowchart!$S$60</f>
        <v>0</v>
      </c>
      <c r="F142" s="25">
        <f>(E142/E$347)*100</f>
        <v>0</v>
      </c>
      <c r="G142" s="481">
        <f>Unitflowchart!$S$51*(AllocationMass!$F$24/100)/Unitflowchart!$S$357*(RoadTransportStage2!Q35)*Unitflowchart!$S$60</f>
        <v>0</v>
      </c>
      <c r="H142" s="730">
        <f>Unitflowchart!$S$51*(AllocationMass!$F$24/100)/Unitflowchart!$S$357*(RoadTransportStage2!V35)*Unitflowchart!$S$60</f>
        <v>0</v>
      </c>
      <c r="I142" s="25">
        <f>(H142/H$347)*100</f>
        <v>0</v>
      </c>
      <c r="J142" s="732">
        <f>Unitflowchart!$S$51*(AllocationMass!$F$24/100)/Unitflowchart!$S$357*(RoadTransportStage2!W35)*Unitflowchart!$S$60</f>
        <v>0</v>
      </c>
      <c r="K142" s="730">
        <f>Unitflowchart!$S$51*(AllocationMass!$F$24/100)/Unitflowchart!$S$357*(RoadTransportStage2!AB35)*Unitflowchart!$S$60</f>
        <v>0</v>
      </c>
      <c r="L142" s="25">
        <f>(K142/K$347)*100</f>
        <v>0</v>
      </c>
      <c r="M142" s="732">
        <f>Unitflowchart!$S$51*(AllocationMass!$F$24/100)/Unitflowchart!$S$357*(RoadTransportStage2!AC35)*Unitflowchart!$S$60</f>
        <v>0</v>
      </c>
      <c r="N142" s="711">
        <f>E142+(GlobalWarmingPotentials!$B$11*H142)+(GlobalWarmingPotentials!$C$11*K142)</f>
        <v>0</v>
      </c>
      <c r="O142" s="25">
        <f>(N142/N$347)*100</f>
        <v>0</v>
      </c>
      <c r="P142" s="736">
        <f>SQRT((G142^2)+((GlobalWarmingPotentials!$B$11*J142)^2)+((GlobalWarmingPotentials!$C$11*M142)^2))</f>
        <v>0</v>
      </c>
    </row>
    <row r="143" spans="1:16" x14ac:dyDescent="0.25">
      <c r="A143" t="str">
        <f>RoadTransportStage2!A29</f>
        <v xml:space="preserve"> - Vehicle </v>
      </c>
      <c r="B143" s="715">
        <f>Unitflowchart!$S$51*(AllocationMass!$F$24/100)/Unitflowchart!$S$357*(RoadTransportStage2!J36)*Unitflowchart!$S$60</f>
        <v>0</v>
      </c>
      <c r="C143" s="25">
        <f>(B143/B$347)*100</f>
        <v>0</v>
      </c>
      <c r="D143" s="481">
        <f>Unitflowchart!$S$51*(AllocationMass!$F$24/100)/Unitflowchart!$S$357*(RoadTransportStage2!K36)*Unitflowchart!$S$60</f>
        <v>0</v>
      </c>
      <c r="E143" s="715">
        <f>Unitflowchart!$S$51*(AllocationMass!$F$24/100)/Unitflowchart!$S$357*(RoadTransportStage2!P36)*Unitflowchart!$S$60</f>
        <v>0</v>
      </c>
      <c r="F143" s="25">
        <f>(E143/E$347)*100</f>
        <v>0</v>
      </c>
      <c r="G143" s="481">
        <f>Unitflowchart!$S$51*(AllocationMass!$F$24/100)/Unitflowchart!$S$357*(RoadTransportStage2!Q36)*Unitflowchart!$S$60</f>
        <v>0</v>
      </c>
      <c r="H143" s="730">
        <f>Unitflowchart!$S$51*(AllocationMass!$F$24/100)/Unitflowchart!$S$357*(RoadTransportStage2!V36)*Unitflowchart!$S$60</f>
        <v>0</v>
      </c>
      <c r="I143" s="25">
        <f>(H143/H$347)*100</f>
        <v>0</v>
      </c>
      <c r="J143" s="732">
        <f>Unitflowchart!$S$51*(AllocationMass!$F$24/100)/Unitflowchart!$S$357*(RoadTransportStage2!W36)*Unitflowchart!$S$60</f>
        <v>0</v>
      </c>
      <c r="K143" s="730">
        <f>Unitflowchart!$S$51*(AllocationMass!$F$24/100)/Unitflowchart!$S$357*(RoadTransportStage2!AB36)*Unitflowchart!$S$60</f>
        <v>0</v>
      </c>
      <c r="L143" s="25">
        <f>(K143/K$347)*100</f>
        <v>0</v>
      </c>
      <c r="M143" s="732">
        <f>Unitflowchart!$S$51*(AllocationMass!$F$24/100)/Unitflowchart!$S$357*(RoadTransportStage2!AC36)*Unitflowchart!$S$60</f>
        <v>0</v>
      </c>
      <c r="N143" s="711">
        <f>E143+(GlobalWarmingPotentials!$B$11*H143)+(GlobalWarmingPotentials!$C$11*K143)</f>
        <v>0</v>
      </c>
      <c r="O143" s="25">
        <f>(N143/N$347)*100</f>
        <v>0</v>
      </c>
      <c r="P143" s="736">
        <f>SQRT((G143^2)+((GlobalWarmingPotentials!$B$11*J143)^2)+((GlobalWarmingPotentials!$C$11*M143)^2))</f>
        <v>0</v>
      </c>
    </row>
    <row r="144" spans="1:16" x14ac:dyDescent="0.25">
      <c r="A144" t="str">
        <f>RoadTransportStage2!A30</f>
        <v xml:space="preserve"> - Maintenance</v>
      </c>
      <c r="B144" s="715">
        <f>Unitflowchart!$S$51*(AllocationMass!$F$24/100)/Unitflowchart!$S$357*(RoadTransportStage2!J37)*Unitflowchart!$S$60</f>
        <v>0</v>
      </c>
      <c r="C144" s="25">
        <f>(B144/B$347)*100</f>
        <v>0</v>
      </c>
      <c r="D144" s="481">
        <f>Unitflowchart!$S$51*(AllocationMass!$F$24/100)/Unitflowchart!$S$357*(RoadTransportStage2!K37)*Unitflowchart!$S$60</f>
        <v>0</v>
      </c>
      <c r="E144" s="715">
        <f>Unitflowchart!$S$51*(AllocationMass!$F$24/100)/Unitflowchart!$S$357*(RoadTransportStage2!P37)*Unitflowchart!$S$60</f>
        <v>0</v>
      </c>
      <c r="F144" s="25">
        <f>(E144/E$347)*100</f>
        <v>0</v>
      </c>
      <c r="G144" s="481">
        <f>Unitflowchart!$S$51*(AllocationMass!$F$24/100)/Unitflowchart!$S$357*(RoadTransportStage2!Q37)*Unitflowchart!$S$60</f>
        <v>0</v>
      </c>
      <c r="H144" s="730">
        <f>Unitflowchart!$S$51*(AllocationMass!$F$24/100)/Unitflowchart!$S$357*(RoadTransportStage2!V37)*Unitflowchart!$S$60</f>
        <v>0</v>
      </c>
      <c r="I144" s="25">
        <f>(H144/H$347)*100</f>
        <v>0</v>
      </c>
      <c r="J144" s="732">
        <f>Unitflowchart!$S$51*(AllocationMass!$F$24/100)/Unitflowchart!$S$357*(RoadTransportStage2!W37)*Unitflowchart!$S$60</f>
        <v>0</v>
      </c>
      <c r="K144" s="730">
        <f>Unitflowchart!$S$51*(AllocationMass!$F$24/100)/Unitflowchart!$S$357*(RoadTransportStage2!AB37)*Unitflowchart!$S$60</f>
        <v>0</v>
      </c>
      <c r="L144" s="25">
        <f>(K144/K$347)*100</f>
        <v>0</v>
      </c>
      <c r="M144" s="732">
        <f>Unitflowchart!$S$51*(AllocationMass!$F$24/100)/Unitflowchart!$S$357*(RoadTransportStage2!AC37)*Unitflowchart!$S$60</f>
        <v>0</v>
      </c>
      <c r="N144" s="711">
        <f>E144+(GlobalWarmingPotentials!$B$11*H144)+(GlobalWarmingPotentials!$C$11*K144)</f>
        <v>0</v>
      </c>
      <c r="O144" s="25">
        <f>(N144/N$347)*100</f>
        <v>0</v>
      </c>
      <c r="P144" s="736">
        <f>SQRT((G144^2)+((GlobalWarmingPotentials!$B$11*J144)^2)+((GlobalWarmingPotentials!$C$11*M144)^2))</f>
        <v>0</v>
      </c>
    </row>
    <row r="145" spans="1:16" s="42" customFormat="1" x14ac:dyDescent="0.25">
      <c r="B145" s="746"/>
      <c r="C145" s="863"/>
      <c r="D145" s="759"/>
      <c r="E145" s="746"/>
      <c r="F145" s="863"/>
      <c r="G145" s="759"/>
      <c r="H145" s="763"/>
      <c r="I145" s="863"/>
      <c r="J145" s="764"/>
      <c r="K145" s="763"/>
      <c r="L145" s="863"/>
      <c r="M145" s="764"/>
      <c r="N145" s="713"/>
      <c r="O145" s="863"/>
      <c r="P145" s="738"/>
    </row>
    <row r="146" spans="1:16" x14ac:dyDescent="0.25">
      <c r="A146" s="21" t="s">
        <v>844</v>
      </c>
      <c r="B146" s="714">
        <f>Unitflowchart!$S$51*(AllocationMass!$F$24/100)/Unitflowchart!$S$357*(RoadTransportStage2!J39)*Unitflowchart!$S$60</f>
        <v>0</v>
      </c>
      <c r="C146" s="14">
        <f>(B146/B$347)*100</f>
        <v>0</v>
      </c>
      <c r="D146" s="722">
        <f>Unitflowchart!$S$51*(AllocationMass!$F$24/100)/Unitflowchart!$S$357*(RoadTransportStage2!K39)*Unitflowchart!$S$60</f>
        <v>0</v>
      </c>
      <c r="E146" s="714">
        <f>Unitflowchart!$S$51*(AllocationMass!$F$24/100)/Unitflowchart!$S$357*(RoadTransportStage2!P39)*Unitflowchart!$S$60</f>
        <v>0</v>
      </c>
      <c r="F146" s="14">
        <f>(E146/E$347)*100</f>
        <v>0</v>
      </c>
      <c r="G146" s="722">
        <f>Unitflowchart!$S$51*(AllocationMass!$F$24/100)/Unitflowchart!$S$357*(RoadTransportStage2!Q39)*Unitflowchart!$S$60</f>
        <v>0</v>
      </c>
      <c r="H146" s="211">
        <f>Unitflowchart!$S$51*(AllocationMass!$F$24/100)/Unitflowchart!$S$357*(RoadTransportStage2!V39)*Unitflowchart!$S$60</f>
        <v>0</v>
      </c>
      <c r="I146" s="14">
        <f>(H146/H$347)*100</f>
        <v>0</v>
      </c>
      <c r="J146" s="212">
        <f>Unitflowchart!$S$51*(AllocationMass!$F$24/100)/Unitflowchart!$S$357*(RoadTransportStage2!W39)*Unitflowchart!$S$60</f>
        <v>0</v>
      </c>
      <c r="K146" s="211">
        <f>Unitflowchart!$S$51*(AllocationMass!$F$24/100)/Unitflowchart!$S$357*(RoadTransportStage2!AB39)*Unitflowchart!$S$60</f>
        <v>0</v>
      </c>
      <c r="L146" s="14">
        <f>(K146/K$347)*100</f>
        <v>0</v>
      </c>
      <c r="M146" s="212">
        <f>Unitflowchart!$S$51*(AllocationMass!$F$24/100)/Unitflowchart!$S$357*(RoadTransportStage2!AC39)*Unitflowchart!$S$60</f>
        <v>0</v>
      </c>
      <c r="N146" s="714">
        <f>E146+(GlobalWarmingPotentials!$B$11*H146)+(GlobalWarmingPotentials!$C$11*K146)</f>
        <v>0</v>
      </c>
      <c r="O146" s="14">
        <f>(N146/N$347)*100</f>
        <v>0</v>
      </c>
      <c r="P146" s="739">
        <f>SQRT((G146^2)+((GlobalWarmingPotentials!$B$11*J146)^2)+((GlobalWarmingPotentials!$C$11*M146)^2))</f>
        <v>0</v>
      </c>
    </row>
    <row r="147" spans="1:16" s="208" customFormat="1" x14ac:dyDescent="0.25">
      <c r="A147" s="755"/>
      <c r="B147" s="743"/>
      <c r="C147" s="753"/>
      <c r="D147" s="758"/>
      <c r="E147" s="743"/>
      <c r="F147" s="753"/>
      <c r="G147" s="758"/>
      <c r="H147" s="745"/>
      <c r="I147" s="753"/>
      <c r="J147" s="762"/>
      <c r="K147" s="745"/>
      <c r="L147" s="753"/>
      <c r="M147" s="762"/>
      <c r="N147" s="743"/>
      <c r="O147" s="753"/>
      <c r="P147" s="767"/>
    </row>
    <row r="148" spans="1:16" s="208" customFormat="1" x14ac:dyDescent="0.25">
      <c r="A148" s="384" t="s">
        <v>856</v>
      </c>
      <c r="B148" s="746"/>
      <c r="C148" s="744"/>
      <c r="D148" s="759"/>
      <c r="E148" s="746"/>
      <c r="F148" s="744"/>
      <c r="G148" s="759"/>
      <c r="H148" s="763"/>
      <c r="I148" s="744"/>
      <c r="J148" s="764"/>
      <c r="K148" s="763"/>
      <c r="L148" s="744"/>
      <c r="M148" s="764"/>
      <c r="N148" s="746"/>
      <c r="O148" s="744"/>
      <c r="P148" s="768"/>
    </row>
    <row r="149" spans="1:16" s="208" customFormat="1" x14ac:dyDescent="0.25">
      <c r="A149"/>
      <c r="B149" s="746"/>
      <c r="C149" s="744"/>
      <c r="D149" s="759"/>
      <c r="E149" s="746"/>
      <c r="F149" s="744"/>
      <c r="G149" s="759"/>
      <c r="H149" s="763"/>
      <c r="I149" s="744"/>
      <c r="J149" s="764"/>
      <c r="K149" s="763"/>
      <c r="L149" s="744"/>
      <c r="M149" s="764"/>
      <c r="N149" s="746"/>
      <c r="O149" s="744"/>
      <c r="P149" s="768"/>
    </row>
    <row r="150" spans="1:16" s="208" customFormat="1" x14ac:dyDescent="0.25">
      <c r="A150" t="str">
        <f>RailTransport!A11</f>
        <v xml:space="preserve"> - Gas Oil</v>
      </c>
      <c r="B150" s="771">
        <f>Unitflowchart!$S$51*(AllocationMass!$F$24/100)/Unitflowchart!$S$357*(RailTransport!J11)*Unitflowchart!$S$62</f>
        <v>0</v>
      </c>
      <c r="C150" s="744">
        <f>(B150/B$347)*100</f>
        <v>0</v>
      </c>
      <c r="D150" s="772">
        <f>Unitflowchart!$S$51*(AllocationMass!$F$24/100)/Unitflowchart!$S$357*(RailTransport!K11)*Unitflowchart!$S$62</f>
        <v>0</v>
      </c>
      <c r="E150" s="771">
        <f>Unitflowchart!$S$51*(AllocationMass!$F$24/100)/Unitflowchart!$S$357*(RailTransport!P11)*Unitflowchart!$S$62</f>
        <v>0</v>
      </c>
      <c r="F150" s="744">
        <f>(E150/E$347)*100</f>
        <v>0</v>
      </c>
      <c r="G150" s="772">
        <f>Unitflowchart!$S$51*(AllocationMass!$F$24/100)/Unitflowchart!$S$357*(RailTransport!Q11)*Unitflowchart!$S$62</f>
        <v>0</v>
      </c>
      <c r="H150" s="773">
        <f>Unitflowchart!$S51*(AllocationMass!$F$24/100)/Unitflowchart!$S$357*(RailTransport!V11)*Unitflowchart!$S$62</f>
        <v>0</v>
      </c>
      <c r="I150" s="744">
        <f>(H150/H$347)*100</f>
        <v>0</v>
      </c>
      <c r="J150" s="774">
        <f>Unitflowchart!$S$51*(AllocationMass!$F$24/100)/Unitflowchart!$S$357*(RailTransport!W11)*Unitflowchart!$S$62</f>
        <v>0</v>
      </c>
      <c r="K150" s="773">
        <f>Unitflowchart!$S$51*(AllocationMass!$F$24/100)/Unitflowchart!$S$357*(RailTransport!AB11)*Unitflowchart!$S$62</f>
        <v>0</v>
      </c>
      <c r="L150" s="744">
        <f>(K150/K$347)*100</f>
        <v>0</v>
      </c>
      <c r="M150" s="774">
        <f>Unitflowchart!$S$51*(AllocationMass!$F$24/100)/Unitflowchart!$S$357*(RailTransport!AC11)*Unitflowchart!$S$62</f>
        <v>0</v>
      </c>
      <c r="N150" s="771">
        <f>E150+(GlobalWarmingPotentials!$B$11*H150)+(GlobalWarmingPotentials!$C$11*K150)</f>
        <v>0</v>
      </c>
      <c r="O150" s="744">
        <f>(N150/N$347)*100</f>
        <v>0</v>
      </c>
      <c r="P150" s="776">
        <f>SQRT((G150^2)+((GlobalWarmingPotentials!$B$11*J150)^2)+((GlobalWarmingPotentials!$C$11*M150)^2))</f>
        <v>0</v>
      </c>
    </row>
    <row r="151" spans="1:16" s="208" customFormat="1" x14ac:dyDescent="0.25">
      <c r="A151" t="str">
        <f>RailTransport!A12</f>
        <v xml:space="preserve"> - Capital Equipment</v>
      </c>
      <c r="B151" s="771">
        <f>Unitflowchart!$S$51*(AllocationMass!$F$24/100)/Unitflowchart!$S$357*(RailTransport!J12)*Unitflowchart!$S$62</f>
        <v>0</v>
      </c>
      <c r="C151" s="744">
        <f>(B151/B$347)*100</f>
        <v>0</v>
      </c>
      <c r="D151" s="772">
        <f>Unitflowchart!$S$51*(AllocationMass!$F$24/100)/Unitflowchart!$S$357*(RailTransport!K12)*Unitflowchart!$S$62</f>
        <v>0</v>
      </c>
      <c r="E151" s="771">
        <f>Unitflowchart!$S$51*(AllocationMass!$F$24/100)/Unitflowchart!$S$357*(RailTransport!P12)*Unitflowchart!$S$62</f>
        <v>0</v>
      </c>
      <c r="F151" s="744">
        <f>(E151/E$347)*100</f>
        <v>0</v>
      </c>
      <c r="G151" s="772">
        <f>Unitflowchart!$S$51*(AllocationMass!$F$24/100)/Unitflowchart!$S$357*(RailTransport!Q12)*Unitflowchart!$S$62</f>
        <v>0</v>
      </c>
      <c r="H151" s="773">
        <f>Unitflowchart!$S52*(AllocationMass!$F$24/100)/Unitflowchart!$S$357*(RailTransport!V12)*Unitflowchart!$S$62</f>
        <v>0</v>
      </c>
      <c r="I151" s="744">
        <f>(H151/H$347)*100</f>
        <v>0</v>
      </c>
      <c r="J151" s="774">
        <f>Unitflowchart!$S$51*(AllocationMass!$F$24/100)/Unitflowchart!$S$357*(RailTransport!W12)*Unitflowchart!$S$62</f>
        <v>0</v>
      </c>
      <c r="K151" s="773">
        <f>Unitflowchart!$S$51*(AllocationMass!$F$24/100)/Unitflowchart!$S$357*(RailTransport!AB12)*Unitflowchart!$S$62</f>
        <v>0</v>
      </c>
      <c r="L151" s="744">
        <f>(K151/K$347)*100</f>
        <v>0</v>
      </c>
      <c r="M151" s="774">
        <f>Unitflowchart!$S$51*(AllocationMass!$F$24/100)/Unitflowchart!$S$357*(RailTransport!AC12)*Unitflowchart!$S$62</f>
        <v>0</v>
      </c>
      <c r="N151" s="771">
        <f>E151+(GlobalWarmingPotentials!$B$11*H151)+(GlobalWarmingPotentials!$C$11*K151)</f>
        <v>0</v>
      </c>
      <c r="O151" s="744">
        <f>(N151/N$347)*100</f>
        <v>0</v>
      </c>
      <c r="P151" s="776">
        <f>SQRT((G151^2)+((GlobalWarmingPotentials!$B$11*J151)^2)+((GlobalWarmingPotentials!$C$11*M151)^2))</f>
        <v>0</v>
      </c>
    </row>
    <row r="152" spans="1:16" s="208" customFormat="1" x14ac:dyDescent="0.25">
      <c r="A152" t="str">
        <f>RailTransport!A13</f>
        <v xml:space="preserve"> - Maintenance</v>
      </c>
      <c r="B152" s="771">
        <f>Unitflowchart!$S$51*(AllocationMass!$F$24/100)/Unitflowchart!$S$357*(RailTransport!J13)*Unitflowchart!$S$62</f>
        <v>0</v>
      </c>
      <c r="C152" s="744">
        <f>(B152/B$347)*100</f>
        <v>0</v>
      </c>
      <c r="D152" s="772">
        <f>Unitflowchart!$S$51*(AllocationMass!$F$24/100)/Unitflowchart!$S$357*(RailTransport!K13)*Unitflowchart!$S$62</f>
        <v>0</v>
      </c>
      <c r="E152" s="771">
        <f>Unitflowchart!$S$51*(AllocationMass!$F$24/100)/Unitflowchart!$S$357*(RailTransport!P13)*Unitflowchart!$S$62</f>
        <v>0</v>
      </c>
      <c r="F152" s="744">
        <f>(E152/E$347)*100</f>
        <v>0</v>
      </c>
      <c r="G152" s="772">
        <f>Unitflowchart!$S$51*(AllocationMass!$F$24/100)/Unitflowchart!$S$357*(RailTransport!Q13)*Unitflowchart!$S$62</f>
        <v>0</v>
      </c>
      <c r="H152" s="773">
        <f>Unitflowchart!$S53*(AllocationMass!$F$24/100)/Unitflowchart!$S$357*(RailTransport!V13)*Unitflowchart!$S$62</f>
        <v>0</v>
      </c>
      <c r="I152" s="744">
        <f>(H152/H$347)*100</f>
        <v>0</v>
      </c>
      <c r="J152" s="774">
        <f>Unitflowchart!$S$51*(AllocationMass!$F$24/100)/Unitflowchart!$S$357*(RailTransport!W13)*Unitflowchart!$S$62</f>
        <v>0</v>
      </c>
      <c r="K152" s="773">
        <f>Unitflowchart!$S$51*(AllocationMass!$F$24/100)/Unitflowchart!$S$357*(RailTransport!AB13)*Unitflowchart!$S$62</f>
        <v>0</v>
      </c>
      <c r="L152" s="744">
        <f>(K152/K$347)*100</f>
        <v>0</v>
      </c>
      <c r="M152" s="774">
        <f>Unitflowchart!$S$51*(AllocationMass!$F$24/100)/Unitflowchart!$S$357*(RailTransport!AC13)*Unitflowchart!$S$62</f>
        <v>0</v>
      </c>
      <c r="N152" s="771">
        <f>E152+(GlobalWarmingPotentials!$B$11*H152)+(GlobalWarmingPotentials!$C$11*K152)</f>
        <v>0</v>
      </c>
      <c r="O152" s="744">
        <f>(N152/N$347)*100</f>
        <v>0</v>
      </c>
      <c r="P152" s="776">
        <f>SQRT((G152^2)+((GlobalWarmingPotentials!$B$11*J152)^2)+((GlobalWarmingPotentials!$C$11*M152)^2))</f>
        <v>0</v>
      </c>
    </row>
    <row r="153" spans="1:16" s="208" customFormat="1" x14ac:dyDescent="0.25">
      <c r="A153" s="42"/>
      <c r="B153" s="746"/>
      <c r="C153" s="744"/>
      <c r="D153" s="759"/>
      <c r="E153" s="746"/>
      <c r="F153" s="744"/>
      <c r="G153" s="759"/>
      <c r="H153" s="763"/>
      <c r="I153" s="744"/>
      <c r="J153" s="764"/>
      <c r="K153" s="763"/>
      <c r="L153" s="744"/>
      <c r="M153" s="764"/>
      <c r="N153" s="746"/>
      <c r="O153" s="744"/>
      <c r="P153" s="768"/>
    </row>
    <row r="154" spans="1:16" s="208" customFormat="1" x14ac:dyDescent="0.25">
      <c r="A154" s="699" t="s">
        <v>857</v>
      </c>
      <c r="B154" s="777">
        <f>Unitflowchart!$S$51*(AllocationMass!$F$24/100)/Unitflowchart!$S$357*(RailTransport!J15)*Unitflowchart!$S$62</f>
        <v>0</v>
      </c>
      <c r="C154" s="769">
        <f>(B154/B$347)*100</f>
        <v>0</v>
      </c>
      <c r="D154" s="778">
        <f>Unitflowchart!$S$51*(AllocationMass!$F$24/100)/Unitflowchart!$S$357*(RailTransport!K15)*Unitflowchart!$S$62</f>
        <v>0</v>
      </c>
      <c r="E154" s="777">
        <f>Unitflowchart!$S$51*(AllocationMass!$F$24/100)/Unitflowchart!$S$357*(RailTransport!P15)*Unitflowchart!$S$62</f>
        <v>0</v>
      </c>
      <c r="F154" s="769">
        <f>(E154/E$347)*100</f>
        <v>0</v>
      </c>
      <c r="G154" s="778">
        <f>Unitflowchart!$S$51*(AllocationMass!$F$24/100)/Unitflowchart!$S$357*(RailTransport!Q15)*Unitflowchart!$S$62</f>
        <v>0</v>
      </c>
      <c r="H154" s="779">
        <f>Unitflowchart!$S55*(AllocationMass!$F$24/100)/Unitflowchart!$S$357*(RailTransport!V15)*Unitflowchart!$S$62</f>
        <v>0</v>
      </c>
      <c r="I154" s="769">
        <f>(H154/H$347)*100</f>
        <v>0</v>
      </c>
      <c r="J154" s="780">
        <f>Unitflowchart!$S$51*(AllocationMass!$F$24/100)/Unitflowchart!$S$357*(RailTransport!W15)*Unitflowchart!$S$62</f>
        <v>0</v>
      </c>
      <c r="K154" s="779">
        <f>Unitflowchart!$S$51*(AllocationMass!$F$24/100)/Unitflowchart!$S$357*(RailTransport!AB15)*Unitflowchart!$S$62</f>
        <v>0</v>
      </c>
      <c r="L154" s="769">
        <f>(K154/K$347)*100</f>
        <v>0</v>
      </c>
      <c r="M154" s="780">
        <f>Unitflowchart!$S$51*(AllocationMass!$F$24/100)/Unitflowchart!$S$357*(RailTransport!AC15)*Unitflowchart!$S$62</f>
        <v>0</v>
      </c>
      <c r="N154" s="777">
        <f>E154+(GlobalWarmingPotentials!$B$11*H154)+(GlobalWarmingPotentials!$C$11*K154)</f>
        <v>0</v>
      </c>
      <c r="O154" s="769">
        <f>(N154/N$347)*100</f>
        <v>0</v>
      </c>
      <c r="P154" s="781">
        <f>SQRT((G154^2)+((GlobalWarmingPotentials!$B$11*J154)^2)+((GlobalWarmingPotentials!$C$11*M154)^2))</f>
        <v>0</v>
      </c>
    </row>
    <row r="155" spans="1:16" s="208" customFormat="1" x14ac:dyDescent="0.25">
      <c r="A155" s="756"/>
      <c r="B155" s="746"/>
      <c r="C155" s="744"/>
      <c r="D155" s="759"/>
      <c r="E155" s="746"/>
      <c r="F155" s="744"/>
      <c r="G155" s="759"/>
      <c r="H155" s="763"/>
      <c r="I155" s="744"/>
      <c r="J155" s="764"/>
      <c r="K155" s="763"/>
      <c r="L155" s="744"/>
      <c r="M155" s="764"/>
      <c r="N155" s="746"/>
      <c r="O155" s="744"/>
      <c r="P155" s="768"/>
    </row>
    <row r="156" spans="1:16" s="208" customFormat="1" x14ac:dyDescent="0.25">
      <c r="A156" s="384" t="s">
        <v>858</v>
      </c>
      <c r="B156" s="746"/>
      <c r="C156" s="744"/>
      <c r="D156" s="759"/>
      <c r="E156" s="746"/>
      <c r="F156" s="744"/>
      <c r="G156" s="759"/>
      <c r="H156" s="763"/>
      <c r="I156" s="744"/>
      <c r="J156" s="764"/>
      <c r="K156" s="763"/>
      <c r="L156" s="744"/>
      <c r="M156" s="764"/>
      <c r="N156" s="746"/>
      <c r="O156" s="744"/>
      <c r="P156" s="768"/>
    </row>
    <row r="157" spans="1:16" s="208" customFormat="1" x14ac:dyDescent="0.25">
      <c r="A157"/>
      <c r="B157" s="746"/>
      <c r="C157" s="744"/>
      <c r="D157" s="759"/>
      <c r="E157" s="746"/>
      <c r="F157" s="744"/>
      <c r="G157" s="759"/>
      <c r="H157" s="763"/>
      <c r="I157" s="744"/>
      <c r="J157" s="764"/>
      <c r="K157" s="763"/>
      <c r="L157" s="744"/>
      <c r="M157" s="764"/>
      <c r="N157" s="746"/>
      <c r="O157" s="744"/>
      <c r="P157" s="768"/>
    </row>
    <row r="158" spans="1:16" s="208" customFormat="1" x14ac:dyDescent="0.25">
      <c r="A158" t="str">
        <f>BargeTransport!A11</f>
        <v xml:space="preserve"> - Marine Diesel</v>
      </c>
      <c r="B158" s="771">
        <f>Unitflowchart!$S$51*(AllocationMass!$F$24/100)/Unitflowchart!$S$357*(BargeTransport!J11)*Unitflowchart!$S$64</f>
        <v>0</v>
      </c>
      <c r="C158" s="744">
        <f>(B158/B$347)*100</f>
        <v>0</v>
      </c>
      <c r="D158" s="772">
        <f>Unitflowchart!$S$51*(AllocationMass!$F$24/100)/Unitflowchart!$S$357*(BargeTransport!K11)*Unitflowchart!$S$64</f>
        <v>0</v>
      </c>
      <c r="E158" s="771">
        <f>Unitflowchart!$S$51*(AllocationMass!$F$24/100)/Unitflowchart!$S$357*(BargeTransport!P11)*Unitflowchart!$S$64</f>
        <v>0</v>
      </c>
      <c r="F158" s="744">
        <f>(E158/E$347)*100</f>
        <v>0</v>
      </c>
      <c r="G158" s="772">
        <f>Unitflowchart!$S$51*(AllocationMass!$F$24/100)/Unitflowchart!$S$357*(BargeTransport!Q11)*Unitflowchart!$S$64</f>
        <v>0</v>
      </c>
      <c r="H158" s="773">
        <f>Unitflowchart!$S59*(AllocationMass!$F$24/100)/Unitflowchart!$S$357*(BargeTransport!V11)*Unitflowchart!$S$64</f>
        <v>0</v>
      </c>
      <c r="I158" s="744">
        <f>(H158/H$347)*100</f>
        <v>0</v>
      </c>
      <c r="J158" s="774">
        <f>Unitflowchart!$S$51*(AllocationMass!$F$24/100)/Unitflowchart!$S$357*(BargeTransport!W11)*Unitflowchart!$S$64</f>
        <v>0</v>
      </c>
      <c r="K158" s="773">
        <f>Unitflowchart!$S$51*(AllocationMass!$F$24/100)/Unitflowchart!$S$357*(BargeTransport!AB11)*Unitflowchart!$S$64</f>
        <v>0</v>
      </c>
      <c r="L158" s="744">
        <f>(K158/K$347)*100</f>
        <v>0</v>
      </c>
      <c r="M158" s="774">
        <f>Unitflowchart!$S$51*(AllocationMass!$F$24/100)/Unitflowchart!$S$357*(BargeTransport!AC11)*Unitflowchart!$S$64</f>
        <v>0</v>
      </c>
      <c r="N158" s="771">
        <f>E158+(GlobalWarmingPotentials!$B$11*H158)+(GlobalWarmingPotentials!$C$11*K158)</f>
        <v>0</v>
      </c>
      <c r="O158" s="744">
        <f>(N158/N$347)*100</f>
        <v>0</v>
      </c>
      <c r="P158" s="776">
        <f>SQRT((G158^2)+((GlobalWarmingPotentials!$B$11*J158)^2)+((GlobalWarmingPotentials!$C$11*M158)^2))</f>
        <v>0</v>
      </c>
    </row>
    <row r="159" spans="1:16" s="208" customFormat="1" x14ac:dyDescent="0.25">
      <c r="A159" t="str">
        <f>BargeTransport!A12</f>
        <v xml:space="preserve"> - Barge Construction</v>
      </c>
      <c r="B159" s="771">
        <f>Unitflowchart!$S$51*(AllocationMass!$F$24/100)/Unitflowchart!$S$357*(BargeTransport!J12)*Unitflowchart!$S$64</f>
        <v>0</v>
      </c>
      <c r="C159" s="744">
        <f>(B159/B$347)*100</f>
        <v>0</v>
      </c>
      <c r="D159" s="772">
        <f>Unitflowchart!$S$51*(AllocationMass!$F$24/100)/Unitflowchart!$S$357*(BargeTransport!K12)*Unitflowchart!$S$64</f>
        <v>0</v>
      </c>
      <c r="E159" s="771">
        <f>Unitflowchart!$S$51*(AllocationMass!$F$24/100)/Unitflowchart!$S$357*(BargeTransport!P12)*Unitflowchart!$S$64</f>
        <v>0</v>
      </c>
      <c r="F159" s="744">
        <f>(E159/E$347)*100</f>
        <v>0</v>
      </c>
      <c r="G159" s="772">
        <f>Unitflowchart!$S$51*(AllocationMass!$F$24/100)/Unitflowchart!$S$357*(BargeTransport!Q12)*Unitflowchart!$S$64</f>
        <v>0</v>
      </c>
      <c r="H159" s="773">
        <f>Unitflowchart!$S60*(AllocationMass!$F$24/100)/Unitflowchart!$S$357*(BargeTransport!V12)*Unitflowchart!$S$64</f>
        <v>0</v>
      </c>
      <c r="I159" s="744">
        <f>(H159/H$347)*100</f>
        <v>0</v>
      </c>
      <c r="J159" s="774">
        <f>Unitflowchart!$S$51*(AllocationMass!$F$24/100)/Unitflowchart!$S$357*(BargeTransport!W12)*Unitflowchart!$S$64</f>
        <v>0</v>
      </c>
      <c r="K159" s="773">
        <f>Unitflowchart!$S$51*(AllocationMass!$F$24/100)/Unitflowchart!$S$357*(BargeTransport!AB12)*Unitflowchart!$S$64</f>
        <v>0</v>
      </c>
      <c r="L159" s="744">
        <f>(K159/K$347)*100</f>
        <v>0</v>
      </c>
      <c r="M159" s="774">
        <f>Unitflowchart!$S$51*(AllocationMass!$F$24/100)/Unitflowchart!$S$357*(BargeTransport!AC12)*Unitflowchart!$S$64</f>
        <v>0</v>
      </c>
      <c r="N159" s="771">
        <f>E159+(GlobalWarmingPotentials!$B$11*H159)+(GlobalWarmingPotentials!$C$11*K159)</f>
        <v>0</v>
      </c>
      <c r="O159" s="744">
        <f>(N159/N$347)*100</f>
        <v>0</v>
      </c>
      <c r="P159" s="776">
        <f>SQRT((G159^2)+((GlobalWarmingPotentials!$B$11*J159)^2)+((GlobalWarmingPotentials!$C$11*M159)^2))</f>
        <v>0</v>
      </c>
    </row>
    <row r="160" spans="1:16" s="208" customFormat="1" x14ac:dyDescent="0.25">
      <c r="A160" t="str">
        <f>BargeTransport!A13</f>
        <v xml:space="preserve"> - Barge Maintenance</v>
      </c>
      <c r="B160" s="771">
        <f>Unitflowchart!$S$51*(AllocationMass!$F$24/100)/Unitflowchart!$S$357*(BargeTransport!J13)*Unitflowchart!$S$64</f>
        <v>0</v>
      </c>
      <c r="C160" s="744">
        <f>(B160/B$347)*100</f>
        <v>0</v>
      </c>
      <c r="D160" s="772">
        <f>Unitflowchart!$S$51*(AllocationMass!$F$24/100)/Unitflowchart!$S$357*(BargeTransport!K13)*Unitflowchart!$S$64</f>
        <v>0</v>
      </c>
      <c r="E160" s="771">
        <f>Unitflowchart!$S$51*(AllocationMass!$F$24/100)/Unitflowchart!$S$357*(BargeTransport!P13)*Unitflowchart!$S$64</f>
        <v>0</v>
      </c>
      <c r="F160" s="744">
        <f>(E160/E$347)*100</f>
        <v>0</v>
      </c>
      <c r="G160" s="772">
        <f>Unitflowchart!$S$51*(AllocationMass!$F$24/100)/Unitflowchart!$S$357*(BargeTransport!Q13)*Unitflowchart!$S$64</f>
        <v>0</v>
      </c>
      <c r="H160" s="773">
        <f>Unitflowchart!$S61*(AllocationMass!$F$24/100)/Unitflowchart!$S$357*(BargeTransport!V13)*Unitflowchart!$S$64</f>
        <v>0</v>
      </c>
      <c r="I160" s="744">
        <f>(H160/H$347)*100</f>
        <v>0</v>
      </c>
      <c r="J160" s="774">
        <f>Unitflowchart!$S$51*(AllocationMass!$F$24/100)/Unitflowchart!$S$357*(BargeTransport!W13)*Unitflowchart!$S$64</f>
        <v>0</v>
      </c>
      <c r="K160" s="773">
        <f>Unitflowchart!$S$51*(AllocationMass!$F$24/100)/Unitflowchart!$S$357*(BargeTransport!AB13)*Unitflowchart!$S$64</f>
        <v>0</v>
      </c>
      <c r="L160" s="744">
        <f>(K160/K$347)*100</f>
        <v>0</v>
      </c>
      <c r="M160" s="774">
        <f>Unitflowchart!$S$51*(AllocationMass!$F$24/100)/Unitflowchart!$S$357*(BargeTransport!AC13)*Unitflowchart!$S$64</f>
        <v>0</v>
      </c>
      <c r="N160" s="771">
        <f>E160+(GlobalWarmingPotentials!$B$11*H160)+(GlobalWarmingPotentials!$C$11*K160)</f>
        <v>0</v>
      </c>
      <c r="O160" s="744">
        <f>(N160/N$347)*100</f>
        <v>0</v>
      </c>
      <c r="P160" s="776">
        <f>SQRT((G160^2)+((GlobalWarmingPotentials!$B$11*J160)^2)+((GlobalWarmingPotentials!$C$11*M160)^2))</f>
        <v>0</v>
      </c>
    </row>
    <row r="161" spans="1:17" s="208" customFormat="1" x14ac:dyDescent="0.25">
      <c r="A161" s="42"/>
      <c r="B161" s="746"/>
      <c r="C161" s="744"/>
      <c r="D161" s="759"/>
      <c r="E161" s="746"/>
      <c r="F161" s="744"/>
      <c r="G161" s="759"/>
      <c r="H161" s="763"/>
      <c r="I161" s="744"/>
      <c r="J161" s="764"/>
      <c r="K161" s="763"/>
      <c r="L161" s="744"/>
      <c r="M161" s="764"/>
      <c r="N161" s="746"/>
      <c r="O161" s="744"/>
      <c r="P161" s="768"/>
    </row>
    <row r="162" spans="1:17" s="208" customFormat="1" x14ac:dyDescent="0.25">
      <c r="A162" s="699" t="s">
        <v>859</v>
      </c>
      <c r="B162" s="777">
        <f>Unitflowchart!$S$51*(AllocationMass!$F$24/100)/Unitflowchart!$S$357*(BargeTransport!J15)*Unitflowchart!$S$64</f>
        <v>0</v>
      </c>
      <c r="C162" s="769">
        <f>(B162/B$347)*100</f>
        <v>0</v>
      </c>
      <c r="D162" s="778">
        <f>Unitflowchart!$S$51*(AllocationMass!$F$24/100)/Unitflowchart!$S$357*(BargeTransport!K15)*Unitflowchart!$S$64</f>
        <v>0</v>
      </c>
      <c r="E162" s="777">
        <f>Unitflowchart!$S$51*(AllocationMass!$F$24/100)/Unitflowchart!$S$357*(BargeTransport!P15)*Unitflowchart!$S$64</f>
        <v>0</v>
      </c>
      <c r="F162" s="769">
        <f>(E162/E$347)*100</f>
        <v>0</v>
      </c>
      <c r="G162" s="778">
        <f>Unitflowchart!$S$51*(AllocationMass!$F$24/100)/Unitflowchart!$S$357*(BargeTransport!Q15)*Unitflowchart!$S$64</f>
        <v>0</v>
      </c>
      <c r="H162" s="779">
        <f>Unitflowchart!$S63*(AllocationMass!$F$24/100)/Unitflowchart!$S$357*(BargeTransport!V15)*Unitflowchart!$S$64</f>
        <v>0</v>
      </c>
      <c r="I162" s="769">
        <f>(H162/H$347)*100</f>
        <v>0</v>
      </c>
      <c r="J162" s="780">
        <f>Unitflowchart!$S$51*(AllocationMass!$F$24/100)/Unitflowchart!$S$357*(BargeTransport!W15)*Unitflowchart!$S$64</f>
        <v>0</v>
      </c>
      <c r="K162" s="779">
        <f>Unitflowchart!$S$51*(AllocationMass!$F$24/100)/Unitflowchart!$S$357*(BargeTransport!AB15)*Unitflowchart!$S$64</f>
        <v>0</v>
      </c>
      <c r="L162" s="769">
        <f>(K162/K$347)*100</f>
        <v>0</v>
      </c>
      <c r="M162" s="780">
        <f>Unitflowchart!$S$51*(AllocationMass!$F$24/100)/Unitflowchart!$S$357*(BargeTransport!AC15)*Unitflowchart!$S$64</f>
        <v>0</v>
      </c>
      <c r="N162" s="777">
        <f>E162+(GlobalWarmingPotentials!$B$11*H162)+(GlobalWarmingPotentials!$C$11*K162)</f>
        <v>0</v>
      </c>
      <c r="O162" s="769">
        <f>(N162/N$347)*100</f>
        <v>0</v>
      </c>
      <c r="P162" s="781">
        <f>SQRT((G162^2)+((GlobalWarmingPotentials!$B$11*J162)^2)+((GlobalWarmingPotentials!$C$11*M162)^2))</f>
        <v>0</v>
      </c>
    </row>
    <row r="163" spans="1:17" s="208" customFormat="1" x14ac:dyDescent="0.25">
      <c r="A163" s="756"/>
      <c r="B163" s="746"/>
      <c r="C163" s="744"/>
      <c r="D163" s="759"/>
      <c r="E163" s="746"/>
      <c r="F163" s="744"/>
      <c r="G163" s="759"/>
      <c r="H163" s="763"/>
      <c r="I163" s="744"/>
      <c r="J163" s="764"/>
      <c r="K163" s="763"/>
      <c r="L163" s="744"/>
      <c r="M163" s="764"/>
      <c r="N163" s="746"/>
      <c r="O163" s="744"/>
      <c r="P163" s="768"/>
    </row>
    <row r="164" spans="1:17" s="208" customFormat="1" x14ac:dyDescent="0.25">
      <c r="A164" s="384" t="s">
        <v>860</v>
      </c>
      <c r="B164" s="746"/>
      <c r="C164" s="744"/>
      <c r="D164" s="759"/>
      <c r="E164" s="746"/>
      <c r="F164" s="744"/>
      <c r="G164" s="759"/>
      <c r="H164" s="763"/>
      <c r="I164" s="744"/>
      <c r="J164" s="764"/>
      <c r="K164" s="763"/>
      <c r="L164" s="744"/>
      <c r="M164" s="764"/>
      <c r="N164" s="746"/>
      <c r="O164" s="744"/>
      <c r="P164" s="768"/>
    </row>
    <row r="165" spans="1:17" s="208" customFormat="1" x14ac:dyDescent="0.25">
      <c r="A165"/>
      <c r="B165" s="746"/>
      <c r="C165" s="744"/>
      <c r="D165" s="759"/>
      <c r="E165" s="746"/>
      <c r="F165" s="744"/>
      <c r="G165" s="759"/>
      <c r="H165" s="763"/>
      <c r="I165" s="744"/>
      <c r="J165" s="764"/>
      <c r="K165" s="763"/>
      <c r="L165" s="744"/>
      <c r="M165" s="764"/>
      <c r="N165" s="746"/>
      <c r="O165" s="744"/>
      <c r="P165" s="768"/>
    </row>
    <row r="166" spans="1:17" s="208" customFormat="1" x14ac:dyDescent="0.25">
      <c r="A166" t="str">
        <f>ShipTransport!A11</f>
        <v xml:space="preserve"> - Marine Diesel</v>
      </c>
      <c r="B166" s="771">
        <f>Unitflowchart!$S$51*(AllocationMass!$F$24/100)/Unitflowchart!$S$357*(ShipTransport!J11)*Unitflowchart!$S$66</f>
        <v>0</v>
      </c>
      <c r="C166" s="744">
        <f>(B166/B$347)*100</f>
        <v>0</v>
      </c>
      <c r="D166" s="772">
        <f>Unitflowchart!$S$51*(AllocationMass!$F$24/100)/Unitflowchart!$S$357*(ShipTransport!K11)*Unitflowchart!$S$66</f>
        <v>0</v>
      </c>
      <c r="E166" s="771">
        <f>Unitflowchart!$S$51*(AllocationMass!$F$24/100)/Unitflowchart!$S$357*(ShipTransport!P11)*Unitflowchart!$S$66</f>
        <v>0</v>
      </c>
      <c r="F166" s="744">
        <v>0</v>
      </c>
      <c r="G166" s="772">
        <f>Unitflowchart!$S$51*(AllocationMass!$F$24/100)/Unitflowchart!$S$357*(ShipTransport!Q11)*Unitflowchart!$S$66</f>
        <v>0</v>
      </c>
      <c r="H166" s="773">
        <f>Unitflowchart!$S67*(AllocationMass!$F$24/100)/Unitflowchart!$S$357*(ShipTransport!V11)*Unitflowchart!$S$66</f>
        <v>0</v>
      </c>
      <c r="I166" s="744">
        <f>(H166/H$347)*100</f>
        <v>0</v>
      </c>
      <c r="J166" s="774">
        <f>Unitflowchart!$S$51*(AllocationMass!$F$24/100)/Unitflowchart!$S$357*(ShipTransport!W11)*Unitflowchart!$S$66</f>
        <v>0</v>
      </c>
      <c r="K166" s="773">
        <f>Unitflowchart!$S$51*(AllocationMass!$F$24/100)/Unitflowchart!$S$357*(ShipTransport!AB11)*Unitflowchart!$S$66</f>
        <v>0</v>
      </c>
      <c r="L166" s="744">
        <f>(K166/K$347)*100</f>
        <v>0</v>
      </c>
      <c r="M166" s="774">
        <f>Unitflowchart!$S$51*(AllocationMass!$F$24/100)/Unitflowchart!$S$357*(ShipTransport!AC11)*Unitflowchart!$S$66</f>
        <v>0</v>
      </c>
      <c r="N166" s="771">
        <f>E166+(GlobalWarmingPotentials!$B$11*H166)+(GlobalWarmingPotentials!$C$11*K166)</f>
        <v>0</v>
      </c>
      <c r="O166" s="744">
        <f>(N166/N$347)*100</f>
        <v>0</v>
      </c>
      <c r="P166" s="776">
        <f>SQRT((G166^2)+((GlobalWarmingPotentials!$B$11*J166)^2)+((GlobalWarmingPotentials!$C$11*M166)^2))</f>
        <v>0</v>
      </c>
    </row>
    <row r="167" spans="1:17" s="208" customFormat="1" x14ac:dyDescent="0.25">
      <c r="A167" t="str">
        <f>ShipTransport!A12</f>
        <v xml:space="preserve"> - Ship Construction</v>
      </c>
      <c r="B167" s="771">
        <f>Unitflowchart!$S$51*(AllocationMass!$F$24/100)/Unitflowchart!$S$357*(ShipTransport!J12)*Unitflowchart!$S$66</f>
        <v>0</v>
      </c>
      <c r="C167" s="744">
        <f>(B167/B$347)*100</f>
        <v>0</v>
      </c>
      <c r="D167" s="772">
        <f>Unitflowchart!$S$51*(AllocationMass!$F$24/100)/Unitflowchart!$S$357*(ShipTransport!K12)*Unitflowchart!$S$66</f>
        <v>0</v>
      </c>
      <c r="E167" s="771">
        <f>Unitflowchart!$S$51*(AllocationMass!$F$24/100)/Unitflowchart!$S$357*(ShipTransport!P12)*Unitflowchart!$S$66</f>
        <v>0</v>
      </c>
      <c r="F167" s="744">
        <v>1</v>
      </c>
      <c r="G167" s="772">
        <f>Unitflowchart!$S$51*(AllocationMass!$F$24/100)/Unitflowchart!$S$357*(ShipTransport!Q12)*Unitflowchart!$S$66</f>
        <v>0</v>
      </c>
      <c r="H167" s="773">
        <f>Unitflowchart!$S68*(AllocationMass!$F$24/100)/Unitflowchart!$S$357*(ShipTransport!V12)*Unitflowchart!$S$66</f>
        <v>0</v>
      </c>
      <c r="I167" s="744">
        <f>(H167/H$347)*100</f>
        <v>0</v>
      </c>
      <c r="J167" s="774">
        <f>Unitflowchart!$S$51*(AllocationMass!$F$24/100)/Unitflowchart!$S$357*(ShipTransport!W12)*Unitflowchart!$S$66</f>
        <v>0</v>
      </c>
      <c r="K167" s="773">
        <f>Unitflowchart!$S$51*(AllocationMass!$F$24/100)/Unitflowchart!$S$357*(ShipTransport!AB12)*Unitflowchart!$S$66</f>
        <v>0</v>
      </c>
      <c r="L167" s="744">
        <f>(K167/K$347)*100</f>
        <v>0</v>
      </c>
      <c r="M167" s="774">
        <f>Unitflowchart!$S$51*(AllocationMass!$F$24/100)/Unitflowchart!$S$357*(ShipTransport!AC12)*Unitflowchart!$S$66</f>
        <v>0</v>
      </c>
      <c r="N167" s="771">
        <f>E167+(GlobalWarmingPotentials!$B$11*H167)+(GlobalWarmingPotentials!$C$11*K167)</f>
        <v>0</v>
      </c>
      <c r="O167" s="744">
        <f>(N167/N$347)*100</f>
        <v>0</v>
      </c>
      <c r="P167" s="776">
        <f>SQRT((G167^2)+((GlobalWarmingPotentials!$B$11*J167)^2)+((GlobalWarmingPotentials!$C$11*M167)^2))</f>
        <v>0</v>
      </c>
    </row>
    <row r="168" spans="1:17" s="208" customFormat="1" x14ac:dyDescent="0.25">
      <c r="A168" t="str">
        <f>ShipTransport!A13</f>
        <v xml:space="preserve"> - Ship Maintenance</v>
      </c>
      <c r="B168" s="771">
        <f>Unitflowchart!$S$51*(AllocationMass!$F$24/100)/Unitflowchart!$S$357*(ShipTransport!J13)*Unitflowchart!$S$66</f>
        <v>0</v>
      </c>
      <c r="C168" s="744">
        <f>(B168/B$347)*100</f>
        <v>0</v>
      </c>
      <c r="D168" s="772">
        <f>Unitflowchart!$S$51*(AllocationMass!$F$24/100)/Unitflowchart!$S$357*(ShipTransport!K13)*Unitflowchart!$S$66</f>
        <v>0</v>
      </c>
      <c r="E168" s="771">
        <f>Unitflowchart!$S$51*(AllocationMass!$F$24/100)/Unitflowchart!$S$357*(ShipTransport!P13)*Unitflowchart!$S$66</f>
        <v>0</v>
      </c>
      <c r="F168" s="744">
        <v>2</v>
      </c>
      <c r="G168" s="772">
        <f>Unitflowchart!$S$51*(AllocationMass!$F$24/100)/Unitflowchart!$S$357*(ShipTransport!Q13)*Unitflowchart!$S$66</f>
        <v>0</v>
      </c>
      <c r="H168" s="773">
        <f>Unitflowchart!$S69*(AllocationMass!$F$24/100)/Unitflowchart!$S$357*(ShipTransport!V13)*Unitflowchart!$S$66</f>
        <v>0</v>
      </c>
      <c r="I168" s="744">
        <f>(H168/H$347)*100</f>
        <v>0</v>
      </c>
      <c r="J168" s="774">
        <f>Unitflowchart!$S$51*(AllocationMass!$F$24/100)/Unitflowchart!$S$357*(ShipTransport!W13)*Unitflowchart!$S$66</f>
        <v>0</v>
      </c>
      <c r="K168" s="773">
        <f>Unitflowchart!$S$51*(AllocationMass!$F$24/100)/Unitflowchart!$S$357*(ShipTransport!AB13)*Unitflowchart!$S$66</f>
        <v>0</v>
      </c>
      <c r="L168" s="744">
        <f>(K168/K$347)*100</f>
        <v>0</v>
      </c>
      <c r="M168" s="774">
        <f>Unitflowchart!$S$51*(AllocationMass!$F$24/100)/Unitflowchart!$S$357*(ShipTransport!AC13)*Unitflowchart!$S$66</f>
        <v>0</v>
      </c>
      <c r="N168" s="771">
        <f>E168+(GlobalWarmingPotentials!$B$11*H168)+(GlobalWarmingPotentials!$C$11*K168)</f>
        <v>0</v>
      </c>
      <c r="O168" s="744">
        <f>(N168/N$347)*100</f>
        <v>0</v>
      </c>
      <c r="P168" s="776">
        <f>SQRT((G168^2)+((GlobalWarmingPotentials!$B$11*J168)^2)+((GlobalWarmingPotentials!$C$11*M168)^2))</f>
        <v>0</v>
      </c>
    </row>
    <row r="169" spans="1:17" s="208" customFormat="1" x14ac:dyDescent="0.25">
      <c r="A169" s="42"/>
      <c r="B169" s="746"/>
      <c r="C169" s="744"/>
      <c r="D169" s="759"/>
      <c r="E169" s="746"/>
      <c r="F169" s="744"/>
      <c r="G169" s="759"/>
      <c r="H169" s="763"/>
      <c r="I169" s="744"/>
      <c r="J169" s="764"/>
      <c r="K169" s="763"/>
      <c r="L169" s="744"/>
      <c r="M169" s="764"/>
      <c r="N169" s="746"/>
      <c r="O169" s="744"/>
      <c r="P169" s="768"/>
    </row>
    <row r="170" spans="1:17" s="208" customFormat="1" x14ac:dyDescent="0.25">
      <c r="A170" s="699" t="s">
        <v>861</v>
      </c>
      <c r="B170" s="777">
        <f>Unitflowchart!$S$51*(AllocationMass!$F$24/100)/Unitflowchart!$S$357*(ShipTransport!J15)*Unitflowchart!$S$66</f>
        <v>0</v>
      </c>
      <c r="C170" s="769">
        <f>(B170/B$347)*100</f>
        <v>0</v>
      </c>
      <c r="D170" s="778">
        <f>Unitflowchart!$S$51*(AllocationMass!$F$24/100)/Unitflowchart!$S$357*(ShipTransport!K15)*Unitflowchart!$S$66</f>
        <v>0</v>
      </c>
      <c r="E170" s="777">
        <f>Unitflowchart!$S$51*(AllocationMass!$F$24/100)/Unitflowchart!$S$357*(ShipTransport!P15)*Unitflowchart!$S$66</f>
        <v>0</v>
      </c>
      <c r="F170" s="769">
        <v>4</v>
      </c>
      <c r="G170" s="778">
        <f>Unitflowchart!$S$51*(AllocationMass!$F$24/100)/Unitflowchart!$S$357*(ShipTransport!Q15)*Unitflowchart!$S$66</f>
        <v>0</v>
      </c>
      <c r="H170" s="779">
        <f>Unitflowchart!$S71*(AllocationMass!$F$24/100)/Unitflowchart!$S$357*(ShipTransport!V15)*Unitflowchart!$S$66</f>
        <v>0</v>
      </c>
      <c r="I170" s="769">
        <f>(H170/H$347)*100</f>
        <v>0</v>
      </c>
      <c r="J170" s="780">
        <f>Unitflowchart!$S$51*(AllocationMass!$F$24/100)/Unitflowchart!$S$357*(ShipTransport!W15)*Unitflowchart!$S$66</f>
        <v>0</v>
      </c>
      <c r="K170" s="779">
        <f>Unitflowchart!$S$51*(AllocationMass!$F$24/100)/Unitflowchart!$S$357*(ShipTransport!AB15)*Unitflowchart!$S$66</f>
        <v>0</v>
      </c>
      <c r="L170" s="769">
        <f>(K170/K$347)*100</f>
        <v>0</v>
      </c>
      <c r="M170" s="780">
        <f>Unitflowchart!$S$51*(AllocationMass!$F$24/100)/Unitflowchart!$S$357*(ShipTransport!AC15)*Unitflowchart!$S$66</f>
        <v>0</v>
      </c>
      <c r="N170" s="777">
        <f>E170+(GlobalWarmingPotentials!$B$11*H170)+(GlobalWarmingPotentials!$C$11*K170)</f>
        <v>0</v>
      </c>
      <c r="O170" s="769">
        <f>(N170/N$347)*100</f>
        <v>0</v>
      </c>
      <c r="P170" s="781">
        <f>SQRT((G170^2)+((GlobalWarmingPotentials!$B$11*J170)^2)+((GlobalWarmingPotentials!$C$11*M170)^2))</f>
        <v>0</v>
      </c>
    </row>
    <row r="171" spans="1:17" s="358" customFormat="1" x14ac:dyDescent="0.25">
      <c r="A171" s="757"/>
      <c r="B171" s="760"/>
      <c r="C171" s="754"/>
      <c r="D171" s="761"/>
      <c r="E171" s="760"/>
      <c r="F171" s="754"/>
      <c r="G171" s="761"/>
      <c r="H171" s="765"/>
      <c r="I171" s="754"/>
      <c r="J171" s="766"/>
      <c r="K171" s="765"/>
      <c r="L171" s="754"/>
      <c r="M171" s="766"/>
      <c r="N171" s="760"/>
      <c r="O171" s="754"/>
      <c r="P171" s="761"/>
    </row>
    <row r="172" spans="1:17" x14ac:dyDescent="0.25">
      <c r="A172" s="20" t="s">
        <v>845</v>
      </c>
      <c r="B172" s="748">
        <f>B146+B154+B162+B170</f>
        <v>0</v>
      </c>
      <c r="C172" s="749">
        <f>(B172/B$347)*100</f>
        <v>0</v>
      </c>
      <c r="D172" s="750">
        <f>SQRT((D146^2)+(D154^2)+(D162^2)+(D170^2))</f>
        <v>0</v>
      </c>
      <c r="E172" s="748">
        <f t="shared" ref="E172" si="32">E146+E154+E162+E170</f>
        <v>0</v>
      </c>
      <c r="F172" s="749">
        <f>(E172/E$347)*100</f>
        <v>0</v>
      </c>
      <c r="G172" s="750">
        <f t="shared" ref="G172" si="33">SQRT((G146^2)+(G154^2)+(G162^2)+(G170^2))</f>
        <v>0</v>
      </c>
      <c r="H172" s="751">
        <f t="shared" ref="H172" si="34">H146+H154+H162+H170</f>
        <v>0</v>
      </c>
      <c r="I172" s="749">
        <f>(H172/H$347)*100</f>
        <v>0</v>
      </c>
      <c r="J172" s="752">
        <f t="shared" ref="J172" si="35">SQRT((J146^2)+(J154^2)+(J162^2)+(J170^2))</f>
        <v>0</v>
      </c>
      <c r="K172" s="751">
        <f t="shared" ref="K172" si="36">K146+K154+K162+K170</f>
        <v>0</v>
      </c>
      <c r="L172" s="749">
        <f>(K172/K$347)*100</f>
        <v>0</v>
      </c>
      <c r="M172" s="752">
        <f t="shared" ref="M172" si="37">SQRT((M146^2)+(M154^2)+(M162^2)+(M170^2))</f>
        <v>0</v>
      </c>
      <c r="N172" s="748">
        <f t="shared" ref="N172" si="38">N146+N154+N162+N170</f>
        <v>0</v>
      </c>
      <c r="O172" s="749">
        <f>(N172/N$347)*100</f>
        <v>0</v>
      </c>
      <c r="P172" s="750">
        <f t="shared" ref="P172" si="39">SQRT((P146^2)+(P154^2)+(P162^2)+(P170^2))</f>
        <v>0</v>
      </c>
      <c r="Q172" s="29"/>
    </row>
    <row r="173" spans="1:17" s="208" customFormat="1" x14ac:dyDescent="0.25">
      <c r="A173" s="28"/>
      <c r="B173" s="746"/>
      <c r="C173" s="744"/>
      <c r="D173" s="759"/>
      <c r="E173" s="746"/>
      <c r="F173" s="744"/>
      <c r="G173" s="759"/>
      <c r="H173" s="763"/>
      <c r="I173" s="744"/>
      <c r="J173" s="764"/>
      <c r="K173" s="763"/>
      <c r="L173" s="744"/>
      <c r="M173" s="764"/>
      <c r="N173" s="746"/>
      <c r="O173" s="744"/>
      <c r="P173" s="768"/>
    </row>
    <row r="174" spans="1:17" s="208" customFormat="1" x14ac:dyDescent="0.25">
      <c r="A174" s="1512" t="s">
        <v>1918</v>
      </c>
      <c r="B174" s="746"/>
      <c r="C174" s="744"/>
      <c r="D174" s="759"/>
      <c r="E174" s="746"/>
      <c r="F174" s="744"/>
      <c r="G174" s="759"/>
      <c r="H174" s="763"/>
      <c r="I174" s="744"/>
      <c r="J174" s="764"/>
      <c r="K174" s="763"/>
      <c r="L174" s="744"/>
      <c r="M174" s="764"/>
      <c r="N174" s="746"/>
      <c r="O174" s="744"/>
      <c r="P174" s="768"/>
    </row>
    <row r="175" spans="1:17" s="208" customFormat="1" x14ac:dyDescent="0.25">
      <c r="A175" s="1517"/>
      <c r="B175" s="746"/>
      <c r="C175" s="744"/>
      <c r="D175" s="759"/>
      <c r="E175" s="746"/>
      <c r="F175" s="744"/>
      <c r="G175" s="759"/>
      <c r="H175" s="763"/>
      <c r="I175" s="744"/>
      <c r="J175" s="764"/>
      <c r="K175" s="763"/>
      <c r="L175" s="744"/>
      <c r="M175" s="764"/>
      <c r="N175" s="746"/>
      <c r="O175" s="744"/>
      <c r="P175" s="768"/>
    </row>
    <row r="176" spans="1:17" s="208" customFormat="1" x14ac:dyDescent="0.25">
      <c r="A176" s="1518" t="str">
        <f>Milling!A18</f>
        <v>Electricity Input</v>
      </c>
      <c r="B176" s="715">
        <f>(AllocationMass!$F$24/100)*Milling!J18*(Unitflowchart!$S$286/Unitflowchart!$S$357)</f>
        <v>0</v>
      </c>
      <c r="C176" s="25">
        <f>(B176/B$347)*100</f>
        <v>0</v>
      </c>
      <c r="D176" s="481">
        <f>(AllocationMass!$F$24/100)*Milling!K18*(Unitflowchart!$S$286/Unitflowchart!$S$357)</f>
        <v>0</v>
      </c>
      <c r="E176" s="715">
        <f>(AllocationMass!$F$24/100)*Milling!P18*(Unitflowchart!$S$286/Unitflowchart!$S$357)</f>
        <v>0</v>
      </c>
      <c r="F176" s="25">
        <f>(E176/E$347)*100</f>
        <v>0</v>
      </c>
      <c r="G176" s="715">
        <f>(AllocationMass!$F$24/100)*Milling!Q18*(Unitflowchart!$S$286/Unitflowchart!$S$357)</f>
        <v>0</v>
      </c>
      <c r="H176" s="715">
        <f>(AllocationMass!$F$24/100)*Milling!V18*(Unitflowchart!$S$286/Unitflowchart!$S$357)</f>
        <v>4.9893379868219297E-3</v>
      </c>
      <c r="I176" s="25">
        <f>(H176/H$347)*100</f>
        <v>0.27912553591362649</v>
      </c>
      <c r="J176" s="481">
        <f>(AllocationMass!$F$24/100)*Milling!W18*(Unitflowchart!$S$286/Unitflowchart!$S$357)</f>
        <v>0</v>
      </c>
      <c r="K176" s="715">
        <f>(AllocationMass!$F$24/100)*Milling!AB18*(Unitflowchart!$S$286/Unitflowchart!$S$357)</f>
        <v>1.4968013960465786E-3</v>
      </c>
      <c r="L176" s="25">
        <f>(K176/K$347)*100</f>
        <v>8.2399818806171962E-2</v>
      </c>
      <c r="M176" s="481">
        <f>(AllocationMass!$F$24/100)*Milling!AC18*(Unitflowchart!$S$286/Unitflowchart!$S$357)</f>
        <v>0</v>
      </c>
      <c r="N176" s="711">
        <f>E176+(GlobalWarmingPotentials!$B$11*H176)+(GlobalWarmingPotentials!$C$11*K176)</f>
        <v>0.55780798692669165</v>
      </c>
      <c r="O176" s="25">
        <f>(N176/N$347)*100</f>
        <v>3.142600432636522E-2</v>
      </c>
      <c r="P176" s="740">
        <f>SQRT((G176^2)+((GlobalWarmingPotentials!$B$11*J176)^2)+((GlobalWarmingPotentials!$C$11*M176)^2))</f>
        <v>0</v>
      </c>
    </row>
    <row r="177" spans="1:17" s="208" customFormat="1" x14ac:dyDescent="0.25">
      <c r="A177" s="1517"/>
      <c r="B177" s="746"/>
      <c r="C177" s="744"/>
      <c r="D177" s="759"/>
      <c r="E177" s="746"/>
      <c r="F177" s="744"/>
      <c r="G177" s="759"/>
      <c r="H177" s="763"/>
      <c r="I177" s="744"/>
      <c r="J177" s="764"/>
      <c r="K177" s="763"/>
      <c r="L177" s="744"/>
      <c r="M177" s="764"/>
      <c r="N177" s="746"/>
      <c r="O177" s="744"/>
      <c r="P177" s="768"/>
    </row>
    <row r="178" spans="1:17" s="154" customFormat="1" x14ac:dyDescent="0.25">
      <c r="A178" s="1513" t="s">
        <v>1919</v>
      </c>
      <c r="B178" s="714">
        <f>(AllocationMass!$F$24/100)*Milling!J20*(Unitflowchart!$S$286/Unitflowchart!$S$357)</f>
        <v>0</v>
      </c>
      <c r="C178" s="14">
        <f>(B178/B$347)*100</f>
        <v>0</v>
      </c>
      <c r="D178" s="722">
        <f>(AllocationMass!$F$24/100)*Milling!K20*(Unitflowchart!$S$286/Unitflowchart!$S$357)</f>
        <v>0</v>
      </c>
      <c r="E178" s="714">
        <f>(AllocationMass!$F$24/100)*Milling!P20*(Unitflowchart!$S$286/Unitflowchart!$S$357)</f>
        <v>0</v>
      </c>
      <c r="F178" s="14">
        <f>(E178/E$347)*100</f>
        <v>0</v>
      </c>
      <c r="G178" s="714">
        <f>(AllocationMass!$F$24/100)*Milling!Q20*(Unitflowchart!$S$286/Unitflowchart!$S$357)</f>
        <v>0</v>
      </c>
      <c r="H178" s="714">
        <f>(AllocationMass!$F$24/100)*Milling!V20*(Unitflowchart!$S$286/Unitflowchart!$S$357)</f>
        <v>4.9893379868219297E-3</v>
      </c>
      <c r="I178" s="14">
        <f>(H178/H$347)*100</f>
        <v>0.27912553591362649</v>
      </c>
      <c r="J178" s="714">
        <f>(AllocationMass!$F$24/100)*Milling!W20*(Unitflowchart!$S$286/Unitflowchart!$S$357)</f>
        <v>0</v>
      </c>
      <c r="K178" s="714">
        <f>(AllocationMass!$F$24/100)*Milling!AB20*(Unitflowchart!$S$286/Unitflowchart!$S$357)</f>
        <v>1.4968013960465786E-3</v>
      </c>
      <c r="L178" s="14">
        <f>(K178/K$347)*100</f>
        <v>8.2399818806171962E-2</v>
      </c>
      <c r="M178" s="924">
        <f>(AllocationMass!$F$24/100)*Milling!AC20*(Unitflowchart!$S$286/Unitflowchart!$S$357)</f>
        <v>0</v>
      </c>
      <c r="N178" s="714">
        <f>E178+(GlobalWarmingPotentials!$B$11*H178)+(GlobalWarmingPotentials!$C$11*K178)</f>
        <v>0.55780798692669165</v>
      </c>
      <c r="O178" s="14">
        <f>(N178/N$347)*100</f>
        <v>3.142600432636522E-2</v>
      </c>
      <c r="P178" s="741">
        <f>SQRT((G178^2)+((GlobalWarmingPotentials!$B$11*J178)^2)+((GlobalWarmingPotentials!$C$11*M178)^2))</f>
        <v>0</v>
      </c>
    </row>
    <row r="179" spans="1:17" x14ac:dyDescent="0.25">
      <c r="A179" s="219"/>
      <c r="B179" s="712"/>
      <c r="D179" s="718"/>
      <c r="E179" s="712"/>
      <c r="G179" s="718"/>
      <c r="H179" s="30"/>
      <c r="J179" s="708"/>
      <c r="K179" s="30"/>
      <c r="M179" s="708"/>
      <c r="N179" s="712"/>
      <c r="P179" s="718"/>
      <c r="Q179" s="29"/>
    </row>
    <row r="180" spans="1:17" x14ac:dyDescent="0.25">
      <c r="A180" s="817" t="s">
        <v>1920</v>
      </c>
      <c r="B180" s="712"/>
      <c r="D180" s="718"/>
      <c r="E180" s="712"/>
      <c r="G180" s="718"/>
      <c r="H180" s="30"/>
      <c r="J180" s="708"/>
      <c r="K180" s="30"/>
      <c r="M180" s="708"/>
      <c r="N180" s="712"/>
      <c r="P180" s="718"/>
      <c r="Q180" s="29"/>
    </row>
    <row r="181" spans="1:17" x14ac:dyDescent="0.25">
      <c r="A181" s="219"/>
      <c r="B181" s="712"/>
      <c r="D181" s="718"/>
      <c r="E181" s="712"/>
      <c r="G181" s="718"/>
      <c r="H181" s="30"/>
      <c r="J181" s="708"/>
      <c r="K181" s="30"/>
      <c r="M181" s="708"/>
      <c r="N181" s="712"/>
      <c r="P181" s="718"/>
      <c r="Q181" s="29"/>
    </row>
    <row r="182" spans="1:17" x14ac:dyDescent="0.25">
      <c r="A182" s="219" t="str">
        <f>'Pre-TreatHydrolysis'!A29</f>
        <v>Heat Input</v>
      </c>
      <c r="B182" s="715">
        <f>(AllocationMass!$F$24/100)*'Pre-TreatHydrolysis'!J29*(Unitflowchart!$S$286/Unitflowchart!$S$357)</f>
        <v>0</v>
      </c>
      <c r="C182" s="25">
        <f t="shared" ref="C182:C193" si="40">(B182/B$347)*100</f>
        <v>0</v>
      </c>
      <c r="D182" s="355">
        <f>(AllocationMass!$F$24/100)*'Pre-TreatHydrolysis'!K29*(Unitflowchart!$S$286/Unitflowchart!$S$357)</f>
        <v>0</v>
      </c>
      <c r="E182" s="715">
        <f>(AllocationMass!$F$24/100)*'Pre-TreatHydrolysis'!P29*(Unitflowchart!$S$286/Unitflowchart!$S$357)</f>
        <v>0</v>
      </c>
      <c r="F182" s="25">
        <f t="shared" ref="F182:F193" si="41">(E182/E$347)*100</f>
        <v>0</v>
      </c>
      <c r="G182" s="355">
        <f>(AllocationMass!$F$24/100)*'Pre-TreatHydrolysis'!Q29*(Unitflowchart!$S$286/Unitflowchart!$S$357)</f>
        <v>0</v>
      </c>
      <c r="H182" s="730">
        <f>(AllocationMass!$F$24/100)*'Pre-TreatHydrolysis'!V29*(Unitflowchart!$S$286/Unitflowchart!$S$357)</f>
        <v>4.2299481139922218E-3</v>
      </c>
      <c r="I182" s="25">
        <f t="shared" ref="I182:I193" si="42">(H182/H$347)*100</f>
        <v>0.23664192270064613</v>
      </c>
      <c r="J182" s="733">
        <f>(AllocationMass!$F$24/100)*'Pre-TreatHydrolysis'!W29*(Unitflowchart!$S$286/Unitflowchart!$S$357)</f>
        <v>0</v>
      </c>
      <c r="K182" s="730">
        <f>(AllocationMass!$F$24/100)*'Pre-TreatHydrolysis'!AB29*(Unitflowchart!$S$286/Unitflowchart!$S$357)</f>
        <v>1.2689844341976667E-3</v>
      </c>
      <c r="L182" s="25">
        <f t="shared" ref="L182:L193" si="43">(K182/K$347)*100</f>
        <v>6.9858357776736379E-2</v>
      </c>
      <c r="M182" s="733">
        <f>(AllocationMass!$F$24/100)*'Pre-TreatHydrolysis'!AC29*(Unitflowchart!$S$286/Unitflowchart!$S$357)</f>
        <v>0</v>
      </c>
      <c r="N182" s="711">
        <f>E182+(GlobalWarmingPotentials!$B$11*H182)+(GlobalWarmingPotentials!$C$11*K182)</f>
        <v>0.47290819914433041</v>
      </c>
      <c r="O182" s="25">
        <f t="shared" ref="O182:O193" si="44">(N182/N$347)*100</f>
        <v>2.6642886908387814E-2</v>
      </c>
      <c r="P182" s="740">
        <f>SQRT((G182^2)+((GlobalWarmingPotentials!$B$11*J182)^2)+((GlobalWarmingPotentials!$C$11*M182)^2))</f>
        <v>0</v>
      </c>
      <c r="Q182" s="29"/>
    </row>
    <row r="183" spans="1:17" x14ac:dyDescent="0.25">
      <c r="A183" s="219" t="str">
        <f>'Pre-TreatHydrolysis'!A30</f>
        <v>Electricity Input</v>
      </c>
      <c r="B183" s="715">
        <f>(AllocationMass!$F$24/100)*'Pre-TreatHydrolysis'!J30*(Unitflowchart!$S$286/Unitflowchart!$S$357)</f>
        <v>0</v>
      </c>
      <c r="C183" s="25">
        <f t="shared" si="40"/>
        <v>0</v>
      </c>
      <c r="D183" s="355">
        <f>(AllocationMass!$F$24/100)*'Pre-TreatHydrolysis'!K30*(Unitflowchart!$S$286/Unitflowchart!$S$357)</f>
        <v>0</v>
      </c>
      <c r="E183" s="715">
        <f>(AllocationMass!$F$24/100)*'Pre-TreatHydrolysis'!P30*(Unitflowchart!$S$286/Unitflowchart!$S$357)</f>
        <v>0</v>
      </c>
      <c r="F183" s="25">
        <f t="shared" si="41"/>
        <v>0</v>
      </c>
      <c r="G183" s="355">
        <f>(AllocationMass!$F$24/100)*'Pre-TreatHydrolysis'!Q30*(Unitflowchart!$S$286/Unitflowchart!$S$357)</f>
        <v>0</v>
      </c>
      <c r="H183" s="730">
        <f>(AllocationMass!$F$24/100)*'Pre-TreatHydrolysis'!V30*(Unitflowchart!$S$286/Unitflowchart!$S$357)</f>
        <v>3.215407285887064E-2</v>
      </c>
      <c r="I183" s="25">
        <f t="shared" si="42"/>
        <v>1.7988404157512086</v>
      </c>
      <c r="J183" s="733">
        <f>(AllocationMass!$F$24/100)*'Pre-TreatHydrolysis'!W30*(Unitflowchart!$S$286/Unitflowchart!$S$357)</f>
        <v>0</v>
      </c>
      <c r="K183" s="730">
        <f>(AllocationMass!$F$24/100)*'Pre-TreatHydrolysis'!AB30*(Unitflowchart!$S$286/Unitflowchart!$S$357)</f>
        <v>9.6462218576611903E-3</v>
      </c>
      <c r="L183" s="25">
        <f t="shared" si="43"/>
        <v>0.53103032595694</v>
      </c>
      <c r="M183" s="733">
        <f>(AllocationMass!$F$24/100)*'Pre-TreatHydrolysis'!AC30*(Unitflowchart!$S$286/Unitflowchart!$S$357)</f>
        <v>0</v>
      </c>
      <c r="N183" s="711">
        <f>E183+(GlobalWarmingPotentials!$B$11*H183)+(GlobalWarmingPotentials!$C$11*K183)</f>
        <v>3.5948253456217367</v>
      </c>
      <c r="O183" s="25">
        <f t="shared" si="44"/>
        <v>0.20252667497011467</v>
      </c>
      <c r="P183" s="740">
        <f>SQRT((G183^2)+((GlobalWarmingPotentials!$B$11*J183)^2)+((GlobalWarmingPotentials!$C$11*M183)^2))</f>
        <v>0</v>
      </c>
      <c r="Q183" s="29"/>
    </row>
    <row r="184" spans="1:17" x14ac:dyDescent="0.25">
      <c r="A184" s="219" t="str">
        <f>'Pre-TreatHydrolysis'!A31</f>
        <v>Sulphuric Acid (93%) Input</v>
      </c>
      <c r="B184" s="715">
        <f>(AllocationMass!$F$24/100)*'Pre-TreatHydrolysis'!J31*(Unitflowchart!$S$286/Unitflowchart!$S$357)</f>
        <v>408.8478277403853</v>
      </c>
      <c r="C184" s="25">
        <f t="shared" si="40"/>
        <v>2.1484469125798289</v>
      </c>
      <c r="D184" s="355">
        <f>(AllocationMass!$F$24/100)*'Pre-TreatHydrolysis'!K31*(Unitflowchart!$S$286/Unitflowchart!$S$357)</f>
        <v>459.9538062079335</v>
      </c>
      <c r="E184" s="715">
        <f>(AllocationMass!$F$24/100)*'Pre-TreatHydrolysis'!P31*(Unitflowchart!$S$286/Unitflowchart!$S$357)</f>
        <v>22.145924002604204</v>
      </c>
      <c r="F184" s="25">
        <f t="shared" si="41"/>
        <v>1.8513729930997784</v>
      </c>
      <c r="G184" s="355">
        <f>(AllocationMass!$F$24/100)*'Pre-TreatHydrolysis'!Q31*(Unitflowchart!$S$286/Unitflowchart!$S$357)</f>
        <v>27.256521849359018</v>
      </c>
      <c r="H184" s="730">
        <f>(AllocationMass!$F$24/100)*'Pre-TreatHydrolysis'!V31*(Unitflowchart!$S$286/Unitflowchart!$S$357)</f>
        <v>4.5995380620793343E-2</v>
      </c>
      <c r="I184" s="25">
        <f t="shared" si="42"/>
        <v>2.5731841176604533</v>
      </c>
      <c r="J184" s="733">
        <f>(AllocationMass!$F$24/100)*'Pre-TreatHydrolysis'!W31*(Unitflowchart!$S$286/Unitflowchart!$S$357)</f>
        <v>5.1105978467548156E-2</v>
      </c>
      <c r="K184" s="730">
        <f>(AllocationMass!$F$24/100)*'Pre-TreatHydrolysis'!AB31*(Unitflowchart!$S$286/Unitflowchart!$S$357)</f>
        <v>3.4070652311698774E-5</v>
      </c>
      <c r="L184" s="25">
        <f t="shared" si="43"/>
        <v>1.8756099403081392E-3</v>
      </c>
      <c r="M184" s="733">
        <f>(AllocationMass!$F$24/100)*'Pre-TreatHydrolysis'!AC31*(Unitflowchart!$S$286/Unitflowchart!$S$357)</f>
        <v>5.1105978467548161E-5</v>
      </c>
      <c r="N184" s="711">
        <f>E184+(GlobalWarmingPotentials!$B$11*H184)+(GlobalWarmingPotentials!$C$11*K184)</f>
        <v>23.213902669966714</v>
      </c>
      <c r="O184" s="25">
        <f t="shared" si="44"/>
        <v>1.3078339192623827</v>
      </c>
      <c r="P184" s="740">
        <f>SQRT((G184^2)+((GlobalWarmingPotentials!$B$11*J184)^2)+((GlobalWarmingPotentials!$C$11*M184)^2))</f>
        <v>27.281859641334545</v>
      </c>
      <c r="Q184" s="29"/>
    </row>
    <row r="185" spans="1:17" x14ac:dyDescent="0.25">
      <c r="A185" s="219" t="str">
        <f>'Pre-TreatHydrolysis'!A32</f>
        <v>Caustic Soda Input</v>
      </c>
      <c r="B185" s="715">
        <f>(AllocationMass!$F$24/100)*'Pre-TreatHydrolysis'!J32*(Unitflowchart!$S$286/Unitflowchart!$S$357)</f>
        <v>0</v>
      </c>
      <c r="C185" s="25">
        <f t="shared" si="40"/>
        <v>0</v>
      </c>
      <c r="D185" s="355">
        <f>(AllocationMass!$F$24/100)*'Pre-TreatHydrolysis'!K32*(Unitflowchart!$S$286/Unitflowchart!$S$357)</f>
        <v>0</v>
      </c>
      <c r="E185" s="715">
        <f>(AllocationMass!$F$24/100)*'Pre-TreatHydrolysis'!P32*(Unitflowchart!$S$286/Unitflowchart!$S$357)</f>
        <v>0</v>
      </c>
      <c r="F185" s="25">
        <f t="shared" si="41"/>
        <v>0</v>
      </c>
      <c r="G185" s="355">
        <f>(AllocationMass!$F$24/100)*'Pre-TreatHydrolysis'!Q32*(Unitflowchart!$S$286/Unitflowchart!$S$357)</f>
        <v>0</v>
      </c>
      <c r="H185" s="730">
        <f>(AllocationMass!$F$24/100)*'Pre-TreatHydrolysis'!V32*(Unitflowchart!$S$286/Unitflowchart!$S$357)</f>
        <v>0</v>
      </c>
      <c r="I185" s="25">
        <f t="shared" si="42"/>
        <v>0</v>
      </c>
      <c r="J185" s="733">
        <f>(AllocationMass!$F$24/100)*'Pre-TreatHydrolysis'!W32*(Unitflowchart!$S$286/Unitflowchart!$S$357)</f>
        <v>0</v>
      </c>
      <c r="K185" s="730">
        <f>(AllocationMass!$F$24/100)*'Pre-TreatHydrolysis'!AB32*(Unitflowchart!$S$286/Unitflowchart!$S$357)</f>
        <v>0</v>
      </c>
      <c r="L185" s="25">
        <f t="shared" si="43"/>
        <v>0</v>
      </c>
      <c r="M185" s="733">
        <f>(AllocationMass!$F$24/100)*'Pre-TreatHydrolysis'!AC32*(Unitflowchart!$S$286/Unitflowchart!$S$357)</f>
        <v>0</v>
      </c>
      <c r="N185" s="711">
        <f>E185+(GlobalWarmingPotentials!$B$11*H185)+(GlobalWarmingPotentials!$C$11*K185)</f>
        <v>0</v>
      </c>
      <c r="O185" s="25">
        <f t="shared" si="44"/>
        <v>0</v>
      </c>
      <c r="P185" s="740">
        <f>SQRT((G185^2)+((GlobalWarmingPotentials!$B$11*J185)^2)+((GlobalWarmingPotentials!$C$11*M185)^2))</f>
        <v>0</v>
      </c>
      <c r="Q185" s="29"/>
    </row>
    <row r="186" spans="1:17" x14ac:dyDescent="0.25">
      <c r="A186" s="219" t="str">
        <f>'Pre-TreatHydrolysis'!A33</f>
        <v>Water Input</v>
      </c>
      <c r="B186" s="715">
        <f>(AllocationMass!$F$24/100)*'Pre-TreatHydrolysis'!J33*(Unitflowchart!$S$286/Unitflowchart!$S$357)</f>
        <v>0</v>
      </c>
      <c r="C186" s="25">
        <f t="shared" si="40"/>
        <v>0</v>
      </c>
      <c r="D186" s="355">
        <f>(AllocationMass!$F$24/100)*'Pre-TreatHydrolysis'!K33*(Unitflowchart!$S$286/Unitflowchart!$S$357)</f>
        <v>0</v>
      </c>
      <c r="E186" s="715">
        <f>(AllocationMass!$F$24/100)*'Pre-TreatHydrolysis'!P33*(Unitflowchart!$S$286/Unitflowchart!$S$357)</f>
        <v>0</v>
      </c>
      <c r="F186" s="25">
        <f t="shared" si="41"/>
        <v>0</v>
      </c>
      <c r="G186" s="355">
        <f>(AllocationMass!$F$24/100)*'Pre-TreatHydrolysis'!Q33*(Unitflowchart!$S$286/Unitflowchart!$S$357)</f>
        <v>0</v>
      </c>
      <c r="H186" s="730">
        <f>(AllocationMass!$F$24/100)*'Pre-TreatHydrolysis'!V33*(Unitflowchart!$S$286/Unitflowchart!$S$357)</f>
        <v>0</v>
      </c>
      <c r="I186" s="25">
        <f t="shared" si="42"/>
        <v>0</v>
      </c>
      <c r="J186" s="733">
        <f>(AllocationMass!$F$24/100)*'Pre-TreatHydrolysis'!W33*(Unitflowchart!$S$286/Unitflowchart!$S$357)</f>
        <v>0</v>
      </c>
      <c r="K186" s="730">
        <f>(AllocationMass!$F$24/100)*'Pre-TreatHydrolysis'!AB33*(Unitflowchart!$S$286/Unitflowchart!$S$357)</f>
        <v>0</v>
      </c>
      <c r="L186" s="25">
        <f t="shared" si="43"/>
        <v>0</v>
      </c>
      <c r="M186" s="733">
        <f>(AllocationMass!$F$24/100)*'Pre-TreatHydrolysis'!AC33*(Unitflowchart!$S$286/Unitflowchart!$S$357)</f>
        <v>0</v>
      </c>
      <c r="N186" s="711">
        <f>E186+(GlobalWarmingPotentials!$B$11*H186)+(GlobalWarmingPotentials!$C$11*K186)</f>
        <v>0</v>
      </c>
      <c r="O186" s="25">
        <f t="shared" si="44"/>
        <v>0</v>
      </c>
      <c r="P186" s="740">
        <f>SQRT((G186^2)+((GlobalWarmingPotentials!$B$11*J186)^2)+((GlobalWarmingPotentials!$C$11*M186)^2))</f>
        <v>0</v>
      </c>
      <c r="Q186" s="29"/>
    </row>
    <row r="187" spans="1:17" x14ac:dyDescent="0.25">
      <c r="A187" s="219" t="str">
        <f>'Pre-TreatHydrolysis'!A34</f>
        <v>Ammonia Input</v>
      </c>
      <c r="B187" s="715">
        <f>(AllocationMass!$F$24/100)*'Pre-TreatHydrolysis'!J34*(Unitflowchart!$S$286/Unitflowchart!$S$357)</f>
        <v>3196.6288492446788</v>
      </c>
      <c r="C187" s="25">
        <f t="shared" si="40"/>
        <v>16.797906007670719</v>
      </c>
      <c r="D187" s="355">
        <f>(AllocationMass!$F$24/100)*'Pre-TreatHydrolysis'!K34*(Unitflowchart!$S$286/Unitflowchart!$S$357)</f>
        <v>511.05978467548158</v>
      </c>
      <c r="E187" s="715">
        <f>(AllocationMass!$F$24/100)*'Pre-TreatHydrolysis'!P34*(Unitflowchart!$S$286/Unitflowchart!$S$357)</f>
        <v>144.29923332013598</v>
      </c>
      <c r="F187" s="25">
        <f t="shared" si="41"/>
        <v>12.063244841917109</v>
      </c>
      <c r="G187" s="355">
        <f>(AllocationMass!$F$24/100)*'Pre-TreatHydrolysis'!Q34*(Unitflowchart!$S$286/Unitflowchart!$S$357)</f>
        <v>21.043638192519829</v>
      </c>
      <c r="H187" s="730">
        <f>(AllocationMass!$F$24/100)*'Pre-TreatHydrolysis'!V34*(Unitflowchart!$S$286/Unitflowchart!$S$357)</f>
        <v>0.31164626085112701</v>
      </c>
      <c r="I187" s="25">
        <f t="shared" si="42"/>
        <v>17.434864065193921</v>
      </c>
      <c r="J187" s="733">
        <f>(AllocationMass!$F$24/100)*'Pre-TreatHydrolysis'!W34*(Unitflowchart!$S$286/Unitflowchart!$S$357)</f>
        <v>4.9101822449212941E-2</v>
      </c>
      <c r="K187" s="730">
        <f>(AllocationMass!$F$24/100)*'Pre-TreatHydrolysis'!AB34*(Unitflowchart!$S$286/Unitflowchart!$S$357)</f>
        <v>3.8479795552036258E-4</v>
      </c>
      <c r="L187" s="25">
        <f t="shared" si="43"/>
        <v>2.1183359325833099E-2</v>
      </c>
      <c r="M187" s="733">
        <f>(AllocationMass!$F$24/100)*'Pre-TreatHydrolysis'!AC34*(Unitflowchart!$S$286/Unitflowchart!$S$357)</f>
        <v>1.5732624743931492E-4</v>
      </c>
      <c r="N187" s="711">
        <f>E187+(GlobalWarmingPotentials!$B$11*H187)+(GlobalWarmingPotentials!$C$11*K187)</f>
        <v>151.58099751454594</v>
      </c>
      <c r="O187" s="25">
        <f t="shared" si="44"/>
        <v>8.5398294670042389</v>
      </c>
      <c r="P187" s="740">
        <f>SQRT((G187^2)+((GlobalWarmingPotentials!$B$11*J187)^2)+((GlobalWarmingPotentials!$C$11*M187)^2))</f>
        <v>21.073971865154054</v>
      </c>
      <c r="Q187" s="29"/>
    </row>
    <row r="188" spans="1:17" x14ac:dyDescent="0.25">
      <c r="A188" s="219" t="str">
        <f>'Pre-TreatHydrolysis'!A35</f>
        <v>Corn Steep Liquor Input</v>
      </c>
      <c r="B188" s="715">
        <f>(AllocationMass!$F$24/100)*'Pre-TreatHydrolysis'!J35*(Unitflowchart!$S$286/Unitflowchart!$S$357)</f>
        <v>2157.7888925407474</v>
      </c>
      <c r="C188" s="25">
        <f t="shared" si="40"/>
        <v>11.338925070972783</v>
      </c>
      <c r="D188" s="355">
        <f>(AllocationMass!$F$24/100)*'Pre-TreatHydrolysis'!K35*(Unitflowchart!$S$286/Unitflowchart!$S$357)</f>
        <v>20.087011578768031</v>
      </c>
      <c r="E188" s="715">
        <f>(AllocationMass!$F$24/100)*'Pre-TreatHydrolysis'!P35*(Unitflowchart!$S$286/Unitflowchart!$S$357)</f>
        <v>115.37228321799486</v>
      </c>
      <c r="F188" s="25">
        <f t="shared" si="41"/>
        <v>9.6449861056570505</v>
      </c>
      <c r="G188" s="355">
        <f>(AllocationMass!$F$24/100)*'Pre-TreatHydrolysis'!Q35*(Unitflowchart!$S$286/Unitflowchart!$S$357)</f>
        <v>12.097729919677292</v>
      </c>
      <c r="H188" s="730">
        <f>(AllocationMass!$F$24/100)*'Pre-TreatHydrolysis'!V35*(Unitflowchart!$S$286/Unitflowchart!$S$357)</f>
        <v>0.28713614851689379</v>
      </c>
      <c r="I188" s="25">
        <f t="shared" si="42"/>
        <v>16.063660458890674</v>
      </c>
      <c r="J188" s="733">
        <f>(AllocationMass!$F$24/100)*'Pre-TreatHydrolysis'!W35*(Unitflowchart!$S$286/Unitflowchart!$S$357)</f>
        <v>2.1623411897823946E-3</v>
      </c>
      <c r="K188" s="730">
        <f>(AllocationMass!$F$24/100)*'Pre-TreatHydrolysis'!AB35*(Unitflowchart!$S$286/Unitflowchart!$S$357)</f>
        <v>0.11335220131701394</v>
      </c>
      <c r="L188" s="25">
        <f t="shared" si="43"/>
        <v>6.240106987120968</v>
      </c>
      <c r="M188" s="733">
        <f>(AllocationMass!$F$24/100)*'Pre-TreatHydrolysis'!AC35*(Unitflowchart!$S$286/Unitflowchart!$S$357)</f>
        <v>2.276148620823573E-4</v>
      </c>
      <c r="N188" s="711">
        <f>E188+(GlobalWarmingPotentials!$B$11*H188)+(GlobalWarmingPotentials!$C$11*K188)</f>
        <v>155.52866622371954</v>
      </c>
      <c r="O188" s="25">
        <f t="shared" si="44"/>
        <v>8.7622347692607843</v>
      </c>
      <c r="P188" s="740">
        <f>SQRT((G188^2)+((GlobalWarmingPotentials!$B$11*J188)^2)+((GlobalWarmingPotentials!$C$11*M188)^2))</f>
        <v>12.098019752041814</v>
      </c>
      <c r="Q188" s="29"/>
    </row>
    <row r="189" spans="1:17" x14ac:dyDescent="0.25">
      <c r="A189" s="219" t="str">
        <f>'Pre-TreatHydrolysis'!A36</f>
        <v>Diammonium Phosphate Input</v>
      </c>
      <c r="B189" s="715">
        <f>(AllocationMass!$F$24/100)*'Pre-TreatHydrolysis'!J36*(Unitflowchart!$S$286/Unitflowchart!$S$357)</f>
        <v>146.3091154985236</v>
      </c>
      <c r="C189" s="25">
        <f t="shared" si="40"/>
        <v>0.76883707371606724</v>
      </c>
      <c r="D189" s="355">
        <f>(AllocationMass!$F$24/100)*'Pre-TreatHydrolysis'!K36*(Unitflowchart!$S$286/Unitflowchart!$S$357)</f>
        <v>21.902562200377783</v>
      </c>
      <c r="E189" s="715">
        <f>(AllocationMass!$F$24/100)*'Pre-TreatHydrolysis'!P36*(Unitflowchart!$S$286/Unitflowchart!$S$357)</f>
        <v>8.1521336509806108</v>
      </c>
      <c r="F189" s="25">
        <f t="shared" si="41"/>
        <v>0.68150870904237792</v>
      </c>
      <c r="G189" s="355">
        <f>(AllocationMass!$F$24/100)*'Pre-TreatHydrolysis'!Q36*(Unitflowchart!$S$286/Unitflowchart!$S$357)</f>
        <v>1.2228200476470916</v>
      </c>
      <c r="H189" s="730">
        <f>(AllocationMass!$F$24/100)*'Pre-TreatHydrolysis'!V36*(Unitflowchart!$S$286/Unitflowchart!$S$357)</f>
        <v>1.5769844784272007E-2</v>
      </c>
      <c r="I189" s="25">
        <f t="shared" si="42"/>
        <v>0.8822345546264414</v>
      </c>
      <c r="J189" s="733">
        <f>(AllocationMass!$F$24/100)*'Pre-TreatHydrolysis'!W36*(Unitflowchart!$S$286/Unitflowchart!$S$357)</f>
        <v>2.3654767176408006E-3</v>
      </c>
      <c r="K189" s="730">
        <f>(AllocationMass!$F$24/100)*'Pre-TreatHydrolysis'!AB36*(Unitflowchart!$S$286/Unitflowchart!$S$357)</f>
        <v>0</v>
      </c>
      <c r="L189" s="25">
        <f t="shared" si="43"/>
        <v>0</v>
      </c>
      <c r="M189" s="733">
        <f>(AllocationMass!$F$24/100)*'Pre-TreatHydrolysis'!AC36*(Unitflowchart!$S$286/Unitflowchart!$S$357)</f>
        <v>0</v>
      </c>
      <c r="N189" s="711">
        <f>E189+(GlobalWarmingPotentials!$B$11*H189)+(GlobalWarmingPotentials!$C$11*K189)</f>
        <v>8.5148400810188676</v>
      </c>
      <c r="O189" s="25">
        <f t="shared" si="44"/>
        <v>0.47971238758826495</v>
      </c>
      <c r="P189" s="740">
        <f>SQRT((G189^2)+((GlobalWarmingPotentials!$B$11*J189)^2)+((GlobalWarmingPotentials!$C$11*M189)^2))</f>
        <v>1.2240297700225413</v>
      </c>
      <c r="Q189" s="29"/>
    </row>
    <row r="190" spans="1:17" x14ac:dyDescent="0.25">
      <c r="A190" s="219" t="str">
        <f>'Pre-TreatHydrolysis'!A37</f>
        <v>Sorbitol Input</v>
      </c>
      <c r="B190" s="715">
        <f>(AllocationMass!$F$24/100)*'Pre-TreatHydrolysis'!J37*(Unitflowchart!$S$286/Unitflowchart!$S$357)</f>
        <v>38.293695350333699</v>
      </c>
      <c r="C190" s="25">
        <f t="shared" si="40"/>
        <v>0.20122883372377595</v>
      </c>
      <c r="D190" s="355">
        <f>(AllocationMass!$F$24/100)*'Pre-TreatHydrolysis'!K37*(Unitflowchart!$S$286/Unitflowchart!$S$357)</f>
        <v>5.761948552713763</v>
      </c>
      <c r="E190" s="715">
        <f>(AllocationMass!$F$24/100)*'Pre-TreatHydrolysis'!P37*(Unitflowchart!$S$286/Unitflowchart!$S$357)</f>
        <v>2.5731931735411151</v>
      </c>
      <c r="F190" s="25">
        <f t="shared" si="41"/>
        <v>0.21511589884271828</v>
      </c>
      <c r="G190" s="355">
        <f>(AllocationMass!$F$24/100)*'Pre-TreatHydrolysis'!Q37*(Unitflowchart!$S$286/Unitflowchart!$S$357)</f>
        <v>0.38651580353607845</v>
      </c>
      <c r="H190" s="730">
        <f>(AllocationMass!$F$24/100)*'Pre-TreatHydrolysis'!V37*(Unitflowchart!$S$286/Unitflowchart!$S$357)</f>
        <v>3.686215533723712E-3</v>
      </c>
      <c r="I190" s="25">
        <f t="shared" si="42"/>
        <v>0.2062231280104472</v>
      </c>
      <c r="J190" s="733">
        <f>(AllocationMass!$F$24/100)*'Pre-TreatHydrolysis'!W37*(Unitflowchart!$S$286/Unitflowchart!$S$357)</f>
        <v>5.3682750491122007E-4</v>
      </c>
      <c r="K190" s="730">
        <f>(AllocationMass!$F$24/100)*'Pre-TreatHydrolysis'!AB37*(Unitflowchart!$S$286/Unitflowchart!$S$357)</f>
        <v>3.7220040340511257E-3</v>
      </c>
      <c r="L190" s="25">
        <f t="shared" si="43"/>
        <v>0.2048985649076118</v>
      </c>
      <c r="M190" s="733">
        <f>(AllocationMass!$F$24/100)*'Pre-TreatHydrolysis'!AC37*(Unitflowchart!$S$286/Unitflowchart!$S$357)</f>
        <v>5.726160052386348E-4</v>
      </c>
      <c r="N190" s="711">
        <f>E190+(GlobalWarmingPotentials!$B$11*H190)+(GlobalWarmingPotentials!$C$11*K190)</f>
        <v>3.759689324895894</v>
      </c>
      <c r="O190" s="25">
        <f t="shared" si="44"/>
        <v>0.21181484625370792</v>
      </c>
      <c r="P190" s="740">
        <f>SQRT((G190^2)+((GlobalWarmingPotentials!$B$11*J190)^2)+((GlobalWarmingPotentials!$C$11*M190)^2))</f>
        <v>0.42222653405395394</v>
      </c>
      <c r="Q190" s="29"/>
    </row>
    <row r="191" spans="1:17" x14ac:dyDescent="0.25">
      <c r="A191" s="219" t="str">
        <f>'Pre-TreatHydrolysis'!A38</f>
        <v>Glucose Input</v>
      </c>
      <c r="B191" s="715">
        <f>(AllocationMass!$F$24/100)*'Pre-TreatHydrolysis'!J38*(Unitflowchart!$S$286/Unitflowchart!$S$357)</f>
        <v>1670.965080286991</v>
      </c>
      <c r="C191" s="25">
        <f t="shared" si="40"/>
        <v>8.7807235949187845</v>
      </c>
      <c r="D191" s="355">
        <f>(AllocationMass!$F$24/100)*'Pre-TreatHydrolysis'!K38*(Unitflowchart!$S$286/Unitflowchart!$S$357)</f>
        <v>251.16369529779615</v>
      </c>
      <c r="E191" s="715">
        <f>(AllocationMass!$F$24/100)*'Pre-TreatHydrolysis'!P38*(Unitflowchart!$S$286/Unitflowchart!$S$357)</f>
        <v>186.81597170910459</v>
      </c>
      <c r="F191" s="25">
        <f t="shared" si="41"/>
        <v>15.617593768553398</v>
      </c>
      <c r="G191" s="355">
        <f>(AllocationMass!$F$24/100)*'Pre-TreatHydrolysis'!Q38*(Unitflowchart!$S$286/Unitflowchart!$S$357)</f>
        <v>28.02239575636569</v>
      </c>
      <c r="H191" s="730">
        <f>(AllocationMass!$F$24/100)*'Pre-TreatHydrolysis'!V38*(Unitflowchart!$S$286/Unitflowchart!$S$357)</f>
        <v>0</v>
      </c>
      <c r="I191" s="25">
        <f t="shared" si="42"/>
        <v>0</v>
      </c>
      <c r="J191" s="733">
        <f>(AllocationMass!$F$24/100)*'Pre-TreatHydrolysis'!W38*(Unitflowchart!$S$286/Unitflowchart!$S$357)</f>
        <v>0</v>
      </c>
      <c r="K191" s="730">
        <f>(AllocationMass!$F$24/100)*'Pre-TreatHydrolysis'!AB38*(Unitflowchart!$S$286/Unitflowchart!$S$357)</f>
        <v>0</v>
      </c>
      <c r="L191" s="25">
        <f t="shared" si="43"/>
        <v>0</v>
      </c>
      <c r="M191" s="733">
        <f>(AllocationMass!$F$24/100)*'Pre-TreatHydrolysis'!AC38*(Unitflowchart!$S$286/Unitflowchart!$S$357)</f>
        <v>0</v>
      </c>
      <c r="N191" s="711">
        <f>E191+(GlobalWarmingPotentials!$B$11*H191)+(GlobalWarmingPotentials!$C$11*K191)</f>
        <v>186.81597170910459</v>
      </c>
      <c r="O191" s="25">
        <f t="shared" si="44"/>
        <v>10.524911210954043</v>
      </c>
      <c r="P191" s="740">
        <f>SQRT((G191^2)+((GlobalWarmingPotentials!$B$11*J191)^2)+((GlobalWarmingPotentials!$C$11*M191)^2))</f>
        <v>28.02239575636569</v>
      </c>
      <c r="Q191" s="29"/>
    </row>
    <row r="192" spans="1:17" x14ac:dyDescent="0.25">
      <c r="A192" s="219" t="str">
        <f>'Pre-TreatHydrolysis'!A39</f>
        <v>Hot Nutrient Input</v>
      </c>
      <c r="B192" s="715">
        <f>(AllocationMass!$F$24/100)*'Pre-TreatHydrolysis'!J39*(Unitflowchart!$S$286/Unitflowchart!$S$357)</f>
        <v>46.095588421710104</v>
      </c>
      <c r="C192" s="25">
        <f t="shared" si="40"/>
        <v>0.24222685779086303</v>
      </c>
      <c r="D192" s="355">
        <f>(AllocationMass!$F$24/100)*'Pre-TreatHydrolysis'!K39*(Unitflowchart!$S$286/Unitflowchart!$S$357)</f>
        <v>6.9286536633874807</v>
      </c>
      <c r="E192" s="715">
        <f>(AllocationMass!$F$24/100)*'Pre-TreatHydrolysis'!P39*(Unitflowchart!$S$286/Unitflowchart!$S$357)</f>
        <v>5.1535440471477134</v>
      </c>
      <c r="F192" s="25">
        <f t="shared" si="41"/>
        <v>0.43083017292561099</v>
      </c>
      <c r="G192" s="355">
        <f>(AllocationMass!$F$24/100)*'Pre-TreatHydrolysis'!Q39*(Unitflowchart!$S$286/Unitflowchart!$S$357)</f>
        <v>0.77303160707215701</v>
      </c>
      <c r="H192" s="730">
        <f>(AllocationMass!$F$24/100)*'Pre-TreatHydrolysis'!V39*(Unitflowchart!$S$286/Unitflowchart!$S$357)</f>
        <v>0</v>
      </c>
      <c r="I192" s="25">
        <f t="shared" si="42"/>
        <v>0</v>
      </c>
      <c r="J192" s="733">
        <f>(AllocationMass!$F$24/100)*'Pre-TreatHydrolysis'!W39*(Unitflowchart!$S$286/Unitflowchart!$S$357)</f>
        <v>0</v>
      </c>
      <c r="K192" s="730">
        <f>(AllocationMass!$F$24/100)*'Pre-TreatHydrolysis'!AB39*(Unitflowchart!$S$286/Unitflowchart!$S$357)</f>
        <v>0</v>
      </c>
      <c r="L192" s="25">
        <f t="shared" si="43"/>
        <v>0</v>
      </c>
      <c r="M192" s="733">
        <f>(AllocationMass!$F$24/100)*'Pre-TreatHydrolysis'!AC39*(Unitflowchart!$S$286/Unitflowchart!$S$357)</f>
        <v>0</v>
      </c>
      <c r="N192" s="711">
        <f>E192+(GlobalWarmingPotentials!$B$11*H192)+(GlobalWarmingPotentials!$C$11*K192)</f>
        <v>5.1535440471477134</v>
      </c>
      <c r="O192" s="25">
        <f t="shared" si="44"/>
        <v>0.29034237823321507</v>
      </c>
      <c r="P192" s="740">
        <f>SQRT((G192^2)+((GlobalWarmingPotentials!$B$11*J192)^2)+((GlobalWarmingPotentials!$C$11*M192)^2))</f>
        <v>0.77303160707215701</v>
      </c>
      <c r="Q192" s="29"/>
    </row>
    <row r="193" spans="1:17" x14ac:dyDescent="0.25">
      <c r="A193" s="219" t="str">
        <f>'Pre-TreatHydrolysis'!A40</f>
        <v>Sulphur Dioxide Input</v>
      </c>
      <c r="B193" s="715">
        <f>(AllocationMass!$F$24/100)*'Pre-TreatHydrolysis'!J40*(Unitflowchart!$S$286/Unitflowchart!$S$357)</f>
        <v>7.8734700720312283</v>
      </c>
      <c r="C193" s="25">
        <f t="shared" si="40"/>
        <v>4.1374152728252997E-2</v>
      </c>
      <c r="D193" s="355">
        <f>(AllocationMass!$F$24/100)*'Pre-TreatHydrolysis'!K40*(Unitflowchart!$S$286/Unitflowchart!$S$357)</f>
        <v>2.1473100196448804</v>
      </c>
      <c r="E193" s="715">
        <f>(AllocationMass!$F$24/100)*'Pre-TreatHydrolysis'!P40*(Unitflowchart!$S$286/Unitflowchart!$S$357)</f>
        <v>0.63703530582798118</v>
      </c>
      <c r="F193" s="25">
        <f t="shared" si="41"/>
        <v>5.3255396375526912E-2</v>
      </c>
      <c r="G193" s="355">
        <f>(AllocationMass!$F$24/100)*'Pre-TreatHydrolysis'!Q40*(Unitflowchart!$S$286/Unitflowchart!$S$357)</f>
        <v>0.17178480157159043</v>
      </c>
      <c r="H193" s="730">
        <f>(AllocationMass!$F$24/100)*'Pre-TreatHydrolysis'!V40*(Unitflowchart!$S$286/Unitflowchart!$S$357)</f>
        <v>1.7894250163707337E-5</v>
      </c>
      <c r="I193" s="25">
        <f t="shared" si="42"/>
        <v>1.0010831456817824E-3</v>
      </c>
      <c r="J193" s="733">
        <f>(AllocationMass!$F$24/100)*'Pre-TreatHydrolysis'!W40*(Unitflowchart!$S$286/Unitflowchart!$S$357)</f>
        <v>5.0103900458380541E-6</v>
      </c>
      <c r="K193" s="730">
        <f>(AllocationMass!$F$24/100)*'Pre-TreatHydrolysis'!AB40*(Unitflowchart!$S$286/Unitflowchart!$S$357)</f>
        <v>4.7240820432187374E-6</v>
      </c>
      <c r="L193" s="25">
        <f t="shared" si="43"/>
        <v>2.6006356315196884E-4</v>
      </c>
      <c r="M193" s="733">
        <f>(AllocationMass!$F$24/100)*'Pre-TreatHydrolysis'!AC40*(Unitflowchart!$S$286/Unitflowchart!$S$357)</f>
        <v>1.2883860117869281E-6</v>
      </c>
      <c r="N193" s="711">
        <f>E193+(GlobalWarmingPotentials!$B$11*H193)+(GlobalWarmingPotentials!$C$11*K193)</f>
        <v>0.63884520186653915</v>
      </c>
      <c r="O193" s="25">
        <f t="shared" si="44"/>
        <v>3.5991510606272481E-2</v>
      </c>
      <c r="P193" s="740">
        <f>SQRT((G193^2)+((GlobalWarmingPotentials!$B$11*J193)^2)+((GlobalWarmingPotentials!$C$11*M193)^2))</f>
        <v>0.17178526353614884</v>
      </c>
      <c r="Q193" s="29"/>
    </row>
    <row r="194" spans="1:17" s="42" customFormat="1" x14ac:dyDescent="0.25">
      <c r="A194" s="219"/>
      <c r="B194" s="746"/>
      <c r="C194" s="863"/>
      <c r="D194" s="805"/>
      <c r="E194" s="746"/>
      <c r="F194" s="863"/>
      <c r="G194" s="805"/>
      <c r="H194" s="763"/>
      <c r="I194" s="863"/>
      <c r="J194" s="806"/>
      <c r="K194" s="763"/>
      <c r="L194" s="863"/>
      <c r="M194" s="806"/>
      <c r="N194" s="713"/>
      <c r="O194" s="863"/>
      <c r="P194" s="892"/>
      <c r="Q194" s="823"/>
    </row>
    <row r="195" spans="1:17" x14ac:dyDescent="0.25">
      <c r="A195" s="1514" t="s">
        <v>1921</v>
      </c>
      <c r="B195" s="714">
        <f>(AllocationMass!$F$24/100)*'Pre-TreatHydrolysis'!J42*(Unitflowchart!$S$286/Unitflowchart!$S$357)</f>
        <v>7672.8025191554007</v>
      </c>
      <c r="C195" s="14">
        <f>(B195/B$347)*100</f>
        <v>40.319668504101067</v>
      </c>
      <c r="D195" s="720">
        <f>(AllocationMass!$F$24/100)*'Pre-TreatHydrolysis'!K42*(Unitflowchart!$S$286/Unitflowchart!$S$357)</f>
        <v>732.66079238041505</v>
      </c>
      <c r="E195" s="714">
        <f>(AllocationMass!$F$24/100)*'Pre-TreatHydrolysis'!P42*(Unitflowchart!$S$286/Unitflowchart!$S$357)</f>
        <v>485.14931842733705</v>
      </c>
      <c r="F195" s="14">
        <f>(E195/E$347)*100</f>
        <v>40.557907886413567</v>
      </c>
      <c r="G195" s="720">
        <f>(AllocationMass!$F$24/100)*'Pre-TreatHydrolysis'!Q42*(Unitflowchart!$S$286/Unitflowchart!$S$357)</f>
        <v>46.039485184534769</v>
      </c>
      <c r="H195" s="211">
        <f>(AllocationMass!$F$24/100)*'Pre-TreatHydrolysis'!V42*(Unitflowchart!$S$286/Unitflowchart!$S$357)</f>
        <v>0.70063576552983653</v>
      </c>
      <c r="I195" s="14">
        <f>(H195/H$347)*100</f>
        <v>39.196649745979478</v>
      </c>
      <c r="J195" s="728">
        <f>(AllocationMass!$F$24/100)*'Pre-TreatHydrolysis'!W42*(Unitflowchart!$S$286/Unitflowchart!$S$357)</f>
        <v>7.0946243109528323E-2</v>
      </c>
      <c r="K195" s="211">
        <f>(AllocationMass!$F$24/100)*'Pre-TreatHydrolysis'!AB42*(Unitflowchart!$S$286/Unitflowchart!$S$357)</f>
        <v>0.1284130043327992</v>
      </c>
      <c r="L195" s="14">
        <f>(K195/K$347)*100</f>
        <v>7.0692132685915494</v>
      </c>
      <c r="M195" s="728">
        <f>(AllocationMass!$F$24/100)*'Pre-TreatHydrolysis'!AC42*(Unitflowchart!$S$286/Unitflowchart!$S$357)</f>
        <v>6.3801461112046663E-4</v>
      </c>
      <c r="N195" s="714">
        <f>E195+(GlobalWarmingPotentials!$B$11*H195)+(GlobalWarmingPotentials!$C$11*K195)</f>
        <v>539.27419031703187</v>
      </c>
      <c r="O195" s="14">
        <f>(N195/N$347)*100</f>
        <v>30.381840051041415</v>
      </c>
      <c r="P195" s="739">
        <f>SQRT((G195^2)+((GlobalWarmingPotentials!$B$11*J195)^2)+((GlobalWarmingPotentials!$C$11*M195)^2))</f>
        <v>46.068780249494573</v>
      </c>
      <c r="Q195" s="29"/>
    </row>
    <row r="196" spans="1:17" s="42" customFormat="1" x14ac:dyDescent="0.25">
      <c r="B196" s="746"/>
      <c r="C196" s="863"/>
      <c r="D196" s="759"/>
      <c r="E196" s="746"/>
      <c r="F196" s="863"/>
      <c r="G196" s="805"/>
      <c r="H196" s="763"/>
      <c r="I196" s="863"/>
      <c r="J196" s="806"/>
      <c r="K196" s="763"/>
      <c r="L196" s="863"/>
      <c r="M196" s="806"/>
      <c r="N196" s="713"/>
      <c r="O196" s="863"/>
      <c r="P196" s="892"/>
      <c r="Q196" s="823"/>
    </row>
    <row r="197" spans="1:17" x14ac:dyDescent="0.25">
      <c r="A197" s="2" t="s">
        <v>284</v>
      </c>
      <c r="B197" s="712"/>
      <c r="D197" s="718"/>
      <c r="E197" s="712"/>
      <c r="G197" s="718"/>
      <c r="H197" s="30"/>
      <c r="J197" s="708"/>
      <c r="K197" s="30"/>
      <c r="M197" s="708"/>
      <c r="N197" s="712"/>
      <c r="P197" s="718"/>
      <c r="Q197" s="29"/>
    </row>
    <row r="198" spans="1:17" x14ac:dyDescent="0.25">
      <c r="B198" s="712"/>
      <c r="D198" s="718"/>
      <c r="E198" s="712"/>
      <c r="G198" s="718"/>
      <c r="H198" s="30"/>
      <c r="J198" s="708"/>
      <c r="K198" s="30"/>
      <c r="M198" s="708"/>
      <c r="N198" s="712"/>
      <c r="P198" s="718"/>
      <c r="Q198" s="29"/>
    </row>
    <row r="199" spans="1:17" x14ac:dyDescent="0.25">
      <c r="A199" t="str">
        <f>Ferment!A19</f>
        <v>Heat Input</v>
      </c>
      <c r="B199" s="715">
        <f>(AllocationMass!$F$32/100)*Ferment!J19*Unitflowchart!$S$286/Unitflowchart!$S$357</f>
        <v>0</v>
      </c>
      <c r="C199" s="25">
        <f>(B199/B$347)*100</f>
        <v>0</v>
      </c>
      <c r="D199" s="355">
        <f>(AllocationMass!$F$32/100)*Ferment!K19*Unitflowchart!$S$286/Unitflowchart!$S$357</f>
        <v>0</v>
      </c>
      <c r="E199" s="715">
        <f>(AllocationMass!$F$32/100)*Ferment!P19*Unitflowchart!$S$286/Unitflowchart!$S$357</f>
        <v>0</v>
      </c>
      <c r="F199" s="25">
        <f>(E199/E$347)*100</f>
        <v>0</v>
      </c>
      <c r="G199" s="355">
        <f>(AllocationMass!$F$32/100)*Ferment!Q19*Unitflowchart!$S$286/Unitflowchart!$S$357</f>
        <v>0</v>
      </c>
      <c r="H199" s="730">
        <f>(AllocationMass!$F$32/100)*Ferment!V19*Unitflowchart!$S$286/Unitflowchart!$S$357</f>
        <v>0</v>
      </c>
      <c r="I199" s="25">
        <f>(H199/H$347)*100</f>
        <v>0</v>
      </c>
      <c r="J199" s="733">
        <f>(AllocationMass!$F$32/100)*Ferment!W19*Unitflowchart!$S$286/Unitflowchart!$S$357</f>
        <v>0</v>
      </c>
      <c r="K199" s="730">
        <f>(AllocationMass!$F$32/100)*Ferment!AB19*Unitflowchart!$S$286/Unitflowchart!$S$357</f>
        <v>0</v>
      </c>
      <c r="L199" s="25">
        <f>(K199/K$347)*100</f>
        <v>0</v>
      </c>
      <c r="M199" s="733">
        <f>(AllocationMass!$F$32/100)*Ferment!AC19*Unitflowchart!$S$286/Unitflowchart!$S$357</f>
        <v>0</v>
      </c>
      <c r="N199" s="711">
        <f>E199+(GlobalWarmingPotentials!$B$11*H199)+(GlobalWarmingPotentials!$C$11*K199)</f>
        <v>0</v>
      </c>
      <c r="O199" s="25">
        <f>(N199/N$347)*100</f>
        <v>0</v>
      </c>
      <c r="P199" s="740">
        <f>SQRT((G199^2)+((GlobalWarmingPotentials!$B$11*J199)^2)+((GlobalWarmingPotentials!$C$11*M199)^2))</f>
        <v>0</v>
      </c>
      <c r="Q199" s="29"/>
    </row>
    <row r="200" spans="1:17" x14ac:dyDescent="0.25">
      <c r="A200" t="str">
        <f>Ferment!A20</f>
        <v>Electricity Input</v>
      </c>
      <c r="B200" s="715">
        <f>(AllocationMass!$F$32/100)*Ferment!J20*Unitflowchart!$S$286/Unitflowchart!$S$357</f>
        <v>0</v>
      </c>
      <c r="C200" s="25">
        <f>(B200/B$347)*100</f>
        <v>0</v>
      </c>
      <c r="D200" s="355">
        <f>(AllocationMass!$F$32/100)*Ferment!K20*Unitflowchart!$S$286/Unitflowchart!$S$357</f>
        <v>0</v>
      </c>
      <c r="E200" s="715">
        <f>(AllocationMass!$F$32/100)*Ferment!P20*Unitflowchart!$S$286/Unitflowchart!$S$357</f>
        <v>0</v>
      </c>
      <c r="F200" s="25">
        <f>(E200/E$347)*100</f>
        <v>0</v>
      </c>
      <c r="G200" s="355">
        <f>(AllocationMass!$F$32/100)*Ferment!Q20*Unitflowchart!$S$286/Unitflowchart!$S$357</f>
        <v>0</v>
      </c>
      <c r="H200" s="730">
        <f>(AllocationMass!$F$32/100)*Ferment!V20*Unitflowchart!$S$286/Unitflowchart!$S$357</f>
        <v>3.3882352941176478E-4</v>
      </c>
      <c r="I200" s="25">
        <f>(H200/H$347)*100</f>
        <v>1.8955280134759209E-2</v>
      </c>
      <c r="J200" s="733">
        <f>(AllocationMass!$F$32/100)*Ferment!W20*Unitflowchart!$S$286/Unitflowchart!$S$357</f>
        <v>0</v>
      </c>
      <c r="K200" s="730">
        <f>(AllocationMass!$F$32/100)*Ferment!AB20*Unitflowchart!$S$286/Unitflowchart!$S$357</f>
        <v>1.0164705882352942E-4</v>
      </c>
      <c r="L200" s="25">
        <f>(K200/K$347)*100</f>
        <v>5.5957318394821197E-3</v>
      </c>
      <c r="M200" s="733">
        <f>(AllocationMass!$F$32/100)*Ferment!AC20*Unitflowchart!$S$286/Unitflowchart!$S$357</f>
        <v>0</v>
      </c>
      <c r="N200" s="711">
        <f>E200+(GlobalWarmingPotentials!$B$11*H200)+(GlobalWarmingPotentials!$C$11*K200)</f>
        <v>3.78804705882353E-2</v>
      </c>
      <c r="O200" s="25">
        <f>(N200/N$347)*100</f>
        <v>2.1341247534827469E-3</v>
      </c>
      <c r="P200" s="740">
        <f>SQRT((G200^2)+((GlobalWarmingPotentials!$B$11*J200)^2)+((GlobalWarmingPotentials!$C$11*M200)^2))</f>
        <v>0</v>
      </c>
      <c r="Q200" s="29"/>
    </row>
    <row r="201" spans="1:17" x14ac:dyDescent="0.25">
      <c r="B201" s="712"/>
      <c r="D201" s="718"/>
      <c r="E201" s="712"/>
      <c r="G201" s="718"/>
      <c r="H201" s="30"/>
      <c r="J201" s="708"/>
      <c r="K201" s="30"/>
      <c r="M201" s="708"/>
      <c r="N201" s="712"/>
      <c r="P201" s="718"/>
      <c r="Q201" s="29"/>
    </row>
    <row r="202" spans="1:17" x14ac:dyDescent="0.25">
      <c r="A202" s="214" t="s">
        <v>879</v>
      </c>
      <c r="B202" s="714">
        <f>(AllocationMass!$F$32/100)*Ferment!J22*Unitflowchart!$S$286/Unitflowchart!$S$357</f>
        <v>0</v>
      </c>
      <c r="C202" s="14">
        <f>(B202/B$347)*100</f>
        <v>0</v>
      </c>
      <c r="D202" s="722">
        <f>(AllocationMass!$F$32/100)*Ferment!K22*Unitflowchart!$S$286/Unitflowchart!$S$357</f>
        <v>0</v>
      </c>
      <c r="E202" s="714">
        <f>(AllocationMass!$F$32/100)*Ferment!P22*Unitflowchart!$S$286/Unitflowchart!$S$357</f>
        <v>0</v>
      </c>
      <c r="F202" s="14">
        <f>(E202/E$347)*100</f>
        <v>0</v>
      </c>
      <c r="G202" s="722">
        <f>(AllocationMass!$F$32/100)*Ferment!Q22*Unitflowchart!$S$286/Unitflowchart!$S$357</f>
        <v>0</v>
      </c>
      <c r="H202" s="211">
        <f>(AllocationMass!$F$32/100)*Ferment!V22*Unitflowchart!$S$286/Unitflowchart!$S$357</f>
        <v>3.3882352941176478E-4</v>
      </c>
      <c r="I202" s="14">
        <f>(H202/H$347)*100</f>
        <v>1.8955280134759209E-2</v>
      </c>
      <c r="J202" s="212">
        <f>(AllocationMass!$F$32/100)*Ferment!W22*Unitflowchart!$S$286/Unitflowchart!$S$357</f>
        <v>0</v>
      </c>
      <c r="K202" s="211">
        <f>(AllocationMass!$F$32/100)*Ferment!AB22*Unitflowchart!$S$286/Unitflowchart!$S$357</f>
        <v>1.0164705882352942E-4</v>
      </c>
      <c r="L202" s="14">
        <f>(K202/K$347)*100</f>
        <v>5.5957318394821197E-3</v>
      </c>
      <c r="M202" s="212">
        <f>(AllocationMass!$F$32/100)*Ferment!AC22*Unitflowchart!$S$286/Unitflowchart!$S$357</f>
        <v>0</v>
      </c>
      <c r="N202" s="714">
        <f>E202+(GlobalWarmingPotentials!$B$11*H202)+(GlobalWarmingPotentials!$C$11*K202)</f>
        <v>3.78804705882353E-2</v>
      </c>
      <c r="O202" s="14">
        <f>(N202/N$347)*100</f>
        <v>2.1341247534827469E-3</v>
      </c>
      <c r="P202" s="739">
        <f>SQRT((G202^2)+((GlobalWarmingPotentials!$B$11*J202)^2)+((GlobalWarmingPotentials!$C$11*M202)^2))</f>
        <v>0</v>
      </c>
    </row>
    <row r="203" spans="1:17" x14ac:dyDescent="0.25">
      <c r="B203" s="712"/>
      <c r="D203" s="718"/>
      <c r="E203" s="716"/>
      <c r="G203" s="718"/>
      <c r="H203" s="731"/>
      <c r="J203" s="708"/>
      <c r="K203" s="731"/>
      <c r="M203" s="708"/>
      <c r="N203" s="716"/>
      <c r="P203" s="718"/>
      <c r="Q203" s="29"/>
    </row>
    <row r="204" spans="1:17" x14ac:dyDescent="0.25">
      <c r="A204" s="817" t="s">
        <v>1959</v>
      </c>
      <c r="B204" s="712"/>
      <c r="D204" s="718"/>
      <c r="E204" s="712"/>
      <c r="G204" s="718"/>
      <c r="H204" s="30"/>
      <c r="J204" s="708"/>
      <c r="K204" s="30"/>
      <c r="M204" s="708"/>
      <c r="N204" s="712"/>
      <c r="P204" s="718"/>
      <c r="Q204" s="29"/>
    </row>
    <row r="205" spans="1:17" x14ac:dyDescent="0.25">
      <c r="A205" s="219"/>
      <c r="B205" s="712"/>
      <c r="D205" s="718"/>
      <c r="E205" s="712"/>
      <c r="G205" s="718"/>
      <c r="H205" s="30"/>
      <c r="J205" s="708"/>
      <c r="K205" s="30"/>
      <c r="M205" s="708"/>
      <c r="N205" s="712"/>
      <c r="P205" s="718"/>
      <c r="Q205" s="29"/>
    </row>
    <row r="206" spans="1:17" x14ac:dyDescent="0.25">
      <c r="A206" s="219" t="str">
        <f>EthanolRecovery!A19</f>
        <v>Heat Input</v>
      </c>
      <c r="B206" s="715">
        <f>(AllocationMass!$F$37/100)*EthanolRecovery!J19*(Unitflowchart!$S$286/Unitflowchart!$S$357)</f>
        <v>0</v>
      </c>
      <c r="C206" s="25">
        <f>(B206/B$347)*100</f>
        <v>0</v>
      </c>
      <c r="D206" s="355">
        <f>(AllocationMass!$F$37/100)*EthanolRecovery!K19*(Unitflowchart!$S$286/Unitflowchart!$S$357)</f>
        <v>0</v>
      </c>
      <c r="E206" s="715">
        <f>(AllocationMass!$F$37/100)*EthanolRecovery!P19*(Unitflowchart!$S$286/Unitflowchart!$S$357)</f>
        <v>0</v>
      </c>
      <c r="F206" s="25">
        <f>(E206/E$347)*100</f>
        <v>0</v>
      </c>
      <c r="G206" s="355">
        <f>(AllocationMass!$F$37/100)*EthanolRecovery!Q19*(Unitflowchart!$S$286/Unitflowchart!$S$357)</f>
        <v>0</v>
      </c>
      <c r="H206" s="730">
        <f>(AllocationMass!$F$37/100)*EthanolRecovery!V19*(Unitflowchart!$S$286/Unitflowchart!$S$357)</f>
        <v>2.9162823529411762E-2</v>
      </c>
      <c r="I206" s="25">
        <f>(H206/H$347)*100</f>
        <v>1.6314967572655035</v>
      </c>
      <c r="J206" s="733">
        <f>(AllocationMass!$F$37/100)*EthanolRecovery!W19*(Unitflowchart!$S$286/Unitflowchart!$S$357)</f>
        <v>0</v>
      </c>
      <c r="K206" s="730">
        <f>(AllocationMass!$F$37/100)*EthanolRecovery!AB19*(Unitflowchart!$S$286/Unitflowchart!$S$357)</f>
        <v>8.7488470588235299E-3</v>
      </c>
      <c r="L206" s="25">
        <f>(K206/K$347)*100</f>
        <v>0.48162930253409231</v>
      </c>
      <c r="M206" s="733">
        <f>(AllocationMass!$F$37/100)*EthanolRecovery!AC19*(Unitflowchart!$S$286/Unitflowchart!$S$357)</f>
        <v>0</v>
      </c>
      <c r="N206" s="711">
        <f>E206+(GlobalWarmingPotentials!$B$11*H206)+(GlobalWarmingPotentials!$C$11*K206)</f>
        <v>3.2604036705882353</v>
      </c>
      <c r="O206" s="25">
        <f>(N206/N$347)*100</f>
        <v>0.18368589596955456</v>
      </c>
      <c r="P206" s="740">
        <f>SQRT((G206^2)+((GlobalWarmingPotentials!$B$11*J206)^2)+((GlobalWarmingPotentials!$C$11*M206)^2))</f>
        <v>0</v>
      </c>
      <c r="Q206" s="29"/>
    </row>
    <row r="207" spans="1:17" x14ac:dyDescent="0.25">
      <c r="A207" s="219" t="str">
        <f>EthanolRecovery!A20</f>
        <v>Electricity Input</v>
      </c>
      <c r="B207" s="715">
        <f>(AllocationMass!$F$37/100)*EthanolRecovery!J20*(Unitflowchart!$S$286/Unitflowchart!$S$357)</f>
        <v>0</v>
      </c>
      <c r="C207" s="25">
        <f>(B207/B$347)*100</f>
        <v>0</v>
      </c>
      <c r="D207" s="355">
        <f>(AllocationMass!$F$37/100)*EthanolRecovery!K20*(Unitflowchart!$S$286/Unitflowchart!$S$357)</f>
        <v>0</v>
      </c>
      <c r="E207" s="715">
        <f>(AllocationMass!$F$37/100)*EthanolRecovery!P20*(Unitflowchart!$S$286/Unitflowchart!$S$357)</f>
        <v>0</v>
      </c>
      <c r="F207" s="25">
        <f>(E207/E$347)*100</f>
        <v>0</v>
      </c>
      <c r="G207" s="355">
        <f>(AllocationMass!$F$37/100)*EthanolRecovery!Q20*(Unitflowchart!$S$286/Unitflowchart!$S$357)</f>
        <v>0</v>
      </c>
      <c r="H207" s="730">
        <f>(AllocationMass!$F$37/100)*EthanolRecovery!V20*(Unitflowchart!$S$286/Unitflowchart!$S$357)</f>
        <v>2.6371764705882361E-3</v>
      </c>
      <c r="I207" s="25">
        <f>(H207/H$347)*100</f>
        <v>0.14753526371554251</v>
      </c>
      <c r="J207" s="733">
        <f>(AllocationMass!$F$37/100)*EthanolRecovery!W20*(Unitflowchart!$S$286/Unitflowchart!$S$357)</f>
        <v>0</v>
      </c>
      <c r="K207" s="730">
        <f>(AllocationMass!$F$37/100)*EthanolRecovery!AB20*(Unitflowchart!$S$286/Unitflowchart!$S$357)</f>
        <v>7.9115294117647068E-4</v>
      </c>
      <c r="L207" s="25">
        <f>(K207/K$347)*100</f>
        <v>4.355344615063584E-2</v>
      </c>
      <c r="M207" s="733">
        <f>(AllocationMass!$F$37/100)*EthanolRecovery!AC20*(Unitflowchart!$S$286/Unitflowchart!$S$357)</f>
        <v>0</v>
      </c>
      <c r="N207" s="711">
        <f>E207+(GlobalWarmingPotentials!$B$11*H207)+(GlobalWarmingPotentials!$C$11*K207)</f>
        <v>0.29483632941176474</v>
      </c>
      <c r="O207" s="25">
        <f>(N207/N$347)*100</f>
        <v>1.6610604331274044E-2</v>
      </c>
      <c r="P207" s="740">
        <f>SQRT((G207^2)+((GlobalWarmingPotentials!$B$11*J207)^2)+((GlobalWarmingPotentials!$C$11*M207)^2))</f>
        <v>0</v>
      </c>
      <c r="Q207" s="29"/>
    </row>
    <row r="208" spans="1:17" x14ac:dyDescent="0.25">
      <c r="A208" s="219"/>
      <c r="B208" s="712"/>
      <c r="D208" s="718"/>
      <c r="E208" s="712"/>
      <c r="G208" s="718"/>
      <c r="H208" s="30"/>
      <c r="J208" s="708"/>
      <c r="K208" s="30"/>
      <c r="M208" s="708"/>
      <c r="N208" s="712"/>
      <c r="P208" s="718"/>
      <c r="Q208" s="29"/>
    </row>
    <row r="209" spans="1:17" x14ac:dyDescent="0.25">
      <c r="A209" s="1515" t="s">
        <v>1989</v>
      </c>
      <c r="B209" s="714">
        <f>(AllocationMass!$F$37/100)*EthanolRecovery!J22*(Unitflowchart!$S$286/Unitflowchart!$S$357)</f>
        <v>0</v>
      </c>
      <c r="C209" s="14">
        <f>(B209/B$347)*100</f>
        <v>0</v>
      </c>
      <c r="D209" s="722">
        <f>(AllocationMass!$F$37/100)*EthanolRecovery!K22*(Unitflowchart!$S$286/Unitflowchart!$S$357)</f>
        <v>0</v>
      </c>
      <c r="E209" s="714">
        <f>(AllocationMass!$F$37/100)*EthanolRecovery!P22*(Unitflowchart!$S$286/Unitflowchart!$S$357)</f>
        <v>0</v>
      </c>
      <c r="F209" s="14">
        <f>(E209/E$347)*100</f>
        <v>0</v>
      </c>
      <c r="G209" s="722">
        <f>(AllocationMass!$F$37/100)*EthanolRecovery!Q22*(Unitflowchart!$S$286/Unitflowchart!$S$357)</f>
        <v>0</v>
      </c>
      <c r="H209" s="211">
        <f>(AllocationMass!$F$37/100)*EthanolRecovery!V22*(Unitflowchart!$S$286/Unitflowchart!$S$357)</f>
        <v>3.1799999999999995E-2</v>
      </c>
      <c r="I209" s="14">
        <f>(H209/H$347)*100</f>
        <v>1.779032020981046</v>
      </c>
      <c r="J209" s="212">
        <f>(AllocationMass!$F$37/100)*EthanolRecovery!W22*(Unitflowchart!$S$286/Unitflowchart!$S$357)</f>
        <v>0</v>
      </c>
      <c r="K209" s="211">
        <f>(AllocationMass!$F$37/100)*EthanolRecovery!AB22*(Unitflowchart!$S$286/Unitflowchart!$S$357)</f>
        <v>9.5399999999999999E-3</v>
      </c>
      <c r="L209" s="14">
        <f>(K209/K$347)*100</f>
        <v>0.52518274868472814</v>
      </c>
      <c r="M209" s="212">
        <f>(AllocationMass!$F$37/100)*EthanolRecovery!AC22*(Unitflowchart!$S$286/Unitflowchart!$S$357)</f>
        <v>0</v>
      </c>
      <c r="N209" s="714">
        <f>E209+(GlobalWarmingPotentials!$B$11*H209)+(GlobalWarmingPotentials!$C$11*K209)</f>
        <v>3.55524</v>
      </c>
      <c r="O209" s="14">
        <f>(N209/N$347)*100</f>
        <v>0.2002965003008286</v>
      </c>
      <c r="P209" s="739">
        <f>SQRT((G209^2)+((GlobalWarmingPotentials!$B$11*J209)^2)+((GlobalWarmingPotentials!$C$11*M209)^2))</f>
        <v>0</v>
      </c>
    </row>
    <row r="210" spans="1:17" x14ac:dyDescent="0.25">
      <c r="A210" s="219"/>
      <c r="B210" s="716"/>
      <c r="D210" s="718"/>
      <c r="E210" s="716"/>
      <c r="G210" s="718"/>
      <c r="H210" s="731"/>
      <c r="J210" s="708"/>
      <c r="K210" s="731"/>
      <c r="M210" s="708"/>
      <c r="N210" s="716"/>
      <c r="P210" s="718"/>
      <c r="Q210" s="29"/>
    </row>
    <row r="211" spans="1:17" x14ac:dyDescent="0.25">
      <c r="A211" s="817" t="s">
        <v>2007</v>
      </c>
      <c r="B211" s="712"/>
      <c r="D211" s="718"/>
      <c r="E211" s="712"/>
      <c r="G211" s="718"/>
      <c r="H211" s="30"/>
      <c r="J211" s="708"/>
      <c r="K211" s="30"/>
      <c r="M211" s="708"/>
      <c r="N211" s="712"/>
      <c r="P211" s="718"/>
      <c r="Q211" s="29"/>
    </row>
    <row r="212" spans="1:17" x14ac:dyDescent="0.25">
      <c r="A212" s="219"/>
      <c r="B212" s="712"/>
      <c r="D212" s="718"/>
      <c r="E212" s="712"/>
      <c r="G212" s="718"/>
      <c r="H212" s="30"/>
      <c r="J212" s="708"/>
      <c r="K212" s="30"/>
      <c r="M212" s="708"/>
      <c r="N212" s="712"/>
      <c r="P212" s="718"/>
      <c r="Q212" s="29"/>
    </row>
    <row r="213" spans="1:17" x14ac:dyDescent="0.25">
      <c r="A213" s="219" t="str">
        <f>WasteSolidFilter!A19</f>
        <v>Heat Input</v>
      </c>
      <c r="B213" s="715">
        <f>(AllocationMass!$F$41/100)*WasteSolidFilter!J19*(Unitflowchart!$S$286/Unitflowchart!$S$357)</f>
        <v>0</v>
      </c>
      <c r="C213" s="25">
        <f>(B213/B$347)*100</f>
        <v>0</v>
      </c>
      <c r="D213" s="355">
        <f>(AllocationMass!$F$41/100)*WasteSolidFilter!K19*(Unitflowchart!$S$286/Unitflowchart!$S$357)</f>
        <v>0</v>
      </c>
      <c r="E213" s="715">
        <f>(AllocationMass!$F$41/100)*WasteSolidFilter!P19*(Unitflowchart!$S$286/Unitflowchart!$S$357)</f>
        <v>0</v>
      </c>
      <c r="F213" s="25">
        <f>(E213/E$347)*100</f>
        <v>0</v>
      </c>
      <c r="G213" s="355">
        <f>(AllocationMass!$F$41/100)*WasteSolidFilter!Q19*(Unitflowchart!$S$286/Unitflowchart!$S$357)</f>
        <v>0</v>
      </c>
      <c r="H213" s="730">
        <f>(AllocationMass!$F$41/100)*WasteSolidFilter!V19*(Unitflowchart!$S$286/Unitflowchart!$S$357)</f>
        <v>0</v>
      </c>
      <c r="I213" s="25">
        <f>(H213/H$347)*100</f>
        <v>0</v>
      </c>
      <c r="J213" s="733">
        <f>(AllocationMass!$F$41/100)*WasteSolidFilter!W19*(Unitflowchart!$S$286/Unitflowchart!$S$357)</f>
        <v>0</v>
      </c>
      <c r="K213" s="730">
        <f>(AllocationMass!$F$41/100)*WasteSolidFilter!AB19*(Unitflowchart!$S$286/Unitflowchart!$S$357)</f>
        <v>0</v>
      </c>
      <c r="L213" s="25">
        <f>(K213/K$347)*100</f>
        <v>0</v>
      </c>
      <c r="M213" s="733">
        <f>(AllocationMass!$F$41/100)*WasteSolidFilter!AC19*(Unitflowchart!$S$286/Unitflowchart!$S$357)</f>
        <v>0</v>
      </c>
      <c r="N213" s="711">
        <f>E213+(GlobalWarmingPotentials!$B$11*H213)+(GlobalWarmingPotentials!$C$11*K213)</f>
        <v>0</v>
      </c>
      <c r="O213" s="25">
        <f>(N213/N$347)*100</f>
        <v>0</v>
      </c>
      <c r="P213" s="740">
        <f>SQRT((G213^2)+((GlobalWarmingPotentials!$B$11*J213)^2)+((GlobalWarmingPotentials!$C$11*M213)^2))</f>
        <v>0</v>
      </c>
      <c r="Q213" s="29"/>
    </row>
    <row r="214" spans="1:17" x14ac:dyDescent="0.25">
      <c r="A214" s="219" t="str">
        <f>WasteSolidFilter!A20</f>
        <v>Electricity Input</v>
      </c>
      <c r="B214" s="715">
        <f>(AllocationMass!$F$41/100)*WasteSolidFilter!J20*(Unitflowchart!$S$286/Unitflowchart!$S$357)</f>
        <v>0</v>
      </c>
      <c r="C214" s="25">
        <f>(B214/B$347)*100</f>
        <v>0</v>
      </c>
      <c r="D214" s="355">
        <f>(AllocationMass!$F$41/100)*WasteSolidFilter!K20*(Unitflowchart!$S$286/Unitflowchart!$S$357)</f>
        <v>0</v>
      </c>
      <c r="E214" s="715">
        <f>(AllocationMass!$F$41/100)*WasteSolidFilter!P20*(Unitflowchart!$S$286/Unitflowchart!$S$357)</f>
        <v>0</v>
      </c>
      <c r="F214" s="25">
        <f>(E214/E$347)*100</f>
        <v>0</v>
      </c>
      <c r="G214" s="355">
        <f>(AllocationMass!$F$41/100)*WasteSolidFilter!Q20*(Unitflowchart!$S$286/Unitflowchart!$S$357)</f>
        <v>0</v>
      </c>
      <c r="H214" s="730">
        <f>(AllocationMass!$F$41/100)*WasteSolidFilter!V20*(Unitflowchart!$S$286/Unitflowchart!$S$357)</f>
        <v>3.2504775017513283E-3</v>
      </c>
      <c r="I214" s="25">
        <f>(H214/H$347)*100</f>
        <v>0.18184602387088325</v>
      </c>
      <c r="J214" s="733">
        <f>(AllocationMass!$F$41/100)*WasteSolidFilter!W20*(Unitflowchart!$S$286/Unitflowchart!$S$357)</f>
        <v>0</v>
      </c>
      <c r="K214" s="730">
        <f>(AllocationMass!$F$41/100)*WasteSolidFilter!AB20*(Unitflowchart!$S$286/Unitflowchart!$S$357)</f>
        <v>9.7514325052539832E-4</v>
      </c>
      <c r="L214" s="25">
        <f>(K214/K$347)*100</f>
        <v>5.3682223550554416E-2</v>
      </c>
      <c r="M214" s="733">
        <f>(AllocationMass!$F$41/100)*WasteSolidFilter!AC20*(Unitflowchart!$S$286/Unitflowchart!$S$357)</f>
        <v>0</v>
      </c>
      <c r="N214" s="711">
        <f>E214+(GlobalWarmingPotentials!$B$11*H214)+(GlobalWarmingPotentials!$C$11*K214)</f>
        <v>0.36340338469579847</v>
      </c>
      <c r="O214" s="25">
        <f>(N214/N$347)*100</f>
        <v>2.0473561883879606E-2</v>
      </c>
      <c r="P214" s="740">
        <f>SQRT((G214^2)+((GlobalWarmingPotentials!$B$11*J214)^2)+((GlobalWarmingPotentials!$C$11*M214)^2))</f>
        <v>0</v>
      </c>
      <c r="Q214" s="29"/>
    </row>
    <row r="215" spans="1:17" x14ac:dyDescent="0.25">
      <c r="A215" s="219"/>
      <c r="B215" s="712"/>
      <c r="D215" s="718"/>
      <c r="E215" s="712"/>
      <c r="G215" s="718"/>
      <c r="H215" s="30"/>
      <c r="J215" s="708"/>
      <c r="K215" s="30"/>
      <c r="M215" s="708"/>
      <c r="N215" s="712"/>
      <c r="P215" s="718"/>
      <c r="Q215" s="29"/>
    </row>
    <row r="216" spans="1:17" x14ac:dyDescent="0.25">
      <c r="A216" s="1515" t="s">
        <v>2008</v>
      </c>
      <c r="B216" s="714">
        <f>(AllocationMass!$F$41/100)*WasteSolidFilter!J22*(Unitflowchart!$S$286/Unitflowchart!$S$357)</f>
        <v>0</v>
      </c>
      <c r="C216" s="14">
        <f>(B216/B$347)*100</f>
        <v>0</v>
      </c>
      <c r="D216" s="722">
        <f>(AllocationMass!$F$41/100)*WasteSolidFilter!K22*(Unitflowchart!$S$286/Unitflowchart!$S$357)</f>
        <v>0</v>
      </c>
      <c r="E216" s="714">
        <f>(AllocationMass!$F$41/100)*WasteSolidFilter!P22*(Unitflowchart!$S$286/Unitflowchart!$S$357)</f>
        <v>0</v>
      </c>
      <c r="F216" s="14">
        <f>(E216/E$347)*100</f>
        <v>0</v>
      </c>
      <c r="G216" s="722">
        <f>(AllocationMass!$F$41/100)*WasteSolidFilter!Q22*(Unitflowchart!$S$286/Unitflowchart!$S$357)</f>
        <v>0</v>
      </c>
      <c r="H216" s="211">
        <f>(AllocationMass!$F$41/100)*WasteSolidFilter!V22*(Unitflowchart!$S$286/Unitflowchart!$S$357)</f>
        <v>3.2504775017513283E-3</v>
      </c>
      <c r="I216" s="14">
        <f>(H216/H$347)*100</f>
        <v>0.18184602387088325</v>
      </c>
      <c r="J216" s="212">
        <f>(AllocationMass!$F$41/100)*WasteSolidFilter!W22*(Unitflowchart!$S$286/Unitflowchart!$S$357)</f>
        <v>0</v>
      </c>
      <c r="K216" s="211">
        <f>(AllocationMass!$F$41/100)*WasteSolidFilter!AB22*(Unitflowchart!$S$286/Unitflowchart!$S$357)</f>
        <v>9.7514325052539832E-4</v>
      </c>
      <c r="L216" s="14">
        <f>(K216/K$347)*100</f>
        <v>5.3682223550554416E-2</v>
      </c>
      <c r="M216" s="212">
        <f>(AllocationMass!$F$41/100)*WasteSolidFilter!AC22*(Unitflowchart!$S$286/Unitflowchart!$S$357)</f>
        <v>0</v>
      </c>
      <c r="N216" s="714">
        <f>E216+(GlobalWarmingPotentials!$B$11*H216)+(GlobalWarmingPotentials!$C$11*K216)</f>
        <v>0.36340338469579847</v>
      </c>
      <c r="O216" s="14">
        <f>(N216/N$347)*100</f>
        <v>2.0473561883879606E-2</v>
      </c>
      <c r="P216" s="741">
        <f>SQRT((G216^2)+((GlobalWarmingPotentials!$B$11*J216)^2)+((GlobalWarmingPotentials!$C$11*M216)^2))</f>
        <v>0</v>
      </c>
      <c r="Q216" s="29"/>
    </row>
    <row r="217" spans="1:17" x14ac:dyDescent="0.25">
      <c r="A217" s="219"/>
      <c r="B217" s="716"/>
      <c r="D217" s="718"/>
      <c r="E217" s="716"/>
      <c r="G217" s="718"/>
      <c r="H217" s="731"/>
      <c r="J217" s="708"/>
      <c r="K217" s="731"/>
      <c r="M217" s="708"/>
      <c r="N217" s="716"/>
      <c r="P217" s="718"/>
      <c r="Q217" s="29"/>
    </row>
    <row r="218" spans="1:17" x14ac:dyDescent="0.25">
      <c r="A218" s="817" t="s">
        <v>871</v>
      </c>
      <c r="B218" s="712"/>
      <c r="D218" s="718"/>
      <c r="E218" s="712"/>
      <c r="G218" s="718"/>
      <c r="H218" s="30"/>
      <c r="J218" s="708"/>
      <c r="K218" s="30"/>
      <c r="M218" s="708"/>
      <c r="N218" s="712"/>
      <c r="P218" s="718"/>
      <c r="Q218" s="29"/>
    </row>
    <row r="219" spans="1:17" x14ac:dyDescent="0.25">
      <c r="A219" s="219"/>
      <c r="B219" s="712"/>
      <c r="D219" s="718"/>
      <c r="E219" s="712"/>
      <c r="G219" s="718"/>
      <c r="H219" s="30"/>
      <c r="J219" s="708"/>
      <c r="K219" s="30"/>
      <c r="M219" s="708"/>
      <c r="N219" s="712"/>
      <c r="P219" s="718"/>
      <c r="Q219" s="29"/>
    </row>
    <row r="220" spans="1:17" x14ac:dyDescent="0.25">
      <c r="A220" s="219" t="str">
        <f>AnaerobicDigestion!A19</f>
        <v>Electricity Input</v>
      </c>
      <c r="B220" s="715">
        <f>(AllocationMass!$F$41/100)*AnaerobicDigestion!J19*(Unitflowchart!$S$286/Unitflowchart!$S$357)</f>
        <v>0</v>
      </c>
      <c r="C220" s="25">
        <f>(B220/B$347)*100</f>
        <v>0</v>
      </c>
      <c r="D220" s="355">
        <f>(AllocationMass!$F$41/100)*AnaerobicDigestion!K19*(Unitflowchart!$S$286/Unitflowchart!$S$357)</f>
        <v>0</v>
      </c>
      <c r="E220" s="715">
        <f>(AllocationMass!$F$41/100)*AnaerobicDigestion!P19*(Unitflowchart!$S$286/Unitflowchart!$S$357)</f>
        <v>0</v>
      </c>
      <c r="F220" s="25">
        <f>(E220/E$347)*100</f>
        <v>0</v>
      </c>
      <c r="G220" s="355">
        <f>(AllocationMass!$F$41/100)*AnaerobicDigestion!Q19*(Unitflowchart!$S$286/Unitflowchart!$S$357)</f>
        <v>0</v>
      </c>
      <c r="H220" s="730">
        <f>(AllocationMass!$F$41/100)*AnaerobicDigestion!V19*(Unitflowchart!$S$286/Unitflowchart!$S$357)</f>
        <v>9.5522823529411768E-3</v>
      </c>
      <c r="I220" s="25">
        <f>(H220/H$347)*100</f>
        <v>0.53439673519919884</v>
      </c>
      <c r="J220" s="733">
        <f>(AllocationMass!$F$41/100)*AnaerobicDigestion!W19*(Unitflowchart!$S$286/Unitflowchart!$S$357)</f>
        <v>0</v>
      </c>
      <c r="K220" s="730">
        <f>(AllocationMass!$F$41/100)*AnaerobicDigestion!AB19*(Unitflowchart!$S$286/Unitflowchart!$S$357)</f>
        <v>2.8656847058823529E-3</v>
      </c>
      <c r="L220" s="25">
        <f>(K220/K$347)*100</f>
        <v>0.15775766988459966</v>
      </c>
      <c r="M220" s="733">
        <f>(AllocationMass!$F$41/100)*AnaerobicDigestion!AC19*(Unitflowchart!$S$286/Unitflowchart!$S$357)</f>
        <v>0</v>
      </c>
      <c r="N220" s="711">
        <f>E220+(GlobalWarmingPotentials!$B$11*H220)+(GlobalWarmingPotentials!$C$11*K220)</f>
        <v>1.0679451670588236</v>
      </c>
      <c r="O220" s="25">
        <f>(N220/N$347)*100</f>
        <v>6.0166312112562334E-2</v>
      </c>
      <c r="P220" s="740">
        <f>SQRT((G220^2)+((GlobalWarmingPotentials!$B$11*J220)^2)+((GlobalWarmingPotentials!$C$11*M220)^2))</f>
        <v>0</v>
      </c>
      <c r="Q220" s="29"/>
    </row>
    <row r="221" spans="1:17" x14ac:dyDescent="0.25">
      <c r="A221" s="219" t="str">
        <f>AnaerobicDigestion!A20</f>
        <v>Caustic Soda Input</v>
      </c>
      <c r="B221" s="715">
        <f>(AllocationMass!$F$41/100)*AnaerobicDigestion!J20*(Unitflowchart!$S$286/Unitflowchart!$S$357)</f>
        <v>1927.7999999999997</v>
      </c>
      <c r="C221" s="25">
        <f>(B221/B$347)*100</f>
        <v>10.130360679576324</v>
      </c>
      <c r="D221" s="355">
        <f>(AllocationMass!$F$41/100)*AnaerobicDigestion!K20*(Unitflowchart!$S$286/Unitflowchart!$S$357)</f>
        <v>289.16999999999996</v>
      </c>
      <c r="E221" s="715">
        <f>(AllocationMass!$F$41/100)*AnaerobicDigestion!P20*(Unitflowchart!$S$286/Unitflowchart!$S$357)</f>
        <v>107.9568</v>
      </c>
      <c r="F221" s="25">
        <f>(E221/E$347)*100</f>
        <v>9.0250604995289923</v>
      </c>
      <c r="G221" s="355">
        <f>(AllocationMass!$F$41/100)*AnaerobicDigestion!Q20*(Unitflowchart!$S$286/Unitflowchart!$S$357)</f>
        <v>16.386299999999999</v>
      </c>
      <c r="H221" s="730">
        <f>(AllocationMass!$F$41/100)*AnaerobicDigestion!V20*(Unitflowchart!$S$286/Unitflowchart!$S$357)</f>
        <v>0.31326749999999992</v>
      </c>
      <c r="I221" s="25">
        <f>(H221/H$347)*100</f>
        <v>17.525563321782382</v>
      </c>
      <c r="J221" s="733">
        <f>(AllocationMass!$F$41/100)*AnaerobicDigestion!W20*(Unitflowchart!$S$286/Unitflowchart!$S$357)</f>
        <v>4.7231099999999991E-2</v>
      </c>
      <c r="K221" s="730">
        <f>(AllocationMass!$F$41/100)*AnaerobicDigestion!AB20*(Unitflowchart!$S$286/Unitflowchart!$S$357)</f>
        <v>0</v>
      </c>
      <c r="L221" s="25">
        <f>(K221/K$347)*100</f>
        <v>0</v>
      </c>
      <c r="M221" s="733">
        <f>(AllocationMass!$F$41/100)*AnaerobicDigestion!AC20*(Unitflowchart!$S$286/Unitflowchart!$S$357)</f>
        <v>0</v>
      </c>
      <c r="N221" s="711">
        <f>E221+(GlobalWarmingPotentials!$B$11*H221)+(GlobalWarmingPotentials!$C$11*K221)</f>
        <v>115.1619525</v>
      </c>
      <c r="O221" s="25">
        <f>(N221/N$347)*100</f>
        <v>6.4880390785320428</v>
      </c>
      <c r="P221" s="740">
        <f>SQRT((G221^2)+((GlobalWarmingPotentials!$B$11*J221)^2)+((GlobalWarmingPotentials!$C$11*M221)^2))</f>
        <v>16.422268680697378</v>
      </c>
      <c r="Q221" s="29"/>
    </row>
    <row r="222" spans="1:17" x14ac:dyDescent="0.25">
      <c r="A222" s="219"/>
      <c r="B222" s="712"/>
      <c r="D222" s="718"/>
      <c r="E222" s="712"/>
      <c r="G222" s="718"/>
      <c r="H222" s="30"/>
      <c r="J222" s="708"/>
      <c r="K222" s="30"/>
      <c r="M222" s="708"/>
      <c r="N222" s="712"/>
      <c r="P222" s="721"/>
      <c r="Q222" s="29"/>
    </row>
    <row r="223" spans="1:17" x14ac:dyDescent="0.25">
      <c r="A223" s="1515" t="s">
        <v>880</v>
      </c>
      <c r="B223" s="714">
        <f>(AllocationMass!$F$41/100)*AnaerobicDigestion!J22*(Unitflowchart!$S$286/Unitflowchart!$S$357)</f>
        <v>1927.7999999999997</v>
      </c>
      <c r="C223" s="14">
        <f>(B223/B$347)*100</f>
        <v>10.130360679576324</v>
      </c>
      <c r="D223" s="722">
        <f>(AllocationMass!$F$41/100)*AnaerobicDigestion!K22*(Unitflowchart!$S$286/Unitflowchart!$S$357)</f>
        <v>289.16999999999996</v>
      </c>
      <c r="E223" s="714">
        <f>(AllocationMass!$F$41/100)*AnaerobicDigestion!P22*(Unitflowchart!$S$286/Unitflowchart!$S$357)</f>
        <v>107.9568</v>
      </c>
      <c r="F223" s="14">
        <f>(E223/E$347)*100</f>
        <v>9.0250604995289923</v>
      </c>
      <c r="G223" s="722">
        <f>(AllocationMass!$F$41/100)*AnaerobicDigestion!Q22*(Unitflowchart!$S$286/Unitflowchart!$S$357)</f>
        <v>16.386299999999999</v>
      </c>
      <c r="H223" s="211">
        <f>(AllocationMass!$F$41/100)*AnaerobicDigestion!V22*(Unitflowchart!$S$286/Unitflowchart!$S$357)</f>
        <v>0.32281978235294112</v>
      </c>
      <c r="I223" s="14">
        <f>(H223/H$347)*100</f>
        <v>18.059960056981581</v>
      </c>
      <c r="J223" s="212">
        <f>(AllocationMass!$F$41/100)*AnaerobicDigestion!W22*(Unitflowchart!$S$286/Unitflowchart!$S$357)</f>
        <v>4.7231099999999991E-2</v>
      </c>
      <c r="K223" s="211">
        <f>(AllocationMass!$F$41/100)*AnaerobicDigestion!AB22*(Unitflowchart!$S$286/Unitflowchart!$S$357)</f>
        <v>2.8656847058823529E-3</v>
      </c>
      <c r="L223" s="14">
        <f>(K223/K$347)*100</f>
        <v>0.15775766988459966</v>
      </c>
      <c r="M223" s="212">
        <f>(AllocationMass!$F$41/100)*AnaerobicDigestion!AC22*(Unitflowchart!$S$286/Unitflowchart!$S$357)</f>
        <v>0</v>
      </c>
      <c r="N223" s="714">
        <f>E223+(GlobalWarmingPotentials!$B$11*H223)+(GlobalWarmingPotentials!$C$11*K223)</f>
        <v>116.22989766705884</v>
      </c>
      <c r="O223" s="14">
        <f>(N223/N$347)*100</f>
        <v>6.5482053906446058</v>
      </c>
      <c r="P223" s="741">
        <f>SQRT((G223^2)+((GlobalWarmingPotentials!$B$11*J223)^2)+((GlobalWarmingPotentials!$C$11*M223)^2))</f>
        <v>16.422268680697378</v>
      </c>
      <c r="Q223" s="29"/>
    </row>
    <row r="224" spans="1:17" x14ac:dyDescent="0.25">
      <c r="A224" s="219"/>
      <c r="B224" s="716"/>
      <c r="D224" s="718"/>
      <c r="E224" s="716"/>
      <c r="G224" s="718"/>
      <c r="H224" s="731"/>
      <c r="J224" s="708"/>
      <c r="K224" s="731"/>
      <c r="M224" s="708"/>
      <c r="N224" s="716"/>
      <c r="P224" s="718"/>
      <c r="Q224" s="29"/>
    </row>
    <row r="225" spans="1:17" x14ac:dyDescent="0.25">
      <c r="A225" s="817" t="s">
        <v>1996</v>
      </c>
      <c r="B225" s="712"/>
      <c r="D225" s="718"/>
      <c r="E225" s="712"/>
      <c r="G225" s="718"/>
      <c r="H225" s="30"/>
      <c r="J225" s="708"/>
      <c r="K225" s="30"/>
      <c r="M225" s="708"/>
      <c r="N225" s="712"/>
      <c r="P225" s="718"/>
      <c r="Q225" s="29"/>
    </row>
    <row r="226" spans="1:17" x14ac:dyDescent="0.25">
      <c r="B226" s="712"/>
      <c r="D226" s="718"/>
      <c r="E226" s="712"/>
      <c r="G226" s="718"/>
      <c r="H226" s="30"/>
      <c r="J226" s="708"/>
      <c r="K226" s="30"/>
      <c r="M226" s="708"/>
      <c r="N226" s="712"/>
      <c r="P226" s="718"/>
      <c r="Q226" s="29"/>
    </row>
    <row r="227" spans="1:17" x14ac:dyDescent="0.25">
      <c r="A227" t="str">
        <f>Utilities!A16</f>
        <v>Biorefinery Utilities</v>
      </c>
      <c r="B227" s="710">
        <f>(AllocationMass!$F$41/100)*Utilities!J18*(Unitflowchart!$S$294/Unitflowchart!$S$357)</f>
        <v>0</v>
      </c>
      <c r="C227" s="25">
        <f>(B227/B$347)*100</f>
        <v>0</v>
      </c>
      <c r="D227" s="726">
        <f>(AllocationMass!$F$41/100)*Utilities!K18*(Unitflowchart!$S$294/Unitflowchart!$S$357)</f>
        <v>0</v>
      </c>
      <c r="E227" s="710">
        <f>(AllocationMass!$F$41/100)*Utilities!P18*(Unitflowchart!$S$294/Unitflowchart!$S$357)</f>
        <v>0</v>
      </c>
      <c r="F227" s="24">
        <f t="shared" ref="F227:F229" si="45">(E227/E$347)*100</f>
        <v>0</v>
      </c>
      <c r="G227" s="726">
        <f>(AllocationMass!$F$41/100)*Utilities!Q18*(Unitflowchart!$S$294/Unitflowchart!$S$357)</f>
        <v>0</v>
      </c>
      <c r="H227" s="707">
        <f>(AllocationMass!$F$41/100)*Utilities!V18*(Unitflowchart!$S$294/Unitflowchart!$S$357)</f>
        <v>4.2465882352941192E-3</v>
      </c>
      <c r="I227" s="24">
        <f t="shared" ref="I227:I229" si="46">(H227/H$347)*100</f>
        <v>0.23757284435564877</v>
      </c>
      <c r="J227" s="709">
        <f>(AllocationMass!$F$41/100)*Utilities!W18*(Unitflowchart!$S$294/Unitflowchart!$S$357)</f>
        <v>0</v>
      </c>
      <c r="K227" s="707">
        <f>(AllocationMass!$F$41/100)*Utilities!AB18*(Unitflowchart!$S$294/Unitflowchart!$S$357)</f>
        <v>1.2739764705882355E-3</v>
      </c>
      <c r="L227" s="24">
        <f t="shared" ref="L227:L229" si="47">(K227/K$347)*100</f>
        <v>7.0133172388175902E-2</v>
      </c>
      <c r="M227" s="709">
        <f>(AllocationMass!$F$41/100)*Utilities!AC18*(Unitflowchart!$S$294/Unitflowchart!$S$357)</f>
        <v>0</v>
      </c>
      <c r="N227" s="711">
        <f>E227+(GlobalWarmingPotentials!$B$11*H227)+(GlobalWarmingPotentials!$C$11*K227)</f>
        <v>0.47476856470588247</v>
      </c>
      <c r="O227" s="25">
        <f>(N227/N$347)*100</f>
        <v>2.6747696910317097E-2</v>
      </c>
      <c r="P227" s="740">
        <f>SQRT((G227^2)+((GlobalWarmingPotentials!$B$11*J227)^2)+((GlobalWarmingPotentials!$C$11*M227)^2))</f>
        <v>0</v>
      </c>
      <c r="Q227" s="29"/>
    </row>
    <row r="228" spans="1:17" x14ac:dyDescent="0.25">
      <c r="B228" s="712"/>
      <c r="D228" s="718"/>
      <c r="E228" s="712"/>
      <c r="G228" s="718"/>
      <c r="H228" s="30"/>
      <c r="J228" s="708"/>
      <c r="K228" s="30"/>
      <c r="M228" s="708"/>
      <c r="N228" s="712"/>
      <c r="P228" s="718"/>
      <c r="Q228" s="29"/>
    </row>
    <row r="229" spans="1:17" x14ac:dyDescent="0.25">
      <c r="A229" s="214" t="s">
        <v>2021</v>
      </c>
      <c r="B229" s="717">
        <f>(AllocationMass!$F$41/100)*Utilities!J20*(Unitflowchart!$S$294/Unitflowchart!$S$357)</f>
        <v>0</v>
      </c>
      <c r="C229" s="705">
        <f>(B229/B$347)*100</f>
        <v>0</v>
      </c>
      <c r="D229" s="727">
        <f>(AllocationMass!$F$41/100)*Utilities!K20*(Unitflowchart!$S$294/Unitflowchart!$S$357)</f>
        <v>0</v>
      </c>
      <c r="E229" s="717">
        <f>(AllocationMass!$F$41/100)*Utilities!P20*(Unitflowchart!$S$294/Unitflowchart!$S$357)</f>
        <v>0</v>
      </c>
      <c r="F229" s="705">
        <f t="shared" si="45"/>
        <v>0</v>
      </c>
      <c r="G229" s="727">
        <f>(AllocationMass!$F$41/100)*Utilities!Q20*(Unitflowchart!$S$294/Unitflowchart!$S$357)</f>
        <v>0</v>
      </c>
      <c r="H229" s="706">
        <f>(AllocationMass!$F$41/100)*Utilities!V20*(Unitflowchart!$S$294/Unitflowchart!$S$357)</f>
        <v>4.2465882352941192E-3</v>
      </c>
      <c r="I229" s="705">
        <f t="shared" si="46"/>
        <v>0.23757284435564877</v>
      </c>
      <c r="J229" s="704">
        <f>(AllocationMass!$F$41/100)*Utilities!W20*(Unitflowchart!$S$294/Unitflowchart!$S$357)</f>
        <v>0</v>
      </c>
      <c r="K229" s="706">
        <f>(AllocationMass!$F$41/100)*Utilities!AB20*(Unitflowchart!$S$294/Unitflowchart!$S$357)</f>
        <v>1.2739764705882355E-3</v>
      </c>
      <c r="L229" s="705">
        <f t="shared" si="47"/>
        <v>7.0133172388175902E-2</v>
      </c>
      <c r="M229" s="704">
        <f>(AllocationMass!$F$41/100)*Utilities!AC20*(Unitflowchart!$S$294/Unitflowchart!$S$357)</f>
        <v>0</v>
      </c>
      <c r="N229" s="717">
        <f>E229+(GlobalWarmingPotentials!$B$11*H229)+(GlobalWarmingPotentials!$C$11*K229)</f>
        <v>0.47476856470588247</v>
      </c>
      <c r="O229" s="705">
        <f>(N229/N$347)*100</f>
        <v>2.6747696910317097E-2</v>
      </c>
      <c r="P229" s="725">
        <f>SQRT((G229^2)+((GlobalWarmingPotentials!$B$11*J229)^2)+((GlobalWarmingPotentials!$C$11*M229)^2))</f>
        <v>0</v>
      </c>
      <c r="Q229" s="29"/>
    </row>
    <row r="230" spans="1:17" x14ac:dyDescent="0.25">
      <c r="B230" s="712"/>
      <c r="D230" s="718"/>
      <c r="E230" s="712"/>
      <c r="G230" s="718"/>
      <c r="H230" s="30"/>
      <c r="J230" s="708"/>
      <c r="K230" s="30"/>
      <c r="M230" s="708"/>
      <c r="N230" s="712"/>
      <c r="P230" s="718"/>
      <c r="Q230" s="29"/>
    </row>
    <row r="231" spans="1:17" x14ac:dyDescent="0.25">
      <c r="A231" s="2" t="s">
        <v>872</v>
      </c>
      <c r="B231" s="712"/>
      <c r="D231" s="718"/>
      <c r="E231" s="712"/>
      <c r="G231" s="718"/>
      <c r="H231" s="30"/>
      <c r="J231" s="708"/>
      <c r="K231" s="30"/>
      <c r="M231" s="708"/>
      <c r="N231" s="712"/>
      <c r="P231" s="718"/>
      <c r="Q231" s="29"/>
    </row>
    <row r="232" spans="1:17" x14ac:dyDescent="0.25">
      <c r="B232" s="712"/>
      <c r="D232" s="718"/>
      <c r="E232" s="712"/>
      <c r="G232" s="718"/>
      <c r="H232" s="30"/>
      <c r="J232" s="708"/>
      <c r="K232" s="30"/>
      <c r="M232" s="708"/>
      <c r="N232" s="712"/>
      <c r="P232" s="718"/>
      <c r="Q232" s="29"/>
    </row>
    <row r="233" spans="1:17" x14ac:dyDescent="0.25">
      <c r="A233" t="str">
        <f>ElectricitySales!A15</f>
        <v>Electricity Credit</v>
      </c>
      <c r="B233" s="715">
        <f>Unitflowchart!$S$286*(AllocationMass!$F$41/100)/Unitflowchart!$S$357*(ElectricitySales!J15)</f>
        <v>0</v>
      </c>
      <c r="C233" s="25">
        <f>(B233/B$347)*100</f>
        <v>0</v>
      </c>
      <c r="D233" s="355">
        <f>Unitflowchart!S286*(AllocationMass!$F$41/100)/Unitflowchart!$S$357*(ElectricitySales!K15)</f>
        <v>0</v>
      </c>
      <c r="E233" s="715">
        <f>Unitflowchart!$S$286*(AllocationMass!$F$41/100)/Unitflowchart!$S$357*(ElectricitySales!P15)</f>
        <v>0</v>
      </c>
      <c r="F233" s="25">
        <f>(E233/E$347)*100</f>
        <v>0</v>
      </c>
      <c r="G233" s="355">
        <f>Unitflowchart!S286*(AllocationMass!$F$41/100)/Unitflowchart!$S$357*(ElectricitySales!Q15)</f>
        <v>0</v>
      </c>
      <c r="H233" s="730">
        <f>Unitflowchart!$S$286*(AllocationMass!$F$41/100)/Unitflowchart!$S$357*(ElectricitySales!V15)</f>
        <v>-4.9045600190756829E-2</v>
      </c>
      <c r="I233" s="25">
        <f>(H233/H$347)*100</f>
        <v>-2.743826831056305</v>
      </c>
      <c r="J233" s="733">
        <f>Unitflowchart!S286*(AllocationMass!$F$41/100)/Unitflowchart!$S$357*(ElectricitySales!W15)</f>
        <v>0</v>
      </c>
      <c r="K233" s="730">
        <f>Unitflowchart!$S$286*(AllocationMass!$F$41/100)/Unitflowchart!$S$357*(ElectricitySales!AB15)</f>
        <v>-1.4713680057227048E-2</v>
      </c>
      <c r="L233" s="25">
        <f>(K233/K$347)*100</f>
        <v>-0.80999695342999656</v>
      </c>
      <c r="M233" s="733">
        <f>Unitflowchart!S286*(AllocationMass!$F$41/100)/Unitflowchart!$S$357*(ElectricitySales!AC15)</f>
        <v>0</v>
      </c>
      <c r="N233" s="711">
        <f>E233+(GlobalWarmingPotentials!$B$11*H233)+(GlobalWarmingPotentials!$C$11*K233)</f>
        <v>-5.4832981013266133</v>
      </c>
      <c r="O233" s="25">
        <f>(N233/N$347)*100</f>
        <v>-0.30892019098623408</v>
      </c>
      <c r="P233" s="740">
        <f>SQRT((G233^2)+((GlobalWarmingPotentials!$B$11*J233)^2)+((GlobalWarmingPotentials!$C$11*M233)^2))</f>
        <v>0</v>
      </c>
      <c r="Q233" s="29"/>
    </row>
    <row r="234" spans="1:17" x14ac:dyDescent="0.25">
      <c r="B234" s="712"/>
      <c r="D234" s="718"/>
      <c r="E234" s="712"/>
      <c r="G234" s="718"/>
      <c r="H234" s="30"/>
      <c r="J234" s="729"/>
      <c r="K234" s="30"/>
      <c r="M234" s="708"/>
      <c r="N234" s="712"/>
      <c r="P234" s="718"/>
      <c r="Q234" s="29"/>
    </row>
    <row r="235" spans="1:17" x14ac:dyDescent="0.25">
      <c r="A235" s="214" t="s">
        <v>881</v>
      </c>
      <c r="B235" s="714">
        <f>Unitflowchart!$S$286*(AllocationMass!$F$41/100)/Unitflowchart!$S$357*(ElectricitySales!J17)</f>
        <v>0</v>
      </c>
      <c r="C235" s="14">
        <f>(B235/B$347)*100</f>
        <v>0</v>
      </c>
      <c r="D235" s="722">
        <f>Unitflowchart!S286*(AllocationMass!$F$41/100)/Unitflowchart!$S$357*(ElectricitySales!K17)</f>
        <v>0</v>
      </c>
      <c r="E235" s="714">
        <f>Unitflowchart!$S$286*(AllocationMass!$F$41/100)/Unitflowchart!$S$357*(ElectricitySales!P17)</f>
        <v>0</v>
      </c>
      <c r="F235" s="14">
        <f>(E235/E$347)*100</f>
        <v>0</v>
      </c>
      <c r="G235" s="722">
        <f>Unitflowchart!S286*(AllocationMass!$F$41/100)/Unitflowchart!$S$357*(ElectricitySales!Q17)</f>
        <v>0</v>
      </c>
      <c r="H235" s="211">
        <f>Unitflowchart!$S$286*(AllocationMass!$F$41/100)/Unitflowchart!$S$357*(ElectricitySales!V17)</f>
        <v>-4.9045600190756829E-2</v>
      </c>
      <c r="I235" s="14">
        <f>(H235/H$347)*100</f>
        <v>-2.743826831056305</v>
      </c>
      <c r="J235" s="212">
        <f>Unitflowchart!S286*(AllocationMass!$F$41/100)/Unitflowchart!$S$357*(ElectricitySales!W17)</f>
        <v>0</v>
      </c>
      <c r="K235" s="211">
        <f>Unitflowchart!$S$286*(AllocationMass!$F$41/100)/Unitflowchart!$S$357*(ElectricitySales!AB17)</f>
        <v>-1.4713680057227048E-2</v>
      </c>
      <c r="L235" s="14">
        <f>(K235/K$347)*100</f>
        <v>-0.80999695342999656</v>
      </c>
      <c r="M235" s="212">
        <f>Unitflowchart!S286*(AllocationMass!$F$41/100)/Unitflowchart!$S$357*(ElectricitySales!AC17)</f>
        <v>0</v>
      </c>
      <c r="N235" s="714">
        <f>E235+(GlobalWarmingPotentials!$B$11*H235)+(GlobalWarmingPotentials!$C$11*K235)</f>
        <v>-5.4832981013266133</v>
      </c>
      <c r="O235" s="14">
        <f>(N235/N$347)*100</f>
        <v>-0.30892019098623408</v>
      </c>
      <c r="P235" s="741">
        <f>SQRT((G235^2)+((GlobalWarmingPotentials!$B$11*J235)^2)+((GlobalWarmingPotentials!$C$11*M235)^2))</f>
        <v>0</v>
      </c>
      <c r="Q235" s="29"/>
    </row>
    <row r="236" spans="1:17" x14ac:dyDescent="0.25">
      <c r="B236" s="716"/>
      <c r="D236" s="718"/>
      <c r="E236" s="716"/>
      <c r="G236" s="718"/>
      <c r="H236" s="731"/>
      <c r="J236" s="708"/>
      <c r="K236" s="731"/>
      <c r="M236" s="708"/>
      <c r="N236" s="716"/>
      <c r="P236" s="718"/>
      <c r="Q236" s="29"/>
    </row>
    <row r="237" spans="1:17" x14ac:dyDescent="0.25">
      <c r="A237" s="384" t="s">
        <v>415</v>
      </c>
      <c r="B237" s="712"/>
      <c r="D237" s="718"/>
      <c r="E237" s="712"/>
      <c r="G237" s="718"/>
      <c r="H237" s="30"/>
      <c r="J237" s="708"/>
      <c r="K237" s="30"/>
      <c r="M237" s="708"/>
      <c r="N237" s="712"/>
      <c r="P237" s="718"/>
      <c r="Q237" s="29"/>
    </row>
    <row r="238" spans="1:17" x14ac:dyDescent="0.25">
      <c r="B238" s="712"/>
      <c r="D238" s="718"/>
      <c r="E238" s="712"/>
      <c r="G238" s="718"/>
      <c r="H238" s="30"/>
      <c r="J238" s="708"/>
      <c r="K238" s="30"/>
      <c r="M238" s="708"/>
      <c r="N238" s="712"/>
      <c r="P238" s="718"/>
      <c r="Q238" s="29"/>
    </row>
    <row r="239" spans="1:17" x14ac:dyDescent="0.25">
      <c r="A239" s="13" t="str">
        <f>RoadTransportEthanolStage1!A42</f>
        <v xml:space="preserve"> - Diesel Fuel</v>
      </c>
      <c r="B239" s="715">
        <f>(Unitflowchart!$S$294/Unitflowchart!$S$357)*RoadTransportEthanolStage1!J42*Unitflowchart!$S$303</f>
        <v>517.88672232212184</v>
      </c>
      <c r="C239" s="25">
        <f>(B239/B$347)*100</f>
        <v>2.7214333895044533</v>
      </c>
      <c r="D239" s="481">
        <f>(Unitflowchart!$S$294/Unitflowchart!$S$357)*RoadTransportEthanolStage1!K42*Unitflowchart!$S$303</f>
        <v>24.34067594913973</v>
      </c>
      <c r="E239" s="715">
        <f>(Unitflowchart!$S$294/Unitflowchart!$S$357)*RoadTransportEthanolStage1!P42*Unitflowchart!$S$303</f>
        <v>37.164284826471004</v>
      </c>
      <c r="F239" s="25">
        <f>(E239/E$347)*100</f>
        <v>3.106890154030391</v>
      </c>
      <c r="G239" s="355">
        <f>(Unitflowchart!$S$294/Unitflowchart!$S$357)*RoadTransportEthanolStage1!Q42*Unitflowchart!$S$303</f>
        <v>1.7467213868441371</v>
      </c>
      <c r="H239" s="730">
        <f>(Unitflowchart!$S$294/Unitflowchart!$S$357)*RoadTransportEthanolStage1!V42*Unitflowchart!$S$303</f>
        <v>7.7224487951108563E-3</v>
      </c>
      <c r="I239" s="25">
        <f>(H239/H$347)*100</f>
        <v>0.4320277888958714</v>
      </c>
      <c r="J239" s="733">
        <f>(Unitflowchart!$S$294/Unitflowchart!$S$357)*RoadTransportEthanolStage1!W42*Unitflowchart!$S$303</f>
        <v>3.6295509337021026E-4</v>
      </c>
      <c r="K239" s="730">
        <f>(Unitflowchart!$S$294/Unitflowchart!$S$357)*RoadTransportEthanolStage1!AB42*Unitflowchart!$S$303</f>
        <v>1.0039183433644116E-2</v>
      </c>
      <c r="L239" s="25">
        <f>(K239/K$347)*100</f>
        <v>0.55266309750853282</v>
      </c>
      <c r="M239" s="733">
        <f>(Unitflowchart!$S$294/Unitflowchart!$S$357)*RoadTransportEthanolStage1!AC42*Unitflowchart!$S$303</f>
        <v>4.7184162138127345E-4</v>
      </c>
      <c r="N239" s="711">
        <f>E239+(GlobalWarmingPotentials!$B$11*H239)+(GlobalWarmingPotentials!$C$11*K239)</f>
        <v>40.313499445117209</v>
      </c>
      <c r="O239" s="25">
        <f>(N239/N$347)*100</f>
        <v>2.2711976839078019</v>
      </c>
      <c r="P239" s="740">
        <f>SQRT((G239^2)+((GlobalWarmingPotentials!$B$11*J239)^2)+((GlobalWarmingPotentials!$C$11*M239)^2))</f>
        <v>1.7523160780917761</v>
      </c>
      <c r="Q239" s="29"/>
    </row>
    <row r="240" spans="1:17" x14ac:dyDescent="0.25">
      <c r="A240" s="13" t="str">
        <f>RoadTransportEthanolStage1!A43</f>
        <v xml:space="preserve"> - Vehicle </v>
      </c>
      <c r="B240" s="715">
        <f>(Unitflowchart!$S$294/Unitflowchart!$S$357)*RoadTransportEthanolStage1!J43*Unitflowchart!$S$303</f>
        <v>0</v>
      </c>
      <c r="C240" s="25">
        <f t="shared" ref="C240:C243" si="48">(B240/B$347)*100</f>
        <v>0</v>
      </c>
      <c r="D240" s="481">
        <f>(Unitflowchart!$S$294/Unitflowchart!$S$357)*RoadTransportEthanolStage1!K43*Unitflowchart!$S$303</f>
        <v>0</v>
      </c>
      <c r="E240" s="715">
        <f>(Unitflowchart!$S$294/Unitflowchart!$S$357)*RoadTransportEthanolStage1!P43*Unitflowchart!$S$303</f>
        <v>0</v>
      </c>
      <c r="F240" s="25">
        <f t="shared" ref="F240:F243" si="49">(E240/E$347)*100</f>
        <v>0</v>
      </c>
      <c r="G240" s="355">
        <f>(Unitflowchart!$S$294/Unitflowchart!$S$357)*RoadTransportEthanolStage1!Q43*Unitflowchart!$S$303</f>
        <v>0</v>
      </c>
      <c r="H240" s="730">
        <f>(Unitflowchart!$S$294/Unitflowchart!$S$357)*RoadTransportEthanolStage1!V43*Unitflowchart!$S$303</f>
        <v>0</v>
      </c>
      <c r="I240" s="25">
        <f t="shared" ref="I240:I243" si="50">(H240/H$347)*100</f>
        <v>0</v>
      </c>
      <c r="J240" s="733">
        <f>(Unitflowchart!$S$294/Unitflowchart!$S$357)*RoadTransportEthanolStage1!W43*Unitflowchart!$S$303</f>
        <v>0</v>
      </c>
      <c r="K240" s="730">
        <f>(Unitflowchart!$S$294/Unitflowchart!$S$357)*RoadTransportEthanolStage1!AB43*Unitflowchart!$S$303</f>
        <v>0</v>
      </c>
      <c r="L240" s="25">
        <f t="shared" ref="L240:L243" si="51">(K240/K$347)*100</f>
        <v>0</v>
      </c>
      <c r="M240" s="733">
        <f>(Unitflowchart!$S$294/Unitflowchart!$S$357)*RoadTransportEthanolStage1!AC43*Unitflowchart!$S$303</f>
        <v>0</v>
      </c>
      <c r="N240" s="711">
        <f>E240+(GlobalWarmingPotentials!$B$11*H240)+(GlobalWarmingPotentials!$C$11*K240)</f>
        <v>0</v>
      </c>
      <c r="O240" s="25">
        <f>(N240/N$347)*100</f>
        <v>0</v>
      </c>
      <c r="P240" s="740">
        <f>SQRT((G240^2)+((GlobalWarmingPotentials!$B$11*J240)^2)+((GlobalWarmingPotentials!$C$11*M240)^2))</f>
        <v>0</v>
      </c>
      <c r="Q240" s="29"/>
    </row>
    <row r="241" spans="1:17" x14ac:dyDescent="0.25">
      <c r="A241" s="13" t="str">
        <f>RoadTransportEthanolStage1!A44</f>
        <v xml:space="preserve"> - Maintenance</v>
      </c>
      <c r="B241" s="715">
        <f>(Unitflowchart!$S$294/Unitflowchart!$S$357)*RoadTransportEthanolStage1!J44*Unitflowchart!$S$303</f>
        <v>0</v>
      </c>
      <c r="C241" s="25">
        <f t="shared" si="48"/>
        <v>0</v>
      </c>
      <c r="D241" s="481">
        <f>(Unitflowchart!$S$294/Unitflowchart!$S$357)*RoadTransportEthanolStage1!K44*Unitflowchart!$S$303</f>
        <v>0</v>
      </c>
      <c r="E241" s="715">
        <f>(Unitflowchart!$S$294/Unitflowchart!$S$357)*RoadTransportEthanolStage1!P44*Unitflowchart!$S$303</f>
        <v>0</v>
      </c>
      <c r="F241" s="25">
        <f t="shared" si="49"/>
        <v>0</v>
      </c>
      <c r="G241" s="355">
        <f>(Unitflowchart!$S$294/Unitflowchart!$S$357)*RoadTransportEthanolStage1!Q44*Unitflowchart!$S$303</f>
        <v>0</v>
      </c>
      <c r="H241" s="730">
        <f>(Unitflowchart!$S$294/Unitflowchart!$S$357)*RoadTransportEthanolStage1!V44*Unitflowchart!$S$303</f>
        <v>0</v>
      </c>
      <c r="I241" s="25">
        <f t="shared" si="50"/>
        <v>0</v>
      </c>
      <c r="J241" s="733">
        <f>(Unitflowchart!$S$294/Unitflowchart!$S$357)*RoadTransportEthanolStage1!W44*Unitflowchart!$S$303</f>
        <v>0</v>
      </c>
      <c r="K241" s="730">
        <f>(Unitflowchart!$S$294/Unitflowchart!$S$357)*RoadTransportEthanolStage1!AB44*Unitflowchart!$S$303</f>
        <v>0</v>
      </c>
      <c r="L241" s="25">
        <f t="shared" si="51"/>
        <v>0</v>
      </c>
      <c r="M241" s="733">
        <f>(Unitflowchart!$S$294/Unitflowchart!$S$357)*RoadTransportEthanolStage1!AC44*Unitflowchart!$S$303</f>
        <v>0</v>
      </c>
      <c r="N241" s="711">
        <f>E241+(GlobalWarmingPotentials!$B$11*H241)+(GlobalWarmingPotentials!$C$11*K241)</f>
        <v>0</v>
      </c>
      <c r="O241" s="25">
        <f>(N241/N$347)*100</f>
        <v>0</v>
      </c>
      <c r="P241" s="740">
        <f>SQRT((G241^2)+((GlobalWarmingPotentials!$B$11*J241)^2)+((GlobalWarmingPotentials!$C$11*M241)^2))</f>
        <v>0</v>
      </c>
      <c r="Q241" s="29"/>
    </row>
    <row r="242" spans="1:17" s="42" customFormat="1" x14ac:dyDescent="0.25">
      <c r="B242" s="746"/>
      <c r="C242" s="863"/>
      <c r="D242" s="759"/>
      <c r="E242" s="746"/>
      <c r="F242" s="863"/>
      <c r="G242" s="805"/>
      <c r="H242" s="763"/>
      <c r="I242" s="863"/>
      <c r="J242" s="806"/>
      <c r="K242" s="763"/>
      <c r="L242" s="863"/>
      <c r="M242" s="806"/>
      <c r="N242" s="897"/>
      <c r="O242" s="893"/>
      <c r="P242" s="898"/>
      <c r="Q242" s="823"/>
    </row>
    <row r="243" spans="1:17" x14ac:dyDescent="0.25">
      <c r="A243" s="214" t="s">
        <v>842</v>
      </c>
      <c r="B243" s="714">
        <f>(Unitflowchart!$S$294/Unitflowchart!$S$357)*RoadTransportEthanolStage1!J46*Unitflowchart!$S$303</f>
        <v>517.88672232212184</v>
      </c>
      <c r="C243" s="14">
        <f t="shared" si="48"/>
        <v>2.7214333895044533</v>
      </c>
      <c r="D243" s="722">
        <f>(Unitflowchart!$S$294/Unitflowchart!$S$357)*RoadTransportEthanolStage1!K46*Unitflowchart!$S$303</f>
        <v>24.34067594913973</v>
      </c>
      <c r="E243" s="714">
        <f>(Unitflowchart!$S$294/Unitflowchart!$S$357)*RoadTransportEthanolStage1!P46*Unitflowchart!$S$303</f>
        <v>37.164284826471004</v>
      </c>
      <c r="F243" s="14">
        <f t="shared" si="49"/>
        <v>3.106890154030391</v>
      </c>
      <c r="G243" s="720">
        <f>(Unitflowchart!$S$294/Unitflowchart!$S$357)*RoadTransportEthanolStage1!Q46*Unitflowchart!$S$303</f>
        <v>1.7467213868441371</v>
      </c>
      <c r="H243" s="211">
        <f>(Unitflowchart!$S$294/Unitflowchart!$S$357)*RoadTransportEthanolStage1!V46*Unitflowchart!$S$303</f>
        <v>7.7224487951108563E-3</v>
      </c>
      <c r="I243" s="14">
        <f t="shared" si="50"/>
        <v>0.4320277888958714</v>
      </c>
      <c r="J243" s="728">
        <f>(Unitflowchart!$S$294/Unitflowchart!$S$357)*RoadTransportEthanolStage1!W46*Unitflowchart!$S$303</f>
        <v>3.6295509337021026E-4</v>
      </c>
      <c r="K243" s="211">
        <f>(Unitflowchart!$S$294/Unitflowchart!$S$357)*RoadTransportEthanolStage1!AB46*Unitflowchart!$S$303</f>
        <v>1.0039183433644116E-2</v>
      </c>
      <c r="L243" s="14">
        <f t="shared" si="51"/>
        <v>0.55266309750853282</v>
      </c>
      <c r="M243" s="212">
        <f>(Unitflowchart!$S$294/Unitflowchart!$S$357)*RoadTransportEthanolStage1!AC46*Unitflowchart!$S$303</f>
        <v>4.7184162138127345E-4</v>
      </c>
      <c r="N243" s="714">
        <f>E243+(GlobalWarmingPotentials!$B$11*H243)+(GlobalWarmingPotentials!$C$11*K243)</f>
        <v>40.313499445117209</v>
      </c>
      <c r="O243" s="14">
        <f>(N243/N$347)*100</f>
        <v>2.2711976839078019</v>
      </c>
      <c r="P243" s="741">
        <f>SQRT((G243^2)+((GlobalWarmingPotentials!$B$11*J243)^2)+((GlobalWarmingPotentials!$C$11*M243)^2))</f>
        <v>1.7523160780917761</v>
      </c>
      <c r="Q243" s="29"/>
    </row>
    <row r="244" spans="1:17" x14ac:dyDescent="0.25">
      <c r="B244" s="712"/>
      <c r="D244" s="718"/>
      <c r="E244" s="712"/>
      <c r="G244" s="718"/>
      <c r="H244" s="30"/>
      <c r="J244" s="708"/>
      <c r="K244" s="30"/>
      <c r="M244" s="708"/>
      <c r="N244" s="716"/>
      <c r="P244" s="718"/>
      <c r="Q244" s="29"/>
    </row>
    <row r="245" spans="1:17" x14ac:dyDescent="0.25">
      <c r="A245" s="384" t="s">
        <v>883</v>
      </c>
      <c r="B245" s="712"/>
      <c r="D245" s="718"/>
      <c r="E245" s="712"/>
      <c r="G245" s="718"/>
      <c r="H245" s="30"/>
      <c r="J245" s="708"/>
      <c r="K245" s="30"/>
      <c r="M245" s="708"/>
      <c r="N245" s="712"/>
      <c r="P245" s="718"/>
      <c r="Q245" s="29"/>
    </row>
    <row r="246" spans="1:17" x14ac:dyDescent="0.25">
      <c r="B246" s="712"/>
      <c r="D246" s="718"/>
      <c r="E246" s="712"/>
      <c r="G246" s="718"/>
      <c r="H246" s="30"/>
      <c r="J246" s="708"/>
      <c r="K246" s="30"/>
      <c r="M246" s="708"/>
      <c r="N246" s="712"/>
      <c r="P246" s="718"/>
      <c r="Q246" s="29"/>
    </row>
    <row r="247" spans="1:17" x14ac:dyDescent="0.25">
      <c r="A247" t="str">
        <f>RailTransport!A11</f>
        <v xml:space="preserve"> - Gas Oil</v>
      </c>
      <c r="B247" s="710">
        <f>(Unitflowchart!$S$294/Unitflowchart!$S$357)*RailTransport!J11*Unitflowchart!$S$305</f>
        <v>0</v>
      </c>
      <c r="C247" s="24">
        <f>(B247/B$347)*100</f>
        <v>0</v>
      </c>
      <c r="D247" s="726">
        <f>(Unitflowchart!$S$294/Unitflowchart!$S$357)*RailTransport!K11*Unitflowchart!$S$305</f>
        <v>0</v>
      </c>
      <c r="E247" s="710">
        <f>(Unitflowchart!$S$294/Unitflowchart!$S$357)*RailTransport!P11*Unitflowchart!$S$305</f>
        <v>0</v>
      </c>
      <c r="F247" s="24">
        <f>(E247/E$347)*100</f>
        <v>0</v>
      </c>
      <c r="G247" s="726">
        <f>(Unitflowchart!$S$294/Unitflowchart!$S$357)*RailTransport!Q11*Unitflowchart!$S$305</f>
        <v>0</v>
      </c>
      <c r="H247" s="707">
        <f>(Unitflowchart!$S$294/Unitflowchart!$S$357)*RailTransport!V11*Unitflowchart!$S$305</f>
        <v>0</v>
      </c>
      <c r="I247" s="24">
        <f>(H247/H$347)*100</f>
        <v>0</v>
      </c>
      <c r="J247" s="709">
        <f>(Unitflowchart!$S$294/Unitflowchart!$S$357)*RailTransport!W11*Unitflowchart!$S$305</f>
        <v>0</v>
      </c>
      <c r="K247" s="707">
        <f>(Unitflowchart!$S$294/Unitflowchart!$S$357)*RailTransport!AB11*Unitflowchart!$S$305</f>
        <v>0</v>
      </c>
      <c r="L247" s="24">
        <f>(K247/K$347)*100</f>
        <v>0</v>
      </c>
      <c r="M247" s="709">
        <f>(Unitflowchart!$S$294/Unitflowchart!$S$357)*RailTransport!AC11*Unitflowchart!$S$305</f>
        <v>0</v>
      </c>
      <c r="N247" s="710">
        <f>E247+(GlobalWarmingPotentials!$B$11*H247)+(GlobalWarmingPotentials!$C$11*K247)</f>
        <v>0</v>
      </c>
      <c r="O247" s="24">
        <f>(N247/N$347)*100</f>
        <v>0</v>
      </c>
      <c r="P247" s="726">
        <f>SQRT((G247^2)+((GlobalWarmingPotentials!$B$11*J247)^2)+((GlobalWarmingPotentials!$C$11*M247)^2))</f>
        <v>0</v>
      </c>
      <c r="Q247" s="29"/>
    </row>
    <row r="248" spans="1:17" x14ac:dyDescent="0.25">
      <c r="A248" t="str">
        <f>RailTransport!A12</f>
        <v xml:space="preserve"> - Capital Equipment</v>
      </c>
      <c r="B248" s="710">
        <f>(Unitflowchart!$S$294/Unitflowchart!$S$357)*RailTransport!J12*Unitflowchart!$S$305</f>
        <v>0</v>
      </c>
      <c r="C248" s="24">
        <f>(B248/B$347)*100</f>
        <v>0</v>
      </c>
      <c r="D248" s="726">
        <f>(Unitflowchart!$S$294/Unitflowchart!$S$357)*RailTransport!K12*Unitflowchart!$S$305</f>
        <v>0</v>
      </c>
      <c r="E248" s="710">
        <f>(Unitflowchart!$S$294/Unitflowchart!$S$357)*RailTransport!P12*Unitflowchart!$S$305</f>
        <v>0</v>
      </c>
      <c r="F248" s="24">
        <f>(E248/E$347)*100</f>
        <v>0</v>
      </c>
      <c r="G248" s="726">
        <f>(Unitflowchart!$S$294/Unitflowchart!$S$357)*RailTransport!Q12*Unitflowchart!$S$305</f>
        <v>0</v>
      </c>
      <c r="H248" s="707">
        <f>(Unitflowchart!$S$294/Unitflowchart!$S$357)*RailTransport!V12*Unitflowchart!$S$305</f>
        <v>0</v>
      </c>
      <c r="I248" s="24">
        <f>(H248/H$347)*100</f>
        <v>0</v>
      </c>
      <c r="J248" s="709">
        <f>(Unitflowchart!$S$294/Unitflowchart!$S$357)*RailTransport!W12*Unitflowchart!$S$305</f>
        <v>0</v>
      </c>
      <c r="K248" s="707">
        <f>(Unitflowchart!$S$294/Unitflowchart!$S$357)*RailTransport!AB12*Unitflowchart!$S$305</f>
        <v>0</v>
      </c>
      <c r="L248" s="24">
        <f>(K248/K$347)*100</f>
        <v>0</v>
      </c>
      <c r="M248" s="709">
        <f>(Unitflowchart!$S$294/Unitflowchart!$S$357)*RailTransport!AC12*Unitflowchart!$S$305</f>
        <v>0</v>
      </c>
      <c r="N248" s="710">
        <f>E248+(GlobalWarmingPotentials!$B$11*H248)+(GlobalWarmingPotentials!$C$11*K248)</f>
        <v>0</v>
      </c>
      <c r="O248" s="24">
        <f>(N248/N$347)*100</f>
        <v>0</v>
      </c>
      <c r="P248" s="726">
        <f>SQRT((G248^2)+((GlobalWarmingPotentials!$B$11*J248)^2)+((GlobalWarmingPotentials!$C$11*M248)^2))</f>
        <v>0</v>
      </c>
      <c r="Q248" s="29"/>
    </row>
    <row r="249" spans="1:17" x14ac:dyDescent="0.25">
      <c r="A249" t="str">
        <f>RailTransport!A13</f>
        <v xml:space="preserve"> - Maintenance</v>
      </c>
      <c r="B249" s="710">
        <f>(Unitflowchart!$S$294/Unitflowchart!$S$357)*RailTransport!J13*Unitflowchart!$S$305</f>
        <v>0</v>
      </c>
      <c r="C249" s="24">
        <f>(B249/B$347)*100</f>
        <v>0</v>
      </c>
      <c r="D249" s="726">
        <f>(Unitflowchart!$S$294/Unitflowchart!$S$357)*RailTransport!K13*Unitflowchart!$S$305</f>
        <v>0</v>
      </c>
      <c r="E249" s="710">
        <f>(Unitflowchart!$S$294/Unitflowchart!$S$357)*RailTransport!P13*Unitflowchart!$S$305</f>
        <v>0</v>
      </c>
      <c r="F249" s="24">
        <f>(E249/E$347)*100</f>
        <v>0</v>
      </c>
      <c r="G249" s="726">
        <f>(Unitflowchart!$S$294/Unitflowchart!$S$357)*RailTransport!Q13*Unitflowchart!$S$305</f>
        <v>0</v>
      </c>
      <c r="H249" s="707">
        <f>(Unitflowchart!$S$294/Unitflowchart!$S$357)*RailTransport!V13*Unitflowchart!$S$305</f>
        <v>0</v>
      </c>
      <c r="I249" s="24">
        <f>(H249/H$347)*100</f>
        <v>0</v>
      </c>
      <c r="J249" s="709">
        <f>(Unitflowchart!$S$294/Unitflowchart!$S$357)*RailTransport!W13*Unitflowchart!$S$305</f>
        <v>0</v>
      </c>
      <c r="K249" s="707">
        <f>(Unitflowchart!$S$294/Unitflowchart!$S$357)*RailTransport!AB13*Unitflowchart!$S$305</f>
        <v>0</v>
      </c>
      <c r="L249" s="24">
        <f>(K249/K$347)*100</f>
        <v>0</v>
      </c>
      <c r="M249" s="709">
        <f>(Unitflowchart!$S$294/Unitflowchart!$S$357)*RailTransport!AC13*Unitflowchart!$S$305</f>
        <v>0</v>
      </c>
      <c r="N249" s="710">
        <f>E249+(GlobalWarmingPotentials!$B$11*H249)+(GlobalWarmingPotentials!$C$11*K249)</f>
        <v>0</v>
      </c>
      <c r="O249" s="24">
        <f>(N249/N$347)*100</f>
        <v>0</v>
      </c>
      <c r="P249" s="726">
        <f>SQRT((G249^2)+((GlobalWarmingPotentials!$B$11*J249)^2)+((GlobalWarmingPotentials!$C$11*M249)^2))</f>
        <v>0</v>
      </c>
      <c r="Q249" s="29"/>
    </row>
    <row r="250" spans="1:17" x14ac:dyDescent="0.25">
      <c r="B250" s="712"/>
      <c r="C250" s="24"/>
      <c r="D250" s="718"/>
      <c r="E250" s="712"/>
      <c r="F250" s="24"/>
      <c r="G250" s="718"/>
      <c r="H250" s="30"/>
      <c r="I250" s="24"/>
      <c r="J250" s="708"/>
      <c r="K250" s="30"/>
      <c r="L250" s="24"/>
      <c r="M250" s="708"/>
      <c r="N250" s="712"/>
      <c r="O250" s="24"/>
      <c r="P250" s="718"/>
      <c r="Q250" s="29"/>
    </row>
    <row r="251" spans="1:17" x14ac:dyDescent="0.25">
      <c r="A251" s="214" t="s">
        <v>843</v>
      </c>
      <c r="B251" s="717">
        <f>(Unitflowchart!$S$294/Unitflowchart!$S$357)*RailTransport!J15*Unitflowchart!$S$305</f>
        <v>0</v>
      </c>
      <c r="C251" s="705">
        <f>(B251/B$347)*100</f>
        <v>0</v>
      </c>
      <c r="D251" s="727">
        <f>(Unitflowchart!$S$294/Unitflowchart!$S$357)*RailTransport!K15*Unitflowchart!$S$305</f>
        <v>0</v>
      </c>
      <c r="E251" s="717">
        <f>(Unitflowchart!$S$294/Unitflowchart!$S$357)*RailTransport!P15*Unitflowchart!$S$305</f>
        <v>0</v>
      </c>
      <c r="F251" s="705">
        <f>(E251/E$347)*100</f>
        <v>0</v>
      </c>
      <c r="G251" s="727">
        <f>(Unitflowchart!$S$294/Unitflowchart!$S$357)*RailTransport!Q15*Unitflowchart!$S$305</f>
        <v>0</v>
      </c>
      <c r="H251" s="706">
        <f>(Unitflowchart!$S$294/Unitflowchart!$S$357)*RailTransport!V15*Unitflowchart!$S$305</f>
        <v>0</v>
      </c>
      <c r="I251" s="705">
        <f>(H251/H$347)*100</f>
        <v>0</v>
      </c>
      <c r="J251" s="704">
        <f>(Unitflowchart!$S$294/Unitflowchart!$S$357)*RailTransport!W15*Unitflowchart!$S$305</f>
        <v>0</v>
      </c>
      <c r="K251" s="706">
        <f>(Unitflowchart!$S$294/Unitflowchart!$S$357)*RailTransport!AB15*Unitflowchart!$S$305</f>
        <v>0</v>
      </c>
      <c r="L251" s="705">
        <f>(K251/K$347)*100</f>
        <v>0</v>
      </c>
      <c r="M251" s="704">
        <f>(Unitflowchart!$S$294/Unitflowchart!$S$357)*RailTransport!AC15*Unitflowchart!$S$305</f>
        <v>0</v>
      </c>
      <c r="N251" s="717">
        <f>E251+(GlobalWarmingPotentials!$B$11*H251)+(GlobalWarmingPotentials!$C$11*K251)</f>
        <v>0</v>
      </c>
      <c r="O251" s="705">
        <f>(N251/N$347)*100</f>
        <v>0</v>
      </c>
      <c r="P251" s="725">
        <f>SQRT((G251^2)+((GlobalWarmingPotentials!$B$11*J251)^2)+((GlobalWarmingPotentials!$C$11*M251)^2))</f>
        <v>0</v>
      </c>
      <c r="Q251" s="29"/>
    </row>
    <row r="252" spans="1:17" x14ac:dyDescent="0.25">
      <c r="B252" s="712"/>
      <c r="C252" s="24"/>
      <c r="D252" s="718"/>
      <c r="E252" s="712"/>
      <c r="F252" s="24"/>
      <c r="G252" s="718"/>
      <c r="H252" s="30"/>
      <c r="I252" s="24"/>
      <c r="J252" s="708"/>
      <c r="K252" s="30"/>
      <c r="L252" s="24"/>
      <c r="M252" s="708"/>
      <c r="N252" s="712"/>
      <c r="O252" s="24"/>
      <c r="P252" s="718"/>
      <c r="Q252" s="29"/>
    </row>
    <row r="253" spans="1:17" x14ac:dyDescent="0.25">
      <c r="A253" s="384" t="s">
        <v>884</v>
      </c>
      <c r="B253" s="712"/>
      <c r="C253" s="24"/>
      <c r="D253" s="718"/>
      <c r="E253" s="712"/>
      <c r="F253" s="24"/>
      <c r="G253" s="718"/>
      <c r="H253" s="30"/>
      <c r="I253" s="24"/>
      <c r="J253" s="708"/>
      <c r="K253" s="30"/>
      <c r="L253" s="24"/>
      <c r="M253" s="708"/>
      <c r="N253" s="712"/>
      <c r="O253" s="24"/>
      <c r="P253" s="718"/>
      <c r="Q253" s="29"/>
    </row>
    <row r="254" spans="1:17" x14ac:dyDescent="0.25">
      <c r="B254" s="712"/>
      <c r="C254" s="24"/>
      <c r="D254" s="718"/>
      <c r="E254" s="712"/>
      <c r="F254" s="24"/>
      <c r="G254" s="718"/>
      <c r="H254" s="30"/>
      <c r="I254" s="24"/>
      <c r="J254" s="708"/>
      <c r="K254" s="30"/>
      <c r="L254" s="24"/>
      <c r="M254" s="708"/>
      <c r="N254" s="712"/>
      <c r="O254" s="24"/>
      <c r="P254" s="718"/>
      <c r="Q254" s="29"/>
    </row>
    <row r="255" spans="1:17" x14ac:dyDescent="0.25">
      <c r="A255" t="str">
        <f>BargeTransport!A11</f>
        <v xml:space="preserve"> - Marine Diesel</v>
      </c>
      <c r="B255" s="710">
        <f>(Unitflowchart!$S$294/Unitflowchart!$S$357)*BargeTransport!J11*Unitflowchart!$S$307</f>
        <v>0</v>
      </c>
      <c r="C255" s="24">
        <f>(B255/B$347)*100</f>
        <v>0</v>
      </c>
      <c r="D255" s="726">
        <f>(Unitflowchart!$S$294/Unitflowchart!$S$357)*BargeTransport!K11*Unitflowchart!$S$307</f>
        <v>0</v>
      </c>
      <c r="E255" s="710">
        <f>(Unitflowchart!$S$294/Unitflowchart!$S$357)*BargeTransport!P11*Unitflowchart!$S$307</f>
        <v>0</v>
      </c>
      <c r="F255" s="24">
        <f>(E255/E$347)*100</f>
        <v>0</v>
      </c>
      <c r="G255" s="726">
        <f>(Unitflowchart!$S$294/Unitflowchart!$S$357)*BargeTransport!Q11*Unitflowchart!$S$307</f>
        <v>0</v>
      </c>
      <c r="H255" s="707">
        <f>(Unitflowchart!$S$294/Unitflowchart!$S$357)*BargeTransport!V11*Unitflowchart!$S$307</f>
        <v>0</v>
      </c>
      <c r="I255" s="24">
        <f>(H255/H$347)*100</f>
        <v>0</v>
      </c>
      <c r="J255" s="709">
        <f>(Unitflowchart!$S$294/Unitflowchart!$S$357)*BargeTransport!W11*Unitflowchart!$S$307</f>
        <v>0</v>
      </c>
      <c r="K255" s="707">
        <f>(Unitflowchart!$S$294/Unitflowchart!$S$357)*BargeTransport!AB11*Unitflowchart!$S$307</f>
        <v>0</v>
      </c>
      <c r="L255" s="24">
        <f>(K255/K$347)*100</f>
        <v>0</v>
      </c>
      <c r="M255" s="709">
        <f>(Unitflowchart!$S$294/Unitflowchart!$S$357)*BargeTransport!AC11*Unitflowchart!$S$307</f>
        <v>0</v>
      </c>
      <c r="N255" s="710">
        <f>E255+(GlobalWarmingPotentials!$B$11*H255)+(GlobalWarmingPotentials!$C$11*K255)</f>
        <v>0</v>
      </c>
      <c r="O255" s="24">
        <f>(N255/N$347)*100</f>
        <v>0</v>
      </c>
      <c r="P255" s="726">
        <f>SQRT((G255^2)+((GlobalWarmingPotentials!$B$11*J255)^2)+((GlobalWarmingPotentials!$C$11*M255)^2))</f>
        <v>0</v>
      </c>
      <c r="Q255" s="29"/>
    </row>
    <row r="256" spans="1:17" x14ac:dyDescent="0.25">
      <c r="A256" t="str">
        <f>BargeTransport!A12</f>
        <v xml:space="preserve"> - Barge Construction</v>
      </c>
      <c r="B256" s="710">
        <f>(Unitflowchart!$S$294/Unitflowchart!$S$357)*BargeTransport!J12*Unitflowchart!$S$307</f>
        <v>0</v>
      </c>
      <c r="C256" s="24">
        <f>(B256/B$347)*100</f>
        <v>0</v>
      </c>
      <c r="D256" s="726">
        <f>(Unitflowchart!$S$294/Unitflowchart!$S$357)*BargeTransport!K12*Unitflowchart!$S$307</f>
        <v>0</v>
      </c>
      <c r="E256" s="710">
        <f>(Unitflowchart!$S$294/Unitflowchart!$S$357)*BargeTransport!P12*Unitflowchart!$S$307</f>
        <v>0</v>
      </c>
      <c r="F256" s="24">
        <f>(E256/E$347)*100</f>
        <v>0</v>
      </c>
      <c r="G256" s="726">
        <f>(Unitflowchart!$S$294/Unitflowchart!$S$357)*BargeTransport!Q12*Unitflowchart!$S$307</f>
        <v>0</v>
      </c>
      <c r="H256" s="707">
        <f>(Unitflowchart!$S$294/Unitflowchart!$S$357)*BargeTransport!V12*Unitflowchart!$S$307</f>
        <v>0</v>
      </c>
      <c r="I256" s="24">
        <f>(H256/H$347)*100</f>
        <v>0</v>
      </c>
      <c r="J256" s="709">
        <f>(Unitflowchart!$S$294/Unitflowchart!$S$357)*BargeTransport!W12*Unitflowchart!$S$307</f>
        <v>0</v>
      </c>
      <c r="K256" s="707">
        <f>(Unitflowchart!$S$294/Unitflowchart!$S$357)*BargeTransport!AB12*Unitflowchart!$S$307</f>
        <v>0</v>
      </c>
      <c r="L256" s="24">
        <f>(K256/K$347)*100</f>
        <v>0</v>
      </c>
      <c r="M256" s="709">
        <f>(Unitflowchart!$S$294/Unitflowchart!$S$357)*BargeTransport!AC12*Unitflowchart!$S$307</f>
        <v>0</v>
      </c>
      <c r="N256" s="710">
        <f>E256+(GlobalWarmingPotentials!$B$11*H256)+(GlobalWarmingPotentials!$C$11*K256)</f>
        <v>0</v>
      </c>
      <c r="O256" s="24">
        <f>(N256/N$347)*100</f>
        <v>0</v>
      </c>
      <c r="P256" s="726">
        <f>SQRT((G256^2)+((GlobalWarmingPotentials!$B$11*J256)^2)+((GlobalWarmingPotentials!$C$11*M256)^2))</f>
        <v>0</v>
      </c>
      <c r="Q256" s="29"/>
    </row>
    <row r="257" spans="1:17" x14ac:dyDescent="0.25">
      <c r="A257" t="str">
        <f>BargeTransport!A13</f>
        <v xml:space="preserve"> - Barge Maintenance</v>
      </c>
      <c r="B257" s="710">
        <f>(Unitflowchart!$S$294/Unitflowchart!$S$357)*BargeTransport!J13*Unitflowchart!$S$307</f>
        <v>0</v>
      </c>
      <c r="C257" s="24">
        <f>(B257/B$347)*100</f>
        <v>0</v>
      </c>
      <c r="D257" s="726">
        <f>(Unitflowchart!$S$294/Unitflowchart!$S$357)*BargeTransport!K13*Unitflowchart!$S$307</f>
        <v>0</v>
      </c>
      <c r="E257" s="710">
        <f>(Unitflowchart!$S$294/Unitflowchart!$S$357)*BargeTransport!P13*Unitflowchart!$S$307</f>
        <v>0</v>
      </c>
      <c r="F257" s="24">
        <f>(E257/E$347)*100</f>
        <v>0</v>
      </c>
      <c r="G257" s="726">
        <f>(Unitflowchart!$S$294/Unitflowchart!$S$357)*BargeTransport!Q13*Unitflowchart!$S$307</f>
        <v>0</v>
      </c>
      <c r="H257" s="707">
        <f>(Unitflowchart!$S$294/Unitflowchart!$S$357)*BargeTransport!V13*Unitflowchart!$S$307</f>
        <v>0</v>
      </c>
      <c r="I257" s="24">
        <f>(H257/H$347)*100</f>
        <v>0</v>
      </c>
      <c r="J257" s="709">
        <f>(Unitflowchart!$S$294/Unitflowchart!$S$357)*BargeTransport!W13*Unitflowchart!$S$307</f>
        <v>0</v>
      </c>
      <c r="K257" s="707">
        <f>(Unitflowchart!$S$294/Unitflowchart!$S$357)*BargeTransport!AB13*Unitflowchart!$S$307</f>
        <v>0</v>
      </c>
      <c r="L257" s="24">
        <f>(K257/K$347)*100</f>
        <v>0</v>
      </c>
      <c r="M257" s="709">
        <f>(Unitflowchart!$S$294/Unitflowchart!$S$357)*BargeTransport!AC13*Unitflowchart!$S$307</f>
        <v>0</v>
      </c>
      <c r="N257" s="710">
        <f>E257+(GlobalWarmingPotentials!$B$11*H257)+(GlobalWarmingPotentials!$C$11*K257)</f>
        <v>0</v>
      </c>
      <c r="O257" s="24">
        <f>(N257/N$347)*100</f>
        <v>0</v>
      </c>
      <c r="P257" s="726">
        <f>SQRT((G257^2)+((GlobalWarmingPotentials!$B$11*J257)^2)+((GlobalWarmingPotentials!$C$11*M257)^2))</f>
        <v>0</v>
      </c>
      <c r="Q257" s="29"/>
    </row>
    <row r="258" spans="1:17" x14ac:dyDescent="0.25">
      <c r="B258" s="712"/>
      <c r="C258" s="24"/>
      <c r="D258" s="718"/>
      <c r="E258" s="712"/>
      <c r="F258" s="24"/>
      <c r="G258" s="718"/>
      <c r="H258" s="30"/>
      <c r="I258" s="24"/>
      <c r="J258" s="708"/>
      <c r="K258" s="30"/>
      <c r="L258" s="24"/>
      <c r="M258" s="708"/>
      <c r="N258" s="712"/>
      <c r="O258" s="24"/>
      <c r="P258" s="718"/>
      <c r="Q258" s="29"/>
    </row>
    <row r="259" spans="1:17" x14ac:dyDescent="0.25">
      <c r="A259" s="214" t="s">
        <v>847</v>
      </c>
      <c r="B259" s="717">
        <f>(Unitflowchart!$S$294/Unitflowchart!$S$357)*BargeTransport!J15*Unitflowchart!$S$307</f>
        <v>0</v>
      </c>
      <c r="C259" s="705">
        <f>(B259/B$347)*100</f>
        <v>0</v>
      </c>
      <c r="D259" s="727">
        <f>(Unitflowchart!$S$294/Unitflowchart!$S$357)*BargeTransport!K15*Unitflowchart!$S$307</f>
        <v>0</v>
      </c>
      <c r="E259" s="717">
        <f>(Unitflowchart!$S$294/Unitflowchart!$S$357)*BargeTransport!P15*Unitflowchart!$S$307</f>
        <v>0</v>
      </c>
      <c r="F259" s="705">
        <f>(E259/E$347)*100</f>
        <v>0</v>
      </c>
      <c r="G259" s="727">
        <f>(Unitflowchart!$S$294/Unitflowchart!$S$357)*BargeTransport!Q15*Unitflowchart!$S$307</f>
        <v>0</v>
      </c>
      <c r="H259" s="706">
        <f>(Unitflowchart!$S$294/Unitflowchart!$S$357)*BargeTransport!V15*Unitflowchart!$S$307</f>
        <v>0</v>
      </c>
      <c r="I259" s="705">
        <f>(H259/H$347)*100</f>
        <v>0</v>
      </c>
      <c r="J259" s="704">
        <f>(Unitflowchart!$S$294/Unitflowchart!$S$357)*BargeTransport!W15*Unitflowchart!$S$307</f>
        <v>0</v>
      </c>
      <c r="K259" s="706">
        <f>(Unitflowchart!$S$294/Unitflowchart!$S$357)*BargeTransport!AB15*Unitflowchart!$S$307</f>
        <v>0</v>
      </c>
      <c r="L259" s="705">
        <f>(K259/K$347)*100</f>
        <v>0</v>
      </c>
      <c r="M259" s="704">
        <f>(Unitflowchart!$S$294/Unitflowchart!$S$357)*BargeTransport!AC15*Unitflowchart!$S$307</f>
        <v>0</v>
      </c>
      <c r="N259" s="717">
        <f>E259+(GlobalWarmingPotentials!$B$11*H259)+(GlobalWarmingPotentials!$C$11*K259)</f>
        <v>0</v>
      </c>
      <c r="O259" s="705">
        <f>(N259/N$347)*100</f>
        <v>0</v>
      </c>
      <c r="P259" s="725">
        <f>SQRT((G259^2)+((GlobalWarmingPotentials!$B$11*J259)^2)+((GlobalWarmingPotentials!$C$11*M259)^2))</f>
        <v>0</v>
      </c>
      <c r="Q259" s="29"/>
    </row>
    <row r="260" spans="1:17" x14ac:dyDescent="0.25">
      <c r="B260" s="712"/>
      <c r="C260" s="24"/>
      <c r="D260" s="718"/>
      <c r="E260" s="712"/>
      <c r="F260" s="24"/>
      <c r="G260" s="718"/>
      <c r="H260" s="30"/>
      <c r="I260" s="24"/>
      <c r="J260" s="708"/>
      <c r="K260" s="30"/>
      <c r="L260" s="24"/>
      <c r="M260" s="708"/>
      <c r="N260" s="712"/>
      <c r="O260" s="24"/>
      <c r="P260" s="718"/>
      <c r="Q260" s="29"/>
    </row>
    <row r="261" spans="1:17" x14ac:dyDescent="0.25">
      <c r="A261" s="384" t="s">
        <v>885</v>
      </c>
      <c r="B261" s="712"/>
      <c r="C261" s="24"/>
      <c r="D261" s="718"/>
      <c r="E261" s="712"/>
      <c r="F261" s="24"/>
      <c r="G261" s="718"/>
      <c r="H261" s="30"/>
      <c r="I261" s="24"/>
      <c r="J261" s="708"/>
      <c r="K261" s="30"/>
      <c r="L261" s="24"/>
      <c r="M261" s="708"/>
      <c r="N261" s="712"/>
      <c r="O261" s="24"/>
      <c r="P261" s="718"/>
      <c r="Q261" s="29"/>
    </row>
    <row r="262" spans="1:17" x14ac:dyDescent="0.25">
      <c r="B262" s="712"/>
      <c r="C262" s="24"/>
      <c r="D262" s="718"/>
      <c r="E262" s="712"/>
      <c r="F262" s="24"/>
      <c r="G262" s="718"/>
      <c r="H262" s="30"/>
      <c r="I262" s="24"/>
      <c r="J262" s="708"/>
      <c r="K262" s="30"/>
      <c r="L262" s="24"/>
      <c r="M262" s="708"/>
      <c r="N262" s="712"/>
      <c r="O262" s="24"/>
      <c r="P262" s="718"/>
      <c r="Q262" s="29"/>
    </row>
    <row r="263" spans="1:17" x14ac:dyDescent="0.25">
      <c r="A263" t="str">
        <f>ShipTransport!A11</f>
        <v xml:space="preserve"> - Marine Diesel</v>
      </c>
      <c r="B263" s="710">
        <f>(Unitflowchart!$S$294/Unitflowchart!$S$357)*ShipTransport!J11*Unitflowchart!$S$309</f>
        <v>0</v>
      </c>
      <c r="C263" s="24">
        <f>(B263/B$347)*100</f>
        <v>0</v>
      </c>
      <c r="D263" s="726">
        <f>(Unitflowchart!$S$294/Unitflowchart!$S$357)*ShipTransport!K11*Unitflowchart!$S$309</f>
        <v>0</v>
      </c>
      <c r="E263" s="710">
        <f>(Unitflowchart!$S$294/Unitflowchart!$S$357)*ShipTransport!P11*Unitflowchart!$S$309</f>
        <v>0</v>
      </c>
      <c r="F263" s="24">
        <f>(E263/E$347)*100</f>
        <v>0</v>
      </c>
      <c r="G263" s="726">
        <f>(Unitflowchart!$S$294/Unitflowchart!$S$357)*ShipTransport!Q11*Unitflowchart!$S$309</f>
        <v>0</v>
      </c>
      <c r="H263" s="707">
        <f>(Unitflowchart!$S$294/Unitflowchart!$S$357)*ShipTransport!V11*Unitflowchart!$S$309</f>
        <v>0</v>
      </c>
      <c r="I263" s="24">
        <f>(H263/H$347)*100</f>
        <v>0</v>
      </c>
      <c r="J263" s="709">
        <f>(Unitflowchart!$S$294/Unitflowchart!$S$357)*ShipTransport!W11*Unitflowchart!$S$309</f>
        <v>0</v>
      </c>
      <c r="K263" s="707">
        <f>(Unitflowchart!$S$294/Unitflowchart!$S$357)*ShipTransport!AB11*Unitflowchart!$S$309</f>
        <v>0</v>
      </c>
      <c r="L263" s="24">
        <f>(K263/K$347)*100</f>
        <v>0</v>
      </c>
      <c r="M263" s="709">
        <f>(Unitflowchart!$S$294/Unitflowchart!$S$357)*ShipTransport!AC11*Unitflowchart!$S$309</f>
        <v>0</v>
      </c>
      <c r="N263" s="710">
        <f>E263+(GlobalWarmingPotentials!$B$11*H263)+(GlobalWarmingPotentials!$C$11*K263)</f>
        <v>0</v>
      </c>
      <c r="O263" s="24">
        <f>(N263/N$347)*100</f>
        <v>0</v>
      </c>
      <c r="P263" s="726">
        <f>SQRT((G263^2)+((GlobalWarmingPotentials!$B$11*J263)^2)+((GlobalWarmingPotentials!$C$11*M263)^2))</f>
        <v>0</v>
      </c>
      <c r="Q263" s="29"/>
    </row>
    <row r="264" spans="1:17" x14ac:dyDescent="0.25">
      <c r="A264" t="str">
        <f>ShipTransport!A12</f>
        <v xml:space="preserve"> - Ship Construction</v>
      </c>
      <c r="B264" s="710">
        <f>(Unitflowchart!$S$294/Unitflowchart!$S$357)*ShipTransport!J12*Unitflowchart!$S$309</f>
        <v>0</v>
      </c>
      <c r="C264" s="24">
        <f>(B264/B$347)*100</f>
        <v>0</v>
      </c>
      <c r="D264" s="726">
        <f>(Unitflowchart!$S$294/Unitflowchart!$S$357)*ShipTransport!K12*Unitflowchart!$S$309</f>
        <v>0</v>
      </c>
      <c r="E264" s="710">
        <f>(Unitflowchart!$S$294/Unitflowchart!$S$357)*ShipTransport!P12*Unitflowchart!$S$309</f>
        <v>0</v>
      </c>
      <c r="F264" s="24">
        <f>(E264/E$347)*100</f>
        <v>0</v>
      </c>
      <c r="G264" s="726">
        <f>(Unitflowchart!$S$294/Unitflowchart!$S$357)*ShipTransport!Q12*Unitflowchart!$S$309</f>
        <v>0</v>
      </c>
      <c r="H264" s="707">
        <f>(Unitflowchart!$S$294/Unitflowchart!$S$357)*ShipTransport!V12*Unitflowchart!$S$309</f>
        <v>0</v>
      </c>
      <c r="I264" s="24">
        <f>(H264/H$347)*100</f>
        <v>0</v>
      </c>
      <c r="J264" s="709">
        <f>(Unitflowchart!$S$294/Unitflowchart!$S$357)*ShipTransport!W12*Unitflowchart!$S$309</f>
        <v>0</v>
      </c>
      <c r="K264" s="707">
        <f>(Unitflowchart!$S$294/Unitflowchart!$S$357)*ShipTransport!AB12*Unitflowchart!$S$309</f>
        <v>0</v>
      </c>
      <c r="L264" s="24">
        <f>(K264/K$347)*100</f>
        <v>0</v>
      </c>
      <c r="M264" s="709">
        <f>(Unitflowchart!$S$294/Unitflowchart!$S$357)*ShipTransport!AC12*Unitflowchart!$S$309</f>
        <v>0</v>
      </c>
      <c r="N264" s="710">
        <f>E264+(GlobalWarmingPotentials!$B$11*H264)+(GlobalWarmingPotentials!$C$11*K264)</f>
        <v>0</v>
      </c>
      <c r="O264" s="24">
        <f>(N264/N$347)*100</f>
        <v>0</v>
      </c>
      <c r="P264" s="726">
        <f>SQRT((G264^2)+((GlobalWarmingPotentials!$B$11*J264)^2)+((GlobalWarmingPotentials!$C$11*M264)^2))</f>
        <v>0</v>
      </c>
      <c r="Q264" s="29"/>
    </row>
    <row r="265" spans="1:17" x14ac:dyDescent="0.25">
      <c r="A265" t="str">
        <f>ShipTransport!A13</f>
        <v xml:space="preserve"> - Ship Maintenance</v>
      </c>
      <c r="B265" s="710">
        <f>(Unitflowchart!$S$294/Unitflowchart!$S$357)*ShipTransport!J13*Unitflowchart!$S$309</f>
        <v>0</v>
      </c>
      <c r="C265" s="24">
        <f>(B265/B$347)*100</f>
        <v>0</v>
      </c>
      <c r="D265" s="726">
        <f>(Unitflowchart!$S$294/Unitflowchart!$S$357)*ShipTransport!K13*Unitflowchart!$S$309</f>
        <v>0</v>
      </c>
      <c r="E265" s="710">
        <f>(Unitflowchart!$S$294/Unitflowchart!$S$357)*ShipTransport!P13*Unitflowchart!$S$309</f>
        <v>0</v>
      </c>
      <c r="F265" s="24">
        <f>(E265/E$347)*100</f>
        <v>0</v>
      </c>
      <c r="G265" s="726">
        <f>(Unitflowchart!$S$294/Unitflowchart!$S$357)*ShipTransport!Q13*Unitflowchart!$S$309</f>
        <v>0</v>
      </c>
      <c r="H265" s="707">
        <f>(Unitflowchart!$S$294/Unitflowchart!$S$357)*ShipTransport!V13*Unitflowchart!$S$309</f>
        <v>0</v>
      </c>
      <c r="I265" s="24">
        <f>(H265/H$347)*100</f>
        <v>0</v>
      </c>
      <c r="J265" s="709">
        <f>(Unitflowchart!$S$294/Unitflowchart!$S$357)*ShipTransport!W13*Unitflowchart!$S$309</f>
        <v>0</v>
      </c>
      <c r="K265" s="707">
        <f>(Unitflowchart!$S$294/Unitflowchart!$S$357)*ShipTransport!AB13*Unitflowchart!$S$309</f>
        <v>0</v>
      </c>
      <c r="L265" s="24">
        <f>(K265/K$347)*100</f>
        <v>0</v>
      </c>
      <c r="M265" s="709">
        <f>(Unitflowchart!$S$294/Unitflowchart!$S$357)*ShipTransport!AC13*Unitflowchart!$S$309</f>
        <v>0</v>
      </c>
      <c r="N265" s="710">
        <f>E265+(GlobalWarmingPotentials!$B$11*H265)+(GlobalWarmingPotentials!$C$11*K265)</f>
        <v>0</v>
      </c>
      <c r="O265" s="24">
        <f>(N265/N$347)*100</f>
        <v>0</v>
      </c>
      <c r="P265" s="726">
        <f>SQRT((G265^2)+((GlobalWarmingPotentials!$B$11*J265)^2)+((GlobalWarmingPotentials!$C$11*M265)^2))</f>
        <v>0</v>
      </c>
      <c r="Q265" s="29"/>
    </row>
    <row r="266" spans="1:17" x14ac:dyDescent="0.25">
      <c r="B266" s="712"/>
      <c r="C266" s="24"/>
      <c r="D266" s="718"/>
      <c r="E266" s="712"/>
      <c r="F266" s="24"/>
      <c r="G266" s="718"/>
      <c r="H266" s="30"/>
      <c r="I266" s="24"/>
      <c r="J266" s="708"/>
      <c r="K266" s="30"/>
      <c r="L266" s="24"/>
      <c r="M266" s="708"/>
      <c r="N266" s="712"/>
      <c r="O266" s="24"/>
      <c r="P266" s="718"/>
      <c r="Q266" s="29"/>
    </row>
    <row r="267" spans="1:17" x14ac:dyDescent="0.25">
      <c r="A267" s="214" t="s">
        <v>849</v>
      </c>
      <c r="B267" s="717">
        <f>(Unitflowchart!$S$294/Unitflowchart!$S$357)*ShipTransport!J15*Unitflowchart!$S$309</f>
        <v>0</v>
      </c>
      <c r="C267" s="705">
        <f>(B267/B$347)*100</f>
        <v>0</v>
      </c>
      <c r="D267" s="727">
        <f>(Unitflowchart!$S$294/Unitflowchart!$S$357)*ShipTransport!K15*Unitflowchart!$S$309</f>
        <v>0</v>
      </c>
      <c r="E267" s="717">
        <f>(Unitflowchart!$S$294/Unitflowchart!$S$357)*ShipTransport!P15*Unitflowchart!$S$309</f>
        <v>0</v>
      </c>
      <c r="F267" s="705">
        <f>(E267/E$347)*100</f>
        <v>0</v>
      </c>
      <c r="G267" s="727">
        <f>(Unitflowchart!$S$294/Unitflowchart!$S$357)*ShipTransport!Q15*Unitflowchart!$S$309</f>
        <v>0</v>
      </c>
      <c r="H267" s="706">
        <f>(Unitflowchart!$S$294/Unitflowchart!$S$357)*ShipTransport!V15*Unitflowchart!$S$309</f>
        <v>0</v>
      </c>
      <c r="I267" s="705">
        <f>(H267/H$347)*100</f>
        <v>0</v>
      </c>
      <c r="J267" s="704">
        <f>(Unitflowchart!$S$294/Unitflowchart!$S$357)*ShipTransport!W15*Unitflowchart!$S$309</f>
        <v>0</v>
      </c>
      <c r="K267" s="706">
        <f>(Unitflowchart!$S$294/Unitflowchart!$S$357)*ShipTransport!AB15*Unitflowchart!$S$309</f>
        <v>0</v>
      </c>
      <c r="L267" s="705">
        <f>(K267/K$347)*100</f>
        <v>0</v>
      </c>
      <c r="M267" s="704">
        <f>(Unitflowchart!$S$294/Unitflowchart!$S$357)*ShipTransport!AC15*Unitflowchart!$S$309</f>
        <v>0</v>
      </c>
      <c r="N267" s="717">
        <f>E267+(GlobalWarmingPotentials!$B$11*H267)+(GlobalWarmingPotentials!$C$11*K267)</f>
        <v>0</v>
      </c>
      <c r="O267" s="705">
        <f>(N267/N$347)*100</f>
        <v>0</v>
      </c>
      <c r="P267" s="725">
        <f>SQRT((G267^2)+((GlobalWarmingPotentials!$B$11*J267)^2)+((GlobalWarmingPotentials!$C$11*M267)^2))</f>
        <v>0</v>
      </c>
      <c r="Q267" s="29"/>
    </row>
    <row r="268" spans="1:17" x14ac:dyDescent="0.25">
      <c r="B268" s="712"/>
      <c r="D268" s="718"/>
      <c r="E268" s="712"/>
      <c r="F268" s="24"/>
      <c r="G268" s="718"/>
      <c r="H268" s="30"/>
      <c r="I268" s="24"/>
      <c r="J268" s="708"/>
      <c r="K268" s="30"/>
      <c r="L268" s="24"/>
      <c r="M268" s="708"/>
      <c r="N268" s="712"/>
      <c r="O268" s="24"/>
      <c r="P268" s="718"/>
      <c r="Q268" s="29"/>
    </row>
    <row r="269" spans="1:17" x14ac:dyDescent="0.25">
      <c r="A269" s="699" t="s">
        <v>876</v>
      </c>
      <c r="B269" s="717">
        <f>B243+B251+B259+B267</f>
        <v>517.88672232212184</v>
      </c>
      <c r="C269" s="705">
        <f>(B269/B$347)*100</f>
        <v>2.7214333895044533</v>
      </c>
      <c r="D269" s="727">
        <f>SQRT((D243^2)+(D251^2)+(D259^2)+(D267^2))</f>
        <v>24.34067594913973</v>
      </c>
      <c r="E269" s="717">
        <f t="shared" ref="E269" si="52">E243+E251+E259+E267</f>
        <v>37.164284826471004</v>
      </c>
      <c r="F269" s="705">
        <f t="shared" ref="F269" si="53">(E269/E$347)*100</f>
        <v>3.106890154030391</v>
      </c>
      <c r="G269" s="727">
        <f t="shared" ref="G269" si="54">SQRT((G243^2)+(G251^2)+(G259^2)+(G267^2))</f>
        <v>1.7467213868441371</v>
      </c>
      <c r="H269" s="706">
        <f t="shared" ref="H269" si="55">H243+H251+H259+H267</f>
        <v>7.7224487951108563E-3</v>
      </c>
      <c r="I269" s="705">
        <f t="shared" ref="I269" si="56">(H269/H$347)*100</f>
        <v>0.4320277888958714</v>
      </c>
      <c r="J269" s="704">
        <f t="shared" ref="J269" si="57">SQRT((J243^2)+(J251^2)+(J259^2)+(J267^2))</f>
        <v>3.6295509337021026E-4</v>
      </c>
      <c r="K269" s="706">
        <f t="shared" ref="K269" si="58">K243+K251+K259+K267</f>
        <v>1.0039183433644116E-2</v>
      </c>
      <c r="L269" s="705">
        <f t="shared" ref="L269" si="59">(K269/K$347)*100</f>
        <v>0.55266309750853282</v>
      </c>
      <c r="M269" s="704">
        <f t="shared" ref="M269" si="60">SQRT((M243^2)+(M251^2)+(M259^2)+(M267^2))</f>
        <v>4.7184162138127345E-4</v>
      </c>
      <c r="N269" s="717">
        <f t="shared" ref="N269" si="61">N243+N251+N259+N267</f>
        <v>40.313499445117209</v>
      </c>
      <c r="O269" s="705">
        <f t="shared" ref="O269" si="62">(N269/N$347)*100</f>
        <v>2.2711976839078019</v>
      </c>
      <c r="P269" s="725">
        <f t="shared" ref="P269" si="63">SQRT((P243^2)+(P251^2)+(P259^2)+(P267^2))</f>
        <v>1.7523160780917761</v>
      </c>
      <c r="Q269" s="29"/>
    </row>
    <row r="270" spans="1:17" x14ac:dyDescent="0.25">
      <c r="B270" s="712"/>
      <c r="D270" s="718"/>
      <c r="E270" s="712"/>
      <c r="G270" s="718"/>
      <c r="H270" s="30"/>
      <c r="J270" s="708"/>
      <c r="K270" s="30"/>
      <c r="M270" s="708"/>
      <c r="N270" s="712"/>
      <c r="P270" s="718"/>
      <c r="Q270" s="29"/>
    </row>
    <row r="271" spans="1:17" x14ac:dyDescent="0.25">
      <c r="A271" s="384" t="s">
        <v>416</v>
      </c>
      <c r="B271" s="712"/>
      <c r="D271" s="718"/>
      <c r="E271" s="712"/>
      <c r="G271" s="718"/>
      <c r="H271" s="30"/>
      <c r="J271" s="708"/>
      <c r="K271" s="30"/>
      <c r="M271" s="708"/>
      <c r="N271" s="712"/>
      <c r="P271" s="718"/>
      <c r="Q271" s="29"/>
    </row>
    <row r="272" spans="1:17" x14ac:dyDescent="0.25">
      <c r="B272" s="712"/>
      <c r="D272" s="718"/>
      <c r="E272" s="712"/>
      <c r="G272" s="718"/>
      <c r="H272" s="30"/>
      <c r="J272" s="708"/>
      <c r="K272" s="30"/>
      <c r="M272" s="708"/>
      <c r="N272" s="712"/>
      <c r="P272" s="718"/>
      <c r="Q272" s="29"/>
    </row>
    <row r="273" spans="1:17" x14ac:dyDescent="0.25">
      <c r="A273" s="13" t="str">
        <f>RoadTransportEthanolStage2!A42</f>
        <v xml:space="preserve"> - Diesel Fuel</v>
      </c>
      <c r="B273" s="715">
        <f>(Unitflowchart!$S$315/Unitflowchart!$S$357)*RoadTransportEthanolStage2!J42*Unitflowchart!$S$324</f>
        <v>0</v>
      </c>
      <c r="C273" s="25">
        <f>(B273/B$347)*100</f>
        <v>0</v>
      </c>
      <c r="D273" s="481">
        <f>(Unitflowchart!$S$315/Unitflowchart!$S$357)*RoadTransportEthanolStage2!K42*Unitflowchart!$S$324</f>
        <v>0</v>
      </c>
      <c r="E273" s="715">
        <f>(Unitflowchart!$S$315/Unitflowchart!$S$357)*RoadTransportEthanolStage2!P42*Unitflowchart!$S$324</f>
        <v>0</v>
      </c>
      <c r="F273" s="25">
        <f>(E273/E$347)*100</f>
        <v>0</v>
      </c>
      <c r="G273" s="481">
        <f>(Unitflowchart!$S$315/Unitflowchart!$S$357)*RoadTransportEthanolStage2!Q42*Unitflowchart!$S$324</f>
        <v>0</v>
      </c>
      <c r="H273" s="730">
        <f>(Unitflowchart!$S$315/Unitflowchart!$S$357)*RoadTransportEthanolStage2!V42*Unitflowchart!$S$324</f>
        <v>0</v>
      </c>
      <c r="I273" s="25">
        <f>(H273/H$347)*100</f>
        <v>0</v>
      </c>
      <c r="J273" s="733">
        <f>(Unitflowchart!$S$315/Unitflowchart!$S$357)*RoadTransportEthanolStage2!W42*Unitflowchart!$S$324</f>
        <v>0</v>
      </c>
      <c r="K273" s="730">
        <f>(Unitflowchart!$S$315/Unitflowchart!$S$357)*RoadTransportEthanolStage2!AB42*Unitflowchart!$S$324</f>
        <v>0</v>
      </c>
      <c r="L273" s="25">
        <f>(K273/K$347)*100</f>
        <v>0</v>
      </c>
      <c r="M273" s="732">
        <f>(Unitflowchart!$S$315/Unitflowchart!$S$357)*RoadTransportEthanolStage2!AC42*Unitflowchart!$S$324</f>
        <v>0</v>
      </c>
      <c r="N273" s="711">
        <f>E273+(GlobalWarmingPotentials!$B$11*H273)+(GlobalWarmingPotentials!$C$11*K273)</f>
        <v>0</v>
      </c>
      <c r="O273" s="25">
        <f>(N273/N$347)*100</f>
        <v>0</v>
      </c>
      <c r="P273" s="740">
        <f>SQRT((G273^2)+((GlobalWarmingPotentials!$B$11*J273)^2)+((GlobalWarmingPotentials!$C$11*M273)^2))</f>
        <v>0</v>
      </c>
      <c r="Q273" s="29"/>
    </row>
    <row r="274" spans="1:17" x14ac:dyDescent="0.25">
      <c r="A274" s="13" t="str">
        <f>RoadTransportEthanolStage2!A43</f>
        <v xml:space="preserve"> - Vehicle </v>
      </c>
      <c r="B274" s="715">
        <f>(Unitflowchart!$S$315/Unitflowchart!$S$357)*RoadTransportEthanolStage2!J43*Unitflowchart!$S$324</f>
        <v>0</v>
      </c>
      <c r="C274" s="25">
        <f t="shared" ref="C274:C277" si="64">(B274/B$347)*100</f>
        <v>0</v>
      </c>
      <c r="D274" s="481">
        <f>(Unitflowchart!$S$315/Unitflowchart!$S$357)*RoadTransportEthanolStage2!K43*Unitflowchart!$S$324</f>
        <v>0</v>
      </c>
      <c r="E274" s="715">
        <f>(Unitflowchart!$S$315/Unitflowchart!$S$357)*RoadTransportEthanolStage2!P43*Unitflowchart!$S$324</f>
        <v>0</v>
      </c>
      <c r="F274" s="25">
        <f t="shared" ref="F274:F277" si="65">(E274/E$347)*100</f>
        <v>0</v>
      </c>
      <c r="G274" s="481">
        <f>(Unitflowchart!$S$315/Unitflowchart!$S$357)*RoadTransportEthanolStage2!Q43*Unitflowchart!$S$324</f>
        <v>0</v>
      </c>
      <c r="H274" s="730">
        <f>(Unitflowchart!$S$315/Unitflowchart!$S$357)*RoadTransportEthanolStage2!V43*Unitflowchart!$S$324</f>
        <v>0</v>
      </c>
      <c r="I274" s="25">
        <f t="shared" ref="I274:I277" si="66">(H274/H$347)*100</f>
        <v>0</v>
      </c>
      <c r="J274" s="733">
        <f>(Unitflowchart!$S$315/Unitflowchart!$S$357)*RoadTransportEthanolStage2!W43*Unitflowchart!$S$324</f>
        <v>0</v>
      </c>
      <c r="K274" s="730">
        <f>(Unitflowchart!$S$315/Unitflowchart!$S$357)*RoadTransportEthanolStage2!AB43*Unitflowchart!$S$324</f>
        <v>0</v>
      </c>
      <c r="L274" s="25">
        <f t="shared" ref="L274:L277" si="67">(K274/K$347)*100</f>
        <v>0</v>
      </c>
      <c r="M274" s="732">
        <f>(Unitflowchart!$S$315/Unitflowchart!$S$357)*RoadTransportEthanolStage2!AC43*Unitflowchart!$S$324</f>
        <v>0</v>
      </c>
      <c r="N274" s="711">
        <f>E274+(GlobalWarmingPotentials!$B$11*H274)+(GlobalWarmingPotentials!$C$11*K274)</f>
        <v>0</v>
      </c>
      <c r="O274" s="25">
        <f>(N274/N$347)*100</f>
        <v>0</v>
      </c>
      <c r="P274" s="740">
        <f>SQRT((G274^2)+((GlobalWarmingPotentials!$B$11*J274)^2)+((GlobalWarmingPotentials!$C$11*M274)^2))</f>
        <v>0</v>
      </c>
      <c r="Q274" s="29"/>
    </row>
    <row r="275" spans="1:17" x14ac:dyDescent="0.25">
      <c r="A275" s="13" t="str">
        <f>RoadTransportEthanolStage2!A44</f>
        <v xml:space="preserve"> - Maintenance</v>
      </c>
      <c r="B275" s="715">
        <f>(Unitflowchart!$S$315/Unitflowchart!$S$357)*RoadTransportEthanolStage2!J44*Unitflowchart!$S$324</f>
        <v>0</v>
      </c>
      <c r="C275" s="25">
        <f t="shared" si="64"/>
        <v>0</v>
      </c>
      <c r="D275" s="481">
        <f>(Unitflowchart!$S$315/Unitflowchart!$S$357)*RoadTransportEthanolStage2!K44*Unitflowchart!$S$324</f>
        <v>0</v>
      </c>
      <c r="E275" s="715">
        <f>(Unitflowchart!$S$315/Unitflowchart!$S$357)*RoadTransportEthanolStage2!P44*Unitflowchart!$S$324</f>
        <v>0</v>
      </c>
      <c r="F275" s="25">
        <f t="shared" si="65"/>
        <v>0</v>
      </c>
      <c r="G275" s="481">
        <f>(Unitflowchart!$S$315/Unitflowchart!$S$357)*RoadTransportEthanolStage2!Q44*Unitflowchart!$S$324</f>
        <v>0</v>
      </c>
      <c r="H275" s="730">
        <f>(Unitflowchart!$S$315/Unitflowchart!$S$357)*RoadTransportEthanolStage2!V44*Unitflowchart!$S$324</f>
        <v>0</v>
      </c>
      <c r="I275" s="25">
        <f t="shared" si="66"/>
        <v>0</v>
      </c>
      <c r="J275" s="733">
        <f>(Unitflowchart!$S$315/Unitflowchart!$S$357)*RoadTransportEthanolStage2!W44*Unitflowchart!$S$324</f>
        <v>0</v>
      </c>
      <c r="K275" s="730">
        <f>(Unitflowchart!$S$315/Unitflowchart!$S$357)*RoadTransportEthanolStage2!AB44*Unitflowchart!$S$324</f>
        <v>0</v>
      </c>
      <c r="L275" s="25">
        <f t="shared" si="67"/>
        <v>0</v>
      </c>
      <c r="M275" s="732">
        <f>(Unitflowchart!$S$315/Unitflowchart!$S$357)*RoadTransportEthanolStage2!AC44*Unitflowchart!$S$324</f>
        <v>0</v>
      </c>
      <c r="N275" s="711">
        <f>E275+(GlobalWarmingPotentials!$B$11*H275)+(GlobalWarmingPotentials!$C$11*K275)</f>
        <v>0</v>
      </c>
      <c r="O275" s="25">
        <f>(N275/N$347)*100</f>
        <v>0</v>
      </c>
      <c r="P275" s="740">
        <f>SQRT((G275^2)+((GlobalWarmingPotentials!$B$11*J275)^2)+((GlobalWarmingPotentials!$C$11*M275)^2))</f>
        <v>0</v>
      </c>
      <c r="Q275" s="29"/>
    </row>
    <row r="276" spans="1:17" s="42" customFormat="1" x14ac:dyDescent="0.25">
      <c r="B276" s="746"/>
      <c r="C276" s="863"/>
      <c r="D276" s="759"/>
      <c r="E276" s="746"/>
      <c r="F276" s="863"/>
      <c r="G276" s="759"/>
      <c r="H276" s="763"/>
      <c r="I276" s="863"/>
      <c r="J276" s="806"/>
      <c r="K276" s="763"/>
      <c r="L276" s="863"/>
      <c r="M276" s="764"/>
      <c r="N276" s="713"/>
      <c r="O276" s="893"/>
      <c r="P276" s="209"/>
      <c r="Q276" s="823"/>
    </row>
    <row r="277" spans="1:17" x14ac:dyDescent="0.25">
      <c r="A277" s="214" t="s">
        <v>844</v>
      </c>
      <c r="B277" s="871">
        <f>(Unitflowchart!$S$315/Unitflowchart!$S$357)*RoadTransportEthanolStage2!J46*Unitflowchart!$S$324</f>
        <v>0</v>
      </c>
      <c r="C277" s="864">
        <f t="shared" si="64"/>
        <v>0</v>
      </c>
      <c r="D277" s="872">
        <f>(Unitflowchart!$S$315/Unitflowchart!$S$357)*RoadTransportEthanolStage2!K46*Unitflowchart!$S$324</f>
        <v>0</v>
      </c>
      <c r="E277" s="871">
        <f>(Unitflowchart!$S$315/Unitflowchart!$S$357)*RoadTransportEthanolStage2!P46*Unitflowchart!$S$324</f>
        <v>0</v>
      </c>
      <c r="F277" s="864">
        <f t="shared" si="65"/>
        <v>0</v>
      </c>
      <c r="G277" s="872">
        <f>(Unitflowchart!$S$315/Unitflowchart!$S$357)*RoadTransportEthanolStage2!Q46*Unitflowchart!$S$324</f>
        <v>0</v>
      </c>
      <c r="H277" s="873">
        <f>(Unitflowchart!$S$315/Unitflowchart!$S$357)*RoadTransportEthanolStage2!V46*Unitflowchart!$S$324</f>
        <v>0</v>
      </c>
      <c r="I277" s="864">
        <f t="shared" si="66"/>
        <v>0</v>
      </c>
      <c r="J277" s="876">
        <f>(Unitflowchart!$S$315/Unitflowchart!$S$357)*RoadTransportEthanolStage2!W46*Unitflowchart!$S$324</f>
        <v>0</v>
      </c>
      <c r="K277" s="873">
        <f>(Unitflowchart!$S$315/Unitflowchart!$S$357)*RoadTransportEthanolStage2!AB46*Unitflowchart!$S$324</f>
        <v>0</v>
      </c>
      <c r="L277" s="864">
        <f t="shared" si="67"/>
        <v>0</v>
      </c>
      <c r="M277" s="874">
        <f>(Unitflowchart!$S$315/Unitflowchart!$S$357)*RoadTransportEthanolStage2!AC46*Unitflowchart!$S$324</f>
        <v>0</v>
      </c>
      <c r="N277" s="714">
        <f>E277+(GlobalWarmingPotentials!$B$11*H277)+(GlobalWarmingPotentials!$C$11*K277)</f>
        <v>0</v>
      </c>
      <c r="O277" s="14">
        <f>(N277/N$347)*100</f>
        <v>0</v>
      </c>
      <c r="P277" s="741">
        <f>SQRT((G277^2)+((GlobalWarmingPotentials!$B$11*J277)^2)+((GlobalWarmingPotentials!$C$11*M277)^2))</f>
        <v>0</v>
      </c>
      <c r="Q277" s="29"/>
    </row>
    <row r="278" spans="1:17" x14ac:dyDescent="0.25">
      <c r="B278" s="712"/>
      <c r="D278" s="718"/>
      <c r="E278" s="712"/>
      <c r="G278" s="718"/>
      <c r="H278" s="30"/>
      <c r="J278" s="708"/>
      <c r="K278" s="30"/>
      <c r="M278" s="708"/>
      <c r="N278" s="716"/>
      <c r="P278" s="718"/>
      <c r="Q278" s="29"/>
    </row>
    <row r="279" spans="1:17" x14ac:dyDescent="0.25">
      <c r="A279" s="384" t="s">
        <v>887</v>
      </c>
      <c r="B279" s="712"/>
      <c r="D279" s="718"/>
      <c r="E279" s="712"/>
      <c r="G279" s="718"/>
      <c r="H279" s="30"/>
      <c r="J279" s="708"/>
      <c r="K279" s="30"/>
      <c r="M279" s="708"/>
      <c r="N279" s="712"/>
      <c r="P279" s="718"/>
      <c r="Q279" s="29"/>
    </row>
    <row r="280" spans="1:17" x14ac:dyDescent="0.25">
      <c r="B280" s="712"/>
      <c r="D280" s="718"/>
      <c r="E280" s="712"/>
      <c r="G280" s="718"/>
      <c r="H280" s="30"/>
      <c r="J280" s="708"/>
      <c r="K280" s="30"/>
      <c r="M280" s="708"/>
      <c r="N280" s="712"/>
      <c r="P280" s="718"/>
      <c r="Q280" s="29"/>
    </row>
    <row r="281" spans="1:17" x14ac:dyDescent="0.25">
      <c r="A281" t="str">
        <f>RailTransport!A11</f>
        <v xml:space="preserve"> - Gas Oil</v>
      </c>
      <c r="B281" s="710">
        <f>(Unitflowchart!$S$315/Unitflowchart!$S$357)*RailTransport!J11*Unitflowchart!$S$326</f>
        <v>0</v>
      </c>
      <c r="C281" s="24">
        <f>(B281/B$347)*100</f>
        <v>0</v>
      </c>
      <c r="D281" s="726">
        <f>(Unitflowchart!$S$315/Unitflowchart!$S$357)*RailTransport!K11*Unitflowchart!$S$326</f>
        <v>0</v>
      </c>
      <c r="E281" s="710">
        <f>(Unitflowchart!$S$315/Unitflowchart!$S$357)*RailTransport!P11*Unitflowchart!$S$326</f>
        <v>0</v>
      </c>
      <c r="F281" s="24">
        <f>(E281/E$347)*100</f>
        <v>0</v>
      </c>
      <c r="G281" s="726">
        <f>(Unitflowchart!$S$315/Unitflowchart!$S$357)*RailTransport!Q11*Unitflowchart!$S$326</f>
        <v>0</v>
      </c>
      <c r="H281" s="707">
        <f>(Unitflowchart!$S$315/Unitflowchart!$S$357)*RailTransport!V11*Unitflowchart!$S$326</f>
        <v>0</v>
      </c>
      <c r="I281" s="24">
        <f>(H281/H$347)*100</f>
        <v>0</v>
      </c>
      <c r="J281" s="709">
        <f>(Unitflowchart!$S$315/Unitflowchart!$S$357)*RailTransport!W11*Unitflowchart!$S$326</f>
        <v>0</v>
      </c>
      <c r="K281" s="707">
        <f>(Unitflowchart!$S$315/Unitflowchart!$S$357)*RailTransport!AB11*Unitflowchart!$S$326</f>
        <v>0</v>
      </c>
      <c r="L281" s="24">
        <f>(K281/K$347)*100</f>
        <v>0</v>
      </c>
      <c r="M281" s="709">
        <f>(Unitflowchart!$S$315/Unitflowchart!$S$357)*RailTransport!AC11*Unitflowchart!$S$326</f>
        <v>0</v>
      </c>
      <c r="N281" s="710">
        <f>E281+(GlobalWarmingPotentials!$B$11*H281)+(GlobalWarmingPotentials!$C$11*K281)</f>
        <v>0</v>
      </c>
      <c r="O281" s="24">
        <f>(N281/N$347)*100</f>
        <v>0</v>
      </c>
      <c r="P281" s="726">
        <f>SQRT((G281^2)+((GlobalWarmingPotentials!$B$11*J281)^2)+((GlobalWarmingPotentials!$C$11*M281)^2))</f>
        <v>0</v>
      </c>
      <c r="Q281" s="29"/>
    </row>
    <row r="282" spans="1:17" x14ac:dyDescent="0.25">
      <c r="A282" t="str">
        <f>RailTransport!A12</f>
        <v xml:space="preserve"> - Capital Equipment</v>
      </c>
      <c r="B282" s="710">
        <f>(Unitflowchart!$S$315/Unitflowchart!$S$357)*RailTransport!J12*Unitflowchart!$S$326</f>
        <v>0</v>
      </c>
      <c r="C282" s="24">
        <f>(B282/B$347)*100</f>
        <v>0</v>
      </c>
      <c r="D282" s="726">
        <f>(Unitflowchart!$S$315/Unitflowchart!$S$357)*RailTransport!K12*Unitflowchart!$S$326</f>
        <v>0</v>
      </c>
      <c r="E282" s="710">
        <f>(Unitflowchart!$S$315/Unitflowchart!$S$357)*RailTransport!P12*Unitflowchart!$S$326</f>
        <v>0</v>
      </c>
      <c r="F282" s="24">
        <f>(E282/E$347)*100</f>
        <v>0</v>
      </c>
      <c r="G282" s="726">
        <f>(Unitflowchart!$S$315/Unitflowchart!$S$357)*RailTransport!Q12*Unitflowchart!$S$326</f>
        <v>0</v>
      </c>
      <c r="H282" s="707">
        <f>(Unitflowchart!$S$315/Unitflowchart!$S$357)*RailTransport!V12*Unitflowchart!$S$326</f>
        <v>0</v>
      </c>
      <c r="I282" s="24">
        <f>(H282/H$347)*100</f>
        <v>0</v>
      </c>
      <c r="J282" s="709">
        <f>(Unitflowchart!$S$315/Unitflowchart!$S$357)*RailTransport!W12*Unitflowchart!$S$326</f>
        <v>0</v>
      </c>
      <c r="K282" s="707">
        <f>(Unitflowchart!$S$315/Unitflowchart!$S$357)*RailTransport!AB12*Unitflowchart!$S$326</f>
        <v>0</v>
      </c>
      <c r="L282" s="24">
        <f>(K282/K$347)*100</f>
        <v>0</v>
      </c>
      <c r="M282" s="709">
        <f>(Unitflowchart!$S$315/Unitflowchart!$S$357)*RailTransport!AC12*Unitflowchart!$S$326</f>
        <v>0</v>
      </c>
      <c r="N282" s="710">
        <f>E282+(GlobalWarmingPotentials!$B$11*H282)+(GlobalWarmingPotentials!$C$11*K282)</f>
        <v>0</v>
      </c>
      <c r="O282" s="24">
        <f>(N282/N$347)*100</f>
        <v>0</v>
      </c>
      <c r="P282" s="726">
        <f>SQRT((G282^2)+((GlobalWarmingPotentials!$B$11*J282)^2)+((GlobalWarmingPotentials!$C$11*M282)^2))</f>
        <v>0</v>
      </c>
      <c r="Q282" s="29"/>
    </row>
    <row r="283" spans="1:17" x14ac:dyDescent="0.25">
      <c r="A283" t="str">
        <f>RailTransport!A13</f>
        <v xml:space="preserve"> - Maintenance</v>
      </c>
      <c r="B283" s="710">
        <f>(Unitflowchart!$S$315/Unitflowchart!$S$357)*RailTransport!J13*Unitflowchart!$S$326</f>
        <v>0</v>
      </c>
      <c r="C283" s="24">
        <f>(B283/B$347)*100</f>
        <v>0</v>
      </c>
      <c r="D283" s="726">
        <f>(Unitflowchart!$S$315/Unitflowchart!$S$357)*RailTransport!K13*Unitflowchart!$S$326</f>
        <v>0</v>
      </c>
      <c r="E283" s="710">
        <f>(Unitflowchart!$S$315/Unitflowchart!$S$357)*RailTransport!P13*Unitflowchart!$S$326</f>
        <v>0</v>
      </c>
      <c r="F283" s="24">
        <f>(E283/E$347)*100</f>
        <v>0</v>
      </c>
      <c r="G283" s="726">
        <f>(Unitflowchart!$S$315/Unitflowchart!$S$357)*RailTransport!Q13*Unitflowchart!$S$326</f>
        <v>0</v>
      </c>
      <c r="H283" s="707">
        <f>(Unitflowchart!$S$315/Unitflowchart!$S$357)*RailTransport!V13*Unitflowchart!$S$326</f>
        <v>0</v>
      </c>
      <c r="I283" s="24">
        <f>(H283/H$347)*100</f>
        <v>0</v>
      </c>
      <c r="J283" s="709">
        <f>(Unitflowchart!$S$315/Unitflowchart!$S$357)*RailTransport!W13*Unitflowchart!$S$326</f>
        <v>0</v>
      </c>
      <c r="K283" s="707">
        <f>(Unitflowchart!$S$315/Unitflowchart!$S$357)*RailTransport!AB13*Unitflowchart!$S$326</f>
        <v>0</v>
      </c>
      <c r="L283" s="24">
        <f>(K283/K$347)*100</f>
        <v>0</v>
      </c>
      <c r="M283" s="709">
        <f>(Unitflowchart!$S$315/Unitflowchart!$S$357)*RailTransport!AC13*Unitflowchart!$S$326</f>
        <v>0</v>
      </c>
      <c r="N283" s="710">
        <f>E283+(GlobalWarmingPotentials!$B$11*H283)+(GlobalWarmingPotentials!$C$11*K283)</f>
        <v>0</v>
      </c>
      <c r="O283" s="24">
        <f>(N283/N$347)*100</f>
        <v>0</v>
      </c>
      <c r="P283" s="726">
        <f>SQRT((G283^2)+((GlobalWarmingPotentials!$B$11*J283)^2)+((GlobalWarmingPotentials!$C$11*M283)^2))</f>
        <v>0</v>
      </c>
      <c r="Q283" s="29"/>
    </row>
    <row r="284" spans="1:17" x14ac:dyDescent="0.25">
      <c r="B284" s="712"/>
      <c r="C284" s="24"/>
      <c r="D284" s="718"/>
      <c r="E284" s="712"/>
      <c r="F284" s="24"/>
      <c r="G284" s="718"/>
      <c r="H284" s="30"/>
      <c r="I284" s="24"/>
      <c r="J284" s="708"/>
      <c r="K284" s="30"/>
      <c r="L284" s="24"/>
      <c r="M284" s="708"/>
      <c r="N284" s="712"/>
      <c r="O284" s="24"/>
      <c r="P284" s="718"/>
      <c r="Q284" s="29"/>
    </row>
    <row r="285" spans="1:17" x14ac:dyDescent="0.25">
      <c r="A285" s="214" t="s">
        <v>857</v>
      </c>
      <c r="B285" s="717">
        <f>(Unitflowchart!$S$315/Unitflowchart!$S$357)*RailTransport!J15*Unitflowchart!$S$326</f>
        <v>0</v>
      </c>
      <c r="C285" s="705">
        <f>(B285/B$347)*100</f>
        <v>0</v>
      </c>
      <c r="D285" s="727">
        <f>(Unitflowchart!$S$315/Unitflowchart!$S$357)*RailTransport!K15*Unitflowchart!$S$326</f>
        <v>0</v>
      </c>
      <c r="E285" s="717">
        <f>(Unitflowchart!$S$315/Unitflowchart!$S$357)*RailTransport!P15*Unitflowchart!$S$326</f>
        <v>0</v>
      </c>
      <c r="F285" s="705">
        <f>(E285/E$347)*100</f>
        <v>0</v>
      </c>
      <c r="G285" s="727">
        <f>(Unitflowchart!$S$315/Unitflowchart!$S$357)*RailTransport!Q15*Unitflowchart!$S$326</f>
        <v>0</v>
      </c>
      <c r="H285" s="706">
        <f>(Unitflowchart!$S$315/Unitflowchart!$S$357)*RailTransport!V15*Unitflowchart!$S$326</f>
        <v>0</v>
      </c>
      <c r="I285" s="705">
        <f>(H285/H$347)*100</f>
        <v>0</v>
      </c>
      <c r="J285" s="704">
        <f>(Unitflowchart!$S$315/Unitflowchart!$S$357)*RailTransport!W15*Unitflowchart!$S$326</f>
        <v>0</v>
      </c>
      <c r="K285" s="706">
        <f>(Unitflowchart!$S$315/Unitflowchart!$S$357)*RailTransport!AB15*Unitflowchart!$S$326</f>
        <v>0</v>
      </c>
      <c r="L285" s="705">
        <f>(K285/K$347)*100</f>
        <v>0</v>
      </c>
      <c r="M285" s="704">
        <f>(Unitflowchart!$S$315/Unitflowchart!$S$357)*RailTransport!AC15*Unitflowchart!$S$326</f>
        <v>0</v>
      </c>
      <c r="N285" s="717">
        <f>E285+(GlobalWarmingPotentials!$B$11*H285)+(GlobalWarmingPotentials!$C$11*K285)</f>
        <v>0</v>
      </c>
      <c r="O285" s="705">
        <f>(N285/N$347)*100</f>
        <v>0</v>
      </c>
      <c r="P285" s="725">
        <f>SQRT((G285^2)+((GlobalWarmingPotentials!$B$11*J285)^2)+((GlobalWarmingPotentials!$C$11*M285)^2))</f>
        <v>0</v>
      </c>
      <c r="Q285" s="29"/>
    </row>
    <row r="286" spans="1:17" x14ac:dyDescent="0.25">
      <c r="B286" s="712"/>
      <c r="D286" s="718"/>
      <c r="E286" s="712"/>
      <c r="G286" s="718"/>
      <c r="H286" s="30"/>
      <c r="J286" s="708"/>
      <c r="K286" s="30"/>
      <c r="M286" s="708"/>
      <c r="N286" s="712"/>
      <c r="P286" s="718"/>
      <c r="Q286" s="29"/>
    </row>
    <row r="287" spans="1:17" x14ac:dyDescent="0.25">
      <c r="A287" s="384" t="s">
        <v>888</v>
      </c>
      <c r="B287" s="712"/>
      <c r="D287" s="718"/>
      <c r="E287" s="712"/>
      <c r="G287" s="718"/>
      <c r="H287" s="30"/>
      <c r="J287" s="708"/>
      <c r="K287" s="30"/>
      <c r="M287" s="708"/>
      <c r="N287" s="712"/>
      <c r="P287" s="718"/>
      <c r="Q287" s="29"/>
    </row>
    <row r="288" spans="1:17" x14ac:dyDescent="0.25">
      <c r="B288" s="712"/>
      <c r="D288" s="718"/>
      <c r="E288" s="712"/>
      <c r="G288" s="718"/>
      <c r="H288" s="30"/>
      <c r="J288" s="708"/>
      <c r="K288" s="30"/>
      <c r="M288" s="708"/>
      <c r="N288" s="712"/>
      <c r="P288" s="718"/>
      <c r="Q288" s="29"/>
    </row>
    <row r="289" spans="1:17" x14ac:dyDescent="0.25">
      <c r="A289" t="str">
        <f>BargeTransport!A11</f>
        <v xml:space="preserve"> - Marine Diesel</v>
      </c>
      <c r="B289" s="710">
        <f>(Unitflowchart!$S$315/Unitflowchart!$S$357)*BargeTransport!J11*Unitflowchart!$S$328</f>
        <v>0</v>
      </c>
      <c r="C289" s="24">
        <f>(B289/B$347)*100</f>
        <v>0</v>
      </c>
      <c r="D289" s="726">
        <f>(Unitflowchart!$S$315/Unitflowchart!$S$357)*BargeTransport!K11*Unitflowchart!$S$328</f>
        <v>0</v>
      </c>
      <c r="E289" s="710">
        <f>(Unitflowchart!$S$315/Unitflowchart!$S$357)*BargeTransport!P11*Unitflowchart!$S$328</f>
        <v>0</v>
      </c>
      <c r="F289" s="24">
        <f>(E289/E$347)*100</f>
        <v>0</v>
      </c>
      <c r="G289" s="726">
        <f>(Unitflowchart!$S$315/Unitflowchart!$S$357)*BargeTransport!Q11*Unitflowchart!$S$328</f>
        <v>0</v>
      </c>
      <c r="H289" s="707">
        <f>(Unitflowchart!$S$315/Unitflowchart!$S$357)*BargeTransport!V11*Unitflowchart!$S$328</f>
        <v>0</v>
      </c>
      <c r="I289" s="24">
        <f>(H289/H$347)*100</f>
        <v>0</v>
      </c>
      <c r="J289" s="709">
        <f>(Unitflowchart!$S$315/Unitflowchart!$S$357)*BargeTransport!W11*Unitflowchart!$S$328</f>
        <v>0</v>
      </c>
      <c r="K289" s="707">
        <f>(Unitflowchart!$S$315/Unitflowchart!$S$357)*BargeTransport!AB11*Unitflowchart!$S$328</f>
        <v>0</v>
      </c>
      <c r="L289" s="24">
        <f>(K289/K$347)*100</f>
        <v>0</v>
      </c>
      <c r="M289" s="709">
        <f>(Unitflowchart!$S$315/Unitflowchart!$S$357)*BargeTransport!AC11*Unitflowchart!$S$328</f>
        <v>0</v>
      </c>
      <c r="N289" s="710">
        <f>E289+(GlobalWarmingPotentials!$B$11*H289)+(GlobalWarmingPotentials!$C$11*K289)</f>
        <v>0</v>
      </c>
      <c r="O289" s="24">
        <f>(N289/N$347)*100</f>
        <v>0</v>
      </c>
      <c r="P289" s="726">
        <f>SQRT((G289^2)+((GlobalWarmingPotentials!$B$11*J289)^2)+((GlobalWarmingPotentials!$C$11*M289)^2))</f>
        <v>0</v>
      </c>
      <c r="Q289" s="29"/>
    </row>
    <row r="290" spans="1:17" x14ac:dyDescent="0.25">
      <c r="A290" t="str">
        <f>BargeTransport!A12</f>
        <v xml:space="preserve"> - Barge Construction</v>
      </c>
      <c r="B290" s="710">
        <f>(Unitflowchart!$S$315/Unitflowchart!$S$357)*BargeTransport!J12*Unitflowchart!$S$328</f>
        <v>0</v>
      </c>
      <c r="C290" s="24">
        <f>(B290/B$347)*100</f>
        <v>0</v>
      </c>
      <c r="D290" s="726">
        <f>(Unitflowchart!$S$315/Unitflowchart!$S$357)*BargeTransport!K12*Unitflowchart!$S$328</f>
        <v>0</v>
      </c>
      <c r="E290" s="710">
        <f>(Unitflowchart!$S$315/Unitflowchart!$S$357)*BargeTransport!P12*Unitflowchart!$S$328</f>
        <v>0</v>
      </c>
      <c r="F290" s="24">
        <f>(E290/E$347)*100</f>
        <v>0</v>
      </c>
      <c r="G290" s="726">
        <f>(Unitflowchart!$S$315/Unitflowchart!$S$357)*BargeTransport!Q12*Unitflowchart!$S$328</f>
        <v>0</v>
      </c>
      <c r="H290" s="707">
        <f>(Unitflowchart!$S$315/Unitflowchart!$S$357)*BargeTransport!V12*Unitflowchart!$S$328</f>
        <v>0</v>
      </c>
      <c r="I290" s="24">
        <f>(H290/H$347)*100</f>
        <v>0</v>
      </c>
      <c r="J290" s="709">
        <f>(Unitflowchart!$S$315/Unitflowchart!$S$357)*BargeTransport!W12*Unitflowchart!$S$328</f>
        <v>0</v>
      </c>
      <c r="K290" s="707">
        <f>(Unitflowchart!$S$315/Unitflowchart!$S$357)*BargeTransport!AB12*Unitflowchart!$S$328</f>
        <v>0</v>
      </c>
      <c r="L290" s="24">
        <f>(K290/K$347)*100</f>
        <v>0</v>
      </c>
      <c r="M290" s="709">
        <f>(Unitflowchart!$S$315/Unitflowchart!$S$357)*BargeTransport!AC12*Unitflowchart!$S$328</f>
        <v>0</v>
      </c>
      <c r="N290" s="710">
        <f>E290+(GlobalWarmingPotentials!$B$11*H290)+(GlobalWarmingPotentials!$C$11*K290)</f>
        <v>0</v>
      </c>
      <c r="O290" s="24">
        <f>(N290/N$347)*100</f>
        <v>0</v>
      </c>
      <c r="P290" s="726">
        <f>SQRT((G290^2)+((GlobalWarmingPotentials!$B$11*J290)^2)+((GlobalWarmingPotentials!$C$11*M290)^2))</f>
        <v>0</v>
      </c>
      <c r="Q290" s="29"/>
    </row>
    <row r="291" spans="1:17" x14ac:dyDescent="0.25">
      <c r="A291" t="str">
        <f>BargeTransport!A13</f>
        <v xml:space="preserve"> - Barge Maintenance</v>
      </c>
      <c r="B291" s="710">
        <f>(Unitflowchart!$S$315/Unitflowchart!$S$357)*BargeTransport!J13*Unitflowchart!$S$328</f>
        <v>0</v>
      </c>
      <c r="C291" s="24">
        <f>(B291/B$347)*100</f>
        <v>0</v>
      </c>
      <c r="D291" s="726">
        <f>(Unitflowchart!$S$315/Unitflowchart!$S$357)*BargeTransport!K13*Unitflowchart!$S$328</f>
        <v>0</v>
      </c>
      <c r="E291" s="710">
        <f>(Unitflowchart!$S$315/Unitflowchart!$S$357)*BargeTransport!P13*Unitflowchart!$S$328</f>
        <v>0</v>
      </c>
      <c r="F291" s="24">
        <f>(E291/E$347)*100</f>
        <v>0</v>
      </c>
      <c r="G291" s="726">
        <f>(Unitflowchart!$S$315/Unitflowchart!$S$357)*BargeTransport!Q13*Unitflowchart!$S$328</f>
        <v>0</v>
      </c>
      <c r="H291" s="707">
        <f>(Unitflowchart!$S$315/Unitflowchart!$S$357)*BargeTransport!V13*Unitflowchart!$S$328</f>
        <v>0</v>
      </c>
      <c r="I291" s="24">
        <f>(H291/H$347)*100</f>
        <v>0</v>
      </c>
      <c r="J291" s="709">
        <f>(Unitflowchart!$S$315/Unitflowchart!$S$357)*BargeTransport!W13*Unitflowchart!$S$328</f>
        <v>0</v>
      </c>
      <c r="K291" s="707">
        <f>(Unitflowchart!$S$315/Unitflowchart!$S$357)*BargeTransport!AB13*Unitflowchart!$S$328</f>
        <v>0</v>
      </c>
      <c r="L291" s="24">
        <f>(K291/K$347)*100</f>
        <v>0</v>
      </c>
      <c r="M291" s="709">
        <f>(Unitflowchart!$S$315/Unitflowchart!$S$357)*BargeTransport!AC13*Unitflowchart!$S$328</f>
        <v>0</v>
      </c>
      <c r="N291" s="710">
        <f>E291+(GlobalWarmingPotentials!$B$11*H291)+(GlobalWarmingPotentials!$C$11*K291)</f>
        <v>0</v>
      </c>
      <c r="O291" s="24">
        <f>(N291/N$347)*100</f>
        <v>0</v>
      </c>
      <c r="P291" s="726">
        <f>SQRT((G291^2)+((GlobalWarmingPotentials!$B$11*J291)^2)+((GlobalWarmingPotentials!$C$11*M291)^2))</f>
        <v>0</v>
      </c>
      <c r="Q291" s="29"/>
    </row>
    <row r="292" spans="1:17" x14ac:dyDescent="0.25">
      <c r="B292" s="712"/>
      <c r="C292" s="24"/>
      <c r="D292" s="718"/>
      <c r="E292" s="712"/>
      <c r="F292" s="24"/>
      <c r="G292" s="718"/>
      <c r="H292" s="30"/>
      <c r="I292" s="24"/>
      <c r="J292" s="708"/>
      <c r="K292" s="30"/>
      <c r="L292" s="24"/>
      <c r="M292" s="708"/>
      <c r="N292" s="712"/>
      <c r="O292" s="24"/>
      <c r="P292" s="718"/>
      <c r="Q292" s="29"/>
    </row>
    <row r="293" spans="1:17" x14ac:dyDescent="0.25">
      <c r="A293" s="214" t="s">
        <v>859</v>
      </c>
      <c r="B293" s="717">
        <f>(Unitflowchart!$S$315/Unitflowchart!$S$357)*BargeTransport!J15*Unitflowchart!$S$328</f>
        <v>0</v>
      </c>
      <c r="C293" s="705">
        <f>(B293/B$347)*100</f>
        <v>0</v>
      </c>
      <c r="D293" s="727">
        <f>(Unitflowchart!$S$315/Unitflowchart!$S$357)*BargeTransport!K15*Unitflowchart!$S$328</f>
        <v>0</v>
      </c>
      <c r="E293" s="717">
        <f>(Unitflowchart!$S$315/Unitflowchart!$S$357)*BargeTransport!P15*Unitflowchart!$S$328</f>
        <v>0</v>
      </c>
      <c r="F293" s="705">
        <f>(E293/E$347)*100</f>
        <v>0</v>
      </c>
      <c r="G293" s="727">
        <f>(Unitflowchart!$S$315/Unitflowchart!$S$357)*BargeTransport!Q15*Unitflowchart!$S$328</f>
        <v>0</v>
      </c>
      <c r="H293" s="706">
        <f>(Unitflowchart!$S$315/Unitflowchart!$S$357)*BargeTransport!V15*Unitflowchart!$S$328</f>
        <v>0</v>
      </c>
      <c r="I293" s="705">
        <f>(H293/H$347)*100</f>
        <v>0</v>
      </c>
      <c r="J293" s="704">
        <f>(Unitflowchart!$S$315/Unitflowchart!$S$357)*BargeTransport!W15*Unitflowchart!$S$328</f>
        <v>0</v>
      </c>
      <c r="K293" s="706">
        <f>(Unitflowchart!$S$315/Unitflowchart!$S$357)*BargeTransport!AB15*Unitflowchart!$S$328</f>
        <v>0</v>
      </c>
      <c r="L293" s="705">
        <f>(K293/K$347)*100</f>
        <v>0</v>
      </c>
      <c r="M293" s="704">
        <f>(Unitflowchart!$S$315/Unitflowchart!$S$357)*BargeTransport!AC15*Unitflowchart!$S$328</f>
        <v>0</v>
      </c>
      <c r="N293" s="717">
        <f>E293+(GlobalWarmingPotentials!$B$11*H293)+(GlobalWarmingPotentials!$C$11*K293)</f>
        <v>0</v>
      </c>
      <c r="O293" s="705">
        <f>(N293/N$347)*100</f>
        <v>0</v>
      </c>
      <c r="P293" s="725">
        <f>SQRT((G293^2)+((GlobalWarmingPotentials!$B$11*J293)^2)+((GlobalWarmingPotentials!$C$11*M293)^2))</f>
        <v>0</v>
      </c>
      <c r="Q293" s="29"/>
    </row>
    <row r="294" spans="1:17" x14ac:dyDescent="0.25">
      <c r="B294" s="712"/>
      <c r="D294" s="718"/>
      <c r="E294" s="712"/>
      <c r="G294" s="718"/>
      <c r="H294" s="30"/>
      <c r="J294" s="708"/>
      <c r="K294" s="30"/>
      <c r="M294" s="708"/>
      <c r="N294" s="712"/>
      <c r="P294" s="718"/>
      <c r="Q294" s="29"/>
    </row>
    <row r="295" spans="1:17" x14ac:dyDescent="0.25">
      <c r="A295" s="384" t="s">
        <v>889</v>
      </c>
      <c r="B295" s="712"/>
      <c r="D295" s="718"/>
      <c r="E295" s="712"/>
      <c r="G295" s="718"/>
      <c r="H295" s="30"/>
      <c r="J295" s="708"/>
      <c r="K295" s="30"/>
      <c r="M295" s="708"/>
      <c r="N295" s="712"/>
      <c r="P295" s="718"/>
      <c r="Q295" s="29"/>
    </row>
    <row r="296" spans="1:17" x14ac:dyDescent="0.25">
      <c r="B296" s="712"/>
      <c r="D296" s="718"/>
      <c r="E296" s="712"/>
      <c r="G296" s="718"/>
      <c r="H296" s="30"/>
      <c r="J296" s="708"/>
      <c r="K296" s="30"/>
      <c r="M296" s="708"/>
      <c r="N296" s="712"/>
      <c r="P296" s="718"/>
      <c r="Q296" s="29"/>
    </row>
    <row r="297" spans="1:17" x14ac:dyDescent="0.25">
      <c r="A297" t="str">
        <f>ShipTransport!A11</f>
        <v xml:space="preserve"> - Marine Diesel</v>
      </c>
      <c r="B297" s="710">
        <f>(Unitflowchart!$S$315/Unitflowchart!$S$357)*ShipTransport!J11*Unitflowchart!$S$330</f>
        <v>0</v>
      </c>
      <c r="C297" s="24">
        <f>(B297/B$347)*100</f>
        <v>0</v>
      </c>
      <c r="D297" s="726">
        <f>(Unitflowchart!$S$315/Unitflowchart!$S$357)*ShipTransport!K11*Unitflowchart!$S$330</f>
        <v>0</v>
      </c>
      <c r="E297" s="710">
        <f>(Unitflowchart!$S$315/Unitflowchart!$S$357)*ShipTransport!P11*Unitflowchart!$S$330</f>
        <v>0</v>
      </c>
      <c r="F297" s="24">
        <f>(E297/E$347)*100</f>
        <v>0</v>
      </c>
      <c r="G297" s="726">
        <f>(Unitflowchart!$S$315/Unitflowchart!$S$357)*ShipTransport!Q11*Unitflowchart!$S$330</f>
        <v>0</v>
      </c>
      <c r="H297" s="707">
        <f>(Unitflowchart!$S$315/Unitflowchart!$S$357)*ShipTransport!V11*Unitflowchart!$S$330</f>
        <v>0</v>
      </c>
      <c r="I297" s="24">
        <f>(H297/H$347)*100</f>
        <v>0</v>
      </c>
      <c r="J297" s="709">
        <f>(Unitflowchart!$S$315/Unitflowchart!$S$357)*ShipTransport!W11*Unitflowchart!$S$330</f>
        <v>0</v>
      </c>
      <c r="K297" s="707">
        <f>(Unitflowchart!$S$315/Unitflowchart!$S$357)*ShipTransport!AB11*Unitflowchart!$S$330</f>
        <v>0</v>
      </c>
      <c r="L297" s="24">
        <f>(K297/K$347)*100</f>
        <v>0</v>
      </c>
      <c r="M297" s="709">
        <f>(Unitflowchart!$S$315/Unitflowchart!$S$357)*BargeTransport!AC19*Unitflowchart!$S$328</f>
        <v>0</v>
      </c>
      <c r="N297" s="710">
        <f>E297+(GlobalWarmingPotentials!$B$11*H297)+(GlobalWarmingPotentials!$C$11*K297)</f>
        <v>0</v>
      </c>
      <c r="O297" s="24">
        <f>(N297/N$347)*100</f>
        <v>0</v>
      </c>
      <c r="P297" s="726">
        <f>SQRT((G297^2)+((GlobalWarmingPotentials!$B$11*J297)^2)+((GlobalWarmingPotentials!$C$11*M297)^2))</f>
        <v>0</v>
      </c>
      <c r="Q297" s="29"/>
    </row>
    <row r="298" spans="1:17" x14ac:dyDescent="0.25">
      <c r="A298" t="str">
        <f>ShipTransport!A12</f>
        <v xml:space="preserve"> - Ship Construction</v>
      </c>
      <c r="B298" s="710">
        <f>(Unitflowchart!$S$315/Unitflowchart!$S$357)*ShipTransport!J12*Unitflowchart!$S$330</f>
        <v>0</v>
      </c>
      <c r="C298" s="24">
        <f t="shared" ref="C298:C299" si="68">(B298/B$347)*100</f>
        <v>0</v>
      </c>
      <c r="D298" s="726">
        <f>(Unitflowchart!$S$315/Unitflowchart!$S$357)*ShipTransport!K12*Unitflowchart!$S$330</f>
        <v>0</v>
      </c>
      <c r="E298" s="710">
        <f>(Unitflowchart!$S$315/Unitflowchart!$S$357)*ShipTransport!P12*Unitflowchart!$S$330</f>
        <v>0</v>
      </c>
      <c r="F298" s="24">
        <f t="shared" ref="F298:F299" si="69">(E298/E$347)*100</f>
        <v>0</v>
      </c>
      <c r="G298" s="726">
        <f>(Unitflowchart!$S$315/Unitflowchart!$S$357)*ShipTransport!Q12*Unitflowchart!$S$330</f>
        <v>0</v>
      </c>
      <c r="H298" s="707">
        <f>(Unitflowchart!$S$315/Unitflowchart!$S$357)*ShipTransport!V12*Unitflowchart!$S$330</f>
        <v>0</v>
      </c>
      <c r="I298" s="24">
        <f t="shared" ref="I298:I299" si="70">(H298/H$347)*100</f>
        <v>0</v>
      </c>
      <c r="J298" s="709">
        <f>(Unitflowchart!$S$315/Unitflowchart!$S$357)*ShipTransport!W12*Unitflowchart!$S$330</f>
        <v>0</v>
      </c>
      <c r="K298" s="707">
        <f>(Unitflowchart!$S$315/Unitflowchart!$S$357)*ShipTransport!AB12*Unitflowchart!$S$330</f>
        <v>0</v>
      </c>
      <c r="L298" s="24">
        <f t="shared" ref="L298:L299" si="71">(K298/K$347)*100</f>
        <v>0</v>
      </c>
      <c r="M298" s="709">
        <f>(Unitflowchart!$S$315/Unitflowchart!$S$357)*BargeTransport!AC20*Unitflowchart!$S$328</f>
        <v>0</v>
      </c>
      <c r="N298" s="710">
        <f>E298+(GlobalWarmingPotentials!$B$11*H298)+(GlobalWarmingPotentials!$C$11*K298)</f>
        <v>0</v>
      </c>
      <c r="O298" s="24">
        <f t="shared" ref="O298:O299" si="72">(N298/N$347)*100</f>
        <v>0</v>
      </c>
      <c r="P298" s="726">
        <f>SQRT((G298^2)+((GlobalWarmingPotentials!$B$11*J298)^2)+((GlobalWarmingPotentials!$C$11*M298)^2))</f>
        <v>0</v>
      </c>
      <c r="Q298" s="29"/>
    </row>
    <row r="299" spans="1:17" x14ac:dyDescent="0.25">
      <c r="A299" t="str">
        <f>ShipTransport!A13</f>
        <v xml:space="preserve"> - Ship Maintenance</v>
      </c>
      <c r="B299" s="710">
        <f>(Unitflowchart!$S$315/Unitflowchart!$S$357)*ShipTransport!J13*Unitflowchart!$S$330</f>
        <v>0</v>
      </c>
      <c r="C299" s="24">
        <f t="shared" si="68"/>
        <v>0</v>
      </c>
      <c r="D299" s="726">
        <f>(Unitflowchart!$S$315/Unitflowchart!$S$357)*ShipTransport!K13*Unitflowchart!$S$330</f>
        <v>0</v>
      </c>
      <c r="E299" s="710">
        <f>(Unitflowchart!$S$315/Unitflowchart!$S$357)*ShipTransport!P13*Unitflowchart!$S$330</f>
        <v>0</v>
      </c>
      <c r="F299" s="24">
        <f t="shared" si="69"/>
        <v>0</v>
      </c>
      <c r="G299" s="726">
        <f>(Unitflowchart!$S$315/Unitflowchart!$S$357)*ShipTransport!Q13*Unitflowchart!$S$330</f>
        <v>0</v>
      </c>
      <c r="H299" s="707">
        <f>(Unitflowchart!$S$315/Unitflowchart!$S$357)*ShipTransport!V13*Unitflowchart!$S$330</f>
        <v>0</v>
      </c>
      <c r="I299" s="24">
        <f t="shared" si="70"/>
        <v>0</v>
      </c>
      <c r="J299" s="709">
        <f>(Unitflowchart!$S$315/Unitflowchart!$S$357)*ShipTransport!W13*Unitflowchart!$S$330</f>
        <v>0</v>
      </c>
      <c r="K299" s="707">
        <f>(Unitflowchart!$S$315/Unitflowchart!$S$357)*ShipTransport!AB13*Unitflowchart!$S$330</f>
        <v>0</v>
      </c>
      <c r="L299" s="24">
        <f t="shared" si="71"/>
        <v>0</v>
      </c>
      <c r="M299" s="709">
        <f>(Unitflowchart!$S$315/Unitflowchart!$S$357)*BargeTransport!AC21*Unitflowchart!$S$328</f>
        <v>0</v>
      </c>
      <c r="N299" s="710">
        <f>E299+(GlobalWarmingPotentials!$B$11*H299)+(GlobalWarmingPotentials!$C$11*K299)</f>
        <v>0</v>
      </c>
      <c r="O299" s="24">
        <f t="shared" si="72"/>
        <v>0</v>
      </c>
      <c r="P299" s="726">
        <f>SQRT((G299^2)+((GlobalWarmingPotentials!$B$11*J299)^2)+((GlobalWarmingPotentials!$C$11*M299)^2))</f>
        <v>0</v>
      </c>
      <c r="Q299" s="29"/>
    </row>
    <row r="300" spans="1:17" x14ac:dyDescent="0.25">
      <c r="B300" s="712"/>
      <c r="D300" s="718"/>
      <c r="E300" s="712"/>
      <c r="F300" s="24"/>
      <c r="G300" s="718"/>
      <c r="H300" s="30"/>
      <c r="I300" s="24"/>
      <c r="J300" s="708"/>
      <c r="K300" s="30"/>
      <c r="L300" s="24"/>
      <c r="M300" s="708"/>
      <c r="N300" s="712"/>
      <c r="O300" s="24"/>
      <c r="P300" s="718"/>
      <c r="Q300" s="29"/>
    </row>
    <row r="301" spans="1:17" x14ac:dyDescent="0.25">
      <c r="A301" s="214" t="s">
        <v>861</v>
      </c>
      <c r="B301" s="717">
        <f>(Unitflowchart!$S$315/Unitflowchart!$S$357)*ShipTransport!J15*Unitflowchart!$S$330</f>
        <v>0</v>
      </c>
      <c r="C301" s="705">
        <f>(B301/B$347)*100</f>
        <v>0</v>
      </c>
      <c r="D301" s="727">
        <f>(Unitflowchart!$S$315/Unitflowchart!$S$357)*ShipTransport!K15*Unitflowchart!$S$330</f>
        <v>0</v>
      </c>
      <c r="E301" s="717">
        <f>(Unitflowchart!$S$315/Unitflowchart!$S$357)*ShipTransport!P15*Unitflowchart!$S$330</f>
        <v>0</v>
      </c>
      <c r="F301" s="705">
        <f>(E301/E$347)*100</f>
        <v>0</v>
      </c>
      <c r="G301" s="727">
        <f>(Unitflowchart!$S$315/Unitflowchart!$S$357)*ShipTransport!Q15*Unitflowchart!$S$330</f>
        <v>0</v>
      </c>
      <c r="H301" s="706">
        <f>(Unitflowchart!$S$315/Unitflowchart!$S$357)*ShipTransport!V15*Unitflowchart!$S$330</f>
        <v>0</v>
      </c>
      <c r="I301" s="705">
        <f>(H301/H$347)*100</f>
        <v>0</v>
      </c>
      <c r="J301" s="704">
        <f>(Unitflowchart!$S$315/Unitflowchart!$S$357)*ShipTransport!W15*Unitflowchart!$S$330</f>
        <v>0</v>
      </c>
      <c r="K301" s="706">
        <f>(Unitflowchart!$S$315/Unitflowchart!$S$357)*ShipTransport!AB15*Unitflowchart!$S$330</f>
        <v>0</v>
      </c>
      <c r="L301" s="705">
        <f>(K301/K$347)*100</f>
        <v>0</v>
      </c>
      <c r="M301" s="704">
        <f>(Unitflowchart!$S$315/Unitflowchart!$S$357)*BargeTransport!AC23*Unitflowchart!$S$328</f>
        <v>0</v>
      </c>
      <c r="N301" s="717">
        <f>E301+(GlobalWarmingPotentials!$B$11*H301)+(GlobalWarmingPotentials!$C$11*K301)</f>
        <v>0</v>
      </c>
      <c r="O301" s="705">
        <f>(N301/N$347)*100</f>
        <v>0</v>
      </c>
      <c r="P301" s="725">
        <f>SQRT((G301^2)+((GlobalWarmingPotentials!$B$11*J301)^2)+((GlobalWarmingPotentials!$C$11*M301)^2))</f>
        <v>0</v>
      </c>
      <c r="Q301" s="29"/>
    </row>
    <row r="302" spans="1:17" x14ac:dyDescent="0.25">
      <c r="B302" s="712"/>
      <c r="D302" s="718"/>
      <c r="E302" s="712"/>
      <c r="G302" s="718"/>
      <c r="H302" s="30"/>
      <c r="J302" s="708"/>
      <c r="K302" s="30"/>
      <c r="M302" s="708"/>
      <c r="N302" s="712"/>
      <c r="P302" s="718"/>
      <c r="Q302" s="29"/>
    </row>
    <row r="303" spans="1:17" x14ac:dyDescent="0.25">
      <c r="A303" s="214" t="s">
        <v>898</v>
      </c>
      <c r="B303" s="714">
        <f>B277+B285+B293+B301</f>
        <v>0</v>
      </c>
      <c r="C303" s="14">
        <f>(B303/B$347)*100</f>
        <v>0</v>
      </c>
      <c r="D303" s="722">
        <f>SQRT((D277^2)+(D285^2)+(D293^2)+(D301^2))</f>
        <v>0</v>
      </c>
      <c r="E303" s="714">
        <f t="shared" ref="E303" si="73">E277+E285+E293+E301</f>
        <v>0</v>
      </c>
      <c r="F303" s="14">
        <f t="shared" ref="F303" si="74">(E303/E$347)*100</f>
        <v>0</v>
      </c>
      <c r="G303" s="722">
        <f t="shared" ref="G303" si="75">SQRT((G277^2)+(G285^2)+(G293^2)+(G301^2))</f>
        <v>0</v>
      </c>
      <c r="H303" s="211">
        <f t="shared" ref="H303" si="76">H277+H285+H293+H301</f>
        <v>0</v>
      </c>
      <c r="I303" s="14">
        <f t="shared" ref="I303" si="77">(H303/H$347)*100</f>
        <v>0</v>
      </c>
      <c r="J303" s="212">
        <f t="shared" ref="J303" si="78">SQRT((J277^2)+(J285^2)+(J293^2)+(J301^2))</f>
        <v>0</v>
      </c>
      <c r="K303" s="211">
        <f t="shared" ref="K303" si="79">K277+K285+K293+K301</f>
        <v>0</v>
      </c>
      <c r="L303" s="14">
        <f t="shared" ref="L303" si="80">(K303/K$347)*100</f>
        <v>0</v>
      </c>
      <c r="M303" s="212">
        <f t="shared" ref="M303" si="81">SQRT((M277^2)+(M285^2)+(M293^2)+(M301^2))</f>
        <v>0</v>
      </c>
      <c r="N303" s="714">
        <f t="shared" ref="N303" si="82">N277+N285+N293+N301</f>
        <v>0</v>
      </c>
      <c r="O303" s="14">
        <f t="shared" ref="O303" si="83">(N303/N$347)*100</f>
        <v>0</v>
      </c>
      <c r="P303" s="722">
        <f t="shared" ref="P303" si="84">SQRT((P277^2)+(P285^2)+(P293^2)+(P301^2))</f>
        <v>0</v>
      </c>
      <c r="Q303" s="29"/>
    </row>
    <row r="304" spans="1:17" x14ac:dyDescent="0.25">
      <c r="B304" s="712"/>
      <c r="D304" s="718"/>
      <c r="E304" s="712"/>
      <c r="G304" s="718"/>
      <c r="H304" s="30"/>
      <c r="J304" s="708"/>
      <c r="K304" s="30"/>
      <c r="M304" s="708"/>
      <c r="N304" s="712"/>
      <c r="P304" s="718"/>
      <c r="Q304" s="29"/>
    </row>
    <row r="305" spans="1:17" x14ac:dyDescent="0.25">
      <c r="A305" s="384" t="s">
        <v>890</v>
      </c>
      <c r="B305" s="712"/>
      <c r="D305" s="718"/>
      <c r="E305" s="712"/>
      <c r="G305" s="718"/>
      <c r="H305" s="30"/>
      <c r="J305" s="708"/>
      <c r="K305" s="30"/>
      <c r="M305" s="708"/>
      <c r="N305" s="712"/>
      <c r="P305" s="718"/>
      <c r="Q305" s="29"/>
    </row>
    <row r="306" spans="1:17" x14ac:dyDescent="0.25">
      <c r="B306" s="712"/>
      <c r="D306" s="718"/>
      <c r="E306" s="712"/>
      <c r="G306" s="718"/>
      <c r="H306" s="30"/>
      <c r="J306" s="708"/>
      <c r="K306" s="30"/>
      <c r="M306" s="708"/>
      <c r="N306" s="712"/>
      <c r="P306" s="718"/>
      <c r="Q306" s="29"/>
    </row>
    <row r="307" spans="1:17" x14ac:dyDescent="0.25">
      <c r="A307" s="13" t="str">
        <f>RoadTransportEthanolStage3!A42</f>
        <v xml:space="preserve"> - Diesel Fuel</v>
      </c>
      <c r="B307" s="715">
        <f>(Unitflowchart!$S$336/Unitflowchart!$S$357)*RoadTransportEthanolStage3!J42*Unitflowchart!$S$345</f>
        <v>0</v>
      </c>
      <c r="C307" s="25">
        <f>(B307/B$347)*100</f>
        <v>0</v>
      </c>
      <c r="D307" s="481">
        <f>(Unitflowchart!$S$336/Unitflowchart!$S$357)*RoadTransportEthanolStage3!K42*Unitflowchart!$S$345</f>
        <v>0</v>
      </c>
      <c r="E307" s="715">
        <f>(Unitflowchart!$S$336/Unitflowchart!$S$357)*RoadTransportEthanolStage3!P42*Unitflowchart!$S$345</f>
        <v>0</v>
      </c>
      <c r="F307" s="25">
        <f>(E307/E$347)*100</f>
        <v>0</v>
      </c>
      <c r="G307" s="481">
        <f>(Unitflowchart!$S$336/Unitflowchart!$S$357)*RoadTransportEthanolStage3!Q42*Unitflowchart!$S$345</f>
        <v>0</v>
      </c>
      <c r="H307" s="730">
        <f>(Unitflowchart!$S$336/Unitflowchart!$S$357)*RoadTransportEthanolStage3!V42*Unitflowchart!$S$345</f>
        <v>0</v>
      </c>
      <c r="I307" s="25">
        <f>(H307/H$347)*100</f>
        <v>0</v>
      </c>
      <c r="J307" s="733">
        <f>(Unitflowchart!$S$336/Unitflowchart!$S$357)*RoadTransportEthanolStage3!W42*Unitflowchart!$S$345</f>
        <v>0</v>
      </c>
      <c r="K307" s="730">
        <f>(Unitflowchart!$S$336/Unitflowchart!$S$357)*RoadTransportEthanolStage3!AB42*Unitflowchart!$S$345</f>
        <v>0</v>
      </c>
      <c r="L307" s="25">
        <f>(K307/K$347)*100</f>
        <v>0</v>
      </c>
      <c r="M307" s="732">
        <f>(Unitflowchart!$S$336/Unitflowchart!$S$357)*RoadTransportEthanolStage3!AC42*Unitflowchart!$S$345</f>
        <v>0</v>
      </c>
      <c r="N307" s="711">
        <f>E307+(GlobalWarmingPotentials!$B$11*H307)+(GlobalWarmingPotentials!$C$11*K307)</f>
        <v>0</v>
      </c>
      <c r="O307" s="25">
        <f>(N307/N$347)*100</f>
        <v>0</v>
      </c>
      <c r="P307" s="740">
        <f>SQRT((G307^2)+((GlobalWarmingPotentials!$B$11*J307)^2)+((GlobalWarmingPotentials!$C$11*M307)^2))</f>
        <v>0</v>
      </c>
      <c r="Q307" s="29"/>
    </row>
    <row r="308" spans="1:17" x14ac:dyDescent="0.25">
      <c r="A308" s="13" t="str">
        <f>RoadTransportEthanolStage3!A43</f>
        <v xml:space="preserve"> - Vehicle</v>
      </c>
      <c r="B308" s="715">
        <f>(Unitflowchart!$S$336/Unitflowchart!$S$357)*RoadTransportEthanolStage3!J43*Unitflowchart!$S$345</f>
        <v>0</v>
      </c>
      <c r="C308" s="25">
        <f t="shared" ref="C308:C311" si="85">(B308/B$347)*100</f>
        <v>0</v>
      </c>
      <c r="D308" s="481">
        <f>(Unitflowchart!$S$336/Unitflowchart!$S$357)*RoadTransportEthanolStage3!K43*Unitflowchart!$S$345</f>
        <v>0</v>
      </c>
      <c r="E308" s="715">
        <f>(Unitflowchart!$S$336/Unitflowchart!$S$357)*RoadTransportEthanolStage3!P43*Unitflowchart!$S$345</f>
        <v>0</v>
      </c>
      <c r="F308" s="25">
        <f t="shared" ref="F308:F311" si="86">(E308/E$347)*100</f>
        <v>0</v>
      </c>
      <c r="G308" s="481">
        <f>(Unitflowchart!$S$336/Unitflowchart!$S$357)*RoadTransportEthanolStage3!Q43*Unitflowchart!$S$345</f>
        <v>0</v>
      </c>
      <c r="H308" s="730">
        <f>(Unitflowchart!$S$336/Unitflowchart!$S$357)*RoadTransportEthanolStage3!V43*Unitflowchart!$S$345</f>
        <v>0</v>
      </c>
      <c r="I308" s="25">
        <f t="shared" ref="I308:I311" si="87">(H308/H$347)*100</f>
        <v>0</v>
      </c>
      <c r="J308" s="733">
        <f>(Unitflowchart!$S$336/Unitflowchart!$S$357)*RoadTransportEthanolStage3!W43*Unitflowchart!$S$345</f>
        <v>0</v>
      </c>
      <c r="K308" s="730">
        <f>(Unitflowchart!$S$336/Unitflowchart!$S$357)*RoadTransportEthanolStage3!AB43*Unitflowchart!$S$345</f>
        <v>0</v>
      </c>
      <c r="L308" s="25">
        <f t="shared" ref="L308:L311" si="88">(K308/K$347)*100</f>
        <v>0</v>
      </c>
      <c r="M308" s="732">
        <f>(Unitflowchart!$S$336/Unitflowchart!$S$357)*RoadTransportEthanolStage3!AC43*Unitflowchart!$S$345</f>
        <v>0</v>
      </c>
      <c r="N308" s="711">
        <f>E308+(GlobalWarmingPotentials!$B$11*H308)+(GlobalWarmingPotentials!$C$11*K308)</f>
        <v>0</v>
      </c>
      <c r="O308" s="25">
        <f t="shared" ref="O308:O309" si="89">(N308/N$347)*100</f>
        <v>0</v>
      </c>
      <c r="P308" s="740">
        <f>SQRT((G308^2)+((GlobalWarmingPotentials!$B$11*J308)^2)+((GlobalWarmingPotentials!$C$11*M308)^2))</f>
        <v>0</v>
      </c>
      <c r="Q308" s="29"/>
    </row>
    <row r="309" spans="1:17" x14ac:dyDescent="0.25">
      <c r="A309" s="13" t="str">
        <f>RoadTransportEthanolStage3!A44</f>
        <v xml:space="preserve"> - Maintenance</v>
      </c>
      <c r="B309" s="715">
        <f>(Unitflowchart!$S$336/Unitflowchart!$S$357)*RoadTransportEthanolStage3!J44*Unitflowchart!$S$345</f>
        <v>0</v>
      </c>
      <c r="C309" s="25">
        <f t="shared" si="85"/>
        <v>0</v>
      </c>
      <c r="D309" s="481">
        <f>(Unitflowchart!$S$336/Unitflowchart!$S$357)*RoadTransportEthanolStage3!K44*Unitflowchart!$S$345</f>
        <v>0</v>
      </c>
      <c r="E309" s="715">
        <f>(Unitflowchart!$S$336/Unitflowchart!$S$357)*RoadTransportEthanolStage3!P44*Unitflowchart!$S$345</f>
        <v>0</v>
      </c>
      <c r="F309" s="25">
        <f t="shared" si="86"/>
        <v>0</v>
      </c>
      <c r="G309" s="481">
        <f>(Unitflowchart!$S$336/Unitflowchart!$S$357)*RoadTransportEthanolStage3!Q44*Unitflowchart!$S$345</f>
        <v>0</v>
      </c>
      <c r="H309" s="730">
        <f>(Unitflowchart!$S$336/Unitflowchart!$S$357)*RoadTransportEthanolStage3!V44*Unitflowchart!$S$345</f>
        <v>0</v>
      </c>
      <c r="I309" s="25">
        <f t="shared" si="87"/>
        <v>0</v>
      </c>
      <c r="J309" s="733">
        <f>(Unitflowchart!$S$336/Unitflowchart!$S$357)*RoadTransportEthanolStage3!W44*Unitflowchart!$S$345</f>
        <v>0</v>
      </c>
      <c r="K309" s="730">
        <f>(Unitflowchart!$S$336/Unitflowchart!$S$357)*RoadTransportEthanolStage3!AB44*Unitflowchart!$S$345</f>
        <v>0</v>
      </c>
      <c r="L309" s="25">
        <f t="shared" si="88"/>
        <v>0</v>
      </c>
      <c r="M309" s="732">
        <f>(Unitflowchart!$S$336/Unitflowchart!$S$357)*RoadTransportEthanolStage3!AC44*Unitflowchart!$S$345</f>
        <v>0</v>
      </c>
      <c r="N309" s="711">
        <f>E309+(GlobalWarmingPotentials!$B$11*H309)+(GlobalWarmingPotentials!$C$11*K309)</f>
        <v>0</v>
      </c>
      <c r="O309" s="25">
        <f t="shared" si="89"/>
        <v>0</v>
      </c>
      <c r="P309" s="740">
        <f>SQRT((G309^2)+((GlobalWarmingPotentials!$B$11*J309)^2)+((GlobalWarmingPotentials!$C$11*M309)^2))</f>
        <v>0</v>
      </c>
      <c r="Q309" s="29"/>
    </row>
    <row r="310" spans="1:17" s="42" customFormat="1" x14ac:dyDescent="0.25">
      <c r="A310" s="150"/>
      <c r="B310" s="746"/>
      <c r="C310" s="863"/>
      <c r="D310" s="759"/>
      <c r="E310" s="746"/>
      <c r="F310" s="863"/>
      <c r="G310" s="759"/>
      <c r="H310" s="763"/>
      <c r="I310" s="863"/>
      <c r="J310" s="806"/>
      <c r="K310" s="763"/>
      <c r="L310" s="863"/>
      <c r="M310" s="764"/>
      <c r="N310" s="713"/>
      <c r="O310" s="152"/>
      <c r="P310" s="209"/>
      <c r="Q310" s="823"/>
    </row>
    <row r="311" spans="1:17" x14ac:dyDescent="0.25">
      <c r="A311" s="214" t="s">
        <v>893</v>
      </c>
      <c r="B311" s="714">
        <f>(Unitflowchart!$S$336/Unitflowchart!$S$357)*RoadTransportEthanolStage3!J46*Unitflowchart!$S$345</f>
        <v>0</v>
      </c>
      <c r="C311" s="14">
        <f t="shared" si="85"/>
        <v>0</v>
      </c>
      <c r="D311" s="722">
        <f>(Unitflowchart!$S$336/Unitflowchart!$S$357)*RoadTransportEthanolStage3!K46*Unitflowchart!$S$345</f>
        <v>0</v>
      </c>
      <c r="E311" s="714">
        <f>(Unitflowchart!$S$336/Unitflowchart!$S$357)*RoadTransportEthanolStage3!P46*Unitflowchart!$S$345</f>
        <v>0</v>
      </c>
      <c r="F311" s="14">
        <f t="shared" si="86"/>
        <v>0</v>
      </c>
      <c r="G311" s="722">
        <f>(Unitflowchart!$S$336/Unitflowchart!$S$357)*RoadTransportEthanolStage3!Q46*Unitflowchart!$S$345</f>
        <v>0</v>
      </c>
      <c r="H311" s="211">
        <f>(Unitflowchart!$S$336/Unitflowchart!$S$357)*RoadTransportEthanolStage3!V46*Unitflowchart!$S$345</f>
        <v>0</v>
      </c>
      <c r="I311" s="14">
        <f t="shared" si="87"/>
        <v>0</v>
      </c>
      <c r="J311" s="728">
        <f>(Unitflowchart!$S$336/Unitflowchart!$S$357)*RoadTransportEthanolStage3!W46*Unitflowchart!$S$345</f>
        <v>0</v>
      </c>
      <c r="K311" s="211">
        <f>(Unitflowchart!$S$336/Unitflowchart!$S$357)*RoadTransportEthanolStage3!AB46*Unitflowchart!$S$345</f>
        <v>0</v>
      </c>
      <c r="L311" s="14">
        <f t="shared" si="88"/>
        <v>0</v>
      </c>
      <c r="M311" s="212">
        <f>(Unitflowchart!$S$336/Unitflowchart!$S$357)*RoadTransportEthanolStage3!AC46*Unitflowchart!$S$345</f>
        <v>0</v>
      </c>
      <c r="N311" s="717">
        <f>E311+(GlobalWarmingPotentials!$B$11*H311)+(GlobalWarmingPotentials!$C$11*K311)</f>
        <v>0</v>
      </c>
      <c r="O311" s="214">
        <f>(N311/N$347)*100</f>
        <v>0</v>
      </c>
      <c r="P311" s="725">
        <f>SQRT((G311^2)+((GlobalWarmingPotentials!$B$11*J311)^2)+((GlobalWarmingPotentials!$C$11*M311)^2))</f>
        <v>0</v>
      </c>
      <c r="Q311" s="29"/>
    </row>
    <row r="312" spans="1:17" x14ac:dyDescent="0.25">
      <c r="B312" s="712"/>
      <c r="D312" s="718"/>
      <c r="E312" s="712"/>
      <c r="G312" s="718"/>
      <c r="H312" s="30"/>
      <c r="J312" s="708"/>
      <c r="K312" s="30"/>
      <c r="M312" s="708"/>
      <c r="N312" s="712"/>
      <c r="P312" s="718"/>
      <c r="Q312" s="29"/>
    </row>
    <row r="313" spans="1:17" x14ac:dyDescent="0.25">
      <c r="A313" s="384" t="s">
        <v>891</v>
      </c>
      <c r="B313" s="712"/>
      <c r="D313" s="718"/>
      <c r="E313" s="712"/>
      <c r="G313" s="718"/>
      <c r="H313" s="30"/>
      <c r="J313" s="708"/>
      <c r="K313" s="30"/>
      <c r="M313" s="708"/>
      <c r="N313" s="712"/>
      <c r="P313" s="718"/>
      <c r="Q313" s="29"/>
    </row>
    <row r="314" spans="1:17" x14ac:dyDescent="0.25">
      <c r="B314" s="712"/>
      <c r="D314" s="718"/>
      <c r="E314" s="712"/>
      <c r="G314" s="718"/>
      <c r="H314" s="30"/>
      <c r="J314" s="708"/>
      <c r="K314" s="30"/>
      <c r="M314" s="708"/>
      <c r="N314" s="712"/>
      <c r="P314" s="718"/>
      <c r="Q314" s="29"/>
    </row>
    <row r="315" spans="1:17" x14ac:dyDescent="0.25">
      <c r="A315" s="13" t="str">
        <f>RailTransport!A11</f>
        <v xml:space="preserve"> - Gas Oil</v>
      </c>
      <c r="B315" s="710">
        <f>(Unitflowchart!$S$336/Unitflowchart!$S$357)*RailTransport!J11*Unitflowchart!$S$347</f>
        <v>0</v>
      </c>
      <c r="C315" s="24">
        <f>(B315/B$347)*100</f>
        <v>0</v>
      </c>
      <c r="D315" s="726">
        <f>(Unitflowchart!$S$336/Unitflowchart!$S$357)*RailTransport!K11*Unitflowchart!$S$347</f>
        <v>0</v>
      </c>
      <c r="E315" s="710">
        <f>(Unitflowchart!$S$336/Unitflowchart!$S$357)*RailTransport!P11*Unitflowchart!$S$347</f>
        <v>0</v>
      </c>
      <c r="F315" s="24">
        <f>(E315/E$347)*100</f>
        <v>0</v>
      </c>
      <c r="G315" s="726">
        <f>(Unitflowchart!$S$336/Unitflowchart!$S$357)*RailTransport!Q11*Unitflowchart!$S$347</f>
        <v>0</v>
      </c>
      <c r="H315" s="707">
        <f>(Unitflowchart!$S$336/Unitflowchart!$S$357)*RailTransport!V11*Unitflowchart!$S$347</f>
        <v>0</v>
      </c>
      <c r="I315" s="24">
        <f>(H315/H$347)*100</f>
        <v>0</v>
      </c>
      <c r="J315" s="709">
        <f>(Unitflowchart!$S$336/Unitflowchart!$S$357)*RailTransport!W11*Unitflowchart!$S$347</f>
        <v>0</v>
      </c>
      <c r="K315" s="707">
        <f>(Unitflowchart!$S$336/Unitflowchart!$S$357)*RailTransport!AB11*Unitflowchart!$S$347</f>
        <v>0</v>
      </c>
      <c r="L315" s="24">
        <f>(K315/K$347)*100</f>
        <v>0</v>
      </c>
      <c r="M315" s="709">
        <f>(Unitflowchart!$S$336/Unitflowchart!$S$357)*RailTransport!AC11*Unitflowchart!$S$347</f>
        <v>0</v>
      </c>
      <c r="N315" s="710">
        <f>E315+(GlobalWarmingPotentials!$B$11*H315)+(GlobalWarmingPotentials!$C$11*K315)</f>
        <v>0</v>
      </c>
      <c r="O315" s="24">
        <f>(N315/N$347)*100</f>
        <v>0</v>
      </c>
      <c r="P315" s="726">
        <f>SQRT((G315^2)+((GlobalWarmingPotentials!$B$11*J315)^2)+((GlobalWarmingPotentials!$C$11*M315)^2))</f>
        <v>0</v>
      </c>
      <c r="Q315" s="29"/>
    </row>
    <row r="316" spans="1:17" x14ac:dyDescent="0.25">
      <c r="A316" s="13" t="str">
        <f>RailTransport!A12</f>
        <v xml:space="preserve"> - Capital Equipment</v>
      </c>
      <c r="B316" s="710">
        <f>(Unitflowchart!$S$336/Unitflowchart!$S$357)*RailTransport!J12*Unitflowchart!$S$347</f>
        <v>0</v>
      </c>
      <c r="C316" s="24">
        <f t="shared" ref="C316:C317" si="90">(B316/B$347)*100</f>
        <v>0</v>
      </c>
      <c r="D316" s="726">
        <f>(Unitflowchart!$S$336/Unitflowchart!$S$357)*RailTransport!K12*Unitflowchart!$S$347</f>
        <v>0</v>
      </c>
      <c r="E316" s="710">
        <f>(Unitflowchart!$S$336/Unitflowchart!$S$357)*RailTransport!P12*Unitflowchart!$S$347</f>
        <v>0</v>
      </c>
      <c r="F316" s="24">
        <f t="shared" ref="F316:F317" si="91">(E316/E$347)*100</f>
        <v>0</v>
      </c>
      <c r="G316" s="726">
        <f>(Unitflowchart!$S$336/Unitflowchart!$S$357)*RailTransport!Q12*Unitflowchart!$S$347</f>
        <v>0</v>
      </c>
      <c r="H316" s="707">
        <f>(Unitflowchart!$S$336/Unitflowchart!$S$357)*RailTransport!V12*Unitflowchart!$S$347</f>
        <v>0</v>
      </c>
      <c r="I316" s="24">
        <f t="shared" ref="I316:I317" si="92">(H316/H$347)*100</f>
        <v>0</v>
      </c>
      <c r="J316" s="709">
        <f>(Unitflowchart!$S$336/Unitflowchart!$S$357)*RailTransport!W12*Unitflowchart!$S$347</f>
        <v>0</v>
      </c>
      <c r="K316" s="707">
        <f>(Unitflowchart!$S$336/Unitflowchart!$S$357)*RailTransport!AB12*Unitflowchart!$S$347</f>
        <v>0</v>
      </c>
      <c r="L316" s="24">
        <f t="shared" ref="L316:L317" si="93">(K316/K$347)*100</f>
        <v>0</v>
      </c>
      <c r="M316" s="709">
        <f>(Unitflowchart!$S$336/Unitflowchart!$S$357)*RailTransport!AC12*Unitflowchart!$S$347</f>
        <v>0</v>
      </c>
      <c r="N316" s="710">
        <f>E316+(GlobalWarmingPotentials!$B$11*H316)+(GlobalWarmingPotentials!$C$11*K316)</f>
        <v>0</v>
      </c>
      <c r="O316" s="24">
        <f t="shared" ref="O316:O317" si="94">(N316/N$347)*100</f>
        <v>0</v>
      </c>
      <c r="P316" s="726">
        <f>SQRT((G316^2)+((GlobalWarmingPotentials!$B$11*J316)^2)+((GlobalWarmingPotentials!$C$11*M316)^2))</f>
        <v>0</v>
      </c>
      <c r="Q316" s="29"/>
    </row>
    <row r="317" spans="1:17" x14ac:dyDescent="0.25">
      <c r="A317" s="13" t="str">
        <f>RailTransport!A13</f>
        <v xml:space="preserve"> - Maintenance</v>
      </c>
      <c r="B317" s="710">
        <f>(Unitflowchart!$S$336/Unitflowchart!$S$357)*RailTransport!J13*Unitflowchart!$S$347</f>
        <v>0</v>
      </c>
      <c r="C317" s="24">
        <f t="shared" si="90"/>
        <v>0</v>
      </c>
      <c r="D317" s="726">
        <f>(Unitflowchart!$S$336/Unitflowchart!$S$357)*RailTransport!K13*Unitflowchart!$S$347</f>
        <v>0</v>
      </c>
      <c r="E317" s="710">
        <f>(Unitflowchart!$S$336/Unitflowchart!$S$357)*RailTransport!P13*Unitflowchart!$S$347</f>
        <v>0</v>
      </c>
      <c r="F317" s="24">
        <f t="shared" si="91"/>
        <v>0</v>
      </c>
      <c r="G317" s="726">
        <f>(Unitflowchart!$S$336/Unitflowchart!$S$357)*RailTransport!Q13*Unitflowchart!$S$347</f>
        <v>0</v>
      </c>
      <c r="H317" s="707">
        <f>(Unitflowchart!$S$336/Unitflowchart!$S$357)*RailTransport!V13*Unitflowchart!$S$347</f>
        <v>0</v>
      </c>
      <c r="I317" s="24">
        <f t="shared" si="92"/>
        <v>0</v>
      </c>
      <c r="J317" s="709">
        <f>(Unitflowchart!$S$336/Unitflowchart!$S$357)*RailTransport!W13*Unitflowchart!$S$347</f>
        <v>0</v>
      </c>
      <c r="K317" s="707">
        <f>(Unitflowchart!$S$336/Unitflowchart!$S$357)*RailTransport!AB13*Unitflowchart!$S$347</f>
        <v>0</v>
      </c>
      <c r="L317" s="24">
        <f t="shared" si="93"/>
        <v>0</v>
      </c>
      <c r="M317" s="709">
        <f>(Unitflowchart!$S$336/Unitflowchart!$S$357)*RailTransport!AC13*Unitflowchart!$S$347</f>
        <v>0</v>
      </c>
      <c r="N317" s="710">
        <f>E317+(GlobalWarmingPotentials!$B$11*H317)+(GlobalWarmingPotentials!$C$11*K317)</f>
        <v>0</v>
      </c>
      <c r="O317" s="24">
        <f t="shared" si="94"/>
        <v>0</v>
      </c>
      <c r="P317" s="726">
        <f>SQRT((G317^2)+((GlobalWarmingPotentials!$B$11*J317)^2)+((GlobalWarmingPotentials!$C$11*M317)^2))</f>
        <v>0</v>
      </c>
      <c r="Q317" s="29"/>
    </row>
    <row r="318" spans="1:17" x14ac:dyDescent="0.25">
      <c r="B318" s="712"/>
      <c r="C318" s="24"/>
      <c r="D318" s="718"/>
      <c r="E318" s="712"/>
      <c r="F318" s="24"/>
      <c r="G318" s="718"/>
      <c r="H318" s="30"/>
      <c r="I318" s="24"/>
      <c r="J318" s="708"/>
      <c r="K318" s="30"/>
      <c r="L318" s="24"/>
      <c r="M318" s="708"/>
      <c r="N318" s="712"/>
      <c r="O318" s="24"/>
      <c r="P318" s="718"/>
      <c r="Q318" s="29"/>
    </row>
    <row r="319" spans="1:17" x14ac:dyDescent="0.25">
      <c r="A319" s="214" t="s">
        <v>892</v>
      </c>
      <c r="B319" s="717">
        <f>(Unitflowchart!$S$336/Unitflowchart!$S$357)*RailTransport!J15*Unitflowchart!$S$347</f>
        <v>0</v>
      </c>
      <c r="C319" s="705">
        <f>(B319/B$347)*100</f>
        <v>0</v>
      </c>
      <c r="D319" s="727">
        <f>(Unitflowchart!$S$336/Unitflowchart!$S$357)*RailTransport!K15*Unitflowchart!$S$347</f>
        <v>0</v>
      </c>
      <c r="E319" s="717">
        <f>(Unitflowchart!$S$336/Unitflowchart!$S$357)*RailTransport!P15*Unitflowchart!$S$347</f>
        <v>0</v>
      </c>
      <c r="F319" s="705">
        <f>(E319/E$347)*100</f>
        <v>0</v>
      </c>
      <c r="G319" s="727">
        <f>(Unitflowchart!$S$336/Unitflowchart!$S$357)*RailTransport!Q15*Unitflowchart!$S$347</f>
        <v>0</v>
      </c>
      <c r="H319" s="706">
        <f>(Unitflowchart!$S$336/Unitflowchart!$S$357)*RailTransport!V15*Unitflowchart!$S$347</f>
        <v>0</v>
      </c>
      <c r="I319" s="705">
        <f>(H319/H$347)*100</f>
        <v>0</v>
      </c>
      <c r="J319" s="704">
        <f>(Unitflowchart!$S$336/Unitflowchart!$S$357)*RailTransport!W15*Unitflowchart!$S$347</f>
        <v>0</v>
      </c>
      <c r="K319" s="706">
        <f>(Unitflowchart!$S$336/Unitflowchart!$S$357)*RailTransport!AB15*Unitflowchart!$S$347</f>
        <v>0</v>
      </c>
      <c r="L319" s="705">
        <f>(K319/K$347)*100</f>
        <v>0</v>
      </c>
      <c r="M319" s="704">
        <f>(Unitflowchart!$S$336/Unitflowchart!$S$357)*RailTransport!AC15*Unitflowchart!$S$347</f>
        <v>0</v>
      </c>
      <c r="N319" s="717">
        <f>E319+(GlobalWarmingPotentials!$B$11*H319)+(GlobalWarmingPotentials!$C$11*K319)</f>
        <v>0</v>
      </c>
      <c r="O319" s="705">
        <f>(N319/N$347)*100</f>
        <v>0</v>
      </c>
      <c r="P319" s="725">
        <f>SQRT((G319^2)+((GlobalWarmingPotentials!$B$11*J319)^2)+((GlobalWarmingPotentials!$C$11*M319)^2))</f>
        <v>0</v>
      </c>
      <c r="Q319" s="29"/>
    </row>
    <row r="320" spans="1:17" x14ac:dyDescent="0.25">
      <c r="B320" s="712"/>
      <c r="D320" s="718"/>
      <c r="E320" s="712"/>
      <c r="G320" s="718"/>
      <c r="H320" s="30"/>
      <c r="J320" s="708"/>
      <c r="K320" s="30"/>
      <c r="M320" s="708"/>
      <c r="N320" s="712"/>
      <c r="P320" s="718"/>
      <c r="Q320" s="29"/>
    </row>
    <row r="321" spans="1:17" x14ac:dyDescent="0.25">
      <c r="A321" s="384" t="s">
        <v>894</v>
      </c>
      <c r="B321" s="712"/>
      <c r="D321" s="718"/>
      <c r="E321" s="712"/>
      <c r="G321" s="718"/>
      <c r="H321" s="30"/>
      <c r="J321" s="708"/>
      <c r="K321" s="30"/>
      <c r="M321" s="708"/>
      <c r="N321" s="712"/>
      <c r="P321" s="718"/>
      <c r="Q321" s="29"/>
    </row>
    <row r="322" spans="1:17" x14ac:dyDescent="0.25">
      <c r="B322" s="712"/>
      <c r="D322" s="718"/>
      <c r="E322" s="712"/>
      <c r="G322" s="718"/>
      <c r="H322" s="30"/>
      <c r="J322" s="708"/>
      <c r="K322" s="30"/>
      <c r="M322" s="708"/>
      <c r="N322" s="712"/>
      <c r="P322" s="718"/>
      <c r="Q322" s="29"/>
    </row>
    <row r="323" spans="1:17" x14ac:dyDescent="0.25">
      <c r="A323" s="13" t="str">
        <f>BargeTransport!A11</f>
        <v xml:space="preserve"> - Marine Diesel</v>
      </c>
      <c r="B323" s="710">
        <f>(Unitflowchart!$S$336/Unitflowchart!$S$357)*BargeTransport!J11*Unitflowchart!$S$349</f>
        <v>0</v>
      </c>
      <c r="C323" s="24">
        <f>(B323/B$347)*100</f>
        <v>0</v>
      </c>
      <c r="D323" s="726">
        <f>(Unitflowchart!$S$336/Unitflowchart!$S$357)*BargeTransport!K11*Unitflowchart!$S$349</f>
        <v>0</v>
      </c>
      <c r="E323" s="710">
        <f>(Unitflowchart!$S$336/Unitflowchart!$S$357)*BargeTransport!P11*Unitflowchart!$S$349</f>
        <v>0</v>
      </c>
      <c r="F323" s="24">
        <f>(E323/E$347)*100</f>
        <v>0</v>
      </c>
      <c r="G323" s="726">
        <f>(Unitflowchart!$S$336/Unitflowchart!$S$357)*BargeTransport!Q11*Unitflowchart!$S$349</f>
        <v>0</v>
      </c>
      <c r="H323" s="707">
        <f>(Unitflowchart!$S$336/Unitflowchart!$S$357)*BargeTransport!V11*Unitflowchart!$S$349</f>
        <v>0</v>
      </c>
      <c r="I323" s="24">
        <f>(H323/H$347)*100</f>
        <v>0</v>
      </c>
      <c r="J323" s="709">
        <f>(Unitflowchart!$S$336/Unitflowchart!$S$357)*BargeTransport!W11*Unitflowchart!$S$349</f>
        <v>0</v>
      </c>
      <c r="K323" s="707">
        <f>(Unitflowchart!$S$336/Unitflowchart!$S$357)*BargeTransport!AB11*Unitflowchart!$S$349</f>
        <v>0</v>
      </c>
      <c r="L323" s="24">
        <f>(K323/K$347)*100</f>
        <v>0</v>
      </c>
      <c r="M323" s="709">
        <f>(Unitflowchart!$S$336/Unitflowchart!$S$357)*BargeTransport!AC11*Unitflowchart!$S$349</f>
        <v>0</v>
      </c>
      <c r="N323" s="710">
        <f>E323+(GlobalWarmingPotentials!$B$11*H323)+(GlobalWarmingPotentials!$C$11*K323)</f>
        <v>0</v>
      </c>
      <c r="O323" s="24">
        <f>(N323/N$347)*100</f>
        <v>0</v>
      </c>
      <c r="P323" s="726">
        <f>SQRT((G323^2)+((GlobalWarmingPotentials!$B$11*J323)^2)+((GlobalWarmingPotentials!$C$11*M323)^2))</f>
        <v>0</v>
      </c>
      <c r="Q323" s="29"/>
    </row>
    <row r="324" spans="1:17" x14ac:dyDescent="0.25">
      <c r="A324" s="13" t="str">
        <f>BargeTransport!A12</f>
        <v xml:space="preserve"> - Barge Construction</v>
      </c>
      <c r="B324" s="710">
        <f>(Unitflowchart!$S$336/Unitflowchart!$S$357)*BargeTransport!J12*Unitflowchart!$S$349</f>
        <v>0</v>
      </c>
      <c r="C324" s="24">
        <f t="shared" ref="C324:C325" si="95">(B324/B$347)*100</f>
        <v>0</v>
      </c>
      <c r="D324" s="726">
        <f>(Unitflowchart!$S$336/Unitflowchart!$S$357)*BargeTransport!K12*Unitflowchart!$S$349</f>
        <v>0</v>
      </c>
      <c r="E324" s="710">
        <f>(Unitflowchart!$S$336/Unitflowchart!$S$357)*BargeTransport!P12*Unitflowchart!$S$349</f>
        <v>0</v>
      </c>
      <c r="F324" s="24">
        <f t="shared" ref="F324:F325" si="96">(E324/E$347)*100</f>
        <v>0</v>
      </c>
      <c r="G324" s="726">
        <f>(Unitflowchart!$S$336/Unitflowchart!$S$357)*BargeTransport!Q12*Unitflowchart!$S$349</f>
        <v>0</v>
      </c>
      <c r="H324" s="707">
        <f>(Unitflowchart!$S$336/Unitflowchart!$S$357)*BargeTransport!V12*Unitflowchart!$S$349</f>
        <v>0</v>
      </c>
      <c r="I324" s="24">
        <f t="shared" ref="I324:I325" si="97">(H324/H$347)*100</f>
        <v>0</v>
      </c>
      <c r="J324" s="709">
        <f>(Unitflowchart!$S$336/Unitflowchart!$S$357)*BargeTransport!W12*Unitflowchart!$S$349</f>
        <v>0</v>
      </c>
      <c r="K324" s="707">
        <f>(Unitflowchart!$S$336/Unitflowchart!$S$357)*BargeTransport!AB12*Unitflowchart!$S$349</f>
        <v>0</v>
      </c>
      <c r="L324" s="24">
        <f t="shared" ref="L324:L325" si="98">(K324/K$347)*100</f>
        <v>0</v>
      </c>
      <c r="M324" s="709">
        <f>(Unitflowchart!$S$336/Unitflowchart!$S$357)*BargeTransport!AC12*Unitflowchart!$S$349</f>
        <v>0</v>
      </c>
      <c r="N324" s="710">
        <f>E324+(GlobalWarmingPotentials!$B$11*H324)+(GlobalWarmingPotentials!$C$11*K324)</f>
        <v>0</v>
      </c>
      <c r="O324" s="24">
        <f t="shared" ref="O324:O325" si="99">(N324/N$347)*100</f>
        <v>0</v>
      </c>
      <c r="P324" s="726">
        <f>SQRT((G324^2)+((GlobalWarmingPotentials!$B$11*J324)^2)+((GlobalWarmingPotentials!$C$11*M324)^2))</f>
        <v>0</v>
      </c>
      <c r="Q324" s="29"/>
    </row>
    <row r="325" spans="1:17" x14ac:dyDescent="0.25">
      <c r="A325" s="13" t="str">
        <f>BargeTransport!A13</f>
        <v xml:space="preserve"> - Barge Maintenance</v>
      </c>
      <c r="B325" s="710">
        <f>(Unitflowchart!$S$336/Unitflowchart!$S$357)*BargeTransport!J13*Unitflowchart!$S$349</f>
        <v>0</v>
      </c>
      <c r="C325" s="24">
        <f t="shared" si="95"/>
        <v>0</v>
      </c>
      <c r="D325" s="726">
        <f>(Unitflowchart!$S$336/Unitflowchart!$S$357)*BargeTransport!K13*Unitflowchart!$S$349</f>
        <v>0</v>
      </c>
      <c r="E325" s="710">
        <f>(Unitflowchart!$S$336/Unitflowchart!$S$357)*BargeTransport!P13*Unitflowchart!$S$349</f>
        <v>0</v>
      </c>
      <c r="F325" s="24">
        <f t="shared" si="96"/>
        <v>0</v>
      </c>
      <c r="G325" s="726">
        <f>(Unitflowchart!$S$336/Unitflowchart!$S$357)*BargeTransport!Q13*Unitflowchart!$S$349</f>
        <v>0</v>
      </c>
      <c r="H325" s="707">
        <f>(Unitflowchart!$S$336/Unitflowchart!$S$357)*BargeTransport!V13*Unitflowchart!$S$349</f>
        <v>0</v>
      </c>
      <c r="I325" s="24">
        <f t="shared" si="97"/>
        <v>0</v>
      </c>
      <c r="J325" s="709">
        <f>(Unitflowchart!$S$336/Unitflowchart!$S$357)*BargeTransport!W13*Unitflowchart!$S$349</f>
        <v>0</v>
      </c>
      <c r="K325" s="707">
        <f>(Unitflowchart!$S$336/Unitflowchart!$S$357)*BargeTransport!AB13*Unitflowchart!$S$349</f>
        <v>0</v>
      </c>
      <c r="L325" s="24">
        <f t="shared" si="98"/>
        <v>0</v>
      </c>
      <c r="M325" s="709">
        <f>(Unitflowchart!$S$336/Unitflowchart!$S$357)*BargeTransport!AC13*Unitflowchart!$S$349</f>
        <v>0</v>
      </c>
      <c r="N325" s="710">
        <f>E325+(GlobalWarmingPotentials!$B$11*H325)+(GlobalWarmingPotentials!$C$11*K325)</f>
        <v>0</v>
      </c>
      <c r="O325" s="24">
        <f t="shared" si="99"/>
        <v>0</v>
      </c>
      <c r="P325" s="726">
        <f>SQRT((G325^2)+((GlobalWarmingPotentials!$B$11*J325)^2)+((GlobalWarmingPotentials!$C$11*M325)^2))</f>
        <v>0</v>
      </c>
      <c r="Q325" s="29"/>
    </row>
    <row r="326" spans="1:17" x14ac:dyDescent="0.25">
      <c r="B326" s="712"/>
      <c r="D326" s="718"/>
      <c r="E326" s="712"/>
      <c r="G326" s="718"/>
      <c r="H326" s="30"/>
      <c r="J326" s="708"/>
      <c r="K326" s="30"/>
      <c r="M326" s="708"/>
      <c r="N326" s="712"/>
      <c r="P326" s="718"/>
      <c r="Q326" s="29"/>
    </row>
    <row r="327" spans="1:17" x14ac:dyDescent="0.25">
      <c r="A327" s="214" t="s">
        <v>895</v>
      </c>
      <c r="B327" s="717">
        <f>(Unitflowchart!$S$336/Unitflowchart!$S$357)*BargeTransport!J15*Unitflowchart!$S$349</f>
        <v>0</v>
      </c>
      <c r="C327" s="705">
        <f>(B327/B$347)*100</f>
        <v>0</v>
      </c>
      <c r="D327" s="727">
        <f>(Unitflowchart!$S$336/Unitflowchart!$S$357)*BargeTransport!K15*Unitflowchart!$S$349</f>
        <v>0</v>
      </c>
      <c r="E327" s="717">
        <f>(Unitflowchart!$S$336/Unitflowchart!$S$357)*BargeTransport!P15*Unitflowchart!$S$349</f>
        <v>0</v>
      </c>
      <c r="F327" s="705">
        <f>(E327/E$347)*100</f>
        <v>0</v>
      </c>
      <c r="G327" s="727">
        <f>(Unitflowchart!$S$336/Unitflowchart!$S$357)*BargeTransport!Q15*Unitflowchart!$S$349</f>
        <v>0</v>
      </c>
      <c r="H327" s="706">
        <f>(Unitflowchart!$S$336/Unitflowchart!$S$357)*BargeTransport!V15*Unitflowchart!$S$349</f>
        <v>0</v>
      </c>
      <c r="I327" s="705">
        <f>(H327/H$347)*100</f>
        <v>0</v>
      </c>
      <c r="J327" s="704">
        <f>(Unitflowchart!$S$336/Unitflowchart!$S$357)*BargeTransport!W15*Unitflowchart!$S$349</f>
        <v>0</v>
      </c>
      <c r="K327" s="706">
        <f>(Unitflowchart!$S$336/Unitflowchart!$S$357)*BargeTransport!AB15*Unitflowchart!$S$349</f>
        <v>0</v>
      </c>
      <c r="L327" s="705">
        <f>(K327/K$347)*100</f>
        <v>0</v>
      </c>
      <c r="M327" s="704">
        <f>(Unitflowchart!$S$336/Unitflowchart!$S$357)*BargeTransport!AC15*Unitflowchart!$S$349</f>
        <v>0</v>
      </c>
      <c r="N327" s="717">
        <f>E327+(GlobalWarmingPotentials!$B$11*H327)+(GlobalWarmingPotentials!$C$11*K327)</f>
        <v>0</v>
      </c>
      <c r="O327" s="705">
        <f>(N327/N$347)*100</f>
        <v>0</v>
      </c>
      <c r="P327" s="725">
        <f>SQRT((G327^2)+((GlobalWarmingPotentials!$B$11*J327)^2)+((GlobalWarmingPotentials!$C$11*M327)^2))</f>
        <v>0</v>
      </c>
      <c r="Q327" s="29"/>
    </row>
    <row r="328" spans="1:17" x14ac:dyDescent="0.25">
      <c r="B328" s="712"/>
      <c r="D328" s="718"/>
      <c r="E328" s="712"/>
      <c r="G328" s="718"/>
      <c r="H328" s="30"/>
      <c r="J328" s="708"/>
      <c r="K328" s="30"/>
      <c r="M328" s="708"/>
      <c r="N328" s="712"/>
      <c r="P328" s="718"/>
      <c r="Q328" s="29"/>
    </row>
    <row r="329" spans="1:17" x14ac:dyDescent="0.25">
      <c r="A329" s="384" t="s">
        <v>896</v>
      </c>
      <c r="B329" s="712"/>
      <c r="D329" s="718"/>
      <c r="E329" s="712"/>
      <c r="G329" s="718"/>
      <c r="H329" s="30"/>
      <c r="J329" s="708"/>
      <c r="K329" s="30"/>
      <c r="M329" s="708"/>
      <c r="N329" s="712"/>
      <c r="P329" s="718"/>
      <c r="Q329" s="29"/>
    </row>
    <row r="330" spans="1:17" x14ac:dyDescent="0.25">
      <c r="B330" s="712"/>
      <c r="D330" s="718"/>
      <c r="E330" s="712"/>
      <c r="G330" s="718"/>
      <c r="H330" s="30"/>
      <c r="J330" s="708"/>
      <c r="K330" s="30"/>
      <c r="M330" s="708"/>
      <c r="N330" s="712"/>
      <c r="P330" s="718"/>
      <c r="Q330" s="29"/>
    </row>
    <row r="331" spans="1:17" x14ac:dyDescent="0.25">
      <c r="A331" s="13" t="str">
        <f>ShipTransport!A11</f>
        <v xml:space="preserve"> - Marine Diesel</v>
      </c>
      <c r="B331" s="710">
        <f>(Unitflowchart!$S$336/Unitflowchart!$S$357)*ShipTransport!J11*Unitflowchart!$S$351</f>
        <v>0</v>
      </c>
      <c r="C331" s="24">
        <f>(B331/B$347)*100</f>
        <v>0</v>
      </c>
      <c r="D331" s="726">
        <f>(Unitflowchart!$S$336/Unitflowchart!$S$357)*ShipTransport!K11*Unitflowchart!$S$351</f>
        <v>0</v>
      </c>
      <c r="E331" s="710">
        <f>(Unitflowchart!$S$336/Unitflowchart!$S$357)*ShipTransport!P11*Unitflowchart!$S$351</f>
        <v>0</v>
      </c>
      <c r="F331" s="24">
        <f>(E331/E$347)*100</f>
        <v>0</v>
      </c>
      <c r="G331" s="726">
        <f>(Unitflowchart!$S$336/Unitflowchart!$S$357)*ShipTransport!Q11*Unitflowchart!$S$351</f>
        <v>0</v>
      </c>
      <c r="H331" s="707">
        <f>(Unitflowchart!$S$336/Unitflowchart!$S$357)*ShipTransport!V11*Unitflowchart!$S$351</f>
        <v>0</v>
      </c>
      <c r="I331" s="24">
        <f>(H331/H$347)*100</f>
        <v>0</v>
      </c>
      <c r="J331" s="709">
        <f>(Unitflowchart!$S$336/Unitflowchart!$S$357)*ShipTransport!W11*Unitflowchart!$S$351</f>
        <v>0</v>
      </c>
      <c r="K331" s="707">
        <f>(Unitflowchart!$S$336/Unitflowchart!$S$357)*ShipTransport!AB11*Unitflowchart!$S$351</f>
        <v>0</v>
      </c>
      <c r="L331" s="24">
        <f>(K331/K$347)*100</f>
        <v>0</v>
      </c>
      <c r="M331" s="709">
        <f>(Unitflowchart!$S$336/Unitflowchart!$S$357)*ShipTransport!AC11*Unitflowchart!$S$351</f>
        <v>0</v>
      </c>
      <c r="N331" s="710">
        <f>E331+(GlobalWarmingPotentials!$B$11*H331)+(GlobalWarmingPotentials!$C$11*K331)</f>
        <v>0</v>
      </c>
      <c r="O331" s="24">
        <f>(N331/N$347)*100</f>
        <v>0</v>
      </c>
      <c r="P331" s="726">
        <f>SQRT((G331^2)+((GlobalWarmingPotentials!$B$11*J331)^2)+((GlobalWarmingPotentials!$C$11*M331)^2))</f>
        <v>0</v>
      </c>
      <c r="Q331" s="29"/>
    </row>
    <row r="332" spans="1:17" x14ac:dyDescent="0.25">
      <c r="A332" s="13" t="str">
        <f>ShipTransport!A12</f>
        <v xml:space="preserve"> - Ship Construction</v>
      </c>
      <c r="B332" s="710">
        <f>(Unitflowchart!$S$336/Unitflowchart!$S$357)*ShipTransport!J12*Unitflowchart!$S$351</f>
        <v>0</v>
      </c>
      <c r="C332" s="24">
        <f t="shared" ref="C332:C333" si="100">(B332/B$347)*100</f>
        <v>0</v>
      </c>
      <c r="D332" s="726">
        <f>(Unitflowchart!$S$336/Unitflowchart!$S$357)*ShipTransport!K12*Unitflowchart!$S$351</f>
        <v>0</v>
      </c>
      <c r="E332" s="710">
        <f>(Unitflowchart!$S$336/Unitflowchart!$S$357)*ShipTransport!P12*Unitflowchart!$S$351</f>
        <v>0</v>
      </c>
      <c r="F332" s="24">
        <f t="shared" ref="F332:F333" si="101">(E332/E$347)*100</f>
        <v>0</v>
      </c>
      <c r="G332" s="726">
        <f>(Unitflowchart!$S$336/Unitflowchart!$S$357)*ShipTransport!Q12*Unitflowchart!$S$351</f>
        <v>0</v>
      </c>
      <c r="H332" s="707">
        <f>(Unitflowchart!$S$336/Unitflowchart!$S$357)*ShipTransport!V12*Unitflowchart!$S$351</f>
        <v>0</v>
      </c>
      <c r="I332" s="24">
        <f t="shared" ref="I332:I333" si="102">(H332/H$347)*100</f>
        <v>0</v>
      </c>
      <c r="J332" s="709">
        <f>(Unitflowchart!$S$336/Unitflowchart!$S$357)*ShipTransport!W12*Unitflowchart!$S$351</f>
        <v>0</v>
      </c>
      <c r="K332" s="707">
        <f>(Unitflowchart!$S$336/Unitflowchart!$S$357)*ShipTransport!AB12*Unitflowchart!$S$351</f>
        <v>0</v>
      </c>
      <c r="L332" s="24">
        <f t="shared" ref="L332:L333" si="103">(K332/K$347)*100</f>
        <v>0</v>
      </c>
      <c r="M332" s="709">
        <f>(Unitflowchart!$S$336/Unitflowchart!$S$357)*ShipTransport!AC12*Unitflowchart!$S$351</f>
        <v>0</v>
      </c>
      <c r="N332" s="710">
        <f>E332+(GlobalWarmingPotentials!$B$11*H332)+(GlobalWarmingPotentials!$C$11*K332)</f>
        <v>0</v>
      </c>
      <c r="O332" s="24">
        <f t="shared" ref="O332:O333" si="104">(N332/N$347)*100</f>
        <v>0</v>
      </c>
      <c r="P332" s="726">
        <f>SQRT((G332^2)+((GlobalWarmingPotentials!$B$11*J332)^2)+((GlobalWarmingPotentials!$C$11*M332)^2))</f>
        <v>0</v>
      </c>
      <c r="Q332" s="29"/>
    </row>
    <row r="333" spans="1:17" x14ac:dyDescent="0.25">
      <c r="A333" s="13" t="str">
        <f>ShipTransport!A13</f>
        <v xml:space="preserve"> - Ship Maintenance</v>
      </c>
      <c r="B333" s="710">
        <f>(Unitflowchart!$S$336/Unitflowchart!$S$357)*ShipTransport!J13*Unitflowchart!$S$351</f>
        <v>0</v>
      </c>
      <c r="C333" s="24">
        <f t="shared" si="100"/>
        <v>0</v>
      </c>
      <c r="D333" s="726">
        <f>(Unitflowchart!$S$336/Unitflowchart!$S$357)*ShipTransport!K13*Unitflowchart!$S$351</f>
        <v>0</v>
      </c>
      <c r="E333" s="710">
        <f>(Unitflowchart!$S$336/Unitflowchart!$S$357)*ShipTransport!P13*Unitflowchart!$S$351</f>
        <v>0</v>
      </c>
      <c r="F333" s="24">
        <f t="shared" si="101"/>
        <v>0</v>
      </c>
      <c r="G333" s="726">
        <f>(Unitflowchart!$S$336/Unitflowchart!$S$357)*ShipTransport!Q13*Unitflowchart!$S$351</f>
        <v>0</v>
      </c>
      <c r="H333" s="707">
        <f>(Unitflowchart!$S$336/Unitflowchart!$S$357)*ShipTransport!V13*Unitflowchart!$S$351</f>
        <v>0</v>
      </c>
      <c r="I333" s="24">
        <f t="shared" si="102"/>
        <v>0</v>
      </c>
      <c r="J333" s="709">
        <f>(Unitflowchart!$S$336/Unitflowchart!$S$357)*ShipTransport!W13*Unitflowchart!$S$351</f>
        <v>0</v>
      </c>
      <c r="K333" s="707">
        <f>(Unitflowchart!$S$336/Unitflowchart!$S$357)*ShipTransport!AB13*Unitflowchart!$S$351</f>
        <v>0</v>
      </c>
      <c r="L333" s="24">
        <f t="shared" si="103"/>
        <v>0</v>
      </c>
      <c r="M333" s="709">
        <f>(Unitflowchart!$S$336/Unitflowchart!$S$357)*ShipTransport!AC13*Unitflowchart!$S$351</f>
        <v>0</v>
      </c>
      <c r="N333" s="710">
        <f>E333+(GlobalWarmingPotentials!$B$11*H333)+(GlobalWarmingPotentials!$C$11*K333)</f>
        <v>0</v>
      </c>
      <c r="O333" s="24">
        <f t="shared" si="104"/>
        <v>0</v>
      </c>
      <c r="P333" s="726">
        <f>SQRT((G333^2)+((GlobalWarmingPotentials!$B$11*J333)^2)+((GlobalWarmingPotentials!$C$11*M333)^2))</f>
        <v>0</v>
      </c>
      <c r="Q333" s="29"/>
    </row>
    <row r="334" spans="1:17" x14ac:dyDescent="0.25">
      <c r="B334" s="712"/>
      <c r="C334" s="24"/>
      <c r="D334" s="718"/>
      <c r="E334" s="712"/>
      <c r="F334" s="24"/>
      <c r="G334" s="718"/>
      <c r="H334" s="30"/>
      <c r="I334" s="24"/>
      <c r="J334" s="708"/>
      <c r="K334" s="30"/>
      <c r="L334" s="24"/>
      <c r="M334" s="708"/>
      <c r="N334" s="712"/>
      <c r="O334" s="24"/>
      <c r="P334" s="718"/>
      <c r="Q334" s="29"/>
    </row>
    <row r="335" spans="1:17" x14ac:dyDescent="0.25">
      <c r="A335" s="214" t="s">
        <v>897</v>
      </c>
      <c r="B335" s="717">
        <f>(Unitflowchart!$S$336/Unitflowchart!$S$357)*ShipTransport!J15*Unitflowchart!$S$351</f>
        <v>0</v>
      </c>
      <c r="C335" s="705">
        <f>(B335/B$347)*100</f>
        <v>0</v>
      </c>
      <c r="D335" s="727">
        <f>(Unitflowchart!$S$336/Unitflowchart!$S$357)*ShipTransport!K15*Unitflowchart!$S$351</f>
        <v>0</v>
      </c>
      <c r="E335" s="717">
        <f>(Unitflowchart!$S$336/Unitflowchart!$S$357)*ShipTransport!P15*Unitflowchart!$S$351</f>
        <v>0</v>
      </c>
      <c r="F335" s="705">
        <f>(E335/E$347)*100</f>
        <v>0</v>
      </c>
      <c r="G335" s="727">
        <f>(Unitflowchart!$S$336/Unitflowchart!$S$357)*ShipTransport!Q15*Unitflowchart!$S$351</f>
        <v>0</v>
      </c>
      <c r="H335" s="706">
        <f>(Unitflowchart!$S$336/Unitflowchart!$S$357)*ShipTransport!V15*Unitflowchart!$S$351</f>
        <v>0</v>
      </c>
      <c r="I335" s="705">
        <f>(H335/H$347)*100</f>
        <v>0</v>
      </c>
      <c r="J335" s="704">
        <f>(Unitflowchart!$S$336/Unitflowchart!$S$357)*ShipTransport!W15*Unitflowchart!$S$351</f>
        <v>0</v>
      </c>
      <c r="K335" s="706">
        <f>(Unitflowchart!$S$336/Unitflowchart!$S$357)*ShipTransport!AB15*Unitflowchart!$S$351</f>
        <v>0</v>
      </c>
      <c r="L335" s="705">
        <f>(K335/K$347)*100</f>
        <v>0</v>
      </c>
      <c r="M335" s="704">
        <f>(Unitflowchart!$S$336/Unitflowchart!$S$357)*ShipTransport!AC15*Unitflowchart!$S$351</f>
        <v>0</v>
      </c>
      <c r="N335" s="717">
        <f>E335+(GlobalWarmingPotentials!$B$11*H335)+(GlobalWarmingPotentials!$C$11*K335)</f>
        <v>0</v>
      </c>
      <c r="O335" s="705">
        <f>(N335/N$347)*100</f>
        <v>0</v>
      </c>
      <c r="P335" s="725">
        <f>SQRT((G335^2)+((GlobalWarmingPotentials!$B$11*J335)^2)+((GlobalWarmingPotentials!$C$11*M335)^2))</f>
        <v>0</v>
      </c>
      <c r="Q335" s="29"/>
    </row>
    <row r="336" spans="1:17" x14ac:dyDescent="0.25">
      <c r="A336" s="22"/>
      <c r="B336" s="712"/>
      <c r="D336" s="718"/>
      <c r="E336" s="712"/>
      <c r="G336" s="718"/>
      <c r="H336" s="30"/>
      <c r="J336" s="708"/>
      <c r="K336" s="30"/>
      <c r="M336" s="708"/>
      <c r="N336" s="712"/>
      <c r="P336" s="718"/>
      <c r="Q336" s="29"/>
    </row>
    <row r="337" spans="1:17" x14ac:dyDescent="0.25">
      <c r="A337" s="214" t="s">
        <v>886</v>
      </c>
      <c r="B337" s="717">
        <f>B311+B319+B327+B335</f>
        <v>0</v>
      </c>
      <c r="C337" s="705">
        <f>(B337/B$347)*100</f>
        <v>0</v>
      </c>
      <c r="D337" s="727">
        <f>SQRT((D311^2)+(D319^2)+(D327^2)+(D335^2))</f>
        <v>0</v>
      </c>
      <c r="E337" s="717">
        <f t="shared" ref="E337" si="105">E311+E319+E327+E335</f>
        <v>0</v>
      </c>
      <c r="F337" s="705">
        <f t="shared" ref="F337" si="106">(E337/E$347)*100</f>
        <v>0</v>
      </c>
      <c r="G337" s="727">
        <f t="shared" ref="G337" si="107">SQRT((G311^2)+(G319^2)+(G327^2)+(G335^2))</f>
        <v>0</v>
      </c>
      <c r="H337" s="706">
        <f t="shared" ref="H337" si="108">H311+H319+H327+H335</f>
        <v>0</v>
      </c>
      <c r="I337" s="705">
        <f t="shared" ref="I337" si="109">(H337/H$347)*100</f>
        <v>0</v>
      </c>
      <c r="J337" s="704">
        <f t="shared" ref="J337" si="110">SQRT((J311^2)+(J319^2)+(J327^2)+(J335^2))</f>
        <v>0</v>
      </c>
      <c r="K337" s="706">
        <f t="shared" ref="K337" si="111">K311+K319+K327+K335</f>
        <v>0</v>
      </c>
      <c r="L337" s="705">
        <f t="shared" ref="L337" si="112">(K337/K$347)*100</f>
        <v>0</v>
      </c>
      <c r="M337" s="704">
        <f t="shared" ref="M337" si="113">SQRT((M311^2)+(M319^2)+(M327^2)+(M335^2))</f>
        <v>0</v>
      </c>
      <c r="N337" s="717">
        <f t="shared" ref="N337" si="114">N311+N319+N327+N335</f>
        <v>0</v>
      </c>
      <c r="O337" s="705">
        <f t="shared" ref="O337" si="115">(N337/N$347)*100</f>
        <v>0</v>
      </c>
      <c r="P337" s="725">
        <f t="shared" ref="P337" si="116">SQRT((P311^2)+(P319^2)+(P327^2)+(P335^2))</f>
        <v>0</v>
      </c>
      <c r="Q337" s="29"/>
    </row>
    <row r="338" spans="1:17" x14ac:dyDescent="0.25">
      <c r="B338" s="712"/>
      <c r="D338" s="718"/>
      <c r="E338" s="712"/>
      <c r="G338" s="718"/>
      <c r="H338" s="30"/>
      <c r="J338" s="708"/>
      <c r="K338" s="30"/>
      <c r="M338" s="708"/>
      <c r="N338" s="712"/>
      <c r="P338" s="718"/>
      <c r="Q338" s="29"/>
    </row>
    <row r="339" spans="1:17" x14ac:dyDescent="0.25">
      <c r="A339" s="384" t="s">
        <v>854</v>
      </c>
      <c r="B339" s="712"/>
      <c r="D339" s="718"/>
      <c r="E339" s="712"/>
      <c r="G339" s="718"/>
      <c r="H339" s="30"/>
      <c r="J339" s="708"/>
      <c r="K339" s="30"/>
      <c r="M339" s="708"/>
      <c r="N339" s="712"/>
      <c r="P339" s="718"/>
      <c r="Q339" s="29"/>
    </row>
    <row r="340" spans="1:17" x14ac:dyDescent="0.25">
      <c r="B340" s="712"/>
      <c r="D340" s="718"/>
      <c r="E340" s="712"/>
      <c r="G340" s="718"/>
      <c r="H340" s="30"/>
      <c r="J340" s="708"/>
      <c r="K340" s="30"/>
      <c r="M340" s="708"/>
      <c r="N340" s="712"/>
      <c r="P340" s="718"/>
      <c r="Q340" s="29"/>
    </row>
    <row r="341" spans="1:17" x14ac:dyDescent="0.25">
      <c r="A341" t="str">
        <f>Biorefinery!A16</f>
        <v xml:space="preserve"> - Plant Construction</v>
      </c>
      <c r="B341" s="715">
        <f>Unitflowchart!$S$286*(AllocationMass!$F$41/100)/Unitflowchart!$S$357*(Biorefinery!J16)</f>
        <v>0</v>
      </c>
      <c r="C341" s="25">
        <f t="shared" ref="C341" si="117">(B341/B$347)*100</f>
        <v>0</v>
      </c>
      <c r="D341" s="355">
        <f>Unitflowchart!$S$286*(AllocationMass!$F$41/100)/Unitflowchart!$S$357*(Biorefinery!K16)</f>
        <v>0</v>
      </c>
      <c r="E341" s="715">
        <f>Unitflowchart!$S$286*(AllocationMass!$F$41/100)/Unitflowchart!$S$357*(Biorefinery!P16)</f>
        <v>0</v>
      </c>
      <c r="F341" s="25">
        <f t="shared" ref="F341" si="118">(E341/E$347)*100</f>
        <v>0</v>
      </c>
      <c r="G341" s="355">
        <f>Unitflowchart!$S$286*(AllocationMass!$F$41/100)/Unitflowchart!$S$357*(Biorefinery!Q16)</f>
        <v>0</v>
      </c>
      <c r="H341" s="730">
        <f>Unitflowchart!$S$286*(AllocationMass!$F$41/100)/Unitflowchart!$S$357*(Biorefinery!V16)</f>
        <v>0</v>
      </c>
      <c r="I341" s="25">
        <f t="shared" ref="I341" si="119">(H341/H$347)*100</f>
        <v>0</v>
      </c>
      <c r="J341" s="733">
        <f>Unitflowchart!$S$286*(AllocationMass!$F$41/100)/Unitflowchart!$S$357*(Biorefinery!W16)</f>
        <v>0</v>
      </c>
      <c r="K341" s="730">
        <f>Unitflowchart!$S$286*(AllocationMass!$F$41/100)/Unitflowchart!$S$357*(Biorefinery!AB16)</f>
        <v>0</v>
      </c>
      <c r="L341" s="25">
        <f t="shared" ref="L341" si="120">(K341/K$347)*100</f>
        <v>0</v>
      </c>
      <c r="M341" s="733">
        <f>Unitflowchart!$S$286*(AllocationMass!$F$41/100)/Unitflowchart!$S$357*(Biorefinery!AC16)</f>
        <v>0</v>
      </c>
      <c r="N341" s="711">
        <f>E341+(GlobalWarmingPotentials!$B$11*H341)+(GlobalWarmingPotentials!$C$11*K341)</f>
        <v>0</v>
      </c>
      <c r="O341" s="25">
        <f t="shared" ref="O341:O343" si="121">(N341/N$347)*100</f>
        <v>0</v>
      </c>
      <c r="P341" s="740">
        <f>SQRT((G341^2)+((GlobalWarmingPotentials!$B$11*J341)^2)+((GlobalWarmingPotentials!$C$11*M341)^2))</f>
        <v>0</v>
      </c>
      <c r="Q341" s="29"/>
    </row>
    <row r="342" spans="1:17" x14ac:dyDescent="0.25">
      <c r="A342" t="str">
        <f>Biorefinery!A17</f>
        <v xml:space="preserve"> - Plant Maintenance</v>
      </c>
      <c r="B342" s="715">
        <f>Unitflowchart!$S$286*(AllocationMass!$F$41/100)/Unitflowchart!$S$357*(Biorefinery!J17)</f>
        <v>0</v>
      </c>
      <c r="C342" s="25">
        <f t="shared" ref="C342:C343" si="122">(B342/B$347)*100</f>
        <v>0</v>
      </c>
      <c r="D342" s="355">
        <f>Unitflowchart!$S$286*(AllocationMass!$F$41/100)/Unitflowchart!$S$357*(Biorefinery!K17)</f>
        <v>0</v>
      </c>
      <c r="E342" s="715">
        <f>Unitflowchart!$S$286*(AllocationMass!$F$41/100)/Unitflowchart!$S$357*(Biorefinery!P17)</f>
        <v>0</v>
      </c>
      <c r="F342" s="25">
        <f t="shared" ref="F342:F343" si="123">(E342/E$347)*100</f>
        <v>0</v>
      </c>
      <c r="G342" s="355">
        <f>Unitflowchart!$S$286*(AllocationMass!$F$41/100)/Unitflowchart!$S$357*(Biorefinery!Q17)</f>
        <v>0</v>
      </c>
      <c r="H342" s="730">
        <f>Unitflowchart!$S$286*(AllocationMass!$F$41/100)/Unitflowchart!$S$357*(Biorefinery!V17)</f>
        <v>0</v>
      </c>
      <c r="I342" s="25">
        <f t="shared" ref="I342:I343" si="124">(H342/H$347)*100</f>
        <v>0</v>
      </c>
      <c r="J342" s="733">
        <f>Unitflowchart!$S$286*(AllocationMass!$F$41/100)/Unitflowchart!$S$357*(Biorefinery!W17)</f>
        <v>0</v>
      </c>
      <c r="K342" s="730">
        <f>Unitflowchart!$S$286*(AllocationMass!$F$41/100)/Unitflowchart!$S$357*(Biorefinery!AB17)</f>
        <v>0</v>
      </c>
      <c r="L342" s="25">
        <f t="shared" ref="L342:L343" si="125">(K342/K$347)*100</f>
        <v>0</v>
      </c>
      <c r="M342" s="733">
        <f>Unitflowchart!$S$286*(AllocationMass!$F$41/100)/Unitflowchart!$S$357*(Biorefinery!AC17)</f>
        <v>0</v>
      </c>
      <c r="N342" s="711">
        <f>E342+(GlobalWarmingPotentials!$B$11*H342)+(GlobalWarmingPotentials!$C$11*K342)</f>
        <v>0</v>
      </c>
      <c r="O342" s="25">
        <f t="shared" si="121"/>
        <v>0</v>
      </c>
      <c r="P342" s="740">
        <f>SQRT((G342^2)+((GlobalWarmingPotentials!$B$11*J342)^2)+((GlobalWarmingPotentials!$C$11*M342)^2))</f>
        <v>0</v>
      </c>
      <c r="Q342" s="29"/>
    </row>
    <row r="343" spans="1:17" x14ac:dyDescent="0.25">
      <c r="A343" t="str">
        <f>Biorefinery!A18</f>
        <v xml:space="preserve"> - Plant Decommissioning</v>
      </c>
      <c r="B343" s="715">
        <f>Unitflowchart!$S$286*(AllocationMass!$F$41/100)/Unitflowchart!$S$357*(Biorefinery!J18)</f>
        <v>0</v>
      </c>
      <c r="C343" s="25">
        <f t="shared" si="122"/>
        <v>0</v>
      </c>
      <c r="D343" s="355">
        <f>Unitflowchart!$S$286*(AllocationMass!$F$41/100)/Unitflowchart!$S$357*(Biorefinery!K18)</f>
        <v>0</v>
      </c>
      <c r="E343" s="715">
        <f>Unitflowchart!$S$286*(AllocationMass!$F$41/100)/Unitflowchart!$S$357*(Biorefinery!P18)</f>
        <v>0</v>
      </c>
      <c r="F343" s="25">
        <f t="shared" si="123"/>
        <v>0</v>
      </c>
      <c r="G343" s="355">
        <f>Unitflowchart!$S$286*(AllocationMass!$F$41/100)/Unitflowchart!$S$357*(Biorefinery!Q18)</f>
        <v>0</v>
      </c>
      <c r="H343" s="730">
        <f>Unitflowchart!$S$286*(AllocationMass!$F$41/100)/Unitflowchart!$S$357*(Biorefinery!V18)</f>
        <v>0</v>
      </c>
      <c r="I343" s="25">
        <f t="shared" si="124"/>
        <v>0</v>
      </c>
      <c r="J343" s="733">
        <f>Unitflowchart!$S$286*(AllocationMass!$F$41/100)/Unitflowchart!$S$357*(Biorefinery!W18)</f>
        <v>0</v>
      </c>
      <c r="K343" s="730">
        <f>Unitflowchart!$S$286*(AllocationMass!$F$41/100)/Unitflowchart!$S$357*(Biorefinery!AB18)</f>
        <v>0</v>
      </c>
      <c r="L343" s="25">
        <f t="shared" si="125"/>
        <v>0</v>
      </c>
      <c r="M343" s="733">
        <f>Unitflowchart!$S$286*(AllocationMass!$F$41/100)/Unitflowchart!$S$357*(Biorefinery!AC18)</f>
        <v>0</v>
      </c>
      <c r="N343" s="711">
        <f>E343+(GlobalWarmingPotentials!$B$11*H343)+(GlobalWarmingPotentials!$C$11*K343)</f>
        <v>0</v>
      </c>
      <c r="O343" s="25">
        <f t="shared" si="121"/>
        <v>0</v>
      </c>
      <c r="P343" s="740">
        <f>SQRT((G343^2)+((GlobalWarmingPotentials!$B$11*J343)^2)+((GlobalWarmingPotentials!$C$11*M343)^2))</f>
        <v>0</v>
      </c>
      <c r="Q343" s="29"/>
    </row>
    <row r="344" spans="1:17" x14ac:dyDescent="0.25">
      <c r="B344" s="712"/>
      <c r="C344" s="153"/>
      <c r="D344" s="718"/>
      <c r="E344" s="712"/>
      <c r="F344" s="153"/>
      <c r="G344" s="718"/>
      <c r="H344" s="30"/>
      <c r="I344" s="153"/>
      <c r="J344" s="708"/>
      <c r="K344" s="30"/>
      <c r="L344" s="153"/>
      <c r="M344" s="708"/>
      <c r="N344" s="712"/>
      <c r="O344" s="153"/>
      <c r="P344" s="718"/>
      <c r="Q344" s="29"/>
    </row>
    <row r="345" spans="1:17" x14ac:dyDescent="0.25">
      <c r="A345" s="214" t="s">
        <v>882</v>
      </c>
      <c r="B345" s="717">
        <f>Unitflowchart!$S$286*(AllocationMass!$F$41/100)/Unitflowchart!$S$357*(Biorefinery!J20)</f>
        <v>0</v>
      </c>
      <c r="C345" s="14">
        <f t="shared" ref="C345" si="126">(B345/B$347)*100</f>
        <v>0</v>
      </c>
      <c r="D345" s="722">
        <f>Unitflowchart!$S$286*(AllocationMass!$F$41/100)/Unitflowchart!$S$357*(Biorefinery!K20)</f>
        <v>0</v>
      </c>
      <c r="E345" s="714">
        <f>Unitflowchart!$S$286*(AllocationMass!$F$41/100)/Unitflowchart!$S$357*(Biorefinery!P20)</f>
        <v>0</v>
      </c>
      <c r="F345" s="14">
        <f t="shared" ref="F345" si="127">(E345/E$347)*100</f>
        <v>0</v>
      </c>
      <c r="G345" s="722">
        <f>Unitflowchart!$S$286*(AllocationMass!$F$41/100)/Unitflowchart!$S$357*(Biorefinery!Q20)</f>
        <v>0</v>
      </c>
      <c r="H345" s="211">
        <f>Unitflowchart!$S$286*(AllocationMass!$F$41/100)/Unitflowchart!$S$357*(Biorefinery!V20)</f>
        <v>0</v>
      </c>
      <c r="I345" s="14">
        <f t="shared" ref="I345" si="128">(H345/H$347)*100</f>
        <v>0</v>
      </c>
      <c r="J345" s="728">
        <f>Unitflowchart!$S$286*(AllocationMass!$F$41/100)/Unitflowchart!$S$357*(Biorefinery!W20)</f>
        <v>0</v>
      </c>
      <c r="K345" s="211">
        <f>Unitflowchart!$S$286*(AllocationMass!$F$41/100)/Unitflowchart!$S$357*(Biorefinery!AB20)</f>
        <v>0</v>
      </c>
      <c r="L345" s="14">
        <f t="shared" ref="L345" si="129">(K345/K$347)*100</f>
        <v>0</v>
      </c>
      <c r="M345" s="212">
        <f>Unitflowchart!$S$286*(AllocationMass!$F$41/100)/Unitflowchart!$S$357*(Biorefinery!AC20)</f>
        <v>0</v>
      </c>
      <c r="N345" s="714">
        <f>E345+(GlobalWarmingPotentials!$B$11*H345)+(GlobalWarmingPotentials!$C$11*K345)</f>
        <v>0</v>
      </c>
      <c r="O345" s="14">
        <f>(N345/N$347)*100</f>
        <v>0</v>
      </c>
      <c r="P345" s="741">
        <f>SQRT((G345^2)+((GlobalWarmingPotentials!$B$11*J345)^2)+((GlobalWarmingPotentials!$C$11*M345)^2))</f>
        <v>0</v>
      </c>
      <c r="Q345" s="29"/>
    </row>
    <row r="346" spans="1:17" x14ac:dyDescent="0.25">
      <c r="B346" s="712"/>
      <c r="D346" s="718"/>
      <c r="E346" s="712"/>
      <c r="G346" s="718"/>
      <c r="H346" s="30"/>
      <c r="J346" s="708"/>
      <c r="K346" s="731"/>
      <c r="M346" s="734"/>
      <c r="N346" s="718"/>
      <c r="P346" s="718"/>
      <c r="Q346" s="29"/>
    </row>
    <row r="347" spans="1:17" x14ac:dyDescent="0.25">
      <c r="A347" s="214" t="s">
        <v>417</v>
      </c>
      <c r="B347" s="717">
        <f>B104+B138+B172+B178+B195+B202+B209+B216+B223+B229+B235+B269+B303+B337+B345</f>
        <v>19029.924609561138</v>
      </c>
      <c r="C347" s="14">
        <f>(B347/B$347)*100</f>
        <v>100</v>
      </c>
      <c r="D347" s="727">
        <f>SQRT((D104^2)+(D138^2)+(D172^2)+(D178^2)+(D195^2)+(D202^2)+(D209^2)+(D216^2)+(D223^2)+(D229^2)+(D235^2)+(D269^2)+(D303^2)+(D337^2)+(D345^2))</f>
        <v>927.66717480673935</v>
      </c>
      <c r="E347" s="717">
        <f t="shared" ref="E347" si="130">E104+E138+E172+E178+E195+E202+E209+E216+E223+E229+E235+E269+E303+E337+E345</f>
        <v>1196.1892112040041</v>
      </c>
      <c r="F347" s="14">
        <f t="shared" ref="F347" si="131">(E347/E$347)*100</f>
        <v>100</v>
      </c>
      <c r="G347" s="727">
        <f t="shared" ref="G347" si="132">SQRT((G104^2)+(G138^2)+(G172^2)+(G178^2)+(G195^2)+(G202^2)+(G209^2)+(G216^2)+(G223^2)+(G229^2)+(G235^2)+(G269^2)+(G303^2)+(G337^2)+(G345^2))</f>
        <v>56.544037044773241</v>
      </c>
      <c r="H347" s="706">
        <f t="shared" ref="H347" si="133">H104+H138+H172+H178+H195+H202+H209+H216+H223+H229+H235+H269+H303+H337+H345</f>
        <v>1.7874889054815275</v>
      </c>
      <c r="I347" s="14">
        <f t="shared" ref="I347" si="134">(H347/H$347)*100</f>
        <v>100</v>
      </c>
      <c r="J347" s="704">
        <f t="shared" ref="J347" si="135">SQRT((J104^2)+(J138^2)+(J172^2)+(J178^2)+(J195^2)+(J202^2)+(J209^2)+(J216^2)+(J223^2)+(J229^2)+(J235^2)+(J269^2)+(J303^2)+(J337^2)+(J345^2))</f>
        <v>0.11344195657432668</v>
      </c>
      <c r="K347" s="706">
        <f t="shared" ref="K347" si="136">K104+K138+K172+K178+K195+K202+K209+K216+K223+K229+K235+K269+K303+K337+K345</f>
        <v>1.816510543023748</v>
      </c>
      <c r="L347" s="14">
        <f t="shared" ref="L347" si="137">(K347/K$347)*100</f>
        <v>100</v>
      </c>
      <c r="M347" s="704">
        <f t="shared" ref="M347" si="138">SQRT((M104^2)+(M138^2)+(M172^2)+(M178^2)+(M195^2)+(M202^2)+(M209^2)+(M216^2)+(M223^2)+(M229^2)+(M235^2)+(M269^2)+(M303^2)+(M337^2)+(M345^2))</f>
        <v>0.1393550548877141</v>
      </c>
      <c r="N347" s="717">
        <f t="shared" ref="N347" si="139">N104+N138+N172+N178+N195+N202+N209+N216+N223+N229+N235+N269+N303+N337+N345</f>
        <v>1774.988576765109</v>
      </c>
      <c r="O347" s="14">
        <f t="shared" ref="O347" si="140">(N347/N$347)*100</f>
        <v>100</v>
      </c>
      <c r="P347" s="727">
        <f t="shared" ref="P347" si="141">SQRT((P104^2)+(P138^2)+(P172^2)+(P178^2)+(P195^2)+(P202^2)+(P209^2)+(P216^2)+(P223^2)+(P229^2)+(P235^2)+(P269^2)+(P303^2)+(P337^2)+(P345^2))</f>
        <v>70.03944466155464</v>
      </c>
      <c r="Q347" s="29"/>
    </row>
    <row r="348" spans="1:17" x14ac:dyDescent="0.25">
      <c r="A348" s="352"/>
      <c r="B348" s="352"/>
      <c r="D348" s="352"/>
      <c r="E348" s="352"/>
      <c r="G348" s="352"/>
      <c r="H348" s="352"/>
      <c r="J348" s="352"/>
      <c r="K348" s="352"/>
      <c r="M348" s="352"/>
      <c r="N348" s="352"/>
      <c r="P348" s="352"/>
      <c r="Q348" s="23"/>
    </row>
    <row r="349" spans="1:17" x14ac:dyDescent="0.25">
      <c r="B349" s="23"/>
      <c r="E349" s="23"/>
      <c r="G349" s="23"/>
      <c r="H349" s="23"/>
      <c r="J349" s="23"/>
      <c r="K349" s="23"/>
      <c r="M349" s="23"/>
      <c r="N349" s="23"/>
      <c r="P349" s="23"/>
    </row>
    <row r="350" spans="1:17" x14ac:dyDescent="0.25">
      <c r="B350" s="23"/>
      <c r="E350" s="23"/>
      <c r="G350" s="23"/>
      <c r="H350" s="23"/>
      <c r="J350" s="23"/>
      <c r="K350" s="23"/>
      <c r="M350" s="23"/>
      <c r="N350" s="23"/>
      <c r="P350" s="23"/>
    </row>
    <row r="351" spans="1:17" x14ac:dyDescent="0.25">
      <c r="B351" s="23"/>
      <c r="E351" s="23"/>
      <c r="G351" s="23"/>
      <c r="H351" s="23"/>
      <c r="J351" s="23"/>
      <c r="K351" s="23"/>
      <c r="M351" s="23"/>
      <c r="N351" s="23"/>
      <c r="P351" s="23"/>
    </row>
    <row r="352" spans="1:17" x14ac:dyDescent="0.25">
      <c r="B352" s="23"/>
      <c r="E352" s="23"/>
      <c r="G352" s="23"/>
      <c r="H352" s="23"/>
      <c r="J352" s="23"/>
      <c r="K352" s="23"/>
      <c r="M352" s="23"/>
      <c r="N352" s="23"/>
      <c r="P352" s="23"/>
    </row>
    <row r="353" spans="2:16" x14ac:dyDescent="0.25">
      <c r="B353" s="23"/>
      <c r="E353" s="23"/>
      <c r="G353" s="23"/>
      <c r="H353" s="23"/>
      <c r="J353" s="23"/>
      <c r="K353" s="23"/>
      <c r="M353" s="23"/>
      <c r="N353" s="23"/>
      <c r="P353" s="23"/>
    </row>
    <row r="354" spans="2:16" x14ac:dyDescent="0.25">
      <c r="B354" s="23"/>
      <c r="E354" s="23"/>
      <c r="G354" s="23"/>
      <c r="H354" s="23"/>
      <c r="J354" s="23"/>
      <c r="K354" s="23"/>
      <c r="M354" s="23"/>
      <c r="N354" s="23"/>
      <c r="P354" s="23"/>
    </row>
    <row r="355" spans="2:16" x14ac:dyDescent="0.25">
      <c r="B355" s="23"/>
      <c r="E355" s="23"/>
      <c r="G355" s="23"/>
      <c r="H355" s="23"/>
      <c r="J355" s="23"/>
      <c r="K355" s="23"/>
      <c r="M355" s="23"/>
      <c r="N355" s="23"/>
      <c r="P355" s="23"/>
    </row>
    <row r="356" spans="2:16" x14ac:dyDescent="0.25">
      <c r="B356" s="23"/>
      <c r="E356" s="23"/>
      <c r="G356" s="23"/>
      <c r="H356" s="23"/>
      <c r="J356" s="23"/>
      <c r="K356" s="23"/>
      <c r="M356" s="23"/>
      <c r="N356" s="23"/>
      <c r="P356" s="23"/>
    </row>
    <row r="357" spans="2:16" x14ac:dyDescent="0.25">
      <c r="B357" s="23"/>
      <c r="E357" s="23"/>
      <c r="G357" s="23"/>
      <c r="H357" s="23"/>
      <c r="J357" s="23"/>
      <c r="K357" s="23"/>
      <c r="M357" s="23"/>
      <c r="N357" s="23"/>
      <c r="P357" s="23"/>
    </row>
    <row r="358" spans="2:16" x14ac:dyDescent="0.25">
      <c r="B358" s="23"/>
      <c r="E358" s="23"/>
      <c r="G358" s="23"/>
      <c r="H358" s="23"/>
      <c r="J358" s="23"/>
      <c r="K358" s="23"/>
      <c r="M358" s="23"/>
      <c r="N358" s="23"/>
      <c r="P358" s="23"/>
    </row>
    <row r="359" spans="2:16" x14ac:dyDescent="0.25">
      <c r="B359" s="23"/>
      <c r="E359" s="23"/>
      <c r="G359" s="23"/>
      <c r="H359" s="23"/>
      <c r="J359" s="23"/>
      <c r="K359" s="23"/>
      <c r="M359" s="23"/>
      <c r="N359" s="23"/>
      <c r="P359" s="23"/>
    </row>
    <row r="360" spans="2:16" x14ac:dyDescent="0.25">
      <c r="B360" s="23"/>
      <c r="E360" s="23"/>
      <c r="G360" s="23"/>
      <c r="H360" s="23"/>
      <c r="J360" s="23"/>
      <c r="K360" s="23"/>
      <c r="M360" s="23"/>
      <c r="N360" s="23"/>
      <c r="P360" s="23"/>
    </row>
    <row r="361" spans="2:16" x14ac:dyDescent="0.25">
      <c r="B361" s="23"/>
      <c r="E361" s="23"/>
      <c r="G361" s="23"/>
      <c r="H361" s="23"/>
      <c r="J361" s="23"/>
      <c r="K361" s="23"/>
      <c r="M361" s="23"/>
      <c r="N361" s="23"/>
      <c r="P361" s="23"/>
    </row>
    <row r="362" spans="2:16" x14ac:dyDescent="0.25">
      <c r="B362" s="23"/>
      <c r="E362" s="23"/>
      <c r="G362" s="23"/>
      <c r="H362" s="23"/>
      <c r="J362" s="23"/>
      <c r="K362" s="23"/>
      <c r="M362" s="23"/>
      <c r="N362" s="23"/>
      <c r="P362" s="23"/>
    </row>
    <row r="363" spans="2:16" x14ac:dyDescent="0.25">
      <c r="B363" s="23"/>
      <c r="E363" s="23"/>
      <c r="G363" s="23"/>
      <c r="H363" s="23"/>
      <c r="J363" s="23"/>
      <c r="K363" s="23"/>
      <c r="M363" s="23"/>
      <c r="N363" s="23"/>
      <c r="P363" s="23"/>
    </row>
    <row r="364" spans="2:16" x14ac:dyDescent="0.25">
      <c r="B364" s="23"/>
      <c r="E364" s="23"/>
      <c r="G364" s="23"/>
      <c r="H364" s="23"/>
      <c r="J364" s="23"/>
      <c r="K364" s="23"/>
      <c r="M364" s="23"/>
      <c r="N364" s="23"/>
      <c r="P364" s="23"/>
    </row>
    <row r="365" spans="2:16" x14ac:dyDescent="0.25">
      <c r="B365" s="23"/>
      <c r="E365" s="23"/>
      <c r="G365" s="23"/>
      <c r="H365" s="23"/>
      <c r="J365" s="23"/>
      <c r="K365" s="23"/>
      <c r="M365" s="23"/>
      <c r="N365" s="23"/>
      <c r="P365" s="23"/>
    </row>
    <row r="366" spans="2:16" x14ac:dyDescent="0.25">
      <c r="B366" s="23"/>
      <c r="E366" s="23"/>
      <c r="G366" s="23"/>
      <c r="H366" s="23"/>
      <c r="J366" s="23"/>
      <c r="K366" s="23"/>
      <c r="M366" s="23"/>
      <c r="N366" s="23"/>
      <c r="P366" s="23"/>
    </row>
    <row r="367" spans="2:16" x14ac:dyDescent="0.25">
      <c r="B367" s="23"/>
      <c r="E367" s="23"/>
      <c r="G367" s="23"/>
      <c r="H367" s="23"/>
      <c r="J367" s="23"/>
      <c r="K367" s="23"/>
      <c r="M367" s="23"/>
      <c r="N367" s="23"/>
      <c r="P367" s="23"/>
    </row>
    <row r="368" spans="2:16" x14ac:dyDescent="0.25">
      <c r="B368" s="23"/>
      <c r="E368" s="23"/>
      <c r="G368" s="23"/>
      <c r="H368" s="23"/>
      <c r="J368" s="23"/>
      <c r="K368" s="23"/>
      <c r="M368" s="23"/>
      <c r="N368" s="23"/>
      <c r="P368" s="23"/>
    </row>
    <row r="369" spans="2:16" x14ac:dyDescent="0.25">
      <c r="B369" s="23"/>
      <c r="E369" s="23"/>
      <c r="G369" s="23"/>
      <c r="H369" s="23"/>
      <c r="J369" s="23"/>
      <c r="K369" s="23"/>
      <c r="M369" s="23"/>
      <c r="N369" s="23"/>
      <c r="P369" s="23"/>
    </row>
    <row r="370" spans="2:16" x14ac:dyDescent="0.25">
      <c r="B370" s="23"/>
      <c r="E370" s="23"/>
      <c r="G370" s="23"/>
      <c r="H370" s="23"/>
      <c r="J370" s="23"/>
      <c r="K370" s="23"/>
      <c r="M370" s="23"/>
      <c r="N370" s="23"/>
      <c r="P370" s="23"/>
    </row>
    <row r="371" spans="2:16" x14ac:dyDescent="0.25">
      <c r="B371" s="23"/>
      <c r="E371" s="23"/>
      <c r="G371" s="23"/>
      <c r="H371" s="23"/>
      <c r="J371" s="23"/>
      <c r="K371" s="23"/>
      <c r="M371" s="23"/>
      <c r="N371" s="23"/>
      <c r="P371" s="23"/>
    </row>
    <row r="372" spans="2:16" x14ac:dyDescent="0.25">
      <c r="B372" s="23"/>
      <c r="E372" s="23"/>
      <c r="G372" s="23"/>
      <c r="H372" s="23"/>
      <c r="J372" s="23"/>
      <c r="K372" s="23"/>
      <c r="M372" s="23"/>
      <c r="N372" s="23"/>
      <c r="P372" s="23"/>
    </row>
    <row r="373" spans="2:16" x14ac:dyDescent="0.25">
      <c r="B373" s="23"/>
      <c r="E373" s="23"/>
      <c r="G373" s="23"/>
      <c r="H373" s="23"/>
      <c r="J373" s="23"/>
      <c r="K373" s="23"/>
      <c r="M373" s="23"/>
      <c r="N373" s="23"/>
      <c r="P373" s="23"/>
    </row>
    <row r="374" spans="2:16" x14ac:dyDescent="0.25">
      <c r="B374" s="23"/>
      <c r="E374" s="23"/>
      <c r="G374" s="23"/>
      <c r="H374" s="23"/>
      <c r="J374" s="23"/>
      <c r="K374" s="23"/>
      <c r="M374" s="23"/>
      <c r="N374" s="23"/>
      <c r="P374" s="23"/>
    </row>
    <row r="375" spans="2:16" x14ac:dyDescent="0.25">
      <c r="B375" s="23"/>
      <c r="E375" s="23"/>
      <c r="G375" s="23"/>
      <c r="H375" s="23"/>
      <c r="J375" s="23"/>
      <c r="K375" s="23"/>
      <c r="M375" s="23"/>
      <c r="N375" s="23"/>
      <c r="P375" s="23"/>
    </row>
    <row r="376" spans="2:16" x14ac:dyDescent="0.25">
      <c r="B376" s="23"/>
      <c r="E376" s="23"/>
      <c r="G376" s="23"/>
      <c r="H376" s="23"/>
      <c r="J376" s="23"/>
      <c r="K376" s="23"/>
      <c r="M376" s="23"/>
      <c r="N376" s="23"/>
      <c r="P376" s="23"/>
    </row>
    <row r="377" spans="2:16" x14ac:dyDescent="0.25">
      <c r="B377" s="23"/>
      <c r="E377" s="23"/>
      <c r="G377" s="23"/>
      <c r="H377" s="23"/>
      <c r="J377" s="23"/>
      <c r="K377" s="23"/>
      <c r="M377" s="23"/>
      <c r="N377" s="23"/>
      <c r="P377" s="23"/>
    </row>
    <row r="378" spans="2:16" x14ac:dyDescent="0.25">
      <c r="B378" s="23"/>
      <c r="E378" s="23"/>
      <c r="G378" s="23"/>
      <c r="H378" s="23"/>
      <c r="J378" s="23"/>
      <c r="K378" s="23"/>
      <c r="M378" s="23"/>
      <c r="N378" s="23"/>
      <c r="P378" s="23"/>
    </row>
    <row r="379" spans="2:16" x14ac:dyDescent="0.25">
      <c r="B379" s="23"/>
      <c r="E379" s="23"/>
      <c r="G379" s="23"/>
      <c r="H379" s="23"/>
      <c r="J379" s="23"/>
      <c r="K379" s="23"/>
      <c r="M379" s="23"/>
      <c r="N379" s="23"/>
      <c r="P379" s="23"/>
    </row>
    <row r="380" spans="2:16" x14ac:dyDescent="0.25">
      <c r="B380" s="23"/>
      <c r="E380" s="23"/>
      <c r="G380" s="23"/>
      <c r="H380" s="23"/>
      <c r="J380" s="23"/>
      <c r="K380" s="23"/>
      <c r="M380" s="23"/>
      <c r="N380" s="23"/>
      <c r="P380" s="23"/>
    </row>
    <row r="381" spans="2:16" x14ac:dyDescent="0.25">
      <c r="B381" s="23"/>
      <c r="E381" s="23"/>
      <c r="G381" s="23"/>
      <c r="H381" s="23"/>
      <c r="J381" s="23"/>
      <c r="K381" s="23"/>
      <c r="M381" s="23"/>
      <c r="N381" s="23"/>
      <c r="P381" s="23"/>
    </row>
    <row r="382" spans="2:16" x14ac:dyDescent="0.25">
      <c r="B382" s="23"/>
      <c r="E382" s="23"/>
      <c r="G382" s="23"/>
      <c r="H382" s="23"/>
      <c r="J382" s="23"/>
      <c r="K382" s="23"/>
      <c r="M382" s="23"/>
      <c r="N382" s="23"/>
      <c r="P382" s="23"/>
    </row>
    <row r="383" spans="2:16" x14ac:dyDescent="0.25">
      <c r="B383" s="23"/>
      <c r="E383" s="23"/>
      <c r="G383" s="23"/>
      <c r="H383" s="23"/>
      <c r="J383" s="23"/>
      <c r="K383" s="23"/>
      <c r="M383" s="23"/>
      <c r="N383" s="23"/>
      <c r="P383" s="23"/>
    </row>
    <row r="384" spans="2:16" x14ac:dyDescent="0.25">
      <c r="B384" s="23"/>
      <c r="E384" s="23"/>
      <c r="G384" s="23"/>
      <c r="H384" s="23"/>
      <c r="J384" s="23"/>
      <c r="K384" s="23"/>
      <c r="M384" s="23"/>
      <c r="N384" s="23"/>
      <c r="P384" s="23"/>
    </row>
    <row r="385" spans="2:16" x14ac:dyDescent="0.25">
      <c r="B385" s="23"/>
      <c r="E385" s="23"/>
      <c r="G385" s="23"/>
      <c r="H385" s="23"/>
      <c r="J385" s="23"/>
      <c r="K385" s="23"/>
      <c r="M385" s="23"/>
      <c r="N385" s="23"/>
      <c r="P385" s="23"/>
    </row>
    <row r="386" spans="2:16" x14ac:dyDescent="0.25">
      <c r="B386" s="23"/>
      <c r="E386" s="23"/>
      <c r="G386" s="23"/>
      <c r="H386" s="23"/>
      <c r="J386" s="23"/>
      <c r="K386" s="23"/>
      <c r="M386" s="23"/>
      <c r="N386" s="23"/>
      <c r="P386" s="23"/>
    </row>
    <row r="387" spans="2:16" x14ac:dyDescent="0.25">
      <c r="B387" s="23"/>
      <c r="E387" s="23"/>
      <c r="G387" s="23"/>
      <c r="H387" s="23"/>
      <c r="J387" s="23"/>
      <c r="K387" s="23"/>
      <c r="M387" s="23"/>
      <c r="N387" s="23"/>
      <c r="P387" s="23"/>
    </row>
    <row r="388" spans="2:16" x14ac:dyDescent="0.25">
      <c r="B388" s="23"/>
      <c r="E388" s="23"/>
      <c r="G388" s="23"/>
      <c r="H388" s="23"/>
      <c r="J388" s="23"/>
      <c r="K388" s="23"/>
      <c r="M388" s="23"/>
      <c r="N388" s="23"/>
      <c r="P388" s="23"/>
    </row>
    <row r="389" spans="2:16" x14ac:dyDescent="0.25">
      <c r="B389" s="23"/>
      <c r="E389" s="23"/>
      <c r="G389" s="23"/>
      <c r="H389" s="23"/>
      <c r="J389" s="23"/>
      <c r="K389" s="23"/>
      <c r="M389" s="23"/>
      <c r="N389" s="23"/>
      <c r="P389" s="23"/>
    </row>
    <row r="390" spans="2:16" x14ac:dyDescent="0.25">
      <c r="B390" s="23"/>
      <c r="E390" s="23"/>
      <c r="G390" s="23"/>
      <c r="H390" s="23"/>
      <c r="J390" s="23"/>
      <c r="K390" s="23"/>
      <c r="M390" s="23"/>
      <c r="N390" s="23"/>
      <c r="P390" s="23"/>
    </row>
    <row r="391" spans="2:16" x14ac:dyDescent="0.25">
      <c r="B391" s="23"/>
      <c r="E391" s="23"/>
      <c r="G391" s="23"/>
      <c r="H391" s="23"/>
      <c r="J391" s="23"/>
      <c r="K391" s="23"/>
      <c r="M391" s="23"/>
      <c r="N391" s="23"/>
      <c r="P391" s="23"/>
    </row>
    <row r="392" spans="2:16" x14ac:dyDescent="0.25">
      <c r="B392" s="23"/>
      <c r="E392" s="23"/>
      <c r="G392" s="23"/>
      <c r="H392" s="23"/>
      <c r="J392" s="23"/>
      <c r="K392" s="23"/>
      <c r="M392" s="23"/>
      <c r="N392" s="23"/>
      <c r="P392" s="23"/>
    </row>
    <row r="393" spans="2:16" x14ac:dyDescent="0.25">
      <c r="B393" s="23"/>
      <c r="E393" s="23"/>
      <c r="G393" s="23"/>
      <c r="H393" s="23"/>
      <c r="J393" s="23"/>
      <c r="K393" s="23"/>
      <c r="M393" s="23"/>
      <c r="N393" s="23"/>
      <c r="P393" s="23"/>
    </row>
    <row r="394" spans="2:16" x14ac:dyDescent="0.25">
      <c r="B394" s="23"/>
      <c r="E394" s="23"/>
      <c r="G394" s="23"/>
      <c r="H394" s="23"/>
      <c r="J394" s="23"/>
      <c r="K394" s="23"/>
      <c r="M394" s="23"/>
      <c r="N394" s="23"/>
      <c r="P394" s="23"/>
    </row>
    <row r="395" spans="2:16" x14ac:dyDescent="0.25">
      <c r="B395" s="23"/>
      <c r="E395" s="23"/>
      <c r="G395" s="23"/>
      <c r="H395" s="23"/>
      <c r="J395" s="23"/>
      <c r="K395" s="23"/>
      <c r="M395" s="23"/>
      <c r="N395" s="23"/>
      <c r="P395" s="23"/>
    </row>
    <row r="396" spans="2:16" x14ac:dyDescent="0.25">
      <c r="B396" s="23"/>
      <c r="E396" s="23"/>
      <c r="G396" s="23"/>
      <c r="H396" s="23"/>
      <c r="J396" s="23"/>
      <c r="K396" s="23"/>
      <c r="M396" s="23"/>
      <c r="N396" s="23"/>
      <c r="P396" s="23"/>
    </row>
    <row r="397" spans="2:16" x14ac:dyDescent="0.25">
      <c r="B397" s="23"/>
      <c r="E397" s="23"/>
      <c r="G397" s="23"/>
      <c r="H397" s="23"/>
      <c r="J397" s="23"/>
      <c r="K397" s="23"/>
      <c r="M397" s="23"/>
      <c r="N397" s="23"/>
      <c r="P397" s="23"/>
    </row>
    <row r="398" spans="2:16" x14ac:dyDescent="0.25">
      <c r="B398" s="23"/>
      <c r="E398" s="23"/>
      <c r="G398" s="23"/>
      <c r="H398" s="23"/>
      <c r="J398" s="23"/>
      <c r="K398" s="23"/>
      <c r="M398" s="23"/>
      <c r="N398" s="23"/>
      <c r="P398" s="23"/>
    </row>
    <row r="399" spans="2:16" x14ac:dyDescent="0.25">
      <c r="B399" s="23"/>
      <c r="E399" s="23"/>
      <c r="G399" s="23"/>
      <c r="H399" s="23"/>
      <c r="J399" s="23"/>
      <c r="K399" s="23"/>
      <c r="M399" s="23"/>
      <c r="N399" s="23"/>
      <c r="P399" s="23"/>
    </row>
    <row r="400" spans="2:16" x14ac:dyDescent="0.25">
      <c r="B400" s="23"/>
      <c r="E400" s="23"/>
      <c r="G400" s="23"/>
      <c r="H400" s="23"/>
      <c r="J400" s="23"/>
      <c r="K400" s="23"/>
      <c r="M400" s="23"/>
      <c r="N400" s="23"/>
      <c r="P400" s="23"/>
    </row>
    <row r="401" spans="2:16" x14ac:dyDescent="0.25">
      <c r="B401" s="23"/>
      <c r="E401" s="23"/>
      <c r="G401" s="23"/>
      <c r="H401" s="23"/>
      <c r="J401" s="23"/>
      <c r="K401" s="23"/>
      <c r="M401" s="23"/>
      <c r="N401" s="23"/>
      <c r="P401" s="23"/>
    </row>
    <row r="402" spans="2:16" x14ac:dyDescent="0.25">
      <c r="B402" s="23"/>
      <c r="E402" s="23"/>
      <c r="G402" s="23"/>
      <c r="H402" s="23"/>
      <c r="J402" s="23"/>
      <c r="K402" s="23"/>
      <c r="M402" s="23"/>
      <c r="N402" s="23"/>
      <c r="P402" s="23"/>
    </row>
    <row r="403" spans="2:16" x14ac:dyDescent="0.25">
      <c r="B403" s="23"/>
      <c r="E403" s="23"/>
      <c r="G403" s="23"/>
      <c r="H403" s="23"/>
      <c r="J403" s="23"/>
      <c r="K403" s="23"/>
      <c r="M403" s="23"/>
      <c r="N403" s="23"/>
      <c r="P403" s="23"/>
    </row>
    <row r="404" spans="2:16" x14ac:dyDescent="0.25">
      <c r="B404" s="23"/>
      <c r="E404" s="23"/>
      <c r="G404" s="23"/>
      <c r="H404" s="23"/>
      <c r="J404" s="23"/>
      <c r="K404" s="23"/>
      <c r="M404" s="23"/>
      <c r="N404" s="23"/>
      <c r="P404" s="23"/>
    </row>
    <row r="405" spans="2:16" x14ac:dyDescent="0.25">
      <c r="B405" s="23"/>
      <c r="E405" s="23"/>
      <c r="G405" s="23"/>
      <c r="H405" s="23"/>
      <c r="J405" s="23"/>
      <c r="K405" s="23"/>
      <c r="M405" s="23"/>
      <c r="N405" s="23"/>
      <c r="P405" s="23"/>
    </row>
    <row r="406" spans="2:16" x14ac:dyDescent="0.25">
      <c r="B406" s="23"/>
      <c r="E406" s="23"/>
      <c r="G406" s="23"/>
      <c r="H406" s="23"/>
      <c r="J406" s="23"/>
      <c r="K406" s="23"/>
      <c r="M406" s="23"/>
      <c r="N406" s="23"/>
      <c r="P406" s="23"/>
    </row>
    <row r="407" spans="2:16" x14ac:dyDescent="0.25">
      <c r="B407" s="23"/>
      <c r="E407" s="23"/>
      <c r="G407" s="23"/>
      <c r="H407" s="23"/>
      <c r="J407" s="23"/>
      <c r="K407" s="23"/>
      <c r="M407" s="23"/>
      <c r="N407" s="23"/>
      <c r="P407" s="23"/>
    </row>
    <row r="408" spans="2:16" x14ac:dyDescent="0.25">
      <c r="B408" s="23"/>
      <c r="E408" s="23"/>
      <c r="G408" s="23"/>
      <c r="H408" s="23"/>
      <c r="J408" s="23"/>
      <c r="K408" s="23"/>
      <c r="M408" s="23"/>
      <c r="N408" s="23"/>
      <c r="P408" s="23"/>
    </row>
    <row r="409" spans="2:16" x14ac:dyDescent="0.25">
      <c r="B409" s="23"/>
      <c r="E409" s="23"/>
      <c r="G409" s="23"/>
      <c r="H409" s="23"/>
      <c r="J409" s="23"/>
      <c r="K409" s="23"/>
      <c r="M409" s="23"/>
      <c r="N409" s="23"/>
      <c r="P409" s="23"/>
    </row>
    <row r="410" spans="2:16" x14ac:dyDescent="0.25">
      <c r="B410" s="23"/>
      <c r="E410" s="23"/>
      <c r="G410" s="23"/>
      <c r="H410" s="23"/>
      <c r="J410" s="23"/>
      <c r="K410" s="23"/>
      <c r="M410" s="23"/>
      <c r="N410" s="23"/>
      <c r="P410" s="23"/>
    </row>
    <row r="411" spans="2:16" x14ac:dyDescent="0.25">
      <c r="B411" s="23"/>
      <c r="E411" s="23"/>
      <c r="G411" s="23"/>
      <c r="H411" s="23"/>
      <c r="J411" s="23"/>
      <c r="K411" s="23"/>
      <c r="M411" s="23"/>
      <c r="N411" s="23"/>
      <c r="P411" s="23"/>
    </row>
    <row r="412" spans="2:16" x14ac:dyDescent="0.25">
      <c r="B412" s="23"/>
      <c r="E412" s="23"/>
      <c r="G412" s="23"/>
      <c r="H412" s="23"/>
      <c r="J412" s="23"/>
      <c r="K412" s="23"/>
      <c r="M412" s="23"/>
      <c r="N412" s="23"/>
      <c r="P412" s="23"/>
    </row>
    <row r="413" spans="2:16" x14ac:dyDescent="0.25">
      <c r="B413" s="23"/>
      <c r="E413" s="23"/>
      <c r="G413" s="23"/>
      <c r="H413" s="23"/>
      <c r="J413" s="23"/>
      <c r="K413" s="23"/>
      <c r="M413" s="23"/>
      <c r="N413" s="23"/>
      <c r="P413" s="23"/>
    </row>
    <row r="414" spans="2:16" x14ac:dyDescent="0.25">
      <c r="B414" s="23"/>
      <c r="E414" s="23"/>
      <c r="G414" s="23"/>
      <c r="H414" s="23"/>
      <c r="J414" s="23"/>
      <c r="K414" s="23"/>
      <c r="M414" s="23"/>
      <c r="N414" s="23"/>
      <c r="P414" s="23"/>
    </row>
    <row r="415" spans="2:16" x14ac:dyDescent="0.25">
      <c r="B415" s="23"/>
      <c r="E415" s="23"/>
      <c r="G415" s="23"/>
      <c r="H415" s="23"/>
      <c r="J415" s="23"/>
      <c r="K415" s="23"/>
      <c r="M415" s="23"/>
      <c r="N415" s="23"/>
      <c r="P415" s="23"/>
    </row>
    <row r="416" spans="2:16" x14ac:dyDescent="0.25">
      <c r="B416" s="23"/>
      <c r="E416" s="23"/>
      <c r="G416" s="23"/>
      <c r="H416" s="23"/>
      <c r="J416" s="23"/>
      <c r="K416" s="23"/>
      <c r="M416" s="23"/>
      <c r="N416" s="23"/>
      <c r="P416" s="23"/>
    </row>
    <row r="417" spans="2:16" x14ac:dyDescent="0.25">
      <c r="B417" s="23"/>
      <c r="E417" s="23"/>
      <c r="G417" s="23"/>
      <c r="H417" s="23"/>
      <c r="J417" s="23"/>
      <c r="K417" s="23"/>
      <c r="M417" s="23"/>
      <c r="N417" s="23"/>
      <c r="P417" s="23"/>
    </row>
    <row r="418" spans="2:16" x14ac:dyDescent="0.25">
      <c r="B418" s="23"/>
      <c r="E418" s="23"/>
      <c r="G418" s="23"/>
      <c r="H418" s="23"/>
      <c r="J418" s="23"/>
      <c r="K418" s="23"/>
      <c r="M418" s="23"/>
      <c r="N418" s="23"/>
      <c r="P418" s="23"/>
    </row>
    <row r="419" spans="2:16" x14ac:dyDescent="0.25">
      <c r="B419" s="23"/>
      <c r="E419" s="23"/>
      <c r="G419" s="23"/>
      <c r="H419" s="23"/>
      <c r="J419" s="23"/>
      <c r="K419" s="23"/>
      <c r="M419" s="23"/>
      <c r="N419" s="23"/>
      <c r="P419" s="23"/>
    </row>
    <row r="420" spans="2:16" x14ac:dyDescent="0.25">
      <c r="B420" s="23"/>
      <c r="E420" s="23"/>
      <c r="G420" s="23"/>
      <c r="H420" s="23"/>
      <c r="J420" s="23"/>
      <c r="K420" s="23"/>
      <c r="M420" s="23"/>
      <c r="N420" s="23"/>
      <c r="P420" s="23"/>
    </row>
    <row r="421" spans="2:16" x14ac:dyDescent="0.25">
      <c r="B421" s="23"/>
      <c r="E421" s="23"/>
      <c r="G421" s="23"/>
      <c r="H421" s="23"/>
      <c r="J421" s="23"/>
      <c r="K421" s="23"/>
      <c r="M421" s="23"/>
      <c r="N421" s="23"/>
      <c r="P421" s="23"/>
    </row>
    <row r="422" spans="2:16" x14ac:dyDescent="0.25">
      <c r="B422" s="23"/>
      <c r="E422" s="23"/>
      <c r="G422" s="23"/>
      <c r="H422" s="23"/>
      <c r="J422" s="23"/>
      <c r="K422" s="23"/>
      <c r="M422" s="23"/>
      <c r="N422" s="23"/>
      <c r="P422" s="23"/>
    </row>
    <row r="423" spans="2:16" x14ac:dyDescent="0.25">
      <c r="B423" s="23"/>
      <c r="E423" s="23"/>
      <c r="G423" s="23"/>
      <c r="H423" s="23"/>
      <c r="J423" s="23"/>
      <c r="K423" s="23"/>
      <c r="M423" s="23"/>
      <c r="N423" s="23"/>
      <c r="P423" s="23"/>
    </row>
    <row r="424" spans="2:16" x14ac:dyDescent="0.25">
      <c r="B424" s="23"/>
      <c r="E424" s="23"/>
      <c r="G424" s="23"/>
      <c r="H424" s="23"/>
      <c r="J424" s="23"/>
      <c r="K424" s="23"/>
      <c r="M424" s="23"/>
      <c r="N424" s="23"/>
      <c r="P424" s="23"/>
    </row>
    <row r="425" spans="2:16" x14ac:dyDescent="0.25">
      <c r="B425" s="23"/>
      <c r="E425" s="23"/>
      <c r="G425" s="23"/>
      <c r="H425" s="23"/>
      <c r="J425" s="23"/>
      <c r="K425" s="23"/>
      <c r="M425" s="23"/>
      <c r="N425" s="23"/>
      <c r="P425" s="23"/>
    </row>
    <row r="426" spans="2:16" x14ac:dyDescent="0.25">
      <c r="B426" s="23"/>
      <c r="E426" s="23"/>
      <c r="G426" s="23"/>
      <c r="H426" s="23"/>
      <c r="J426" s="23"/>
      <c r="K426" s="23"/>
      <c r="M426" s="23"/>
      <c r="N426" s="23"/>
      <c r="P426" s="23"/>
    </row>
    <row r="427" spans="2:16" x14ac:dyDescent="0.25">
      <c r="B427" s="23"/>
      <c r="E427" s="23"/>
      <c r="G427" s="23"/>
      <c r="H427" s="23"/>
      <c r="J427" s="23"/>
      <c r="K427" s="23"/>
      <c r="M427" s="23"/>
      <c r="N427" s="23"/>
      <c r="P427" s="23"/>
    </row>
    <row r="428" spans="2:16" x14ac:dyDescent="0.25">
      <c r="B428" s="23"/>
      <c r="E428" s="23"/>
      <c r="G428" s="23"/>
      <c r="H428" s="23"/>
      <c r="J428" s="23"/>
      <c r="K428" s="23"/>
      <c r="M428" s="23"/>
      <c r="N428" s="23"/>
      <c r="P428" s="23"/>
    </row>
    <row r="429" spans="2:16" x14ac:dyDescent="0.25">
      <c r="B429" s="23"/>
      <c r="E429" s="23"/>
      <c r="G429" s="23"/>
      <c r="H429" s="23"/>
      <c r="J429" s="23"/>
      <c r="K429" s="23"/>
      <c r="M429" s="23"/>
      <c r="N429" s="23"/>
      <c r="P429" s="23"/>
    </row>
    <row r="430" spans="2:16" x14ac:dyDescent="0.25">
      <c r="B430" s="23"/>
      <c r="E430" s="23"/>
      <c r="G430" s="23"/>
      <c r="H430" s="23"/>
      <c r="J430" s="23"/>
      <c r="K430" s="23"/>
      <c r="M430" s="23"/>
      <c r="N430" s="23"/>
      <c r="P430" s="23"/>
    </row>
    <row r="431" spans="2:16" x14ac:dyDescent="0.25">
      <c r="B431" s="23"/>
      <c r="E431" s="23"/>
      <c r="G431" s="23"/>
      <c r="H431" s="23"/>
      <c r="J431" s="23"/>
      <c r="K431" s="23"/>
      <c r="M431" s="23"/>
      <c r="N431" s="23"/>
      <c r="P431" s="23"/>
    </row>
    <row r="432" spans="2:16" x14ac:dyDescent="0.25">
      <c r="B432" s="23"/>
      <c r="E432" s="23"/>
      <c r="G432" s="23"/>
      <c r="H432" s="23"/>
      <c r="J432" s="23"/>
      <c r="K432" s="23"/>
      <c r="M432" s="23"/>
      <c r="N432" s="23"/>
      <c r="P432" s="23"/>
    </row>
    <row r="433" spans="2:16" x14ac:dyDescent="0.25">
      <c r="B433" s="23"/>
      <c r="E433" s="23"/>
      <c r="G433" s="23"/>
      <c r="H433" s="23"/>
      <c r="J433" s="23"/>
      <c r="K433" s="23"/>
      <c r="M433" s="23"/>
      <c r="N433" s="23"/>
      <c r="P433" s="23"/>
    </row>
    <row r="434" spans="2:16" x14ac:dyDescent="0.25">
      <c r="B434" s="23"/>
      <c r="E434" s="23"/>
      <c r="G434" s="23"/>
      <c r="H434" s="23"/>
      <c r="J434" s="23"/>
      <c r="K434" s="23"/>
      <c r="M434" s="23"/>
      <c r="N434" s="23"/>
      <c r="P434" s="23"/>
    </row>
    <row r="435" spans="2:16" x14ac:dyDescent="0.25">
      <c r="B435" s="23"/>
      <c r="E435" s="23"/>
      <c r="G435" s="23"/>
      <c r="H435" s="23"/>
      <c r="J435" s="23"/>
      <c r="K435" s="23"/>
      <c r="M435" s="23"/>
      <c r="N435" s="23"/>
      <c r="P435" s="23"/>
    </row>
    <row r="436" spans="2:16" x14ac:dyDescent="0.25">
      <c r="B436" s="23"/>
      <c r="E436" s="23"/>
      <c r="G436" s="23"/>
      <c r="H436" s="23"/>
      <c r="J436" s="23"/>
      <c r="K436" s="23"/>
      <c r="M436" s="23"/>
      <c r="N436" s="23"/>
      <c r="P436" s="23"/>
    </row>
    <row r="437" spans="2:16" x14ac:dyDescent="0.25">
      <c r="B437" s="23"/>
      <c r="E437" s="23"/>
      <c r="G437" s="23"/>
      <c r="H437" s="23"/>
      <c r="J437" s="23"/>
      <c r="K437" s="23"/>
      <c r="M437" s="23"/>
      <c r="N437" s="23"/>
      <c r="P437" s="23"/>
    </row>
    <row r="438" spans="2:16" x14ac:dyDescent="0.25">
      <c r="B438" s="23"/>
      <c r="E438" s="23"/>
      <c r="G438" s="23"/>
      <c r="H438" s="23"/>
      <c r="J438" s="23"/>
      <c r="K438" s="23"/>
      <c r="M438" s="23"/>
      <c r="N438" s="23"/>
      <c r="P438" s="23"/>
    </row>
    <row r="439" spans="2:16" x14ac:dyDescent="0.25">
      <c r="B439" s="23"/>
      <c r="E439" s="23"/>
      <c r="G439" s="23"/>
      <c r="H439" s="23"/>
      <c r="J439" s="23"/>
      <c r="K439" s="23"/>
      <c r="M439" s="23"/>
      <c r="N439" s="23"/>
      <c r="P439" s="23"/>
    </row>
    <row r="440" spans="2:16" x14ac:dyDescent="0.25">
      <c r="B440" s="23"/>
      <c r="E440" s="23"/>
      <c r="G440" s="23"/>
      <c r="H440" s="23"/>
      <c r="J440" s="23"/>
      <c r="K440" s="23"/>
      <c r="M440" s="23"/>
      <c r="N440" s="23"/>
      <c r="P440" s="23"/>
    </row>
    <row r="441" spans="2:16" x14ac:dyDescent="0.25">
      <c r="B441" s="23"/>
      <c r="E441" s="23"/>
      <c r="G441" s="23"/>
      <c r="H441" s="23"/>
      <c r="J441" s="23"/>
      <c r="K441" s="23"/>
      <c r="M441" s="23"/>
      <c r="N441" s="23"/>
      <c r="P441" s="23"/>
    </row>
    <row r="442" spans="2:16" x14ac:dyDescent="0.25">
      <c r="B442" s="23"/>
      <c r="E442" s="23"/>
      <c r="G442" s="23"/>
      <c r="H442" s="23"/>
      <c r="J442" s="23"/>
      <c r="K442" s="23"/>
      <c r="M442" s="23"/>
      <c r="N442" s="23"/>
      <c r="P442" s="23"/>
    </row>
    <row r="443" spans="2:16" x14ac:dyDescent="0.25">
      <c r="B443" s="23"/>
      <c r="E443" s="23"/>
      <c r="G443" s="23"/>
      <c r="H443" s="23"/>
      <c r="J443" s="23"/>
      <c r="K443" s="23"/>
      <c r="M443" s="23"/>
      <c r="N443" s="23"/>
      <c r="P443" s="23"/>
    </row>
    <row r="444" spans="2:16" x14ac:dyDescent="0.25">
      <c r="B444" s="23"/>
      <c r="E444" s="23"/>
      <c r="G444" s="23"/>
      <c r="H444" s="23"/>
      <c r="J444" s="23"/>
      <c r="K444" s="23"/>
      <c r="M444" s="23"/>
      <c r="N444" s="23"/>
      <c r="P444" s="23"/>
    </row>
    <row r="445" spans="2:16" x14ac:dyDescent="0.25">
      <c r="B445" s="23"/>
      <c r="E445" s="23"/>
      <c r="G445" s="23"/>
      <c r="H445" s="23"/>
      <c r="J445" s="23"/>
      <c r="K445" s="23"/>
      <c r="M445" s="23"/>
      <c r="N445" s="23"/>
      <c r="P445" s="23"/>
    </row>
    <row r="446" spans="2:16" x14ac:dyDescent="0.25">
      <c r="B446" s="23"/>
      <c r="E446" s="23"/>
      <c r="G446" s="23"/>
      <c r="H446" s="23"/>
      <c r="J446" s="23"/>
      <c r="K446" s="23"/>
      <c r="M446" s="23"/>
      <c r="N446" s="23"/>
      <c r="P446" s="23"/>
    </row>
    <row r="447" spans="2:16" x14ac:dyDescent="0.25">
      <c r="B447" s="23"/>
      <c r="E447" s="23"/>
      <c r="G447" s="23"/>
      <c r="H447" s="23"/>
      <c r="J447" s="23"/>
      <c r="K447" s="23"/>
      <c r="M447" s="23"/>
      <c r="N447" s="23"/>
      <c r="P447" s="23"/>
    </row>
    <row r="448" spans="2:16" x14ac:dyDescent="0.25">
      <c r="B448" s="23"/>
      <c r="E448" s="23"/>
      <c r="G448" s="23"/>
      <c r="H448" s="23"/>
      <c r="J448" s="23"/>
      <c r="K448" s="23"/>
      <c r="M448" s="23"/>
      <c r="N448" s="23"/>
      <c r="P448" s="23"/>
    </row>
    <row r="449" spans="2:16" x14ac:dyDescent="0.25">
      <c r="B449" s="23"/>
      <c r="E449" s="23"/>
      <c r="G449" s="23"/>
      <c r="H449" s="23"/>
      <c r="J449" s="23"/>
      <c r="K449" s="23"/>
      <c r="M449" s="23"/>
      <c r="N449" s="23"/>
      <c r="P449" s="23"/>
    </row>
    <row r="450" spans="2:16" x14ac:dyDescent="0.25">
      <c r="B450" s="23"/>
      <c r="E450" s="23"/>
      <c r="G450" s="23"/>
      <c r="H450" s="23"/>
      <c r="J450" s="23"/>
      <c r="K450" s="23"/>
      <c r="M450" s="23"/>
      <c r="N450" s="23"/>
      <c r="P450" s="23"/>
    </row>
    <row r="451" spans="2:16" x14ac:dyDescent="0.25">
      <c r="B451" s="23"/>
      <c r="E451" s="23"/>
      <c r="G451" s="23"/>
      <c r="H451" s="23"/>
      <c r="J451" s="23"/>
      <c r="K451" s="23"/>
      <c r="M451" s="23"/>
      <c r="N451" s="23"/>
      <c r="P451" s="23"/>
    </row>
    <row r="452" spans="2:16" x14ac:dyDescent="0.25">
      <c r="B452" s="23"/>
      <c r="E452" s="23"/>
      <c r="G452" s="23"/>
      <c r="H452" s="23"/>
      <c r="J452" s="23"/>
      <c r="K452" s="23"/>
      <c r="M452" s="23"/>
      <c r="N452" s="23"/>
      <c r="P452" s="23"/>
    </row>
    <row r="453" spans="2:16" x14ac:dyDescent="0.25">
      <c r="B453" s="23"/>
      <c r="E453" s="23"/>
      <c r="G453" s="23"/>
      <c r="H453" s="23"/>
      <c r="J453" s="23"/>
      <c r="K453" s="23"/>
      <c r="M453" s="23"/>
      <c r="N453" s="23"/>
      <c r="P453" s="23"/>
    </row>
    <row r="454" spans="2:16" x14ac:dyDescent="0.25">
      <c r="B454" s="23"/>
      <c r="E454" s="23"/>
      <c r="G454" s="23"/>
      <c r="H454" s="23"/>
      <c r="J454" s="23"/>
      <c r="K454" s="23"/>
      <c r="M454" s="23"/>
      <c r="N454" s="23"/>
      <c r="P454" s="23"/>
    </row>
    <row r="455" spans="2:16" x14ac:dyDescent="0.25">
      <c r="B455" s="23"/>
      <c r="E455" s="23"/>
      <c r="G455" s="23"/>
      <c r="H455" s="23"/>
      <c r="J455" s="23"/>
      <c r="K455" s="23"/>
      <c r="M455" s="23"/>
      <c r="N455" s="23"/>
      <c r="P455" s="23"/>
    </row>
    <row r="456" spans="2:16" x14ac:dyDescent="0.25">
      <c r="B456" s="23"/>
      <c r="E456" s="23"/>
      <c r="G456" s="23"/>
      <c r="H456" s="23"/>
      <c r="J456" s="23"/>
      <c r="K456" s="23"/>
      <c r="M456" s="23"/>
      <c r="N456" s="23"/>
      <c r="P456" s="23"/>
    </row>
    <row r="457" spans="2:16" x14ac:dyDescent="0.25">
      <c r="B457" s="23"/>
      <c r="E457" s="23"/>
      <c r="G457" s="23"/>
      <c r="H457" s="23"/>
      <c r="J457" s="23"/>
      <c r="K457" s="23"/>
      <c r="M457" s="23"/>
      <c r="N457" s="23"/>
      <c r="P457" s="23"/>
    </row>
    <row r="458" spans="2:16" x14ac:dyDescent="0.25">
      <c r="B458" s="23"/>
      <c r="E458" s="23"/>
      <c r="G458" s="23"/>
      <c r="H458" s="23"/>
      <c r="J458" s="23"/>
      <c r="K458" s="23"/>
      <c r="M458" s="23"/>
      <c r="N458" s="23"/>
      <c r="P458" s="23"/>
    </row>
    <row r="459" spans="2:16" x14ac:dyDescent="0.25">
      <c r="B459" s="23"/>
      <c r="E459" s="23"/>
      <c r="G459" s="23"/>
      <c r="H459" s="23"/>
      <c r="J459" s="23"/>
      <c r="K459" s="23"/>
      <c r="M459" s="23"/>
      <c r="N459" s="23"/>
      <c r="P459" s="23"/>
    </row>
    <row r="460" spans="2:16" x14ac:dyDescent="0.25">
      <c r="B460" s="23"/>
      <c r="E460" s="23"/>
      <c r="G460" s="23"/>
      <c r="H460" s="23"/>
      <c r="J460" s="23"/>
      <c r="K460" s="23"/>
      <c r="M460" s="23"/>
      <c r="N460" s="23"/>
      <c r="P460" s="23"/>
    </row>
    <row r="461" spans="2:16" x14ac:dyDescent="0.25">
      <c r="B461" s="23"/>
      <c r="E461" s="23"/>
      <c r="G461" s="23"/>
      <c r="H461" s="23"/>
      <c r="J461" s="23"/>
      <c r="K461" s="23"/>
      <c r="M461" s="23"/>
      <c r="N461" s="23"/>
      <c r="P461" s="23"/>
    </row>
    <row r="462" spans="2:16" x14ac:dyDescent="0.25">
      <c r="B462" s="23"/>
      <c r="E462" s="23"/>
      <c r="G462" s="23"/>
      <c r="H462" s="23"/>
      <c r="J462" s="23"/>
      <c r="K462" s="23"/>
      <c r="M462" s="23"/>
      <c r="N462" s="23"/>
      <c r="P462" s="23"/>
    </row>
    <row r="463" spans="2:16" x14ac:dyDescent="0.25">
      <c r="B463" s="23"/>
      <c r="E463" s="23"/>
      <c r="G463" s="23"/>
      <c r="H463" s="23"/>
      <c r="J463" s="23"/>
      <c r="K463" s="23"/>
      <c r="M463" s="23"/>
      <c r="N463" s="23"/>
      <c r="P463" s="23"/>
    </row>
    <row r="464" spans="2:16" x14ac:dyDescent="0.25">
      <c r="B464" s="23"/>
      <c r="E464" s="23"/>
      <c r="G464" s="23"/>
      <c r="H464" s="23"/>
      <c r="J464" s="23"/>
      <c r="K464" s="23"/>
      <c r="M464" s="23"/>
      <c r="N464" s="23"/>
      <c r="P464" s="23"/>
    </row>
    <row r="465" spans="2:16" x14ac:dyDescent="0.25">
      <c r="B465" s="23"/>
      <c r="E465" s="23"/>
      <c r="G465" s="23"/>
      <c r="H465" s="23"/>
      <c r="J465" s="23"/>
      <c r="K465" s="23"/>
      <c r="M465" s="23"/>
      <c r="N465" s="23"/>
      <c r="P465" s="23"/>
    </row>
    <row r="466" spans="2:16" x14ac:dyDescent="0.25">
      <c r="B466" s="23"/>
      <c r="E466" s="23"/>
      <c r="G466" s="23"/>
      <c r="H466" s="23"/>
      <c r="J466" s="23"/>
      <c r="K466" s="23"/>
      <c r="M466" s="23"/>
      <c r="N466" s="23"/>
      <c r="P466" s="23"/>
    </row>
    <row r="467" spans="2:16" x14ac:dyDescent="0.25">
      <c r="B467" s="23"/>
      <c r="E467" s="23"/>
      <c r="G467" s="23"/>
      <c r="H467" s="23"/>
      <c r="J467" s="23"/>
      <c r="K467" s="23"/>
      <c r="M467" s="23"/>
      <c r="N467" s="23"/>
      <c r="P467" s="23"/>
    </row>
    <row r="468" spans="2:16" x14ac:dyDescent="0.25">
      <c r="B468" s="23"/>
      <c r="E468" s="23"/>
      <c r="G468" s="23"/>
      <c r="H468" s="23"/>
      <c r="J468" s="23"/>
      <c r="K468" s="23"/>
      <c r="M468" s="23"/>
      <c r="N468" s="23"/>
      <c r="P468" s="23"/>
    </row>
    <row r="469" spans="2:16" x14ac:dyDescent="0.25">
      <c r="B469" s="23"/>
      <c r="E469" s="23"/>
      <c r="G469" s="23"/>
      <c r="H469" s="23"/>
      <c r="J469" s="23"/>
      <c r="K469" s="23"/>
      <c r="M469" s="23"/>
      <c r="N469" s="23"/>
      <c r="P469" s="23"/>
    </row>
    <row r="470" spans="2:16" x14ac:dyDescent="0.25">
      <c r="B470" s="23"/>
      <c r="E470" s="23"/>
      <c r="G470" s="23"/>
      <c r="H470" s="23"/>
      <c r="J470" s="23"/>
      <c r="K470" s="23"/>
      <c r="M470" s="23"/>
      <c r="N470" s="23"/>
      <c r="P470" s="23"/>
    </row>
    <row r="471" spans="2:16" x14ac:dyDescent="0.25">
      <c r="B471" s="23"/>
      <c r="E471" s="23"/>
      <c r="G471" s="23"/>
      <c r="H471" s="23"/>
      <c r="J471" s="23"/>
      <c r="K471" s="23"/>
      <c r="M471" s="23"/>
      <c r="N471" s="23"/>
      <c r="P471" s="23"/>
    </row>
    <row r="472" spans="2:16" x14ac:dyDescent="0.25">
      <c r="B472" s="23"/>
      <c r="E472" s="23"/>
      <c r="G472" s="23"/>
      <c r="H472" s="23"/>
      <c r="J472" s="23"/>
      <c r="K472" s="23"/>
      <c r="M472" s="23"/>
      <c r="N472" s="23"/>
      <c r="P472" s="23"/>
    </row>
    <row r="473" spans="2:16" x14ac:dyDescent="0.25">
      <c r="B473" s="23"/>
      <c r="E473" s="23"/>
      <c r="G473" s="23"/>
      <c r="H473" s="23"/>
      <c r="J473" s="23"/>
      <c r="K473" s="23"/>
      <c r="M473" s="23"/>
      <c r="N473" s="23"/>
      <c r="P473" s="23"/>
    </row>
    <row r="474" spans="2:16" x14ac:dyDescent="0.25">
      <c r="B474" s="23"/>
      <c r="E474" s="23"/>
      <c r="G474" s="23"/>
      <c r="H474" s="23"/>
      <c r="J474" s="23"/>
      <c r="K474" s="23"/>
      <c r="M474" s="23"/>
      <c r="N474" s="23"/>
      <c r="P474" s="23"/>
    </row>
    <row r="475" spans="2:16" x14ac:dyDescent="0.25">
      <c r="B475" s="23"/>
      <c r="E475" s="23"/>
      <c r="G475" s="23"/>
      <c r="H475" s="23"/>
      <c r="J475" s="23"/>
      <c r="K475" s="23"/>
      <c r="M475" s="23"/>
      <c r="N475" s="23"/>
      <c r="P475" s="23"/>
    </row>
    <row r="476" spans="2:16" x14ac:dyDescent="0.25">
      <c r="B476" s="23"/>
      <c r="E476" s="23"/>
      <c r="G476" s="23"/>
      <c r="H476" s="23"/>
      <c r="J476" s="23"/>
      <c r="K476" s="23"/>
      <c r="M476" s="23"/>
      <c r="N476" s="23"/>
      <c r="P476" s="23"/>
    </row>
    <row r="477" spans="2:16" x14ac:dyDescent="0.25">
      <c r="B477" s="23"/>
      <c r="E477" s="23"/>
      <c r="G477" s="23"/>
      <c r="H477" s="23"/>
      <c r="J477" s="23"/>
      <c r="K477" s="23"/>
      <c r="M477" s="23"/>
      <c r="N477" s="23"/>
      <c r="P477" s="23"/>
    </row>
    <row r="478" spans="2:16" x14ac:dyDescent="0.25">
      <c r="B478" s="23"/>
      <c r="E478" s="23"/>
      <c r="G478" s="23"/>
      <c r="H478" s="23"/>
      <c r="J478" s="23"/>
      <c r="K478" s="23"/>
      <c r="M478" s="23"/>
      <c r="N478" s="23"/>
      <c r="P478" s="23"/>
    </row>
    <row r="479" spans="2:16" x14ac:dyDescent="0.25">
      <c r="B479" s="23"/>
      <c r="E479" s="23"/>
      <c r="G479" s="23"/>
      <c r="H479" s="23"/>
      <c r="J479" s="23"/>
      <c r="K479" s="23"/>
      <c r="M479" s="23"/>
      <c r="N479" s="23"/>
      <c r="P479" s="23"/>
    </row>
    <row r="480" spans="2:16" x14ac:dyDescent="0.25">
      <c r="B480" s="23"/>
      <c r="E480" s="23"/>
      <c r="G480" s="23"/>
      <c r="H480" s="23"/>
      <c r="J480" s="23"/>
      <c r="K480" s="23"/>
      <c r="M480" s="23"/>
      <c r="N480" s="23"/>
      <c r="P480" s="23"/>
    </row>
    <row r="481" spans="2:16" x14ac:dyDescent="0.25">
      <c r="B481" s="23"/>
      <c r="E481" s="23"/>
      <c r="G481" s="23"/>
      <c r="H481" s="23"/>
      <c r="J481" s="23"/>
      <c r="K481" s="23"/>
      <c r="M481" s="23"/>
      <c r="N481" s="23"/>
      <c r="P481" s="23"/>
    </row>
    <row r="482" spans="2:16" x14ac:dyDescent="0.25">
      <c r="B482" s="23"/>
      <c r="E482" s="23"/>
      <c r="G482" s="23"/>
      <c r="H482" s="23"/>
      <c r="J482" s="23"/>
      <c r="K482" s="23"/>
      <c r="M482" s="23"/>
      <c r="N482" s="23"/>
      <c r="P482" s="23"/>
    </row>
    <row r="483" spans="2:16" x14ac:dyDescent="0.25">
      <c r="B483" s="23"/>
      <c r="E483" s="23"/>
      <c r="G483" s="23"/>
      <c r="H483" s="23"/>
      <c r="J483" s="23"/>
      <c r="K483" s="23"/>
      <c r="M483" s="23"/>
      <c r="N483" s="23"/>
      <c r="P483" s="23"/>
    </row>
    <row r="484" spans="2:16" x14ac:dyDescent="0.25">
      <c r="B484" s="23"/>
      <c r="E484" s="23"/>
      <c r="G484" s="23"/>
      <c r="H484" s="23"/>
      <c r="J484" s="23"/>
      <c r="K484" s="23"/>
      <c r="M484" s="23"/>
      <c r="N484" s="23"/>
      <c r="P484" s="23"/>
    </row>
    <row r="485" spans="2:16" x14ac:dyDescent="0.25">
      <c r="B485" s="23"/>
      <c r="E485" s="23"/>
      <c r="G485" s="23"/>
      <c r="H485" s="23"/>
      <c r="J485" s="23"/>
      <c r="K485" s="23"/>
      <c r="M485" s="23"/>
      <c r="N485" s="23"/>
      <c r="P485" s="23"/>
    </row>
    <row r="486" spans="2:16" x14ac:dyDescent="0.25">
      <c r="B486" s="23"/>
      <c r="E486" s="23"/>
      <c r="G486" s="23"/>
      <c r="H486" s="23"/>
      <c r="J486" s="23"/>
      <c r="K486" s="23"/>
      <c r="M486" s="23"/>
      <c r="N486" s="23"/>
      <c r="P486" s="23"/>
    </row>
    <row r="487" spans="2:16" x14ac:dyDescent="0.25">
      <c r="B487" s="23"/>
      <c r="E487" s="23"/>
      <c r="G487" s="23"/>
      <c r="H487" s="23"/>
      <c r="J487" s="23"/>
      <c r="K487" s="23"/>
      <c r="M487" s="23"/>
      <c r="N487" s="23"/>
      <c r="P487" s="23"/>
    </row>
    <row r="488" spans="2:16" x14ac:dyDescent="0.25">
      <c r="B488" s="23"/>
      <c r="E488" s="23"/>
      <c r="G488" s="23"/>
      <c r="H488" s="23"/>
      <c r="J488" s="23"/>
      <c r="K488" s="23"/>
      <c r="M488" s="23"/>
      <c r="N488" s="23"/>
      <c r="P488" s="23"/>
    </row>
    <row r="489" spans="2:16" x14ac:dyDescent="0.25">
      <c r="B489" s="23"/>
      <c r="E489" s="23"/>
      <c r="G489" s="23"/>
      <c r="H489" s="23"/>
      <c r="J489" s="23"/>
      <c r="K489" s="23"/>
      <c r="M489" s="23"/>
      <c r="N489" s="23"/>
      <c r="P489" s="23"/>
    </row>
    <row r="490" spans="2:16" x14ac:dyDescent="0.25">
      <c r="B490" s="23"/>
      <c r="E490" s="23"/>
      <c r="G490" s="23"/>
      <c r="H490" s="23"/>
      <c r="J490" s="23"/>
      <c r="K490" s="23"/>
      <c r="M490" s="23"/>
      <c r="N490" s="23"/>
      <c r="P490" s="23"/>
    </row>
    <row r="491" spans="2:16" x14ac:dyDescent="0.25">
      <c r="B491" s="23"/>
      <c r="E491" s="23"/>
      <c r="G491" s="23"/>
      <c r="H491" s="23"/>
      <c r="J491" s="23"/>
      <c r="K491" s="23"/>
      <c r="M491" s="23"/>
      <c r="N491" s="23"/>
      <c r="P491" s="23"/>
    </row>
    <row r="492" spans="2:16" x14ac:dyDescent="0.25">
      <c r="B492" s="23"/>
      <c r="E492" s="23"/>
      <c r="G492" s="23"/>
      <c r="H492" s="23"/>
      <c r="J492" s="23"/>
      <c r="K492" s="23"/>
      <c r="M492" s="23"/>
      <c r="N492" s="23"/>
      <c r="P492" s="23"/>
    </row>
    <row r="493" spans="2:16" x14ac:dyDescent="0.25">
      <c r="B493" s="23"/>
      <c r="E493" s="23"/>
      <c r="G493" s="23"/>
      <c r="H493" s="23"/>
      <c r="J493" s="23"/>
      <c r="K493" s="23"/>
      <c r="M493" s="23"/>
      <c r="N493" s="23"/>
      <c r="P493" s="23"/>
    </row>
    <row r="494" spans="2:16" x14ac:dyDescent="0.25">
      <c r="B494" s="23"/>
      <c r="E494" s="23"/>
      <c r="G494" s="23"/>
      <c r="H494" s="23"/>
      <c r="J494" s="23"/>
      <c r="K494" s="23"/>
      <c r="M494" s="23"/>
      <c r="N494" s="23"/>
      <c r="P494" s="23"/>
    </row>
    <row r="495" spans="2:16" x14ac:dyDescent="0.25">
      <c r="B495" s="23"/>
      <c r="E495" s="23"/>
      <c r="G495" s="23"/>
      <c r="H495" s="23"/>
      <c r="J495" s="23"/>
      <c r="K495" s="23"/>
      <c r="M495" s="23"/>
      <c r="N495" s="23"/>
      <c r="P495" s="23"/>
    </row>
    <row r="496" spans="2:16" x14ac:dyDescent="0.25">
      <c r="B496" s="23"/>
      <c r="E496" s="23"/>
      <c r="G496" s="23"/>
      <c r="H496" s="23"/>
      <c r="J496" s="23"/>
      <c r="K496" s="23"/>
      <c r="M496" s="23"/>
      <c r="N496" s="23"/>
      <c r="P496" s="23"/>
    </row>
    <row r="497" spans="2:16" x14ac:dyDescent="0.25">
      <c r="B497" s="23"/>
      <c r="E497" s="23"/>
      <c r="G497" s="23"/>
      <c r="H497" s="23"/>
      <c r="J497" s="23"/>
      <c r="K497" s="23"/>
      <c r="M497" s="23"/>
      <c r="N497" s="23"/>
      <c r="P497" s="23"/>
    </row>
    <row r="498" spans="2:16" x14ac:dyDescent="0.25">
      <c r="B498" s="23"/>
      <c r="E498" s="23"/>
      <c r="G498" s="23"/>
      <c r="H498" s="23"/>
      <c r="J498" s="23"/>
      <c r="K498" s="23"/>
      <c r="M498" s="23"/>
      <c r="N498" s="23"/>
      <c r="P498" s="23"/>
    </row>
    <row r="499" spans="2:16" x14ac:dyDescent="0.25">
      <c r="B499" s="23"/>
      <c r="E499" s="23"/>
      <c r="G499" s="23"/>
      <c r="H499" s="23"/>
      <c r="J499" s="23"/>
      <c r="K499" s="23"/>
      <c r="M499" s="23"/>
      <c r="N499" s="23"/>
      <c r="P499" s="23"/>
    </row>
    <row r="500" spans="2:16" x14ac:dyDescent="0.25">
      <c r="B500" s="23"/>
      <c r="E500" s="23"/>
      <c r="G500" s="23"/>
      <c r="H500" s="23"/>
      <c r="J500" s="23"/>
      <c r="K500" s="23"/>
      <c r="M500" s="23"/>
      <c r="N500" s="23"/>
      <c r="P500" s="23"/>
    </row>
    <row r="501" spans="2:16" x14ac:dyDescent="0.25">
      <c r="B501" s="23"/>
      <c r="E501" s="23"/>
      <c r="G501" s="23"/>
      <c r="H501" s="23"/>
      <c r="J501" s="23"/>
      <c r="K501" s="23"/>
      <c r="M501" s="23"/>
      <c r="N501" s="23"/>
      <c r="P501" s="23"/>
    </row>
    <row r="502" spans="2:16" x14ac:dyDescent="0.25">
      <c r="B502" s="23"/>
      <c r="E502" s="23"/>
      <c r="G502" s="23"/>
      <c r="H502" s="23"/>
      <c r="J502" s="23"/>
      <c r="K502" s="23"/>
      <c r="M502" s="23"/>
      <c r="N502" s="23"/>
      <c r="P502" s="23"/>
    </row>
    <row r="503" spans="2:16" x14ac:dyDescent="0.25">
      <c r="B503" s="23"/>
      <c r="E503" s="23"/>
      <c r="G503" s="23"/>
      <c r="H503" s="23"/>
      <c r="J503" s="23"/>
      <c r="K503" s="23"/>
      <c r="M503" s="23"/>
      <c r="N503" s="23"/>
      <c r="P503" s="23"/>
    </row>
    <row r="504" spans="2:16" x14ac:dyDescent="0.25">
      <c r="B504" s="23"/>
      <c r="E504" s="23"/>
      <c r="G504" s="23"/>
      <c r="H504" s="23"/>
      <c r="J504" s="23"/>
      <c r="K504" s="23"/>
      <c r="M504" s="23"/>
      <c r="N504" s="23"/>
      <c r="P504" s="23"/>
    </row>
    <row r="505" spans="2:16" x14ac:dyDescent="0.25">
      <c r="B505" s="23"/>
      <c r="E505" s="23"/>
      <c r="G505" s="23"/>
      <c r="H505" s="23"/>
      <c r="J505" s="23"/>
      <c r="K505" s="23"/>
      <c r="M505" s="23"/>
      <c r="N505" s="23"/>
      <c r="P505" s="23"/>
    </row>
    <row r="506" spans="2:16" x14ac:dyDescent="0.25">
      <c r="B506" s="23"/>
      <c r="E506" s="23"/>
      <c r="G506" s="23"/>
      <c r="H506" s="23"/>
      <c r="J506" s="23"/>
      <c r="K506" s="23"/>
      <c r="M506" s="23"/>
      <c r="N506" s="23"/>
      <c r="P506" s="23"/>
    </row>
    <row r="507" spans="2:16" x14ac:dyDescent="0.25">
      <c r="B507" s="23"/>
      <c r="E507" s="23"/>
      <c r="G507" s="23"/>
      <c r="H507" s="23"/>
      <c r="J507" s="23"/>
      <c r="K507" s="23"/>
      <c r="M507" s="23"/>
      <c r="N507" s="23"/>
      <c r="P507" s="23"/>
    </row>
    <row r="508" spans="2:16" x14ac:dyDescent="0.25">
      <c r="B508" s="23"/>
      <c r="E508" s="23"/>
      <c r="G508" s="23"/>
      <c r="H508" s="23"/>
      <c r="J508" s="23"/>
      <c r="K508" s="23"/>
      <c r="M508" s="23"/>
      <c r="N508" s="23"/>
      <c r="P508" s="23"/>
    </row>
    <row r="509" spans="2:16" x14ac:dyDescent="0.25">
      <c r="B509" s="23"/>
      <c r="E509" s="23"/>
      <c r="G509" s="23"/>
      <c r="H509" s="23"/>
      <c r="J509" s="23"/>
      <c r="K509" s="23"/>
      <c r="M509" s="23"/>
      <c r="N509" s="23"/>
      <c r="P509" s="23"/>
    </row>
    <row r="510" spans="2:16" x14ac:dyDescent="0.25">
      <c r="B510" s="23"/>
      <c r="E510" s="23"/>
      <c r="G510" s="23"/>
      <c r="H510" s="23"/>
      <c r="J510" s="23"/>
      <c r="K510" s="23"/>
      <c r="M510" s="23"/>
      <c r="N510" s="23"/>
      <c r="P510" s="23"/>
    </row>
    <row r="511" spans="2:16" x14ac:dyDescent="0.25">
      <c r="B511" s="23"/>
      <c r="E511" s="23"/>
      <c r="G511" s="23"/>
      <c r="H511" s="23"/>
      <c r="J511" s="23"/>
      <c r="K511" s="23"/>
      <c r="M511" s="23"/>
      <c r="N511" s="23"/>
      <c r="P511" s="23"/>
    </row>
    <row r="512" spans="2:16" x14ac:dyDescent="0.25">
      <c r="B512" s="23"/>
      <c r="E512" s="23"/>
      <c r="G512" s="23"/>
      <c r="H512" s="23"/>
      <c r="J512" s="23"/>
      <c r="K512" s="23"/>
      <c r="M512" s="23"/>
      <c r="N512" s="23"/>
      <c r="P512" s="23"/>
    </row>
    <row r="513" spans="2:16" x14ac:dyDescent="0.25">
      <c r="B513" s="23"/>
      <c r="E513" s="23"/>
      <c r="G513" s="23"/>
      <c r="H513" s="23"/>
      <c r="J513" s="23"/>
      <c r="K513" s="23"/>
      <c r="M513" s="23"/>
      <c r="N513" s="23"/>
      <c r="P513" s="23"/>
    </row>
    <row r="514" spans="2:16" x14ac:dyDescent="0.25">
      <c r="B514" s="23"/>
      <c r="E514" s="23"/>
      <c r="G514" s="23"/>
      <c r="H514" s="23"/>
      <c r="J514" s="23"/>
      <c r="K514" s="23"/>
      <c r="M514" s="23"/>
      <c r="N514" s="23"/>
      <c r="P514" s="23"/>
    </row>
    <row r="515" spans="2:16" x14ac:dyDescent="0.25">
      <c r="B515" s="23"/>
      <c r="E515" s="23"/>
      <c r="G515" s="23"/>
      <c r="H515" s="23"/>
      <c r="J515" s="23"/>
      <c r="K515" s="23"/>
      <c r="M515" s="23"/>
      <c r="N515" s="23"/>
      <c r="P515" s="23"/>
    </row>
    <row r="516" spans="2:16" x14ac:dyDescent="0.25">
      <c r="B516" s="23"/>
      <c r="E516" s="23"/>
      <c r="G516" s="23"/>
      <c r="H516" s="23"/>
      <c r="J516" s="23"/>
      <c r="K516" s="23"/>
      <c r="M516" s="23"/>
      <c r="N516" s="23"/>
      <c r="P516" s="23"/>
    </row>
    <row r="517" spans="2:16" x14ac:dyDescent="0.25">
      <c r="B517" s="23"/>
      <c r="E517" s="23"/>
      <c r="G517" s="23"/>
      <c r="H517" s="23"/>
      <c r="J517" s="23"/>
      <c r="K517" s="23"/>
      <c r="M517" s="23"/>
      <c r="N517" s="23"/>
      <c r="P517" s="23"/>
    </row>
    <row r="518" spans="2:16" x14ac:dyDescent="0.25">
      <c r="B518" s="23"/>
      <c r="E518" s="23"/>
      <c r="G518" s="23"/>
      <c r="H518" s="23"/>
      <c r="J518" s="23"/>
      <c r="K518" s="23"/>
      <c r="M518" s="23"/>
      <c r="N518" s="23"/>
      <c r="P518" s="23"/>
    </row>
    <row r="519" spans="2:16" x14ac:dyDescent="0.25">
      <c r="B519" s="23"/>
      <c r="E519" s="23"/>
      <c r="G519" s="23"/>
      <c r="H519" s="23"/>
      <c r="J519" s="23"/>
      <c r="K519" s="23"/>
      <c r="M519" s="23"/>
      <c r="N519" s="23"/>
      <c r="P519" s="23"/>
    </row>
    <row r="520" spans="2:16" x14ac:dyDescent="0.25">
      <c r="B520" s="23"/>
      <c r="E520" s="23"/>
      <c r="G520" s="23"/>
      <c r="H520" s="23"/>
      <c r="J520" s="23"/>
      <c r="K520" s="23"/>
      <c r="M520" s="23"/>
      <c r="N520" s="23"/>
      <c r="P520" s="23"/>
    </row>
    <row r="521" spans="2:16" x14ac:dyDescent="0.25">
      <c r="B521" s="23"/>
      <c r="E521" s="23"/>
      <c r="G521" s="23"/>
      <c r="H521" s="23"/>
      <c r="J521" s="23"/>
      <c r="K521" s="23"/>
      <c r="M521" s="23"/>
      <c r="N521" s="23"/>
      <c r="P521" s="23"/>
    </row>
    <row r="522" spans="2:16" x14ac:dyDescent="0.25">
      <c r="B522" s="23"/>
      <c r="E522" s="23"/>
      <c r="G522" s="23"/>
      <c r="H522" s="23"/>
      <c r="J522" s="23"/>
      <c r="K522" s="23"/>
      <c r="M522" s="23"/>
      <c r="N522" s="23"/>
      <c r="P522" s="23"/>
    </row>
    <row r="523" spans="2:16" x14ac:dyDescent="0.25">
      <c r="B523" s="23"/>
      <c r="E523" s="23"/>
      <c r="G523" s="23"/>
      <c r="H523" s="23"/>
      <c r="J523" s="23"/>
      <c r="K523" s="23"/>
      <c r="M523" s="23"/>
      <c r="N523" s="23"/>
      <c r="P523" s="23"/>
    </row>
    <row r="524" spans="2:16" x14ac:dyDescent="0.25">
      <c r="B524" s="23"/>
      <c r="E524" s="23"/>
      <c r="G524" s="23"/>
      <c r="H524" s="23"/>
      <c r="J524" s="23"/>
      <c r="K524" s="23"/>
      <c r="M524" s="23"/>
      <c r="N524" s="23"/>
      <c r="P524" s="23"/>
    </row>
    <row r="525" spans="2:16" x14ac:dyDescent="0.25">
      <c r="B525" s="23"/>
      <c r="E525" s="23"/>
      <c r="G525" s="23"/>
      <c r="H525" s="23"/>
      <c r="J525" s="23"/>
      <c r="K525" s="23"/>
      <c r="M525" s="23"/>
      <c r="N525" s="23"/>
      <c r="P525" s="23"/>
    </row>
    <row r="526" spans="2:16" x14ac:dyDescent="0.25">
      <c r="B526" s="23"/>
      <c r="E526" s="23"/>
      <c r="G526" s="23"/>
      <c r="H526" s="23"/>
      <c r="J526" s="23"/>
      <c r="K526" s="23"/>
      <c r="M526" s="23"/>
      <c r="N526" s="23"/>
      <c r="P526" s="23"/>
    </row>
    <row r="527" spans="2:16" x14ac:dyDescent="0.25">
      <c r="B527" s="23"/>
      <c r="E527" s="23"/>
      <c r="G527" s="23"/>
      <c r="H527" s="23"/>
      <c r="J527" s="23"/>
      <c r="K527" s="23"/>
      <c r="M527" s="23"/>
      <c r="N527" s="23"/>
      <c r="P527" s="23"/>
    </row>
    <row r="528" spans="2:16" x14ac:dyDescent="0.25">
      <c r="B528" s="23"/>
      <c r="E528" s="23"/>
      <c r="G528" s="23"/>
      <c r="H528" s="23"/>
      <c r="J528" s="23"/>
      <c r="K528" s="23"/>
      <c r="M528" s="23"/>
      <c r="N528" s="23"/>
      <c r="P528" s="23"/>
    </row>
    <row r="529" spans="2:16" x14ac:dyDescent="0.25">
      <c r="B529" s="23"/>
      <c r="E529" s="23"/>
      <c r="G529" s="23"/>
      <c r="H529" s="23"/>
      <c r="J529" s="23"/>
      <c r="K529" s="23"/>
      <c r="M529" s="23"/>
      <c r="N529" s="23"/>
      <c r="P529" s="23"/>
    </row>
    <row r="530" spans="2:16" x14ac:dyDescent="0.25">
      <c r="B530" s="23"/>
      <c r="E530" s="23"/>
      <c r="G530" s="23"/>
      <c r="H530" s="23"/>
      <c r="J530" s="23"/>
      <c r="K530" s="23"/>
      <c r="M530" s="23"/>
      <c r="N530" s="23"/>
      <c r="P530" s="23"/>
    </row>
    <row r="531" spans="2:16" x14ac:dyDescent="0.25">
      <c r="B531" s="23"/>
      <c r="E531" s="23"/>
      <c r="G531" s="23"/>
      <c r="H531" s="23"/>
      <c r="J531" s="23"/>
      <c r="K531" s="23"/>
      <c r="M531" s="23"/>
      <c r="N531" s="23"/>
      <c r="P531" s="23"/>
    </row>
    <row r="532" spans="2:16" x14ac:dyDescent="0.25">
      <c r="B532" s="23"/>
      <c r="E532" s="23"/>
      <c r="G532" s="23"/>
      <c r="H532" s="23"/>
      <c r="J532" s="23"/>
      <c r="K532" s="23"/>
      <c r="M532" s="23"/>
      <c r="N532" s="23"/>
      <c r="P532" s="23"/>
    </row>
    <row r="533" spans="2:16" x14ac:dyDescent="0.25">
      <c r="B533" s="23"/>
      <c r="E533" s="23"/>
      <c r="G533" s="23"/>
      <c r="H533" s="23"/>
      <c r="J533" s="23"/>
      <c r="K533" s="23"/>
      <c r="M533" s="23"/>
      <c r="N533" s="23"/>
      <c r="P533" s="23"/>
    </row>
    <row r="534" spans="2:16" x14ac:dyDescent="0.25">
      <c r="B534" s="23"/>
      <c r="E534" s="23"/>
      <c r="G534" s="23"/>
      <c r="H534" s="23"/>
      <c r="J534" s="23"/>
      <c r="K534" s="23"/>
      <c r="M534" s="23"/>
      <c r="N534" s="23"/>
      <c r="P534" s="23"/>
    </row>
    <row r="535" spans="2:16" x14ac:dyDescent="0.25">
      <c r="B535" s="23"/>
      <c r="E535" s="23"/>
      <c r="G535" s="23"/>
      <c r="H535" s="23"/>
      <c r="J535" s="23"/>
      <c r="K535" s="23"/>
      <c r="M535" s="23"/>
      <c r="N535" s="23"/>
      <c r="P535" s="23"/>
    </row>
    <row r="536" spans="2:16" x14ac:dyDescent="0.25">
      <c r="B536" s="23"/>
      <c r="E536" s="23"/>
      <c r="G536" s="23"/>
      <c r="H536" s="23"/>
      <c r="J536" s="23"/>
      <c r="K536" s="23"/>
      <c r="M536" s="23"/>
      <c r="N536" s="23"/>
      <c r="P536" s="23"/>
    </row>
    <row r="537" spans="2:16" x14ac:dyDescent="0.25">
      <c r="B537" s="23"/>
      <c r="E537" s="23"/>
      <c r="G537" s="23"/>
      <c r="H537" s="23"/>
      <c r="J537" s="23"/>
      <c r="K537" s="23"/>
      <c r="M537" s="23"/>
      <c r="N537" s="23"/>
      <c r="P537" s="23"/>
    </row>
    <row r="538" spans="2:16" x14ac:dyDescent="0.25">
      <c r="B538" s="23"/>
      <c r="E538" s="23"/>
      <c r="G538" s="23"/>
      <c r="H538" s="23"/>
      <c r="J538" s="23"/>
      <c r="K538" s="23"/>
      <c r="M538" s="23"/>
      <c r="N538" s="23"/>
      <c r="P538" s="23"/>
    </row>
    <row r="539" spans="2:16" x14ac:dyDescent="0.25">
      <c r="B539" s="23"/>
      <c r="E539" s="23"/>
      <c r="G539" s="23"/>
      <c r="H539" s="23"/>
      <c r="J539" s="23"/>
      <c r="K539" s="23"/>
      <c r="M539" s="23"/>
      <c r="N539" s="23"/>
      <c r="P539" s="23"/>
    </row>
    <row r="540" spans="2:16" x14ac:dyDescent="0.25">
      <c r="B540" s="23"/>
      <c r="E540" s="23"/>
      <c r="G540" s="23"/>
      <c r="H540" s="23"/>
      <c r="J540" s="23"/>
      <c r="K540" s="23"/>
      <c r="M540" s="23"/>
      <c r="N540" s="23"/>
      <c r="P540" s="23"/>
    </row>
    <row r="541" spans="2:16" x14ac:dyDescent="0.25">
      <c r="B541" s="23"/>
      <c r="E541" s="23"/>
      <c r="G541" s="23"/>
      <c r="H541" s="23"/>
      <c r="J541" s="23"/>
      <c r="K541" s="23"/>
      <c r="M541" s="23"/>
      <c r="N541" s="23"/>
      <c r="P541" s="23"/>
    </row>
    <row r="542" spans="2:16" x14ac:dyDescent="0.25">
      <c r="B542" s="23"/>
      <c r="E542" s="23"/>
      <c r="G542" s="23"/>
      <c r="H542" s="23"/>
      <c r="J542" s="23"/>
      <c r="K542" s="23"/>
      <c r="M542" s="23"/>
      <c r="N542" s="23"/>
      <c r="P542" s="23"/>
    </row>
    <row r="543" spans="2:16" x14ac:dyDescent="0.25">
      <c r="B543" s="23"/>
      <c r="E543" s="23"/>
      <c r="G543" s="23"/>
      <c r="H543" s="23"/>
      <c r="J543" s="23"/>
      <c r="K543" s="23"/>
      <c r="M543" s="23"/>
      <c r="N543" s="23"/>
      <c r="P543" s="23"/>
    </row>
    <row r="544" spans="2:16" x14ac:dyDescent="0.25">
      <c r="B544" s="23"/>
      <c r="E544" s="23"/>
      <c r="G544" s="23"/>
      <c r="H544" s="23"/>
      <c r="J544" s="23"/>
      <c r="K544" s="23"/>
      <c r="M544" s="23"/>
      <c r="N544" s="23"/>
      <c r="P544" s="23"/>
    </row>
    <row r="545" spans="2:16" x14ac:dyDescent="0.25">
      <c r="B545" s="23"/>
      <c r="E545" s="23"/>
      <c r="G545" s="23"/>
      <c r="H545" s="23"/>
      <c r="J545" s="23"/>
      <c r="K545" s="23"/>
      <c r="M545" s="23"/>
      <c r="N545" s="23"/>
      <c r="P545" s="23"/>
    </row>
    <row r="546" spans="2:16" x14ac:dyDescent="0.25">
      <c r="B546" s="23"/>
      <c r="E546" s="23"/>
      <c r="G546" s="23"/>
      <c r="H546" s="23"/>
      <c r="J546" s="23"/>
      <c r="K546" s="23"/>
      <c r="M546" s="23"/>
      <c r="N546" s="23"/>
      <c r="P546" s="23"/>
    </row>
    <row r="547" spans="2:16" x14ac:dyDescent="0.25">
      <c r="B547" s="23"/>
      <c r="E547" s="23"/>
      <c r="G547" s="23"/>
      <c r="H547" s="23"/>
      <c r="J547" s="23"/>
      <c r="K547" s="23"/>
      <c r="M547" s="23"/>
      <c r="N547" s="23"/>
      <c r="P547" s="23"/>
    </row>
    <row r="548" spans="2:16" x14ac:dyDescent="0.25">
      <c r="B548" s="23"/>
      <c r="E548" s="23"/>
      <c r="G548" s="23"/>
      <c r="H548" s="23"/>
      <c r="J548" s="23"/>
      <c r="K548" s="23"/>
      <c r="M548" s="23"/>
      <c r="N548" s="23"/>
      <c r="P548" s="23"/>
    </row>
    <row r="549" spans="2:16" x14ac:dyDescent="0.25">
      <c r="B549" s="23"/>
      <c r="E549" s="23"/>
      <c r="G549" s="23"/>
      <c r="H549" s="23"/>
      <c r="J549" s="23"/>
      <c r="K549" s="23"/>
      <c r="M549" s="23"/>
      <c r="N549" s="23"/>
      <c r="P549" s="23"/>
    </row>
    <row r="550" spans="2:16" x14ac:dyDescent="0.25">
      <c r="B550" s="23"/>
      <c r="E550" s="23"/>
      <c r="G550" s="23"/>
      <c r="H550" s="23"/>
      <c r="J550" s="23"/>
      <c r="K550" s="23"/>
      <c r="M550" s="23"/>
      <c r="N550" s="23"/>
      <c r="P550" s="23"/>
    </row>
    <row r="551" spans="2:16" x14ac:dyDescent="0.25">
      <c r="B551" s="23"/>
      <c r="E551" s="23"/>
      <c r="G551" s="23"/>
      <c r="H551" s="23"/>
      <c r="J551" s="23"/>
      <c r="K551" s="23"/>
      <c r="M551" s="23"/>
      <c r="N551" s="23"/>
      <c r="P551" s="23"/>
    </row>
    <row r="552" spans="2:16" x14ac:dyDescent="0.25">
      <c r="B552" s="23"/>
      <c r="E552" s="23"/>
      <c r="G552" s="23"/>
      <c r="H552" s="23"/>
      <c r="J552" s="23"/>
      <c r="K552" s="23"/>
      <c r="M552" s="23"/>
      <c r="N552" s="23"/>
      <c r="P552" s="23"/>
    </row>
    <row r="553" spans="2:16" x14ac:dyDescent="0.25">
      <c r="B553" s="23"/>
      <c r="E553" s="23"/>
      <c r="G553" s="23"/>
      <c r="H553" s="23"/>
      <c r="J553" s="23"/>
      <c r="K553" s="23"/>
      <c r="M553" s="23"/>
      <c r="N553" s="23"/>
      <c r="P553" s="23"/>
    </row>
    <row r="554" spans="2:16" x14ac:dyDescent="0.25">
      <c r="B554" s="23"/>
      <c r="E554" s="23"/>
      <c r="G554" s="23"/>
      <c r="H554" s="23"/>
      <c r="J554" s="23"/>
      <c r="K554" s="23"/>
      <c r="M554" s="23"/>
      <c r="N554" s="23"/>
      <c r="P554" s="23"/>
    </row>
    <row r="555" spans="2:16" x14ac:dyDescent="0.25">
      <c r="B555" s="23"/>
      <c r="E555" s="23"/>
      <c r="G555" s="23"/>
      <c r="H555" s="23"/>
      <c r="J555" s="23"/>
      <c r="K555" s="23"/>
      <c r="M555" s="23"/>
      <c r="N555" s="23"/>
      <c r="P555" s="23"/>
    </row>
    <row r="556" spans="2:16" x14ac:dyDescent="0.25">
      <c r="B556" s="23"/>
      <c r="E556" s="23"/>
      <c r="G556" s="23"/>
      <c r="H556" s="23"/>
      <c r="J556" s="23"/>
      <c r="K556" s="23"/>
      <c r="M556" s="23"/>
      <c r="N556" s="23"/>
      <c r="P556" s="23"/>
    </row>
    <row r="557" spans="2:16" x14ac:dyDescent="0.25">
      <c r="B557" s="23"/>
      <c r="E557" s="23"/>
      <c r="G557" s="23"/>
      <c r="H557" s="23"/>
      <c r="J557" s="23"/>
      <c r="K557" s="23"/>
      <c r="M557" s="23"/>
      <c r="N557" s="23"/>
      <c r="P557" s="23"/>
    </row>
    <row r="558" spans="2:16" x14ac:dyDescent="0.25">
      <c r="B558" s="23"/>
      <c r="E558" s="23"/>
      <c r="G558" s="23"/>
      <c r="H558" s="23"/>
      <c r="J558" s="23"/>
      <c r="K558" s="23"/>
      <c r="M558" s="23"/>
      <c r="N558" s="23"/>
      <c r="P558" s="23"/>
    </row>
    <row r="559" spans="2:16" x14ac:dyDescent="0.25">
      <c r="B559" s="23"/>
      <c r="E559" s="23"/>
      <c r="G559" s="23"/>
      <c r="H559" s="23"/>
      <c r="J559" s="23"/>
      <c r="K559" s="23"/>
      <c r="M559" s="23"/>
      <c r="N559" s="23"/>
      <c r="P559" s="23"/>
    </row>
    <row r="560" spans="2:16" x14ac:dyDescent="0.25">
      <c r="B560" s="23"/>
      <c r="E560" s="23"/>
      <c r="G560" s="23"/>
      <c r="H560" s="23"/>
      <c r="J560" s="23"/>
      <c r="K560" s="23"/>
      <c r="M560" s="23"/>
      <c r="N560" s="23"/>
      <c r="P560" s="23"/>
    </row>
    <row r="561" spans="2:16" x14ac:dyDescent="0.25">
      <c r="B561" s="23"/>
      <c r="E561" s="23"/>
      <c r="G561" s="23"/>
      <c r="H561" s="23"/>
      <c r="J561" s="23"/>
      <c r="K561" s="23"/>
      <c r="M561" s="23"/>
      <c r="N561" s="23"/>
      <c r="P561" s="23"/>
    </row>
    <row r="562" spans="2:16" x14ac:dyDescent="0.25">
      <c r="B562" s="23"/>
      <c r="E562" s="23"/>
      <c r="G562" s="23"/>
      <c r="H562" s="23"/>
      <c r="J562" s="23"/>
      <c r="K562" s="23"/>
      <c r="M562" s="23"/>
      <c r="N562" s="23"/>
      <c r="P562" s="23"/>
    </row>
    <row r="563" spans="2:16" x14ac:dyDescent="0.25">
      <c r="B563" s="23"/>
      <c r="E563" s="23"/>
      <c r="G563" s="23"/>
      <c r="H563" s="23"/>
      <c r="J563" s="23"/>
      <c r="K563" s="23"/>
      <c r="M563" s="23"/>
      <c r="N563" s="23"/>
      <c r="P563" s="23"/>
    </row>
    <row r="564" spans="2:16" x14ac:dyDescent="0.25">
      <c r="B564" s="23"/>
      <c r="E564" s="23"/>
      <c r="G564" s="23"/>
      <c r="H564" s="23"/>
      <c r="J564" s="23"/>
      <c r="K564" s="23"/>
      <c r="M564" s="23"/>
      <c r="N564" s="23"/>
      <c r="P564" s="23"/>
    </row>
    <row r="565" spans="2:16" x14ac:dyDescent="0.25">
      <c r="B565" s="23"/>
      <c r="E565" s="23"/>
      <c r="G565" s="23"/>
      <c r="H565" s="23"/>
      <c r="J565" s="23"/>
      <c r="K565" s="23"/>
      <c r="M565" s="23"/>
      <c r="N565" s="23"/>
      <c r="P565" s="23"/>
    </row>
    <row r="566" spans="2:16" x14ac:dyDescent="0.25">
      <c r="B566" s="23"/>
      <c r="E566" s="23"/>
      <c r="G566" s="23"/>
      <c r="H566" s="23"/>
      <c r="J566" s="23"/>
      <c r="K566" s="23"/>
      <c r="M566" s="23"/>
      <c r="N566" s="23"/>
      <c r="P566" s="23"/>
    </row>
    <row r="567" spans="2:16" x14ac:dyDescent="0.25">
      <c r="B567" s="23"/>
      <c r="E567" s="23"/>
      <c r="G567" s="23"/>
      <c r="H567" s="23"/>
      <c r="J567" s="23"/>
      <c r="K567" s="23"/>
      <c r="M567" s="23"/>
      <c r="N567" s="23"/>
      <c r="P567" s="23"/>
    </row>
    <row r="568" spans="2:16" x14ac:dyDescent="0.25">
      <c r="B568" s="23"/>
      <c r="E568" s="23"/>
      <c r="G568" s="23"/>
      <c r="H568" s="23"/>
      <c r="J568" s="23"/>
      <c r="K568" s="23"/>
      <c r="M568" s="23"/>
      <c r="N568" s="23"/>
      <c r="P568" s="23"/>
    </row>
    <row r="569" spans="2:16" x14ac:dyDescent="0.25">
      <c r="B569" s="23"/>
      <c r="E569" s="23"/>
      <c r="G569" s="23"/>
      <c r="H569" s="23"/>
      <c r="J569" s="23"/>
      <c r="K569" s="23"/>
      <c r="M569" s="23"/>
      <c r="N569" s="23"/>
      <c r="P569" s="23"/>
    </row>
    <row r="570" spans="2:16" x14ac:dyDescent="0.25">
      <c r="B570" s="23"/>
      <c r="E570" s="23"/>
      <c r="G570" s="23"/>
      <c r="H570" s="23"/>
      <c r="J570" s="23"/>
      <c r="K570" s="23"/>
      <c r="M570" s="23"/>
      <c r="N570" s="23"/>
      <c r="P570" s="23"/>
    </row>
    <row r="571" spans="2:16" x14ac:dyDescent="0.25">
      <c r="B571" s="23"/>
      <c r="E571" s="23"/>
      <c r="G571" s="23"/>
      <c r="H571" s="23"/>
      <c r="J571" s="23"/>
      <c r="K571" s="23"/>
      <c r="M571" s="23"/>
      <c r="N571" s="23"/>
      <c r="P571" s="23"/>
    </row>
    <row r="572" spans="2:16" x14ac:dyDescent="0.25">
      <c r="B572" s="23"/>
      <c r="E572" s="23"/>
      <c r="G572" s="23"/>
      <c r="H572" s="23"/>
      <c r="J572" s="23"/>
      <c r="K572" s="23"/>
      <c r="M572" s="23"/>
      <c r="N572" s="23"/>
      <c r="P572" s="23"/>
    </row>
    <row r="573" spans="2:16" x14ac:dyDescent="0.25">
      <c r="B573" s="23"/>
      <c r="E573" s="23"/>
      <c r="G573" s="23"/>
      <c r="H573" s="23"/>
      <c r="J573" s="23"/>
      <c r="K573" s="23"/>
      <c r="M573" s="23"/>
      <c r="N573" s="23"/>
      <c r="P573" s="23"/>
    </row>
    <row r="574" spans="2:16" x14ac:dyDescent="0.25">
      <c r="B574" s="23"/>
      <c r="E574" s="23"/>
      <c r="G574" s="23"/>
      <c r="H574" s="23"/>
      <c r="J574" s="23"/>
      <c r="K574" s="23"/>
      <c r="M574" s="23"/>
      <c r="N574" s="23"/>
      <c r="P574" s="23"/>
    </row>
    <row r="575" spans="2:16" x14ac:dyDescent="0.25">
      <c r="B575" s="23"/>
      <c r="E575" s="23"/>
      <c r="G575" s="23"/>
      <c r="H575" s="23"/>
      <c r="J575" s="23"/>
      <c r="K575" s="23"/>
      <c r="M575" s="23"/>
      <c r="N575" s="23"/>
      <c r="P575" s="23"/>
    </row>
    <row r="576" spans="2:16" x14ac:dyDescent="0.25">
      <c r="B576" s="23"/>
      <c r="E576" s="23"/>
      <c r="G576" s="23"/>
      <c r="H576" s="23"/>
      <c r="J576" s="23"/>
      <c r="K576" s="23"/>
      <c r="M576" s="23"/>
      <c r="N576" s="23"/>
      <c r="P576" s="23"/>
    </row>
    <row r="577" spans="2:16" x14ac:dyDescent="0.25">
      <c r="B577" s="23"/>
      <c r="E577" s="23"/>
      <c r="G577" s="23"/>
      <c r="H577" s="23"/>
      <c r="J577" s="23"/>
      <c r="K577" s="23"/>
      <c r="M577" s="23"/>
      <c r="N577" s="23"/>
      <c r="P577" s="23"/>
    </row>
    <row r="578" spans="2:16" x14ac:dyDescent="0.25">
      <c r="B578" s="23"/>
      <c r="E578" s="23"/>
      <c r="G578" s="23"/>
      <c r="H578" s="23"/>
      <c r="J578" s="23"/>
      <c r="K578" s="23"/>
      <c r="M578" s="23"/>
      <c r="N578" s="23"/>
      <c r="P578" s="23"/>
    </row>
    <row r="579" spans="2:16" x14ac:dyDescent="0.25">
      <c r="B579" s="23"/>
      <c r="E579" s="23"/>
      <c r="G579" s="23"/>
      <c r="H579" s="23"/>
      <c r="J579" s="23"/>
      <c r="K579" s="23"/>
      <c r="M579" s="23"/>
      <c r="N579" s="23"/>
      <c r="P579" s="23"/>
    </row>
    <row r="580" spans="2:16" x14ac:dyDescent="0.25">
      <c r="B580" s="23"/>
      <c r="E580" s="23"/>
      <c r="G580" s="23"/>
      <c r="H580" s="23"/>
      <c r="J580" s="23"/>
      <c r="K580" s="23"/>
      <c r="M580" s="23"/>
      <c r="N580" s="23"/>
      <c r="P580" s="23"/>
    </row>
    <row r="581" spans="2:16" x14ac:dyDescent="0.25">
      <c r="B581" s="23"/>
      <c r="E581" s="23"/>
      <c r="G581" s="23"/>
      <c r="H581" s="23"/>
      <c r="J581" s="23"/>
      <c r="K581" s="23"/>
      <c r="M581" s="23"/>
      <c r="N581" s="23"/>
      <c r="P581" s="23"/>
    </row>
    <row r="582" spans="2:16" x14ac:dyDescent="0.25">
      <c r="B582" s="23"/>
      <c r="E582" s="23"/>
      <c r="G582" s="23"/>
      <c r="H582" s="23"/>
      <c r="J582" s="23"/>
      <c r="K582" s="23"/>
      <c r="M582" s="23"/>
      <c r="N582" s="23"/>
      <c r="P582" s="23"/>
    </row>
    <row r="583" spans="2:16" x14ac:dyDescent="0.25">
      <c r="B583" s="23"/>
      <c r="E583" s="23"/>
      <c r="G583" s="23"/>
      <c r="H583" s="23"/>
      <c r="J583" s="23"/>
      <c r="K583" s="23"/>
      <c r="M583" s="23"/>
      <c r="N583" s="23"/>
      <c r="P583" s="23"/>
    </row>
    <row r="584" spans="2:16" x14ac:dyDescent="0.25">
      <c r="B584" s="23"/>
      <c r="E584" s="23"/>
      <c r="G584" s="23"/>
      <c r="H584" s="23"/>
      <c r="J584" s="23"/>
      <c r="K584" s="23"/>
      <c r="M584" s="23"/>
      <c r="N584" s="23"/>
      <c r="P584" s="23"/>
    </row>
    <row r="585" spans="2:16" x14ac:dyDescent="0.25">
      <c r="B585" s="23"/>
      <c r="E585" s="23"/>
      <c r="G585" s="23"/>
      <c r="H585" s="23"/>
      <c r="J585" s="23"/>
      <c r="K585" s="23"/>
      <c r="M585" s="23"/>
      <c r="N585" s="23"/>
      <c r="P585" s="23"/>
    </row>
    <row r="586" spans="2:16" x14ac:dyDescent="0.25">
      <c r="B586" s="23"/>
      <c r="E586" s="23"/>
      <c r="G586" s="23"/>
      <c r="H586" s="23"/>
      <c r="J586" s="23"/>
      <c r="K586" s="23"/>
      <c r="M586" s="23"/>
      <c r="N586" s="23"/>
      <c r="P586" s="23"/>
    </row>
    <row r="587" spans="2:16" x14ac:dyDescent="0.25">
      <c r="B587" s="23"/>
      <c r="E587" s="23"/>
      <c r="G587" s="23"/>
      <c r="H587" s="23"/>
      <c r="J587" s="23"/>
      <c r="K587" s="23"/>
      <c r="M587" s="23"/>
      <c r="N587" s="23"/>
      <c r="P587" s="23"/>
    </row>
    <row r="588" spans="2:16" x14ac:dyDescent="0.25">
      <c r="B588" s="23"/>
      <c r="E588" s="23"/>
      <c r="G588" s="23"/>
      <c r="H588" s="23"/>
      <c r="J588" s="23"/>
      <c r="K588" s="23"/>
      <c r="M588" s="23"/>
      <c r="N588" s="23"/>
      <c r="P588" s="23"/>
    </row>
    <row r="589" spans="2:16" x14ac:dyDescent="0.25">
      <c r="B589" s="23"/>
      <c r="E589" s="23"/>
      <c r="G589" s="23"/>
      <c r="H589" s="23"/>
      <c r="J589" s="23"/>
      <c r="K589" s="23"/>
      <c r="M589" s="23"/>
      <c r="N589" s="23"/>
      <c r="P589" s="23"/>
    </row>
    <row r="590" spans="2:16" x14ac:dyDescent="0.25">
      <c r="B590" s="23"/>
      <c r="E590" s="23"/>
      <c r="G590" s="23"/>
      <c r="H590" s="23"/>
      <c r="J590" s="23"/>
      <c r="K590" s="23"/>
      <c r="M590" s="23"/>
      <c r="N590" s="23"/>
      <c r="P590" s="23"/>
    </row>
    <row r="591" spans="2:16" x14ac:dyDescent="0.25">
      <c r="B591" s="23"/>
      <c r="E591" s="23"/>
      <c r="G591" s="23"/>
      <c r="H591" s="23"/>
      <c r="J591" s="23"/>
      <c r="K591" s="23"/>
      <c r="M591" s="23"/>
      <c r="N591" s="23"/>
      <c r="P591" s="23"/>
    </row>
    <row r="592" spans="2:16" x14ac:dyDescent="0.25">
      <c r="B592" s="23"/>
      <c r="E592" s="23"/>
      <c r="G592" s="23"/>
      <c r="H592" s="23"/>
      <c r="J592" s="23"/>
      <c r="K592" s="23"/>
      <c r="M592" s="23"/>
      <c r="N592" s="23"/>
      <c r="P592" s="23"/>
    </row>
    <row r="593" spans="2:16" x14ac:dyDescent="0.25">
      <c r="B593" s="23"/>
      <c r="E593" s="23"/>
      <c r="G593" s="23"/>
      <c r="H593" s="23"/>
      <c r="J593" s="23"/>
      <c r="K593" s="23"/>
      <c r="M593" s="23"/>
      <c r="N593" s="23"/>
      <c r="P593" s="23"/>
    </row>
    <row r="594" spans="2:16" x14ac:dyDescent="0.25">
      <c r="B594" s="23"/>
      <c r="E594" s="23"/>
      <c r="G594" s="23"/>
      <c r="H594" s="23"/>
      <c r="J594" s="23"/>
      <c r="K594" s="23"/>
      <c r="M594" s="23"/>
      <c r="N594" s="23"/>
      <c r="P594" s="23"/>
    </row>
    <row r="595" spans="2:16" x14ac:dyDescent="0.25">
      <c r="B595" s="23"/>
      <c r="E595" s="23"/>
      <c r="G595" s="23"/>
      <c r="H595" s="23"/>
      <c r="J595" s="23"/>
      <c r="K595" s="23"/>
      <c r="M595" s="23"/>
      <c r="N595" s="23"/>
      <c r="P595" s="23"/>
    </row>
    <row r="596" spans="2:16" x14ac:dyDescent="0.25">
      <c r="B596" s="23"/>
      <c r="E596" s="23"/>
      <c r="G596" s="23"/>
      <c r="H596" s="23"/>
      <c r="J596" s="23"/>
      <c r="K596" s="23"/>
      <c r="M596" s="23"/>
      <c r="N596" s="23"/>
      <c r="P596" s="23"/>
    </row>
    <row r="597" spans="2:16" x14ac:dyDescent="0.25">
      <c r="B597" s="23"/>
      <c r="E597" s="23"/>
      <c r="G597" s="23"/>
      <c r="H597" s="23"/>
      <c r="J597" s="23"/>
      <c r="K597" s="23"/>
      <c r="M597" s="23"/>
      <c r="N597" s="23"/>
      <c r="P597" s="23"/>
    </row>
    <row r="598" spans="2:16" x14ac:dyDescent="0.25">
      <c r="B598" s="23"/>
      <c r="E598" s="23"/>
      <c r="G598" s="23"/>
      <c r="H598" s="23"/>
      <c r="J598" s="23"/>
      <c r="K598" s="23"/>
      <c r="M598" s="23"/>
      <c r="N598" s="23"/>
      <c r="P598" s="23"/>
    </row>
    <row r="599" spans="2:16" x14ac:dyDescent="0.25">
      <c r="B599" s="23"/>
      <c r="E599" s="23"/>
      <c r="G599" s="23"/>
      <c r="H599" s="23"/>
      <c r="J599" s="23"/>
      <c r="K599" s="23"/>
      <c r="M599" s="23"/>
      <c r="N599" s="23"/>
      <c r="P599" s="23"/>
    </row>
    <row r="600" spans="2:16" x14ac:dyDescent="0.25">
      <c r="B600" s="23"/>
      <c r="E600" s="23"/>
      <c r="G600" s="23"/>
      <c r="H600" s="23"/>
      <c r="J600" s="23"/>
      <c r="K600" s="23"/>
      <c r="M600" s="23"/>
      <c r="N600" s="23"/>
      <c r="P600" s="23"/>
    </row>
    <row r="601" spans="2:16" x14ac:dyDescent="0.25">
      <c r="B601" s="23"/>
      <c r="E601" s="23"/>
      <c r="G601" s="23"/>
      <c r="H601" s="23"/>
      <c r="J601" s="23"/>
      <c r="K601" s="23"/>
      <c r="M601" s="23"/>
      <c r="N601" s="23"/>
      <c r="P601" s="23"/>
    </row>
    <row r="602" spans="2:16" x14ac:dyDescent="0.25">
      <c r="B602" s="23"/>
      <c r="E602" s="23"/>
      <c r="G602" s="23"/>
      <c r="H602" s="23"/>
      <c r="J602" s="23"/>
      <c r="K602" s="23"/>
      <c r="M602" s="23"/>
      <c r="N602" s="23"/>
      <c r="P602" s="23"/>
    </row>
    <row r="603" spans="2:16" x14ac:dyDescent="0.25">
      <c r="B603" s="23"/>
      <c r="E603" s="23"/>
      <c r="G603" s="23"/>
      <c r="H603" s="23"/>
      <c r="J603" s="23"/>
      <c r="K603" s="23"/>
      <c r="M603" s="23"/>
      <c r="N603" s="23"/>
      <c r="P603" s="23"/>
    </row>
    <row r="604" spans="2:16" x14ac:dyDescent="0.25">
      <c r="B604" s="23"/>
      <c r="E604" s="23"/>
      <c r="G604" s="23"/>
      <c r="H604" s="23"/>
      <c r="J604" s="23"/>
      <c r="K604" s="23"/>
      <c r="M604" s="23"/>
      <c r="N604" s="23"/>
      <c r="P604" s="23"/>
    </row>
    <row r="605" spans="2:16" x14ac:dyDescent="0.25">
      <c r="B605" s="23"/>
      <c r="E605" s="23"/>
      <c r="G605" s="23"/>
      <c r="H605" s="23"/>
      <c r="J605" s="23"/>
      <c r="K605" s="23"/>
      <c r="M605" s="23"/>
      <c r="N605" s="23"/>
      <c r="P605" s="23"/>
    </row>
    <row r="606" spans="2:16" x14ac:dyDescent="0.25">
      <c r="B606" s="23"/>
      <c r="E606" s="23"/>
      <c r="G606" s="23"/>
      <c r="H606" s="23"/>
      <c r="J606" s="23"/>
      <c r="K606" s="23"/>
      <c r="M606" s="23"/>
      <c r="N606" s="23"/>
      <c r="P606" s="23"/>
    </row>
    <row r="607" spans="2:16" x14ac:dyDescent="0.25">
      <c r="B607" s="23"/>
      <c r="E607" s="23"/>
      <c r="G607" s="23"/>
      <c r="H607" s="23"/>
      <c r="J607" s="23"/>
      <c r="K607" s="23"/>
      <c r="M607" s="23"/>
      <c r="N607" s="23"/>
      <c r="P607" s="23"/>
    </row>
    <row r="608" spans="2:16" x14ac:dyDescent="0.25">
      <c r="B608" s="23"/>
      <c r="E608" s="23"/>
      <c r="G608" s="23"/>
      <c r="H608" s="23"/>
      <c r="J608" s="23"/>
      <c r="K608" s="23"/>
      <c r="M608" s="23"/>
      <c r="N608" s="23"/>
      <c r="P608" s="23"/>
    </row>
    <row r="609" spans="2:16" x14ac:dyDescent="0.25">
      <c r="B609" s="23"/>
      <c r="E609" s="23"/>
      <c r="G609" s="23"/>
      <c r="H609" s="23"/>
      <c r="J609" s="23"/>
      <c r="K609" s="23"/>
      <c r="M609" s="23"/>
      <c r="N609" s="23"/>
      <c r="P609" s="23"/>
    </row>
    <row r="610" spans="2:16" x14ac:dyDescent="0.25">
      <c r="B610" s="23"/>
      <c r="E610" s="23"/>
      <c r="G610" s="23"/>
      <c r="H610" s="23"/>
      <c r="J610" s="23"/>
      <c r="K610" s="23"/>
      <c r="M610" s="23"/>
      <c r="N610" s="23"/>
      <c r="P610" s="23"/>
    </row>
    <row r="611" spans="2:16" x14ac:dyDescent="0.25">
      <c r="B611" s="23"/>
      <c r="E611" s="23"/>
      <c r="G611" s="23"/>
      <c r="H611" s="23"/>
      <c r="J611" s="23"/>
      <c r="K611" s="23"/>
      <c r="M611" s="23"/>
      <c r="N611" s="23"/>
      <c r="P611" s="23"/>
    </row>
    <row r="612" spans="2:16" x14ac:dyDescent="0.25">
      <c r="B612" s="23"/>
      <c r="E612" s="23"/>
      <c r="G612" s="23"/>
      <c r="H612" s="23"/>
      <c r="J612" s="23"/>
      <c r="K612" s="23"/>
      <c r="M612" s="23"/>
      <c r="N612" s="23"/>
      <c r="P612" s="23"/>
    </row>
    <row r="613" spans="2:16" x14ac:dyDescent="0.25">
      <c r="B613" s="23"/>
      <c r="E613" s="23"/>
      <c r="G613" s="23"/>
      <c r="H613" s="23"/>
      <c r="J613" s="23"/>
      <c r="K613" s="23"/>
      <c r="M613" s="23"/>
      <c r="N613" s="23"/>
      <c r="P613" s="23"/>
    </row>
    <row r="614" spans="2:16" x14ac:dyDescent="0.25">
      <c r="B614" s="23"/>
      <c r="E614" s="23"/>
      <c r="G614" s="23"/>
      <c r="H614" s="23"/>
      <c r="J614" s="23"/>
      <c r="K614" s="23"/>
      <c r="M614" s="23"/>
      <c r="N614" s="23"/>
      <c r="P614" s="23"/>
    </row>
    <row r="615" spans="2:16" x14ac:dyDescent="0.25">
      <c r="B615" s="23"/>
      <c r="E615" s="23"/>
      <c r="G615" s="23"/>
      <c r="H615" s="23"/>
      <c r="J615" s="23"/>
      <c r="K615" s="23"/>
      <c r="M615" s="23"/>
      <c r="N615" s="23"/>
      <c r="P615" s="23"/>
    </row>
    <row r="616" spans="2:16" x14ac:dyDescent="0.25">
      <c r="B616" s="23"/>
      <c r="E616" s="23"/>
      <c r="G616" s="23"/>
      <c r="H616" s="23"/>
      <c r="J616" s="23"/>
      <c r="K616" s="23"/>
      <c r="M616" s="23"/>
      <c r="N616" s="23"/>
      <c r="P616" s="23"/>
    </row>
    <row r="617" spans="2:16" x14ac:dyDescent="0.25">
      <c r="B617" s="23"/>
      <c r="E617" s="23"/>
      <c r="G617" s="23"/>
      <c r="H617" s="23"/>
      <c r="J617" s="23"/>
      <c r="K617" s="23"/>
      <c r="M617" s="23"/>
      <c r="N617" s="23"/>
      <c r="P617" s="23"/>
    </row>
    <row r="618" spans="2:16" x14ac:dyDescent="0.25">
      <c r="B618" s="23"/>
      <c r="E618" s="23"/>
      <c r="G618" s="23"/>
      <c r="H618" s="23"/>
      <c r="J618" s="23"/>
      <c r="K618" s="23"/>
      <c r="M618" s="23"/>
      <c r="N618" s="23"/>
      <c r="P618" s="23"/>
    </row>
    <row r="619" spans="2:16" x14ac:dyDescent="0.25">
      <c r="B619" s="23"/>
      <c r="E619" s="23"/>
      <c r="G619" s="23"/>
      <c r="H619" s="23"/>
      <c r="J619" s="23"/>
      <c r="K619" s="23"/>
      <c r="M619" s="23"/>
      <c r="N619" s="23"/>
      <c r="P619" s="23"/>
    </row>
    <row r="620" spans="2:16" x14ac:dyDescent="0.25">
      <c r="B620" s="23"/>
      <c r="E620" s="23"/>
      <c r="G620" s="23"/>
      <c r="H620" s="23"/>
      <c r="J620" s="23"/>
      <c r="K620" s="23"/>
      <c r="M620" s="23"/>
      <c r="N620" s="23"/>
      <c r="P620" s="23"/>
    </row>
    <row r="621" spans="2:16" x14ac:dyDescent="0.25">
      <c r="B621" s="23"/>
      <c r="E621" s="23"/>
      <c r="G621" s="23"/>
      <c r="H621" s="23"/>
      <c r="J621" s="23"/>
      <c r="K621" s="23"/>
      <c r="M621" s="23"/>
      <c r="N621" s="23"/>
      <c r="P621" s="23"/>
    </row>
    <row r="622" spans="2:16" x14ac:dyDescent="0.25">
      <c r="B622" s="23"/>
      <c r="E622" s="23"/>
      <c r="G622" s="23"/>
      <c r="H622" s="23"/>
      <c r="J622" s="23"/>
      <c r="K622" s="23"/>
      <c r="M622" s="23"/>
      <c r="N622" s="23"/>
      <c r="P622" s="23"/>
    </row>
    <row r="623" spans="2:16" x14ac:dyDescent="0.25">
      <c r="B623" s="23"/>
      <c r="E623" s="23"/>
      <c r="G623" s="23"/>
      <c r="H623" s="23"/>
      <c r="J623" s="23"/>
      <c r="K623" s="23"/>
      <c r="M623" s="23"/>
      <c r="N623" s="23"/>
      <c r="P623" s="23"/>
    </row>
    <row r="624" spans="2:16" x14ac:dyDescent="0.25">
      <c r="B624" s="23"/>
      <c r="E624" s="23"/>
      <c r="G624" s="23"/>
      <c r="H624" s="23"/>
      <c r="J624" s="23"/>
      <c r="K624" s="23"/>
      <c r="M624" s="23"/>
      <c r="N624" s="23"/>
      <c r="P624" s="23"/>
    </row>
    <row r="625" spans="2:16" x14ac:dyDescent="0.25">
      <c r="B625" s="23"/>
      <c r="E625" s="23"/>
      <c r="G625" s="23"/>
      <c r="H625" s="23"/>
      <c r="J625" s="23"/>
      <c r="K625" s="23"/>
      <c r="M625" s="23"/>
      <c r="N625" s="23"/>
      <c r="P625" s="23"/>
    </row>
    <row r="626" spans="2:16" x14ac:dyDescent="0.25">
      <c r="B626" s="23"/>
      <c r="E626" s="23"/>
      <c r="G626" s="23"/>
      <c r="H626" s="23"/>
      <c r="J626" s="23"/>
      <c r="K626" s="23"/>
      <c r="M626" s="23"/>
      <c r="N626" s="23"/>
      <c r="P626" s="23"/>
    </row>
    <row r="627" spans="2:16" x14ac:dyDescent="0.25">
      <c r="B627" s="23"/>
      <c r="E627" s="23"/>
      <c r="G627" s="23"/>
      <c r="H627" s="23"/>
      <c r="J627" s="23"/>
      <c r="K627" s="23"/>
      <c r="M627" s="23"/>
      <c r="N627" s="23"/>
      <c r="P627" s="23"/>
    </row>
    <row r="628" spans="2:16" x14ac:dyDescent="0.25">
      <c r="B628" s="23"/>
      <c r="E628" s="23"/>
      <c r="G628" s="23"/>
      <c r="H628" s="23"/>
      <c r="J628" s="23"/>
      <c r="K628" s="23"/>
      <c r="M628" s="23"/>
      <c r="N628" s="23"/>
      <c r="P628" s="23"/>
    </row>
    <row r="629" spans="2:16" x14ac:dyDescent="0.25">
      <c r="B629" s="23"/>
      <c r="E629" s="23"/>
      <c r="G629" s="23"/>
      <c r="H629" s="23"/>
      <c r="J629" s="23"/>
      <c r="K629" s="23"/>
      <c r="M629" s="23"/>
      <c r="N629" s="23"/>
      <c r="P629" s="23"/>
    </row>
    <row r="630" spans="2:16" x14ac:dyDescent="0.25">
      <c r="B630" s="23"/>
      <c r="E630" s="23"/>
      <c r="G630" s="23"/>
      <c r="H630" s="23"/>
      <c r="J630" s="23"/>
      <c r="K630" s="23"/>
      <c r="M630" s="23"/>
      <c r="N630" s="23"/>
      <c r="P630" s="23"/>
    </row>
    <row r="631" spans="2:16" x14ac:dyDescent="0.25">
      <c r="B631" s="23"/>
      <c r="E631" s="23"/>
      <c r="G631" s="23"/>
      <c r="H631" s="23"/>
      <c r="J631" s="23"/>
      <c r="K631" s="23"/>
      <c r="M631" s="23"/>
      <c r="N631" s="23"/>
      <c r="P631" s="23"/>
    </row>
    <row r="632" spans="2:16" x14ac:dyDescent="0.25">
      <c r="B632" s="23"/>
      <c r="E632" s="23"/>
      <c r="G632" s="23"/>
      <c r="H632" s="23"/>
      <c r="J632" s="23"/>
      <c r="K632" s="23"/>
      <c r="M632" s="23"/>
      <c r="N632" s="23"/>
      <c r="P632" s="23"/>
    </row>
    <row r="633" spans="2:16" x14ac:dyDescent="0.25">
      <c r="B633" s="23"/>
      <c r="E633" s="23"/>
      <c r="G633" s="23"/>
      <c r="H633" s="23"/>
      <c r="J633" s="23"/>
      <c r="K633" s="23"/>
      <c r="M633" s="23"/>
      <c r="N633" s="23"/>
      <c r="P633" s="23"/>
    </row>
    <row r="634" spans="2:16" x14ac:dyDescent="0.25">
      <c r="B634" s="23"/>
      <c r="E634" s="23"/>
      <c r="G634" s="23"/>
      <c r="H634" s="23"/>
      <c r="J634" s="23"/>
      <c r="K634" s="23"/>
      <c r="M634" s="23"/>
      <c r="N634" s="23"/>
      <c r="P634" s="23"/>
    </row>
    <row r="635" spans="2:16" x14ac:dyDescent="0.25">
      <c r="B635" s="23"/>
      <c r="E635" s="23"/>
      <c r="G635" s="23"/>
      <c r="H635" s="23"/>
      <c r="J635" s="23"/>
      <c r="K635" s="23"/>
      <c r="M635" s="23"/>
      <c r="N635" s="23"/>
      <c r="P635" s="23"/>
    </row>
    <row r="636" spans="2:16" x14ac:dyDescent="0.25">
      <c r="B636" s="23"/>
      <c r="E636" s="23"/>
      <c r="G636" s="23"/>
      <c r="H636" s="23"/>
      <c r="J636" s="23"/>
      <c r="K636" s="23"/>
      <c r="M636" s="23"/>
      <c r="N636" s="23"/>
      <c r="P636" s="23"/>
    </row>
    <row r="637" spans="2:16" x14ac:dyDescent="0.25">
      <c r="B637" s="23"/>
      <c r="E637" s="23"/>
      <c r="G637" s="23"/>
      <c r="H637" s="23"/>
      <c r="J637" s="23"/>
      <c r="K637" s="23"/>
      <c r="M637" s="23"/>
      <c r="N637" s="23"/>
      <c r="P637" s="23"/>
    </row>
    <row r="638" spans="2:16" x14ac:dyDescent="0.25">
      <c r="B638" s="23"/>
      <c r="E638" s="23"/>
      <c r="G638" s="23"/>
      <c r="H638" s="23"/>
      <c r="J638" s="23"/>
      <c r="K638" s="23"/>
      <c r="M638" s="23"/>
      <c r="N638" s="23"/>
      <c r="P638" s="23"/>
    </row>
    <row r="639" spans="2:16" x14ac:dyDescent="0.25">
      <c r="B639" s="23"/>
      <c r="E639" s="23"/>
      <c r="G639" s="23"/>
      <c r="H639" s="23"/>
      <c r="J639" s="23"/>
      <c r="K639" s="23"/>
      <c r="M639" s="23"/>
      <c r="N639" s="23"/>
      <c r="P639" s="23"/>
    </row>
    <row r="640" spans="2:16" x14ac:dyDescent="0.25">
      <c r="B640" s="23"/>
      <c r="E640" s="23"/>
      <c r="G640" s="23"/>
      <c r="H640" s="23"/>
      <c r="J640" s="23"/>
      <c r="K640" s="23"/>
      <c r="M640" s="23"/>
      <c r="N640" s="23"/>
      <c r="P640" s="23"/>
    </row>
    <row r="641" spans="2:16" x14ac:dyDescent="0.25">
      <c r="B641" s="23"/>
      <c r="E641" s="23"/>
      <c r="G641" s="23"/>
      <c r="H641" s="23"/>
      <c r="J641" s="23"/>
      <c r="K641" s="23"/>
      <c r="M641" s="23"/>
      <c r="N641" s="23"/>
      <c r="P641" s="23"/>
    </row>
    <row r="642" spans="2:16" x14ac:dyDescent="0.25">
      <c r="B642" s="23"/>
      <c r="E642" s="23"/>
      <c r="G642" s="23"/>
      <c r="H642" s="23"/>
      <c r="J642" s="23"/>
      <c r="K642" s="23"/>
      <c r="M642" s="23"/>
      <c r="N642" s="23"/>
      <c r="P642" s="23"/>
    </row>
    <row r="643" spans="2:16" x14ac:dyDescent="0.25">
      <c r="B643" s="23"/>
      <c r="E643" s="23"/>
      <c r="G643" s="23"/>
      <c r="H643" s="23"/>
      <c r="J643" s="23"/>
      <c r="K643" s="23"/>
      <c r="M643" s="23"/>
      <c r="N643" s="23"/>
      <c r="P643" s="23"/>
    </row>
    <row r="644" spans="2:16" x14ac:dyDescent="0.25">
      <c r="B644" s="23"/>
      <c r="E644" s="23"/>
      <c r="G644" s="23"/>
      <c r="H644" s="23"/>
      <c r="J644" s="23"/>
      <c r="K644" s="23"/>
      <c r="M644" s="23"/>
      <c r="N644" s="23"/>
      <c r="P644" s="23"/>
    </row>
    <row r="645" spans="2:16" x14ac:dyDescent="0.25">
      <c r="B645" s="23"/>
      <c r="E645" s="23"/>
      <c r="G645" s="23"/>
      <c r="H645" s="23"/>
      <c r="J645" s="23"/>
      <c r="K645" s="23"/>
      <c r="M645" s="23"/>
      <c r="N645" s="23"/>
      <c r="P645" s="23"/>
    </row>
    <row r="646" spans="2:16" x14ac:dyDescent="0.25">
      <c r="B646" s="23"/>
      <c r="E646" s="23"/>
      <c r="G646" s="23"/>
      <c r="H646" s="23"/>
      <c r="J646" s="23"/>
      <c r="K646" s="23"/>
      <c r="M646" s="23"/>
      <c r="N646" s="23"/>
      <c r="P646" s="23"/>
    </row>
    <row r="647" spans="2:16" x14ac:dyDescent="0.25">
      <c r="B647" s="23"/>
      <c r="E647" s="23"/>
      <c r="G647" s="23"/>
      <c r="H647" s="23"/>
      <c r="J647" s="23"/>
      <c r="K647" s="23"/>
      <c r="M647" s="23"/>
      <c r="N647" s="23"/>
      <c r="P647" s="23"/>
    </row>
    <row r="648" spans="2:16" x14ac:dyDescent="0.25">
      <c r="B648" s="23"/>
      <c r="E648" s="23"/>
      <c r="G648" s="23"/>
      <c r="H648" s="23"/>
      <c r="J648" s="23"/>
      <c r="K648" s="23"/>
      <c r="M648" s="23"/>
      <c r="N648" s="23"/>
      <c r="P648" s="23"/>
    </row>
    <row r="649" spans="2:16" x14ac:dyDescent="0.25">
      <c r="B649" s="23"/>
      <c r="E649" s="23"/>
      <c r="G649" s="23"/>
      <c r="H649" s="23"/>
      <c r="J649" s="23"/>
      <c r="K649" s="23"/>
      <c r="M649" s="23"/>
      <c r="N649" s="23"/>
      <c r="P649" s="23"/>
    </row>
    <row r="650" spans="2:16" x14ac:dyDescent="0.25">
      <c r="B650" s="23"/>
      <c r="E650" s="23"/>
      <c r="G650" s="23"/>
      <c r="H650" s="23"/>
      <c r="J650" s="23"/>
      <c r="K650" s="23"/>
      <c r="M650" s="23"/>
      <c r="N650" s="23"/>
      <c r="P650" s="23"/>
    </row>
    <row r="651" spans="2:16" x14ac:dyDescent="0.25">
      <c r="B651" s="23"/>
      <c r="E651" s="23"/>
      <c r="G651" s="23"/>
      <c r="H651" s="23"/>
      <c r="J651" s="23"/>
      <c r="K651" s="23"/>
      <c r="M651" s="23"/>
      <c r="N651" s="23"/>
      <c r="P651" s="23"/>
    </row>
    <row r="652" spans="2:16" x14ac:dyDescent="0.25">
      <c r="B652" s="23"/>
      <c r="E652" s="23"/>
      <c r="G652" s="23"/>
      <c r="H652" s="23"/>
      <c r="J652" s="23"/>
      <c r="K652" s="23"/>
      <c r="M652" s="23"/>
      <c r="N652" s="23"/>
      <c r="P652" s="23"/>
    </row>
    <row r="653" spans="2:16" x14ac:dyDescent="0.25">
      <c r="B653" s="23"/>
      <c r="E653" s="23"/>
      <c r="G653" s="23"/>
      <c r="H653" s="23"/>
      <c r="J653" s="23"/>
      <c r="K653" s="23"/>
      <c r="M653" s="23"/>
      <c r="N653" s="23"/>
      <c r="P653" s="23"/>
    </row>
    <row r="654" spans="2:16" x14ac:dyDescent="0.25">
      <c r="B654" s="23"/>
      <c r="E654" s="23"/>
      <c r="G654" s="23"/>
      <c r="H654" s="23"/>
      <c r="J654" s="23"/>
      <c r="K654" s="23"/>
      <c r="M654" s="23"/>
      <c r="N654" s="23"/>
      <c r="P654" s="23"/>
    </row>
    <row r="655" spans="2:16" x14ac:dyDescent="0.25">
      <c r="B655" s="23"/>
      <c r="E655" s="23"/>
      <c r="G655" s="23"/>
      <c r="H655" s="23"/>
      <c r="J655" s="23"/>
      <c r="K655" s="23"/>
      <c r="M655" s="23"/>
      <c r="N655" s="23"/>
      <c r="P655" s="23"/>
    </row>
    <row r="656" spans="2:16" x14ac:dyDescent="0.25">
      <c r="B656" s="23"/>
      <c r="E656" s="23"/>
      <c r="G656" s="23"/>
      <c r="H656" s="23"/>
      <c r="J656" s="23"/>
      <c r="K656" s="23"/>
      <c r="M656" s="23"/>
      <c r="N656" s="23"/>
      <c r="P656" s="23"/>
    </row>
    <row r="657" spans="2:16" x14ac:dyDescent="0.25">
      <c r="B657" s="23"/>
      <c r="E657" s="23"/>
      <c r="G657" s="23"/>
      <c r="H657" s="23"/>
      <c r="J657" s="23"/>
      <c r="K657" s="23"/>
      <c r="M657" s="23"/>
      <c r="N657" s="23"/>
      <c r="P657" s="23"/>
    </row>
    <row r="658" spans="2:16" x14ac:dyDescent="0.25">
      <c r="B658" s="23"/>
      <c r="E658" s="23"/>
      <c r="G658" s="23"/>
      <c r="H658" s="23"/>
      <c r="J658" s="23"/>
      <c r="K658" s="23"/>
      <c r="M658" s="23"/>
      <c r="N658" s="23"/>
      <c r="P658" s="23"/>
    </row>
    <row r="659" spans="2:16" x14ac:dyDescent="0.25">
      <c r="B659" s="23"/>
      <c r="E659" s="23"/>
      <c r="G659" s="23"/>
      <c r="H659" s="23"/>
      <c r="J659" s="23"/>
      <c r="K659" s="23"/>
      <c r="M659" s="23"/>
      <c r="N659" s="23"/>
      <c r="P659" s="23"/>
    </row>
    <row r="660" spans="2:16" x14ac:dyDescent="0.25">
      <c r="B660" s="23"/>
      <c r="E660" s="23"/>
      <c r="G660" s="23"/>
      <c r="H660" s="23"/>
      <c r="J660" s="23"/>
      <c r="K660" s="23"/>
      <c r="M660" s="23"/>
      <c r="N660" s="23"/>
      <c r="P660" s="23"/>
    </row>
    <row r="661" spans="2:16" x14ac:dyDescent="0.25">
      <c r="B661" s="23"/>
      <c r="E661" s="23"/>
      <c r="G661" s="23"/>
      <c r="H661" s="23"/>
      <c r="J661" s="23"/>
      <c r="K661" s="23"/>
      <c r="M661" s="23"/>
      <c r="N661" s="23"/>
      <c r="P661" s="23"/>
    </row>
    <row r="662" spans="2:16" x14ac:dyDescent="0.25">
      <c r="B662" s="23"/>
      <c r="E662" s="23"/>
      <c r="G662" s="23"/>
      <c r="H662" s="23"/>
      <c r="J662" s="23"/>
      <c r="K662" s="23"/>
      <c r="M662" s="23"/>
      <c r="N662" s="23"/>
      <c r="P662" s="23"/>
    </row>
    <row r="663" spans="2:16" x14ac:dyDescent="0.25">
      <c r="B663" s="23"/>
      <c r="E663" s="23"/>
      <c r="G663" s="23"/>
      <c r="H663" s="23"/>
      <c r="J663" s="23"/>
      <c r="K663" s="23"/>
      <c r="M663" s="23"/>
      <c r="N663" s="23"/>
      <c r="P663" s="23"/>
    </row>
    <row r="664" spans="2:16" x14ac:dyDescent="0.25">
      <c r="B664" s="23"/>
      <c r="E664" s="23"/>
      <c r="G664" s="23"/>
      <c r="H664" s="23"/>
      <c r="J664" s="23"/>
      <c r="K664" s="23"/>
      <c r="M664" s="23"/>
      <c r="N664" s="23"/>
      <c r="P664" s="23"/>
    </row>
    <row r="665" spans="2:16" x14ac:dyDescent="0.25">
      <c r="B665" s="23"/>
      <c r="E665" s="23"/>
      <c r="G665" s="23"/>
      <c r="H665" s="23"/>
      <c r="J665" s="23"/>
      <c r="K665" s="23"/>
      <c r="M665" s="23"/>
      <c r="N665" s="23"/>
      <c r="P665" s="23"/>
    </row>
    <row r="666" spans="2:16" x14ac:dyDescent="0.25">
      <c r="B666" s="23"/>
      <c r="E666" s="23"/>
      <c r="G666" s="23"/>
      <c r="H666" s="23"/>
      <c r="J666" s="23"/>
      <c r="K666" s="23"/>
      <c r="M666" s="23"/>
      <c r="N666" s="23"/>
      <c r="P666" s="23"/>
    </row>
    <row r="667" spans="2:16" x14ac:dyDescent="0.25">
      <c r="B667" s="23"/>
      <c r="E667" s="23"/>
      <c r="G667" s="23"/>
      <c r="H667" s="23"/>
      <c r="J667" s="23"/>
      <c r="K667" s="23"/>
      <c r="M667" s="23"/>
      <c r="N667" s="23"/>
      <c r="P667" s="23"/>
    </row>
    <row r="668" spans="2:16" x14ac:dyDescent="0.25">
      <c r="B668" s="23"/>
      <c r="E668" s="23"/>
      <c r="G668" s="23"/>
      <c r="H668" s="23"/>
      <c r="J668" s="23"/>
      <c r="K668" s="23"/>
      <c r="M668" s="23"/>
      <c r="N668" s="23"/>
      <c r="P668" s="23"/>
    </row>
    <row r="669" spans="2:16" x14ac:dyDescent="0.25">
      <c r="B669" s="23"/>
      <c r="E669" s="23"/>
      <c r="G669" s="23"/>
      <c r="H669" s="23"/>
      <c r="J669" s="23"/>
      <c r="K669" s="23"/>
      <c r="M669" s="23"/>
      <c r="N669" s="23"/>
      <c r="P669" s="23"/>
    </row>
    <row r="670" spans="2:16" x14ac:dyDescent="0.25">
      <c r="B670" s="23"/>
      <c r="E670" s="23"/>
      <c r="G670" s="23"/>
      <c r="H670" s="23"/>
      <c r="J670" s="23"/>
      <c r="K670" s="23"/>
      <c r="M670" s="23"/>
      <c r="N670" s="23"/>
      <c r="P670" s="23"/>
    </row>
    <row r="671" spans="2:16" x14ac:dyDescent="0.25">
      <c r="B671" s="23"/>
      <c r="E671" s="23"/>
      <c r="G671" s="23"/>
      <c r="H671" s="23"/>
      <c r="J671" s="23"/>
      <c r="K671" s="23"/>
      <c r="M671" s="23"/>
      <c r="N671" s="23"/>
      <c r="P671" s="23"/>
    </row>
    <row r="672" spans="2:16" x14ac:dyDescent="0.25">
      <c r="B672" s="23"/>
      <c r="E672" s="23"/>
      <c r="G672" s="23"/>
      <c r="H672" s="23"/>
      <c r="J672" s="23"/>
      <c r="K672" s="23"/>
      <c r="M672" s="23"/>
      <c r="N672" s="23"/>
      <c r="P672" s="23"/>
    </row>
    <row r="673" spans="2:16" x14ac:dyDescent="0.25">
      <c r="B673" s="23"/>
      <c r="E673" s="23"/>
      <c r="G673" s="23"/>
      <c r="H673" s="23"/>
      <c r="J673" s="23"/>
      <c r="K673" s="23"/>
      <c r="M673" s="23"/>
      <c r="N673" s="23"/>
      <c r="P673" s="23"/>
    </row>
    <row r="674" spans="2:16" x14ac:dyDescent="0.25">
      <c r="B674" s="23"/>
      <c r="E674" s="23"/>
      <c r="G674" s="23"/>
      <c r="H674" s="23"/>
      <c r="J674" s="23"/>
      <c r="K674" s="23"/>
      <c r="M674" s="23"/>
      <c r="N674" s="23"/>
      <c r="P674" s="23"/>
    </row>
    <row r="675" spans="2:16" x14ac:dyDescent="0.25">
      <c r="B675" s="23"/>
      <c r="E675" s="23"/>
      <c r="G675" s="23"/>
      <c r="H675" s="23"/>
      <c r="J675" s="23"/>
      <c r="K675" s="23"/>
      <c r="M675" s="23"/>
      <c r="N675" s="23"/>
      <c r="P675" s="23"/>
    </row>
    <row r="676" spans="2:16" x14ac:dyDescent="0.25">
      <c r="B676" s="23"/>
      <c r="E676" s="23"/>
      <c r="G676" s="23"/>
      <c r="H676" s="23"/>
      <c r="J676" s="23"/>
      <c r="K676" s="23"/>
      <c r="M676" s="23"/>
      <c r="N676" s="23"/>
      <c r="P676" s="23"/>
    </row>
    <row r="677" spans="2:16" x14ac:dyDescent="0.25">
      <c r="B677" s="23"/>
      <c r="E677" s="23"/>
      <c r="G677" s="23"/>
      <c r="H677" s="23"/>
      <c r="J677" s="23"/>
      <c r="K677" s="23"/>
      <c r="M677" s="23"/>
      <c r="N677" s="23"/>
      <c r="P677" s="23"/>
    </row>
    <row r="678" spans="2:16" x14ac:dyDescent="0.25">
      <c r="B678" s="23"/>
      <c r="E678" s="23"/>
      <c r="G678" s="23"/>
      <c r="H678" s="23"/>
      <c r="J678" s="23"/>
      <c r="K678" s="23"/>
      <c r="M678" s="23"/>
      <c r="N678" s="23"/>
      <c r="P678" s="23"/>
    </row>
    <row r="679" spans="2:16" x14ac:dyDescent="0.25">
      <c r="B679" s="23"/>
      <c r="E679" s="23"/>
      <c r="G679" s="23"/>
      <c r="H679" s="23"/>
      <c r="J679" s="23"/>
      <c r="K679" s="23"/>
      <c r="M679" s="23"/>
      <c r="N679" s="23"/>
      <c r="P679" s="23"/>
    </row>
    <row r="680" spans="2:16" x14ac:dyDescent="0.25">
      <c r="B680" s="23"/>
      <c r="E680" s="23"/>
      <c r="G680" s="23"/>
      <c r="H680" s="23"/>
      <c r="J680" s="23"/>
      <c r="K680" s="23"/>
      <c r="M680" s="23"/>
      <c r="N680" s="23"/>
      <c r="P680" s="23"/>
    </row>
    <row r="681" spans="2:16" x14ac:dyDescent="0.25">
      <c r="B681" s="23"/>
      <c r="E681" s="23"/>
      <c r="G681" s="23"/>
      <c r="H681" s="23"/>
      <c r="J681" s="23"/>
      <c r="K681" s="23"/>
      <c r="M681" s="23"/>
      <c r="N681" s="23"/>
      <c r="P681" s="23"/>
    </row>
    <row r="682" spans="2:16" x14ac:dyDescent="0.25">
      <c r="B682" s="23"/>
      <c r="E682" s="23"/>
      <c r="G682" s="23"/>
      <c r="H682" s="23"/>
      <c r="J682" s="23"/>
      <c r="K682" s="23"/>
      <c r="M682" s="23"/>
      <c r="N682" s="23"/>
      <c r="P682" s="23"/>
    </row>
    <row r="683" spans="2:16" x14ac:dyDescent="0.25">
      <c r="B683" s="23"/>
      <c r="E683" s="23"/>
      <c r="G683" s="23"/>
      <c r="H683" s="23"/>
      <c r="J683" s="23"/>
      <c r="K683" s="23"/>
      <c r="M683" s="23"/>
      <c r="N683" s="23"/>
      <c r="P683" s="23"/>
    </row>
    <row r="684" spans="2:16" x14ac:dyDescent="0.25">
      <c r="B684" s="23"/>
      <c r="E684" s="23"/>
      <c r="G684" s="23"/>
      <c r="H684" s="23"/>
      <c r="J684" s="23"/>
      <c r="K684" s="23"/>
      <c r="M684" s="23"/>
      <c r="N684" s="23"/>
      <c r="P684" s="23"/>
    </row>
    <row r="685" spans="2:16" x14ac:dyDescent="0.25">
      <c r="B685" s="23"/>
      <c r="E685" s="23"/>
      <c r="G685" s="23"/>
      <c r="H685" s="23"/>
      <c r="J685" s="23"/>
      <c r="K685" s="23"/>
      <c r="M685" s="23"/>
      <c r="N685" s="23"/>
      <c r="P685" s="23"/>
    </row>
    <row r="686" spans="2:16" x14ac:dyDescent="0.25">
      <c r="B686" s="23"/>
      <c r="E686" s="23"/>
      <c r="G686" s="23"/>
      <c r="H686" s="23"/>
      <c r="J686" s="23"/>
      <c r="K686" s="23"/>
      <c r="M686" s="23"/>
      <c r="N686" s="23"/>
      <c r="P686" s="23"/>
    </row>
    <row r="687" spans="2:16" x14ac:dyDescent="0.25">
      <c r="B687" s="23"/>
      <c r="E687" s="23"/>
      <c r="G687" s="23"/>
      <c r="H687" s="23"/>
      <c r="J687" s="23"/>
      <c r="K687" s="23"/>
      <c r="M687" s="23"/>
      <c r="N687" s="23"/>
      <c r="P687" s="23"/>
    </row>
    <row r="688" spans="2:16" x14ac:dyDescent="0.25">
      <c r="B688" s="23"/>
      <c r="E688" s="23"/>
      <c r="G688" s="23"/>
      <c r="H688" s="23"/>
      <c r="J688" s="23"/>
      <c r="K688" s="23"/>
      <c r="M688" s="23"/>
      <c r="N688" s="23"/>
      <c r="P688" s="23"/>
    </row>
    <row r="689" spans="2:16" x14ac:dyDescent="0.25">
      <c r="B689" s="23"/>
      <c r="E689" s="23"/>
      <c r="G689" s="23"/>
      <c r="H689" s="23"/>
      <c r="J689" s="23"/>
      <c r="K689" s="23"/>
      <c r="M689" s="23"/>
      <c r="N689" s="23"/>
      <c r="P689" s="23"/>
    </row>
    <row r="690" spans="2:16" x14ac:dyDescent="0.25">
      <c r="B690" s="23"/>
      <c r="E690" s="23"/>
      <c r="G690" s="23"/>
      <c r="H690" s="23"/>
      <c r="J690" s="23"/>
      <c r="K690" s="23"/>
      <c r="M690" s="23"/>
      <c r="N690" s="23"/>
      <c r="P690" s="23"/>
    </row>
    <row r="691" spans="2:16" x14ac:dyDescent="0.25">
      <c r="B691" s="23"/>
      <c r="E691" s="23"/>
      <c r="G691" s="23"/>
      <c r="H691" s="23"/>
      <c r="J691" s="23"/>
      <c r="K691" s="23"/>
      <c r="M691" s="23"/>
      <c r="N691" s="23"/>
      <c r="P691" s="23"/>
    </row>
    <row r="692" spans="2:16" x14ac:dyDescent="0.25">
      <c r="B692" s="23"/>
      <c r="E692" s="23"/>
      <c r="G692" s="23"/>
      <c r="H692" s="23"/>
      <c r="J692" s="23"/>
      <c r="K692" s="23"/>
      <c r="M692" s="23"/>
      <c r="N692" s="23"/>
      <c r="P692" s="23"/>
    </row>
    <row r="693" spans="2:16" x14ac:dyDescent="0.25">
      <c r="B693" s="23"/>
      <c r="E693" s="23"/>
      <c r="G693" s="23"/>
      <c r="H693" s="23"/>
      <c r="J693" s="23"/>
      <c r="K693" s="23"/>
      <c r="M693" s="23"/>
      <c r="N693" s="23"/>
      <c r="P693" s="23"/>
    </row>
    <row r="694" spans="2:16" x14ac:dyDescent="0.25">
      <c r="B694" s="23"/>
      <c r="E694" s="23"/>
      <c r="G694" s="23"/>
      <c r="H694" s="23"/>
      <c r="J694" s="23"/>
      <c r="K694" s="23"/>
      <c r="M694" s="23"/>
      <c r="N694" s="23"/>
      <c r="P694" s="23"/>
    </row>
    <row r="695" spans="2:16" x14ac:dyDescent="0.25">
      <c r="B695" s="23"/>
      <c r="E695" s="23"/>
      <c r="G695" s="23"/>
      <c r="H695" s="23"/>
      <c r="J695" s="23"/>
      <c r="K695" s="23"/>
      <c r="M695" s="23"/>
      <c r="N695" s="23"/>
      <c r="P695" s="23"/>
    </row>
    <row r="696" spans="2:16" x14ac:dyDescent="0.25">
      <c r="B696" s="23"/>
      <c r="E696" s="23"/>
      <c r="G696" s="23"/>
      <c r="H696" s="23"/>
      <c r="J696" s="23"/>
      <c r="K696" s="23"/>
      <c r="M696" s="23"/>
      <c r="N696" s="23"/>
      <c r="P696" s="23"/>
    </row>
    <row r="697" spans="2:16" x14ac:dyDescent="0.25">
      <c r="B697" s="23"/>
      <c r="E697" s="23"/>
      <c r="G697" s="23"/>
      <c r="H697" s="23"/>
      <c r="J697" s="23"/>
      <c r="K697" s="23"/>
      <c r="M697" s="23"/>
      <c r="N697" s="23"/>
      <c r="P697" s="23"/>
    </row>
    <row r="698" spans="2:16" x14ac:dyDescent="0.25">
      <c r="B698" s="23"/>
      <c r="E698" s="23"/>
      <c r="G698" s="23"/>
      <c r="H698" s="23"/>
      <c r="J698" s="23"/>
      <c r="K698" s="23"/>
      <c r="M698" s="23"/>
      <c r="N698" s="23"/>
      <c r="P698" s="23"/>
    </row>
    <row r="699" spans="2:16" x14ac:dyDescent="0.25">
      <c r="B699" s="23"/>
      <c r="E699" s="23"/>
      <c r="G699" s="23"/>
      <c r="H699" s="23"/>
      <c r="J699" s="23"/>
      <c r="K699" s="23"/>
      <c r="M699" s="23"/>
      <c r="N699" s="23"/>
      <c r="P699" s="23"/>
    </row>
    <row r="700" spans="2:16" x14ac:dyDescent="0.25">
      <c r="B700" s="23"/>
      <c r="E700" s="23"/>
      <c r="G700" s="23"/>
      <c r="H700" s="23"/>
      <c r="J700" s="23"/>
      <c r="K700" s="23"/>
      <c r="M700" s="23"/>
      <c r="N700" s="23"/>
      <c r="P700" s="23"/>
    </row>
    <row r="701" spans="2:16" x14ac:dyDescent="0.25">
      <c r="B701" s="23"/>
      <c r="E701" s="23"/>
      <c r="G701" s="23"/>
      <c r="H701" s="23"/>
      <c r="J701" s="23"/>
      <c r="K701" s="23"/>
      <c r="M701" s="23"/>
      <c r="N701" s="23"/>
      <c r="P701" s="23"/>
    </row>
    <row r="702" spans="2:16" x14ac:dyDescent="0.25">
      <c r="B702" s="23"/>
      <c r="E702" s="23"/>
      <c r="G702" s="23"/>
      <c r="H702" s="23"/>
      <c r="J702" s="23"/>
      <c r="K702" s="23"/>
      <c r="M702" s="23"/>
      <c r="N702" s="23"/>
      <c r="P702" s="23"/>
    </row>
    <row r="703" spans="2:16" x14ac:dyDescent="0.25">
      <c r="B703" s="23"/>
      <c r="E703" s="23"/>
      <c r="G703" s="23"/>
      <c r="H703" s="23"/>
      <c r="J703" s="23"/>
      <c r="K703" s="23"/>
      <c r="M703" s="23"/>
      <c r="N703" s="23"/>
      <c r="P703" s="23"/>
    </row>
    <row r="704" spans="2:16" x14ac:dyDescent="0.25">
      <c r="B704" s="23"/>
      <c r="E704" s="23"/>
      <c r="G704" s="23"/>
      <c r="H704" s="23"/>
      <c r="J704" s="23"/>
      <c r="K704" s="23"/>
      <c r="M704" s="23"/>
      <c r="N704" s="23"/>
      <c r="P704" s="23"/>
    </row>
    <row r="705" spans="2:16" x14ac:dyDescent="0.25">
      <c r="B705" s="23"/>
      <c r="E705" s="23"/>
      <c r="G705" s="23"/>
      <c r="H705" s="23"/>
      <c r="J705" s="23"/>
      <c r="K705" s="23"/>
      <c r="M705" s="23"/>
      <c r="N705" s="23"/>
      <c r="P705" s="23"/>
    </row>
    <row r="706" spans="2:16" x14ac:dyDescent="0.25">
      <c r="B706" s="23"/>
      <c r="E706" s="23"/>
      <c r="G706" s="23"/>
      <c r="H706" s="23"/>
      <c r="J706" s="23"/>
      <c r="K706" s="23"/>
      <c r="M706" s="23"/>
      <c r="N706" s="23"/>
      <c r="P706" s="23"/>
    </row>
    <row r="707" spans="2:16" x14ac:dyDescent="0.25">
      <c r="B707" s="23"/>
      <c r="E707" s="23"/>
      <c r="G707" s="23"/>
      <c r="H707" s="23"/>
      <c r="J707" s="23"/>
      <c r="K707" s="23"/>
      <c r="M707" s="23"/>
      <c r="N707" s="23"/>
      <c r="P707" s="23"/>
    </row>
    <row r="708" spans="2:16" x14ac:dyDescent="0.25">
      <c r="B708" s="23"/>
      <c r="E708" s="23"/>
      <c r="G708" s="23"/>
      <c r="H708" s="23"/>
      <c r="J708" s="23"/>
      <c r="K708" s="23"/>
      <c r="M708" s="23"/>
      <c r="N708" s="23"/>
      <c r="P708" s="23"/>
    </row>
    <row r="709" spans="2:16" x14ac:dyDescent="0.25">
      <c r="B709" s="23"/>
      <c r="E709" s="23"/>
      <c r="G709" s="23"/>
      <c r="H709" s="23"/>
      <c r="J709" s="23"/>
      <c r="K709" s="23"/>
      <c r="M709" s="23"/>
      <c r="N709" s="23"/>
      <c r="P709" s="23"/>
    </row>
    <row r="710" spans="2:16" x14ac:dyDescent="0.25">
      <c r="B710" s="23"/>
      <c r="E710" s="23"/>
      <c r="G710" s="23"/>
      <c r="H710" s="23"/>
      <c r="J710" s="23"/>
      <c r="K710" s="23"/>
      <c r="M710" s="23"/>
      <c r="N710" s="23"/>
      <c r="P710" s="23"/>
    </row>
    <row r="711" spans="2:16" x14ac:dyDescent="0.25">
      <c r="B711" s="23"/>
      <c r="E711" s="23"/>
      <c r="G711" s="23"/>
      <c r="H711" s="23"/>
      <c r="J711" s="23"/>
      <c r="K711" s="23"/>
      <c r="M711" s="23"/>
      <c r="N711" s="23"/>
      <c r="P711" s="23"/>
    </row>
    <row r="712" spans="2:16" x14ac:dyDescent="0.25">
      <c r="B712" s="23"/>
      <c r="E712" s="23"/>
      <c r="G712" s="23"/>
      <c r="H712" s="23"/>
      <c r="J712" s="23"/>
      <c r="K712" s="23"/>
      <c r="M712" s="23"/>
      <c r="N712" s="23"/>
      <c r="P712" s="23"/>
    </row>
    <row r="713" spans="2:16" x14ac:dyDescent="0.25">
      <c r="B713" s="23"/>
      <c r="E713" s="23"/>
      <c r="G713" s="23"/>
      <c r="H713" s="23"/>
      <c r="J713" s="23"/>
      <c r="K713" s="23"/>
      <c r="M713" s="23"/>
      <c r="N713" s="23"/>
      <c r="P713" s="23"/>
    </row>
    <row r="714" spans="2:16" x14ac:dyDescent="0.25">
      <c r="B714" s="23"/>
      <c r="E714" s="23"/>
      <c r="G714" s="23"/>
      <c r="H714" s="23"/>
      <c r="J714" s="23"/>
      <c r="K714" s="23"/>
      <c r="M714" s="23"/>
      <c r="N714" s="23"/>
      <c r="P714" s="23"/>
    </row>
    <row r="715" spans="2:16" x14ac:dyDescent="0.25">
      <c r="B715" s="23"/>
      <c r="E715" s="23"/>
      <c r="G715" s="23"/>
      <c r="H715" s="23"/>
      <c r="J715" s="23"/>
      <c r="K715" s="23"/>
      <c r="M715" s="23"/>
      <c r="N715" s="23"/>
      <c r="P715" s="23"/>
    </row>
    <row r="716" spans="2:16" x14ac:dyDescent="0.25">
      <c r="B716" s="23"/>
      <c r="E716" s="23"/>
      <c r="G716" s="23"/>
      <c r="H716" s="23"/>
      <c r="J716" s="23"/>
      <c r="K716" s="23"/>
      <c r="M716" s="23"/>
      <c r="N716" s="23"/>
      <c r="P716" s="23"/>
    </row>
    <row r="717" spans="2:16" x14ac:dyDescent="0.25">
      <c r="B717" s="23"/>
      <c r="E717" s="23"/>
      <c r="G717" s="23"/>
      <c r="H717" s="23"/>
      <c r="J717" s="23"/>
      <c r="K717" s="23"/>
      <c r="M717" s="23"/>
      <c r="N717" s="23"/>
      <c r="P717" s="23"/>
    </row>
    <row r="718" spans="2:16" x14ac:dyDescent="0.25">
      <c r="B718" s="23"/>
      <c r="E718" s="23"/>
      <c r="G718" s="23"/>
      <c r="H718" s="23"/>
      <c r="J718" s="23"/>
      <c r="K718" s="23"/>
      <c r="M718" s="23"/>
      <c r="N718" s="23"/>
      <c r="P718" s="23"/>
    </row>
    <row r="719" spans="2:16" x14ac:dyDescent="0.25">
      <c r="B719" s="23"/>
      <c r="E719" s="23"/>
      <c r="G719" s="23"/>
      <c r="H719" s="23"/>
      <c r="J719" s="23"/>
      <c r="K719" s="23"/>
      <c r="M719" s="23"/>
      <c r="N719" s="23"/>
      <c r="P719" s="23"/>
    </row>
    <row r="720" spans="2:16" x14ac:dyDescent="0.25">
      <c r="B720" s="23"/>
      <c r="E720" s="23"/>
      <c r="G720" s="23"/>
      <c r="H720" s="23"/>
      <c r="J720" s="23"/>
      <c r="K720" s="23"/>
      <c r="M720" s="23"/>
      <c r="N720" s="23"/>
      <c r="P720" s="23"/>
    </row>
    <row r="721" spans="2:16" x14ac:dyDescent="0.25">
      <c r="B721" s="23"/>
      <c r="E721" s="23"/>
      <c r="G721" s="23"/>
      <c r="H721" s="23"/>
      <c r="J721" s="23"/>
      <c r="K721" s="23"/>
      <c r="M721" s="23"/>
      <c r="N721" s="23"/>
      <c r="P721" s="23"/>
    </row>
    <row r="722" spans="2:16" x14ac:dyDescent="0.25">
      <c r="B722" s="23"/>
      <c r="E722" s="23"/>
      <c r="G722" s="23"/>
      <c r="H722" s="23"/>
      <c r="J722" s="23"/>
      <c r="K722" s="23"/>
      <c r="M722" s="23"/>
      <c r="N722" s="23"/>
      <c r="P722" s="23"/>
    </row>
    <row r="723" spans="2:16" x14ac:dyDescent="0.25">
      <c r="B723" s="23"/>
      <c r="E723" s="23"/>
      <c r="G723" s="23"/>
      <c r="H723" s="23"/>
      <c r="J723" s="23"/>
      <c r="K723" s="23"/>
      <c r="M723" s="23"/>
      <c r="N723" s="23"/>
      <c r="P723" s="23"/>
    </row>
    <row r="724" spans="2:16" x14ac:dyDescent="0.25">
      <c r="B724" s="23"/>
      <c r="E724" s="23"/>
      <c r="G724" s="23"/>
      <c r="H724" s="23"/>
      <c r="J724" s="23"/>
      <c r="K724" s="23"/>
      <c r="M724" s="23"/>
      <c r="N724" s="23"/>
      <c r="P724" s="23"/>
    </row>
    <row r="725" spans="2:16" x14ac:dyDescent="0.25">
      <c r="B725" s="23"/>
      <c r="E725" s="23"/>
      <c r="G725" s="23"/>
      <c r="H725" s="23"/>
      <c r="J725" s="23"/>
      <c r="K725" s="23"/>
      <c r="M725" s="23"/>
      <c r="N725" s="23"/>
      <c r="P725" s="23"/>
    </row>
    <row r="726" spans="2:16" x14ac:dyDescent="0.25">
      <c r="B726" s="23"/>
      <c r="E726" s="23"/>
      <c r="G726" s="23"/>
      <c r="H726" s="23"/>
      <c r="J726" s="23"/>
      <c r="K726" s="23"/>
      <c r="M726" s="23"/>
      <c r="N726" s="23"/>
      <c r="P726" s="23"/>
    </row>
    <row r="727" spans="2:16" x14ac:dyDescent="0.25">
      <c r="B727" s="23"/>
      <c r="E727" s="23"/>
      <c r="G727" s="23"/>
      <c r="H727" s="23"/>
      <c r="J727" s="23"/>
      <c r="K727" s="23"/>
      <c r="M727" s="23"/>
      <c r="N727" s="23"/>
      <c r="P727" s="23"/>
    </row>
    <row r="728" spans="2:16" x14ac:dyDescent="0.25">
      <c r="B728" s="23"/>
      <c r="E728" s="23"/>
      <c r="G728" s="23"/>
      <c r="H728" s="23"/>
      <c r="J728" s="23"/>
      <c r="K728" s="23"/>
      <c r="M728" s="23"/>
      <c r="N728" s="23"/>
      <c r="P728" s="23"/>
    </row>
    <row r="729" spans="2:16" x14ac:dyDescent="0.25">
      <c r="B729" s="23"/>
      <c r="E729" s="23"/>
      <c r="G729" s="23"/>
      <c r="H729" s="23"/>
      <c r="J729" s="23"/>
      <c r="K729" s="23"/>
      <c r="M729" s="23"/>
      <c r="N729" s="23"/>
      <c r="P729" s="23"/>
    </row>
    <row r="730" spans="2:16" x14ac:dyDescent="0.25">
      <c r="B730" s="23"/>
      <c r="E730" s="23"/>
      <c r="G730" s="23"/>
      <c r="H730" s="23"/>
      <c r="J730" s="23"/>
      <c r="K730" s="23"/>
      <c r="M730" s="23"/>
      <c r="N730" s="23"/>
      <c r="P730" s="23"/>
    </row>
    <row r="731" spans="2:16" x14ac:dyDescent="0.25">
      <c r="B731" s="23"/>
      <c r="E731" s="23"/>
      <c r="G731" s="23"/>
      <c r="H731" s="23"/>
      <c r="J731" s="23"/>
      <c r="K731" s="23"/>
      <c r="M731" s="23"/>
      <c r="N731" s="23"/>
      <c r="P731" s="23"/>
    </row>
    <row r="732" spans="2:16" x14ac:dyDescent="0.25">
      <c r="B732" s="23"/>
      <c r="E732" s="23"/>
      <c r="G732" s="23"/>
      <c r="H732" s="23"/>
      <c r="J732" s="23"/>
      <c r="K732" s="23"/>
      <c r="M732" s="23"/>
      <c r="N732" s="23"/>
      <c r="P732" s="23"/>
    </row>
    <row r="733" spans="2:16" x14ac:dyDescent="0.25">
      <c r="B733" s="23"/>
      <c r="E733" s="23"/>
      <c r="G733" s="23"/>
      <c r="H733" s="23"/>
      <c r="J733" s="23"/>
      <c r="K733" s="23"/>
      <c r="M733" s="23"/>
      <c r="N733" s="23"/>
      <c r="P733" s="23"/>
    </row>
    <row r="734" spans="2:16" x14ac:dyDescent="0.25">
      <c r="B734" s="23"/>
      <c r="E734" s="23"/>
      <c r="G734" s="23"/>
      <c r="H734" s="23"/>
      <c r="J734" s="23"/>
      <c r="K734" s="23"/>
      <c r="M734" s="23"/>
      <c r="N734" s="23"/>
      <c r="P734" s="23"/>
    </row>
    <row r="735" spans="2:16" x14ac:dyDescent="0.25">
      <c r="B735" s="23"/>
      <c r="E735" s="23"/>
      <c r="G735" s="23"/>
      <c r="H735" s="23"/>
      <c r="J735" s="23"/>
      <c r="K735" s="23"/>
      <c r="M735" s="23"/>
      <c r="N735" s="23"/>
      <c r="P735" s="23"/>
    </row>
    <row r="736" spans="2:16" x14ac:dyDescent="0.25">
      <c r="B736" s="23"/>
      <c r="E736" s="23"/>
      <c r="G736" s="23"/>
      <c r="H736" s="23"/>
      <c r="J736" s="23"/>
      <c r="K736" s="23"/>
      <c r="M736" s="23"/>
      <c r="N736" s="23"/>
      <c r="P736" s="23"/>
    </row>
    <row r="737" spans="2:16" x14ac:dyDescent="0.25">
      <c r="B737" s="23"/>
      <c r="E737" s="23"/>
      <c r="G737" s="23"/>
      <c r="H737" s="23"/>
      <c r="J737" s="23"/>
      <c r="K737" s="23"/>
      <c r="M737" s="23"/>
      <c r="N737" s="23"/>
      <c r="P737" s="23"/>
    </row>
    <row r="738" spans="2:16" x14ac:dyDescent="0.25">
      <c r="B738" s="23"/>
      <c r="E738" s="23"/>
      <c r="G738" s="23"/>
      <c r="H738" s="23"/>
      <c r="J738" s="23"/>
      <c r="K738" s="23"/>
      <c r="M738" s="23"/>
      <c r="N738" s="23"/>
      <c r="P738" s="23"/>
    </row>
    <row r="739" spans="2:16" x14ac:dyDescent="0.25">
      <c r="B739" s="23"/>
      <c r="E739" s="23"/>
      <c r="G739" s="23"/>
      <c r="H739" s="23"/>
      <c r="J739" s="23"/>
      <c r="K739" s="23"/>
      <c r="M739" s="23"/>
      <c r="N739" s="23"/>
      <c r="P739" s="23"/>
    </row>
    <row r="740" spans="2:16" x14ac:dyDescent="0.25">
      <c r="B740" s="23"/>
      <c r="E740" s="23"/>
      <c r="G740" s="23"/>
      <c r="H740" s="23"/>
      <c r="J740" s="23"/>
      <c r="K740" s="23"/>
      <c r="M740" s="23"/>
      <c r="N740" s="23"/>
      <c r="P740" s="23"/>
    </row>
    <row r="741" spans="2:16" x14ac:dyDescent="0.25">
      <c r="B741" s="23"/>
      <c r="E741" s="23"/>
      <c r="G741" s="23"/>
      <c r="H741" s="23"/>
      <c r="J741" s="23"/>
      <c r="K741" s="23"/>
      <c r="M741" s="23"/>
      <c r="N741" s="23"/>
      <c r="P741" s="23"/>
    </row>
    <row r="742" spans="2:16" x14ac:dyDescent="0.25">
      <c r="B742" s="23"/>
      <c r="E742" s="23"/>
      <c r="G742" s="23"/>
      <c r="H742" s="23"/>
      <c r="J742" s="23"/>
      <c r="K742" s="23"/>
      <c r="M742" s="23"/>
      <c r="N742" s="23"/>
      <c r="P742" s="23"/>
    </row>
    <row r="743" spans="2:16" x14ac:dyDescent="0.25">
      <c r="B743" s="23"/>
      <c r="E743" s="23"/>
      <c r="G743" s="23"/>
      <c r="H743" s="23"/>
      <c r="J743" s="23"/>
      <c r="K743" s="23"/>
      <c r="M743" s="23"/>
      <c r="N743" s="23"/>
      <c r="P743" s="23"/>
    </row>
    <row r="744" spans="2:16" x14ac:dyDescent="0.25">
      <c r="B744" s="23"/>
      <c r="E744" s="23"/>
      <c r="G744" s="23"/>
      <c r="H744" s="23"/>
      <c r="J744" s="23"/>
      <c r="K744" s="23"/>
      <c r="M744" s="23"/>
      <c r="N744" s="23"/>
      <c r="P744" s="23"/>
    </row>
    <row r="745" spans="2:16" x14ac:dyDescent="0.25">
      <c r="B745" s="23"/>
      <c r="E745" s="23"/>
      <c r="G745" s="23"/>
      <c r="H745" s="23"/>
      <c r="J745" s="23"/>
      <c r="K745" s="23"/>
      <c r="M745" s="23"/>
      <c r="N745" s="23"/>
      <c r="P745" s="23"/>
    </row>
    <row r="746" spans="2:16" x14ac:dyDescent="0.25">
      <c r="B746" s="23"/>
      <c r="E746" s="23"/>
      <c r="G746" s="23"/>
      <c r="H746" s="23"/>
      <c r="J746" s="23"/>
      <c r="K746" s="23"/>
      <c r="M746" s="23"/>
      <c r="N746" s="23"/>
      <c r="P746" s="23"/>
    </row>
    <row r="747" spans="2:16" x14ac:dyDescent="0.25">
      <c r="B747" s="23"/>
      <c r="E747" s="23"/>
      <c r="G747" s="23"/>
      <c r="H747" s="23"/>
      <c r="J747" s="23"/>
      <c r="K747" s="23"/>
      <c r="M747" s="23"/>
      <c r="N747" s="23"/>
      <c r="P747" s="23"/>
    </row>
    <row r="748" spans="2:16" x14ac:dyDescent="0.25">
      <c r="B748" s="23"/>
      <c r="E748" s="23"/>
      <c r="G748" s="23"/>
      <c r="H748" s="23"/>
      <c r="J748" s="23"/>
      <c r="K748" s="23"/>
      <c r="M748" s="23"/>
      <c r="N748" s="23"/>
      <c r="P748" s="23"/>
    </row>
    <row r="749" spans="2:16" x14ac:dyDescent="0.25">
      <c r="B749" s="23"/>
      <c r="E749" s="23"/>
      <c r="G749" s="23"/>
      <c r="H749" s="23"/>
      <c r="J749" s="23"/>
      <c r="K749" s="23"/>
      <c r="M749" s="23"/>
      <c r="N749" s="23"/>
      <c r="P749" s="23"/>
    </row>
    <row r="750" spans="2:16" x14ac:dyDescent="0.25">
      <c r="B750" s="23"/>
      <c r="E750" s="23"/>
      <c r="G750" s="23"/>
      <c r="H750" s="23"/>
      <c r="J750" s="23"/>
      <c r="K750" s="23"/>
      <c r="M750" s="23"/>
      <c r="N750" s="23"/>
      <c r="P750" s="23"/>
    </row>
    <row r="751" spans="2:16" x14ac:dyDescent="0.25">
      <c r="B751" s="23"/>
      <c r="E751" s="23"/>
      <c r="G751" s="23"/>
      <c r="H751" s="23"/>
      <c r="J751" s="23"/>
      <c r="K751" s="23"/>
      <c r="M751" s="23"/>
      <c r="N751" s="23"/>
      <c r="P751" s="23"/>
    </row>
    <row r="752" spans="2:16" x14ac:dyDescent="0.25">
      <c r="B752" s="23"/>
      <c r="E752" s="23"/>
      <c r="G752" s="23"/>
      <c r="H752" s="23"/>
      <c r="J752" s="23"/>
      <c r="K752" s="23"/>
      <c r="M752" s="23"/>
      <c r="N752" s="23"/>
      <c r="P752" s="23"/>
    </row>
    <row r="753" spans="2:16" x14ac:dyDescent="0.25">
      <c r="B753" s="23"/>
      <c r="E753" s="23"/>
      <c r="G753" s="23"/>
      <c r="H753" s="23"/>
      <c r="J753" s="23"/>
      <c r="K753" s="23"/>
      <c r="M753" s="23"/>
      <c r="N753" s="23"/>
      <c r="P753" s="23"/>
    </row>
    <row r="754" spans="2:16" x14ac:dyDescent="0.25">
      <c r="B754" s="23"/>
      <c r="E754" s="23"/>
      <c r="G754" s="23"/>
      <c r="H754" s="23"/>
      <c r="J754" s="23"/>
      <c r="K754" s="23"/>
      <c r="M754" s="23"/>
      <c r="N754" s="23"/>
      <c r="P754" s="23"/>
    </row>
    <row r="755" spans="2:16" x14ac:dyDescent="0.25">
      <c r="B755" s="23"/>
      <c r="E755" s="23"/>
      <c r="G755" s="23"/>
      <c r="H755" s="23"/>
      <c r="J755" s="23"/>
      <c r="K755" s="23"/>
      <c r="M755" s="23"/>
      <c r="N755" s="23"/>
      <c r="P755" s="23"/>
    </row>
    <row r="756" spans="2:16" x14ac:dyDescent="0.25">
      <c r="B756" s="23"/>
      <c r="E756" s="23"/>
      <c r="G756" s="23"/>
      <c r="H756" s="23"/>
      <c r="J756" s="23"/>
      <c r="K756" s="23"/>
      <c r="M756" s="23"/>
      <c r="N756" s="23"/>
      <c r="P756" s="23"/>
    </row>
    <row r="757" spans="2:16" x14ac:dyDescent="0.25">
      <c r="B757" s="23"/>
      <c r="E757" s="23"/>
      <c r="G757" s="23"/>
      <c r="H757" s="23"/>
      <c r="J757" s="23"/>
      <c r="K757" s="23"/>
      <c r="M757" s="23"/>
      <c r="N757" s="23"/>
      <c r="P757" s="23"/>
    </row>
    <row r="758" spans="2:16" x14ac:dyDescent="0.25">
      <c r="B758" s="23"/>
      <c r="E758" s="23"/>
      <c r="G758" s="23"/>
      <c r="H758" s="23"/>
      <c r="J758" s="23"/>
      <c r="K758" s="23"/>
      <c r="M758" s="23"/>
      <c r="N758" s="23"/>
      <c r="P758" s="23"/>
    </row>
    <row r="759" spans="2:16" x14ac:dyDescent="0.25">
      <c r="B759" s="23"/>
      <c r="E759" s="23"/>
      <c r="G759" s="23"/>
      <c r="H759" s="23"/>
      <c r="J759" s="23"/>
      <c r="K759" s="23"/>
      <c r="M759" s="23"/>
      <c r="N759" s="23"/>
      <c r="P759" s="23"/>
    </row>
    <row r="760" spans="2:16" x14ac:dyDescent="0.25">
      <c r="B760" s="23"/>
      <c r="E760" s="23"/>
      <c r="G760" s="23"/>
      <c r="H760" s="23"/>
      <c r="J760" s="23"/>
      <c r="K760" s="23"/>
      <c r="M760" s="23"/>
      <c r="N760" s="23"/>
      <c r="P760" s="23"/>
    </row>
    <row r="761" spans="2:16" x14ac:dyDescent="0.25">
      <c r="B761" s="23"/>
      <c r="E761" s="23"/>
      <c r="G761" s="23"/>
      <c r="H761" s="23"/>
      <c r="J761" s="23"/>
      <c r="K761" s="23"/>
      <c r="M761" s="23"/>
      <c r="N761" s="23"/>
      <c r="P761" s="23"/>
    </row>
    <row r="762" spans="2:16" x14ac:dyDescent="0.25">
      <c r="B762" s="23"/>
      <c r="E762" s="23"/>
      <c r="G762" s="23"/>
      <c r="H762" s="23"/>
      <c r="J762" s="23"/>
      <c r="K762" s="23"/>
      <c r="M762" s="23"/>
      <c r="N762" s="23"/>
      <c r="P762" s="23"/>
    </row>
    <row r="763" spans="2:16" x14ac:dyDescent="0.25">
      <c r="B763" s="23"/>
      <c r="E763" s="23"/>
      <c r="G763" s="23"/>
      <c r="H763" s="23"/>
      <c r="J763" s="23"/>
      <c r="K763" s="23"/>
      <c r="M763" s="23"/>
      <c r="N763" s="23"/>
      <c r="P763" s="23"/>
    </row>
    <row r="764" spans="2:16" x14ac:dyDescent="0.25">
      <c r="B764" s="23"/>
      <c r="E764" s="23"/>
      <c r="G764" s="23"/>
      <c r="H764" s="23"/>
      <c r="J764" s="23"/>
      <c r="K764" s="23"/>
      <c r="M764" s="23"/>
      <c r="N764" s="23"/>
      <c r="P764" s="23"/>
    </row>
    <row r="765" spans="2:16" x14ac:dyDescent="0.25">
      <c r="B765" s="23"/>
      <c r="E765" s="23"/>
      <c r="G765" s="23"/>
      <c r="H765" s="23"/>
      <c r="J765" s="23"/>
      <c r="K765" s="23"/>
      <c r="M765" s="23"/>
      <c r="N765" s="23"/>
      <c r="P765" s="23"/>
    </row>
    <row r="766" spans="2:16" x14ac:dyDescent="0.25">
      <c r="B766" s="23"/>
      <c r="E766" s="23"/>
      <c r="G766" s="23"/>
      <c r="H766" s="23"/>
      <c r="J766" s="23"/>
      <c r="K766" s="23"/>
      <c r="M766" s="23"/>
      <c r="N766" s="23"/>
      <c r="P766" s="23"/>
    </row>
    <row r="767" spans="2:16" x14ac:dyDescent="0.25">
      <c r="B767" s="23"/>
      <c r="E767" s="23"/>
      <c r="G767" s="23"/>
      <c r="H767" s="23"/>
      <c r="J767" s="23"/>
      <c r="K767" s="23"/>
      <c r="M767" s="23"/>
      <c r="N767" s="23"/>
      <c r="P767" s="23"/>
    </row>
    <row r="768" spans="2:16" x14ac:dyDescent="0.25">
      <c r="B768" s="23"/>
      <c r="E768" s="23"/>
      <c r="G768" s="23"/>
      <c r="H768" s="23"/>
      <c r="J768" s="23"/>
      <c r="K768" s="23"/>
      <c r="M768" s="23"/>
      <c r="N768" s="23"/>
      <c r="P768" s="23"/>
    </row>
    <row r="769" spans="2:16" x14ac:dyDescent="0.25">
      <c r="B769" s="23"/>
      <c r="E769" s="23"/>
      <c r="G769" s="23"/>
      <c r="H769" s="23"/>
      <c r="J769" s="23"/>
      <c r="K769" s="23"/>
      <c r="M769" s="23"/>
      <c r="N769" s="23"/>
      <c r="P769" s="23"/>
    </row>
    <row r="770" spans="2:16" x14ac:dyDescent="0.25">
      <c r="B770" s="23"/>
      <c r="E770" s="23"/>
      <c r="G770" s="23"/>
      <c r="H770" s="23"/>
      <c r="J770" s="23"/>
      <c r="K770" s="23"/>
      <c r="M770" s="23"/>
      <c r="N770" s="23"/>
      <c r="P770" s="23"/>
    </row>
    <row r="771" spans="2:16" x14ac:dyDescent="0.25">
      <c r="B771" s="23"/>
      <c r="E771" s="23"/>
      <c r="G771" s="23"/>
      <c r="H771" s="23"/>
      <c r="J771" s="23"/>
      <c r="K771" s="23"/>
      <c r="M771" s="23"/>
      <c r="N771" s="23"/>
      <c r="P771" s="23"/>
    </row>
    <row r="772" spans="2:16" x14ac:dyDescent="0.25">
      <c r="B772" s="23"/>
      <c r="E772" s="23"/>
      <c r="G772" s="23"/>
      <c r="H772" s="23"/>
      <c r="J772" s="23"/>
      <c r="K772" s="23"/>
      <c r="M772" s="23"/>
      <c r="N772" s="23"/>
      <c r="P772" s="23"/>
    </row>
    <row r="773" spans="2:16" x14ac:dyDescent="0.25">
      <c r="B773" s="23"/>
      <c r="E773" s="23"/>
      <c r="G773" s="23"/>
      <c r="H773" s="23"/>
      <c r="J773" s="23"/>
      <c r="K773" s="23"/>
      <c r="M773" s="23"/>
      <c r="N773" s="23"/>
      <c r="P773" s="23"/>
    </row>
    <row r="774" spans="2:16" x14ac:dyDescent="0.25">
      <c r="B774" s="23"/>
      <c r="E774" s="23"/>
      <c r="G774" s="23"/>
      <c r="H774" s="23"/>
      <c r="J774" s="23"/>
      <c r="K774" s="23"/>
      <c r="M774" s="23"/>
      <c r="N774" s="23"/>
      <c r="P774" s="23"/>
    </row>
    <row r="775" spans="2:16" x14ac:dyDescent="0.25">
      <c r="B775" s="23"/>
      <c r="E775" s="23"/>
      <c r="G775" s="23"/>
      <c r="H775" s="23"/>
      <c r="J775" s="23"/>
      <c r="K775" s="23"/>
      <c r="M775" s="23"/>
      <c r="N775" s="23"/>
      <c r="P775" s="23"/>
    </row>
    <row r="776" spans="2:16" x14ac:dyDescent="0.25">
      <c r="B776" s="23"/>
      <c r="E776" s="23"/>
      <c r="G776" s="23"/>
      <c r="H776" s="23"/>
      <c r="J776" s="23"/>
      <c r="K776" s="23"/>
      <c r="M776" s="23"/>
      <c r="N776" s="23"/>
      <c r="P776" s="23"/>
    </row>
    <row r="777" spans="2:16" x14ac:dyDescent="0.25">
      <c r="B777" s="23"/>
      <c r="E777" s="23"/>
      <c r="G777" s="23"/>
      <c r="H777" s="23"/>
      <c r="J777" s="23"/>
      <c r="K777" s="23"/>
      <c r="M777" s="23"/>
      <c r="N777" s="23"/>
      <c r="P777" s="23"/>
    </row>
    <row r="778" spans="2:16" x14ac:dyDescent="0.25">
      <c r="B778" s="23"/>
      <c r="E778" s="23"/>
      <c r="G778" s="23"/>
      <c r="H778" s="23"/>
      <c r="J778" s="23"/>
      <c r="K778" s="23"/>
      <c r="M778" s="23"/>
      <c r="N778" s="23"/>
      <c r="P778" s="23"/>
    </row>
    <row r="779" spans="2:16" x14ac:dyDescent="0.25">
      <c r="B779" s="23"/>
      <c r="E779" s="23"/>
      <c r="G779" s="23"/>
      <c r="H779" s="23"/>
      <c r="J779" s="23"/>
      <c r="K779" s="23"/>
      <c r="M779" s="23"/>
      <c r="N779" s="23"/>
      <c r="P779" s="23"/>
    </row>
    <row r="780" spans="2:16" x14ac:dyDescent="0.25">
      <c r="B780" s="23"/>
      <c r="E780" s="23"/>
      <c r="G780" s="23"/>
      <c r="H780" s="23"/>
      <c r="J780" s="23"/>
      <c r="K780" s="23"/>
      <c r="M780" s="23"/>
      <c r="N780" s="23"/>
      <c r="P780" s="23"/>
    </row>
    <row r="781" spans="2:16" x14ac:dyDescent="0.25">
      <c r="B781" s="23"/>
      <c r="E781" s="23"/>
      <c r="G781" s="23"/>
      <c r="H781" s="23"/>
      <c r="J781" s="23"/>
      <c r="K781" s="23"/>
      <c r="M781" s="23"/>
      <c r="N781" s="23"/>
      <c r="P781" s="23"/>
    </row>
    <row r="782" spans="2:16" x14ac:dyDescent="0.25">
      <c r="B782" s="23"/>
      <c r="E782" s="23"/>
      <c r="G782" s="23"/>
      <c r="H782" s="23"/>
      <c r="J782" s="23"/>
      <c r="K782" s="23"/>
      <c r="M782" s="23"/>
      <c r="N782" s="23"/>
      <c r="P782" s="23"/>
    </row>
    <row r="783" spans="2:16" x14ac:dyDescent="0.25">
      <c r="B783" s="23"/>
      <c r="E783" s="23"/>
      <c r="G783" s="23"/>
      <c r="H783" s="23"/>
      <c r="J783" s="23"/>
      <c r="K783" s="23"/>
      <c r="M783" s="23"/>
      <c r="N783" s="23"/>
      <c r="P783" s="23"/>
    </row>
    <row r="784" spans="2:16" x14ac:dyDescent="0.25">
      <c r="B784" s="23"/>
      <c r="E784" s="23"/>
      <c r="G784" s="23"/>
      <c r="H784" s="23"/>
      <c r="J784" s="23"/>
      <c r="K784" s="23"/>
      <c r="M784" s="23"/>
      <c r="N784" s="23"/>
      <c r="P784" s="23"/>
    </row>
    <row r="785" spans="2:16" x14ac:dyDescent="0.25">
      <c r="B785" s="23"/>
      <c r="E785" s="23"/>
      <c r="G785" s="23"/>
      <c r="H785" s="23"/>
      <c r="J785" s="23"/>
      <c r="K785" s="23"/>
      <c r="M785" s="23"/>
      <c r="N785" s="23"/>
      <c r="P785" s="23"/>
    </row>
    <row r="786" spans="2:16" x14ac:dyDescent="0.25">
      <c r="B786" s="23"/>
      <c r="E786" s="23"/>
      <c r="G786" s="23"/>
      <c r="H786" s="23"/>
      <c r="J786" s="23"/>
      <c r="K786" s="23"/>
      <c r="M786" s="23"/>
      <c r="N786" s="23"/>
      <c r="P786" s="23"/>
    </row>
    <row r="787" spans="2:16" x14ac:dyDescent="0.25">
      <c r="B787" s="23"/>
      <c r="E787" s="23"/>
      <c r="G787" s="23"/>
      <c r="H787" s="23"/>
      <c r="J787" s="23"/>
      <c r="K787" s="23"/>
      <c r="M787" s="23"/>
      <c r="N787" s="23"/>
      <c r="P787" s="23"/>
    </row>
    <row r="788" spans="2:16" x14ac:dyDescent="0.25">
      <c r="B788" s="23"/>
      <c r="E788" s="23"/>
      <c r="G788" s="23"/>
      <c r="H788" s="23"/>
      <c r="J788" s="23"/>
      <c r="K788" s="23"/>
      <c r="M788" s="23"/>
      <c r="N788" s="23"/>
      <c r="P788" s="23"/>
    </row>
    <row r="789" spans="2:16" x14ac:dyDescent="0.25">
      <c r="B789" s="23"/>
      <c r="E789" s="23"/>
      <c r="G789" s="23"/>
      <c r="H789" s="23"/>
      <c r="J789" s="23"/>
      <c r="K789" s="23"/>
      <c r="M789" s="23"/>
      <c r="N789" s="23"/>
      <c r="P789" s="23"/>
    </row>
    <row r="790" spans="2:16" x14ac:dyDescent="0.25">
      <c r="B790" s="23"/>
      <c r="E790" s="23"/>
      <c r="G790" s="23"/>
      <c r="H790" s="23"/>
      <c r="J790" s="23"/>
      <c r="K790" s="23"/>
      <c r="M790" s="23"/>
      <c r="N790" s="23"/>
      <c r="P790" s="23"/>
    </row>
    <row r="791" spans="2:16" x14ac:dyDescent="0.25">
      <c r="B791" s="23"/>
      <c r="E791" s="23"/>
      <c r="G791" s="23"/>
      <c r="H791" s="23"/>
      <c r="J791" s="23"/>
      <c r="K791" s="23"/>
      <c r="M791" s="23"/>
      <c r="N791" s="23"/>
      <c r="P791" s="23"/>
    </row>
    <row r="792" spans="2:16" x14ac:dyDescent="0.25">
      <c r="B792" s="23"/>
      <c r="E792" s="23"/>
      <c r="G792" s="23"/>
      <c r="H792" s="23"/>
      <c r="J792" s="23"/>
      <c r="K792" s="23"/>
      <c r="M792" s="23"/>
      <c r="N792" s="23"/>
      <c r="P792" s="23"/>
    </row>
    <row r="793" spans="2:16" x14ac:dyDescent="0.25">
      <c r="B793" s="23"/>
      <c r="E793" s="23"/>
      <c r="G793" s="23"/>
      <c r="H793" s="23"/>
      <c r="J793" s="23"/>
      <c r="K793" s="23"/>
      <c r="M793" s="23"/>
      <c r="N793" s="23"/>
      <c r="P793" s="23"/>
    </row>
    <row r="794" spans="2:16" x14ac:dyDescent="0.25">
      <c r="B794" s="23"/>
      <c r="E794" s="23"/>
      <c r="G794" s="23"/>
      <c r="H794" s="23"/>
      <c r="J794" s="23"/>
      <c r="K794" s="23"/>
      <c r="M794" s="23"/>
      <c r="N794" s="23"/>
      <c r="P794" s="23"/>
    </row>
    <row r="795" spans="2:16" x14ac:dyDescent="0.25">
      <c r="B795" s="23"/>
      <c r="E795" s="23"/>
      <c r="G795" s="23"/>
      <c r="H795" s="23"/>
      <c r="J795" s="23"/>
      <c r="K795" s="23"/>
      <c r="M795" s="23"/>
      <c r="N795" s="23"/>
      <c r="P795" s="23"/>
    </row>
    <row r="796" spans="2:16" x14ac:dyDescent="0.25">
      <c r="B796" s="23"/>
      <c r="E796" s="23"/>
      <c r="G796" s="23"/>
      <c r="H796" s="23"/>
      <c r="J796" s="23"/>
      <c r="K796" s="23"/>
      <c r="M796" s="23"/>
      <c r="N796" s="23"/>
      <c r="P796" s="23"/>
    </row>
    <row r="797" spans="2:16" x14ac:dyDescent="0.25">
      <c r="B797" s="23"/>
      <c r="E797" s="23"/>
      <c r="G797" s="23"/>
      <c r="H797" s="23"/>
      <c r="J797" s="23"/>
      <c r="K797" s="23"/>
      <c r="M797" s="23"/>
      <c r="N797" s="23"/>
      <c r="P797" s="23"/>
    </row>
    <row r="798" spans="2:16" x14ac:dyDescent="0.25">
      <c r="B798" s="23"/>
      <c r="E798" s="23"/>
      <c r="G798" s="23"/>
      <c r="H798" s="23"/>
      <c r="J798" s="23"/>
      <c r="K798" s="23"/>
      <c r="M798" s="23"/>
      <c r="N798" s="23"/>
      <c r="P798" s="23"/>
    </row>
    <row r="799" spans="2:16" x14ac:dyDescent="0.25">
      <c r="B799" s="23"/>
      <c r="E799" s="23"/>
      <c r="G799" s="23"/>
      <c r="H799" s="23"/>
      <c r="J799" s="23"/>
      <c r="K799" s="23"/>
      <c r="M799" s="23"/>
      <c r="N799" s="23"/>
      <c r="P799" s="23"/>
    </row>
    <row r="800" spans="2:16" x14ac:dyDescent="0.25">
      <c r="B800" s="23"/>
      <c r="E800" s="23"/>
      <c r="G800" s="23"/>
      <c r="H800" s="23"/>
      <c r="J800" s="23"/>
      <c r="K800" s="23"/>
      <c r="M800" s="23"/>
      <c r="N800" s="23"/>
      <c r="P800" s="23"/>
    </row>
    <row r="801" spans="2:16" x14ac:dyDescent="0.25">
      <c r="B801" s="23"/>
      <c r="E801" s="23"/>
      <c r="G801" s="23"/>
      <c r="H801" s="23"/>
      <c r="J801" s="23"/>
      <c r="K801" s="23"/>
      <c r="M801" s="23"/>
      <c r="N801" s="23"/>
      <c r="P801" s="23"/>
    </row>
    <row r="802" spans="2:16" x14ac:dyDescent="0.25">
      <c r="B802" s="23"/>
      <c r="E802" s="23"/>
      <c r="G802" s="23"/>
      <c r="H802" s="23"/>
      <c r="J802" s="23"/>
      <c r="K802" s="23"/>
      <c r="M802" s="23"/>
      <c r="N802" s="23"/>
      <c r="P802" s="23"/>
    </row>
    <row r="803" spans="2:16" x14ac:dyDescent="0.25">
      <c r="B803" s="23"/>
      <c r="E803" s="23"/>
      <c r="G803" s="23"/>
      <c r="H803" s="23"/>
      <c r="J803" s="23"/>
      <c r="K803" s="23"/>
      <c r="M803" s="23"/>
      <c r="N803" s="23"/>
      <c r="P803" s="23"/>
    </row>
    <row r="804" spans="2:16" x14ac:dyDescent="0.25">
      <c r="B804" s="23"/>
      <c r="E804" s="23"/>
      <c r="G804" s="23"/>
      <c r="H804" s="23"/>
      <c r="J804" s="23"/>
      <c r="K804" s="23"/>
      <c r="M804" s="23"/>
      <c r="N804" s="23"/>
      <c r="P804" s="23"/>
    </row>
    <row r="805" spans="2:16" x14ac:dyDescent="0.25">
      <c r="B805" s="23"/>
      <c r="E805" s="23"/>
      <c r="G805" s="23"/>
      <c r="H805" s="23"/>
      <c r="J805" s="23"/>
      <c r="K805" s="23"/>
      <c r="M805" s="23"/>
      <c r="N805" s="23"/>
      <c r="P805" s="23"/>
    </row>
    <row r="806" spans="2:16" x14ac:dyDescent="0.25">
      <c r="B806" s="23"/>
      <c r="E806" s="23"/>
      <c r="G806" s="23"/>
      <c r="H806" s="23"/>
      <c r="J806" s="23"/>
      <c r="K806" s="23"/>
      <c r="M806" s="23"/>
      <c r="N806" s="23"/>
      <c r="P806" s="23"/>
    </row>
    <row r="807" spans="2:16" x14ac:dyDescent="0.25">
      <c r="B807" s="23"/>
      <c r="E807" s="23"/>
      <c r="G807" s="23"/>
      <c r="H807" s="23"/>
      <c r="J807" s="23"/>
      <c r="K807" s="23"/>
      <c r="M807" s="23"/>
      <c r="N807" s="23"/>
      <c r="P807" s="23"/>
    </row>
    <row r="808" spans="2:16" x14ac:dyDescent="0.25">
      <c r="B808" s="23"/>
      <c r="E808" s="23"/>
      <c r="G808" s="23"/>
      <c r="H808" s="23"/>
      <c r="J808" s="23"/>
      <c r="K808" s="23"/>
      <c r="M808" s="23"/>
      <c r="N808" s="23"/>
      <c r="P808" s="23"/>
    </row>
    <row r="809" spans="2:16" x14ac:dyDescent="0.25">
      <c r="B809" s="23"/>
      <c r="E809" s="23"/>
      <c r="G809" s="23"/>
      <c r="H809" s="23"/>
      <c r="J809" s="23"/>
      <c r="K809" s="23"/>
      <c r="M809" s="23"/>
      <c r="N809" s="23"/>
      <c r="P809" s="23"/>
    </row>
    <row r="810" spans="2:16" x14ac:dyDescent="0.25">
      <c r="B810" s="23"/>
      <c r="E810" s="23"/>
      <c r="G810" s="23"/>
      <c r="H810" s="23"/>
      <c r="J810" s="23"/>
      <c r="K810" s="23"/>
      <c r="M810" s="23"/>
      <c r="N810" s="23"/>
      <c r="P810" s="23"/>
    </row>
    <row r="811" spans="2:16" x14ac:dyDescent="0.25">
      <c r="B811" s="23"/>
      <c r="E811" s="23"/>
      <c r="G811" s="23"/>
      <c r="H811" s="23"/>
      <c r="J811" s="23"/>
      <c r="K811" s="23"/>
      <c r="M811" s="23"/>
      <c r="N811" s="23"/>
      <c r="P811" s="23"/>
    </row>
    <row r="812" spans="2:16" x14ac:dyDescent="0.25">
      <c r="B812" s="23"/>
      <c r="E812" s="23"/>
      <c r="G812" s="23"/>
      <c r="H812" s="23"/>
      <c r="J812" s="23"/>
      <c r="K812" s="23"/>
      <c r="M812" s="23"/>
      <c r="N812" s="23"/>
      <c r="P812" s="23"/>
    </row>
    <row r="813" spans="2:16" x14ac:dyDescent="0.25">
      <c r="B813" s="23"/>
      <c r="E813" s="23"/>
      <c r="G813" s="23"/>
      <c r="H813" s="23"/>
      <c r="J813" s="23"/>
      <c r="K813" s="23"/>
      <c r="M813" s="23"/>
      <c r="N813" s="23"/>
      <c r="P813" s="23"/>
    </row>
    <row r="814" spans="2:16" x14ac:dyDescent="0.25">
      <c r="B814" s="23"/>
      <c r="E814" s="23"/>
      <c r="G814" s="23"/>
      <c r="H814" s="23"/>
      <c r="J814" s="23"/>
      <c r="K814" s="23"/>
      <c r="M814" s="23"/>
      <c r="N814" s="23"/>
      <c r="P814" s="23"/>
    </row>
    <row r="815" spans="2:16" x14ac:dyDescent="0.25">
      <c r="B815" s="23"/>
      <c r="E815" s="23"/>
      <c r="G815" s="23"/>
      <c r="H815" s="23"/>
      <c r="J815" s="23"/>
      <c r="K815" s="23"/>
      <c r="M815" s="23"/>
      <c r="N815" s="23"/>
      <c r="P815" s="23"/>
    </row>
    <row r="816" spans="2:16" x14ac:dyDescent="0.25">
      <c r="B816" s="23"/>
      <c r="E816" s="23"/>
      <c r="G816" s="23"/>
      <c r="H816" s="23"/>
      <c r="J816" s="23"/>
      <c r="K816" s="23"/>
      <c r="M816" s="23"/>
      <c r="N816" s="23"/>
      <c r="P816" s="23"/>
    </row>
    <row r="817" spans="2:16" x14ac:dyDescent="0.25">
      <c r="B817" s="23"/>
      <c r="E817" s="23"/>
      <c r="G817" s="23"/>
      <c r="H817" s="23"/>
      <c r="J817" s="23"/>
      <c r="K817" s="23"/>
      <c r="M817" s="23"/>
      <c r="N817" s="23"/>
      <c r="P817" s="23"/>
    </row>
    <row r="818" spans="2:16" x14ac:dyDescent="0.25">
      <c r="B818" s="23"/>
      <c r="E818" s="23"/>
      <c r="G818" s="23"/>
      <c r="H818" s="23"/>
      <c r="J818" s="23"/>
      <c r="K818" s="23"/>
      <c r="M818" s="23"/>
      <c r="N818" s="23"/>
      <c r="P818" s="23"/>
    </row>
    <row r="819" spans="2:16" x14ac:dyDescent="0.25">
      <c r="B819" s="23"/>
      <c r="E819" s="23"/>
      <c r="G819" s="23"/>
      <c r="H819" s="23"/>
      <c r="J819" s="23"/>
      <c r="K819" s="23"/>
      <c r="M819" s="23"/>
      <c r="N819" s="23"/>
      <c r="P819" s="23"/>
    </row>
    <row r="820" spans="2:16" x14ac:dyDescent="0.25">
      <c r="B820" s="23"/>
      <c r="E820" s="23"/>
      <c r="G820" s="23"/>
      <c r="H820" s="23"/>
      <c r="J820" s="23"/>
      <c r="K820" s="23"/>
      <c r="M820" s="23"/>
      <c r="N820" s="23"/>
      <c r="P820" s="23"/>
    </row>
    <row r="821" spans="2:16" x14ac:dyDescent="0.25">
      <c r="B821" s="23"/>
      <c r="E821" s="23"/>
      <c r="G821" s="23"/>
      <c r="H821" s="23"/>
      <c r="J821" s="23"/>
      <c r="K821" s="23"/>
      <c r="M821" s="23"/>
      <c r="N821" s="23"/>
      <c r="P821" s="23"/>
    </row>
    <row r="822" spans="2:16" x14ac:dyDescent="0.25">
      <c r="B822" s="23"/>
      <c r="E822" s="23"/>
      <c r="G822" s="23"/>
      <c r="H822" s="23"/>
      <c r="J822" s="23"/>
      <c r="K822" s="23"/>
      <c r="M822" s="23"/>
      <c r="N822" s="23"/>
      <c r="P822" s="23"/>
    </row>
    <row r="823" spans="2:16" x14ac:dyDescent="0.25">
      <c r="B823" s="23"/>
      <c r="E823" s="23"/>
      <c r="G823" s="23"/>
      <c r="H823" s="23"/>
      <c r="J823" s="23"/>
      <c r="K823" s="23"/>
      <c r="M823" s="23"/>
      <c r="N823" s="23"/>
      <c r="P823" s="23"/>
    </row>
    <row r="824" spans="2:16" x14ac:dyDescent="0.25">
      <c r="B824" s="23"/>
      <c r="E824" s="23"/>
      <c r="G824" s="23"/>
      <c r="H824" s="23"/>
      <c r="J824" s="23"/>
      <c r="K824" s="23"/>
      <c r="M824" s="23"/>
      <c r="N824" s="23"/>
      <c r="P824" s="23"/>
    </row>
    <row r="825" spans="2:16" x14ac:dyDescent="0.25">
      <c r="B825" s="23"/>
      <c r="E825" s="23"/>
      <c r="G825" s="23"/>
      <c r="H825" s="23"/>
      <c r="J825" s="23"/>
      <c r="K825" s="23"/>
      <c r="M825" s="23"/>
      <c r="N825" s="23"/>
      <c r="P825" s="23"/>
    </row>
    <row r="826" spans="2:16" x14ac:dyDescent="0.25">
      <c r="B826" s="23"/>
      <c r="E826" s="23"/>
      <c r="G826" s="23"/>
      <c r="H826" s="23"/>
      <c r="J826" s="23"/>
      <c r="K826" s="23"/>
      <c r="M826" s="23"/>
      <c r="N826" s="23"/>
      <c r="P826" s="23"/>
    </row>
    <row r="827" spans="2:16" x14ac:dyDescent="0.25">
      <c r="B827" s="23"/>
      <c r="E827" s="23"/>
      <c r="G827" s="23"/>
      <c r="H827" s="23"/>
      <c r="J827" s="23"/>
      <c r="K827" s="23"/>
      <c r="M827" s="23"/>
      <c r="N827" s="23"/>
      <c r="P827" s="23"/>
    </row>
    <row r="828" spans="2:16" x14ac:dyDescent="0.25">
      <c r="B828" s="23"/>
      <c r="E828" s="23"/>
      <c r="G828" s="23"/>
      <c r="H828" s="23"/>
      <c r="J828" s="23"/>
      <c r="K828" s="23"/>
      <c r="M828" s="23"/>
      <c r="N828" s="23"/>
      <c r="P828" s="23"/>
    </row>
    <row r="829" spans="2:16" x14ac:dyDescent="0.25">
      <c r="B829" s="23"/>
      <c r="E829" s="23"/>
      <c r="G829" s="23"/>
      <c r="H829" s="23"/>
      <c r="J829" s="23"/>
      <c r="K829" s="23"/>
      <c r="M829" s="23"/>
      <c r="N829" s="23"/>
      <c r="P829" s="23"/>
    </row>
    <row r="830" spans="2:16" x14ac:dyDescent="0.25">
      <c r="B830" s="23"/>
      <c r="E830" s="23"/>
      <c r="G830" s="23"/>
      <c r="H830" s="23"/>
      <c r="J830" s="23"/>
      <c r="K830" s="23"/>
      <c r="M830" s="23"/>
      <c r="N830" s="23"/>
      <c r="P830" s="23"/>
    </row>
    <row r="831" spans="2:16" x14ac:dyDescent="0.25">
      <c r="B831" s="23"/>
      <c r="E831" s="23"/>
      <c r="G831" s="23"/>
      <c r="H831" s="23"/>
      <c r="J831" s="23"/>
      <c r="K831" s="23"/>
      <c r="M831" s="23"/>
      <c r="N831" s="23"/>
      <c r="P831" s="23"/>
    </row>
    <row r="832" spans="2:16" x14ac:dyDescent="0.25">
      <c r="B832" s="23"/>
      <c r="E832" s="23"/>
      <c r="G832" s="23"/>
      <c r="H832" s="23"/>
      <c r="J832" s="23"/>
      <c r="K832" s="23"/>
      <c r="M832" s="23"/>
      <c r="N832" s="23"/>
      <c r="P832" s="23"/>
    </row>
    <row r="833" spans="2:16" x14ac:dyDescent="0.25">
      <c r="B833" s="23"/>
      <c r="E833" s="23"/>
      <c r="G833" s="23"/>
      <c r="H833" s="23"/>
      <c r="J833" s="23"/>
      <c r="K833" s="23"/>
      <c r="M833" s="23"/>
      <c r="N833" s="23"/>
      <c r="P833" s="23"/>
    </row>
    <row r="834" spans="2:16" x14ac:dyDescent="0.25">
      <c r="B834" s="23"/>
      <c r="E834" s="23"/>
      <c r="G834" s="23"/>
      <c r="H834" s="23"/>
      <c r="J834" s="23"/>
      <c r="K834" s="23"/>
      <c r="M834" s="23"/>
      <c r="N834" s="23"/>
      <c r="P834" s="23"/>
    </row>
    <row r="835" spans="2:16" x14ac:dyDescent="0.25">
      <c r="B835" s="23"/>
      <c r="E835" s="23"/>
      <c r="G835" s="23"/>
      <c r="H835" s="23"/>
      <c r="J835" s="23"/>
      <c r="K835" s="23"/>
      <c r="M835" s="23"/>
      <c r="N835" s="23"/>
      <c r="P835" s="23"/>
    </row>
    <row r="836" spans="2:16" x14ac:dyDescent="0.25">
      <c r="B836" s="23"/>
      <c r="E836" s="23"/>
      <c r="G836" s="23"/>
      <c r="H836" s="23"/>
      <c r="J836" s="23"/>
      <c r="K836" s="23"/>
      <c r="M836" s="23"/>
      <c r="N836" s="23"/>
      <c r="P836" s="23"/>
    </row>
    <row r="837" spans="2:16" x14ac:dyDescent="0.25">
      <c r="B837" s="23"/>
      <c r="E837" s="23"/>
      <c r="G837" s="23"/>
      <c r="H837" s="23"/>
      <c r="J837" s="23"/>
      <c r="K837" s="23"/>
      <c r="M837" s="23"/>
      <c r="N837" s="23"/>
      <c r="P837" s="23"/>
    </row>
    <row r="838" spans="2:16" x14ac:dyDescent="0.25">
      <c r="B838" s="23"/>
      <c r="E838" s="23"/>
      <c r="G838" s="23"/>
      <c r="H838" s="23"/>
      <c r="J838" s="23"/>
      <c r="K838" s="23"/>
      <c r="M838" s="23"/>
      <c r="N838" s="23"/>
      <c r="P838" s="23"/>
    </row>
    <row r="839" spans="2:16" x14ac:dyDescent="0.25">
      <c r="B839" s="23"/>
      <c r="E839" s="23"/>
      <c r="G839" s="23"/>
      <c r="H839" s="23"/>
      <c r="J839" s="23"/>
      <c r="K839" s="23"/>
      <c r="M839" s="23"/>
      <c r="N839" s="23"/>
      <c r="P839" s="23"/>
    </row>
    <row r="840" spans="2:16" x14ac:dyDescent="0.25">
      <c r="B840" s="23"/>
      <c r="E840" s="23"/>
      <c r="G840" s="23"/>
      <c r="H840" s="23"/>
      <c r="J840" s="23"/>
      <c r="K840" s="23"/>
      <c r="M840" s="23"/>
      <c r="N840" s="23"/>
      <c r="P840" s="23"/>
    </row>
    <row r="841" spans="2:16" x14ac:dyDescent="0.25">
      <c r="B841" s="23"/>
      <c r="E841" s="23"/>
      <c r="G841" s="23"/>
      <c r="H841" s="23"/>
      <c r="J841" s="23"/>
      <c r="K841" s="23"/>
      <c r="M841" s="23"/>
      <c r="N841" s="23"/>
      <c r="P841" s="23"/>
    </row>
    <row r="842" spans="2:16" x14ac:dyDescent="0.25">
      <c r="B842" s="23"/>
      <c r="E842" s="23"/>
      <c r="G842" s="23"/>
      <c r="H842" s="23"/>
      <c r="J842" s="23"/>
      <c r="K842" s="23"/>
      <c r="M842" s="23"/>
      <c r="N842" s="23"/>
      <c r="P842" s="23"/>
    </row>
    <row r="843" spans="2:16" x14ac:dyDescent="0.25">
      <c r="B843" s="23"/>
      <c r="E843" s="23"/>
      <c r="G843" s="23"/>
      <c r="H843" s="23"/>
      <c r="J843" s="23"/>
      <c r="K843" s="23"/>
      <c r="M843" s="23"/>
      <c r="N843" s="23"/>
      <c r="P843" s="23"/>
    </row>
    <row r="844" spans="2:16" x14ac:dyDescent="0.25">
      <c r="B844" s="23"/>
      <c r="E844" s="23"/>
      <c r="G844" s="23"/>
      <c r="H844" s="23"/>
      <c r="J844" s="23"/>
      <c r="K844" s="23"/>
      <c r="M844" s="23"/>
      <c r="N844" s="23"/>
      <c r="P844" s="23"/>
    </row>
    <row r="845" spans="2:16" x14ac:dyDescent="0.25">
      <c r="B845" s="23"/>
      <c r="E845" s="23"/>
      <c r="G845" s="23"/>
      <c r="H845" s="23"/>
      <c r="J845" s="23"/>
      <c r="K845" s="23"/>
      <c r="M845" s="23"/>
      <c r="N845" s="23"/>
      <c r="P845" s="23"/>
    </row>
    <row r="846" spans="2:16" x14ac:dyDescent="0.25">
      <c r="B846" s="23"/>
      <c r="E846" s="23"/>
      <c r="G846" s="23"/>
      <c r="H846" s="23"/>
      <c r="J846" s="23"/>
      <c r="K846" s="23"/>
      <c r="M846" s="23"/>
      <c r="N846" s="23"/>
      <c r="P846" s="23"/>
    </row>
    <row r="847" spans="2:16" x14ac:dyDescent="0.25">
      <c r="B847" s="23"/>
      <c r="E847" s="23"/>
      <c r="G847" s="23"/>
      <c r="H847" s="23"/>
      <c r="J847" s="23"/>
      <c r="K847" s="23"/>
      <c r="M847" s="23"/>
      <c r="N847" s="23"/>
      <c r="P847" s="23"/>
    </row>
    <row r="848" spans="2:16" x14ac:dyDescent="0.25">
      <c r="B848" s="23"/>
      <c r="E848" s="23"/>
      <c r="G848" s="23"/>
      <c r="H848" s="23"/>
      <c r="J848" s="23"/>
      <c r="K848" s="23"/>
      <c r="M848" s="23"/>
      <c r="N848" s="23"/>
      <c r="P848" s="23"/>
    </row>
    <row r="849" spans="2:16" x14ac:dyDescent="0.25">
      <c r="B849" s="23"/>
      <c r="E849" s="23"/>
      <c r="G849" s="23"/>
      <c r="H849" s="23"/>
      <c r="J849" s="23"/>
      <c r="K849" s="23"/>
      <c r="M849" s="23"/>
      <c r="N849" s="23"/>
      <c r="P849" s="23"/>
    </row>
    <row r="850" spans="2:16" x14ac:dyDescent="0.25">
      <c r="B850" s="23"/>
      <c r="E850" s="23"/>
      <c r="G850" s="23"/>
      <c r="H850" s="23"/>
      <c r="J850" s="23"/>
      <c r="K850" s="23"/>
      <c r="M850" s="23"/>
      <c r="N850" s="23"/>
      <c r="P850" s="23"/>
    </row>
    <row r="851" spans="2:16" x14ac:dyDescent="0.25">
      <c r="B851" s="23"/>
      <c r="E851" s="23"/>
      <c r="G851" s="23"/>
      <c r="H851" s="23"/>
      <c r="J851" s="23"/>
      <c r="K851" s="23"/>
      <c r="M851" s="23"/>
      <c r="N851" s="23"/>
      <c r="P851" s="23"/>
    </row>
    <row r="852" spans="2:16" x14ac:dyDescent="0.25">
      <c r="B852" s="23"/>
      <c r="E852" s="23"/>
      <c r="G852" s="23"/>
      <c r="H852" s="23"/>
      <c r="J852" s="23"/>
      <c r="K852" s="23"/>
      <c r="M852" s="23"/>
      <c r="N852" s="23"/>
      <c r="P852" s="23"/>
    </row>
    <row r="853" spans="2:16" x14ac:dyDescent="0.25">
      <c r="B853" s="23"/>
      <c r="E853" s="23"/>
      <c r="G853" s="23"/>
      <c r="H853" s="23"/>
      <c r="J853" s="23"/>
      <c r="K853" s="23"/>
      <c r="M853" s="23"/>
      <c r="N853" s="23"/>
      <c r="P853" s="23"/>
    </row>
    <row r="854" spans="2:16" x14ac:dyDescent="0.25">
      <c r="B854" s="23"/>
      <c r="E854" s="23"/>
      <c r="G854" s="23"/>
      <c r="H854" s="23"/>
      <c r="J854" s="23"/>
      <c r="K854" s="23"/>
      <c r="M854" s="23"/>
      <c r="N854" s="23"/>
      <c r="P854" s="23"/>
    </row>
    <row r="855" spans="2:16" x14ac:dyDescent="0.25">
      <c r="B855" s="23"/>
      <c r="E855" s="23"/>
      <c r="G855" s="23"/>
      <c r="H855" s="23"/>
      <c r="J855" s="23"/>
      <c r="K855" s="23"/>
      <c r="M855" s="23"/>
      <c r="N855" s="23"/>
      <c r="P855" s="23"/>
    </row>
    <row r="856" spans="2:16" x14ac:dyDescent="0.25">
      <c r="B856" s="23"/>
      <c r="E856" s="23"/>
      <c r="G856" s="23"/>
      <c r="H856" s="23"/>
      <c r="J856" s="23"/>
      <c r="K856" s="23"/>
      <c r="M856" s="23"/>
      <c r="N856" s="23"/>
      <c r="P856" s="23"/>
    </row>
    <row r="857" spans="2:16" x14ac:dyDescent="0.25">
      <c r="B857" s="23"/>
      <c r="E857" s="23"/>
      <c r="G857" s="23"/>
      <c r="H857" s="23"/>
      <c r="J857" s="23"/>
      <c r="K857" s="23"/>
      <c r="M857" s="23"/>
      <c r="N857" s="23"/>
      <c r="P857" s="23"/>
    </row>
    <row r="858" spans="2:16" x14ac:dyDescent="0.25">
      <c r="B858" s="23"/>
      <c r="E858" s="23"/>
      <c r="G858" s="23"/>
      <c r="H858" s="23"/>
      <c r="J858" s="23"/>
      <c r="K858" s="23"/>
      <c r="M858" s="23"/>
      <c r="N858" s="23"/>
      <c r="P858" s="23"/>
    </row>
    <row r="859" spans="2:16" x14ac:dyDescent="0.25">
      <c r="B859" s="23"/>
      <c r="E859" s="23"/>
      <c r="G859" s="23"/>
      <c r="H859" s="23"/>
      <c r="J859" s="23"/>
      <c r="K859" s="23"/>
      <c r="M859" s="23"/>
      <c r="N859" s="23"/>
      <c r="P859" s="23"/>
    </row>
    <row r="860" spans="2:16" x14ac:dyDescent="0.25">
      <c r="B860" s="23"/>
      <c r="E860" s="23"/>
      <c r="G860" s="23"/>
      <c r="H860" s="23"/>
      <c r="J860" s="23"/>
      <c r="K860" s="23"/>
      <c r="M860" s="23"/>
      <c r="N860" s="23"/>
      <c r="P860" s="23"/>
    </row>
    <row r="861" spans="2:16" x14ac:dyDescent="0.25">
      <c r="B861" s="23"/>
      <c r="E861" s="23"/>
      <c r="G861" s="23"/>
      <c r="H861" s="23"/>
      <c r="J861" s="23"/>
      <c r="K861" s="23"/>
      <c r="M861" s="23"/>
      <c r="N861" s="23"/>
      <c r="P861" s="23"/>
    </row>
    <row r="862" spans="2:16" x14ac:dyDescent="0.25">
      <c r="B862" s="23"/>
      <c r="E862" s="23"/>
      <c r="G862" s="23"/>
      <c r="H862" s="23"/>
      <c r="J862" s="23"/>
      <c r="K862" s="23"/>
      <c r="M862" s="23"/>
      <c r="N862" s="23"/>
      <c r="P862" s="23"/>
    </row>
    <row r="863" spans="2:16" x14ac:dyDescent="0.25">
      <c r="B863" s="23"/>
      <c r="E863" s="23"/>
      <c r="G863" s="23"/>
      <c r="H863" s="23"/>
      <c r="J863" s="23"/>
      <c r="K863" s="23"/>
      <c r="M863" s="23"/>
      <c r="N863" s="23"/>
      <c r="P863" s="23"/>
    </row>
    <row r="864" spans="2:16" x14ac:dyDescent="0.25">
      <c r="B864" s="23"/>
      <c r="E864" s="23"/>
      <c r="G864" s="23"/>
      <c r="H864" s="23"/>
      <c r="J864" s="23"/>
      <c r="K864" s="23"/>
      <c r="M864" s="23"/>
      <c r="N864" s="23"/>
      <c r="P864" s="23"/>
    </row>
    <row r="865" spans="2:16" x14ac:dyDescent="0.25">
      <c r="B865" s="23"/>
      <c r="E865" s="23"/>
      <c r="G865" s="23"/>
      <c r="H865" s="23"/>
      <c r="J865" s="23"/>
      <c r="K865" s="23"/>
      <c r="M865" s="23"/>
      <c r="N865" s="23"/>
      <c r="P865" s="23"/>
    </row>
    <row r="866" spans="2:16" x14ac:dyDescent="0.25">
      <c r="B866" s="23"/>
      <c r="E866" s="23"/>
      <c r="G866" s="23"/>
      <c r="H866" s="23"/>
      <c r="J866" s="23"/>
      <c r="K866" s="23"/>
      <c r="M866" s="23"/>
      <c r="N866" s="23"/>
      <c r="P866" s="23"/>
    </row>
    <row r="867" spans="2:16" x14ac:dyDescent="0.25">
      <c r="B867" s="23"/>
      <c r="E867" s="23"/>
      <c r="G867" s="23"/>
      <c r="H867" s="23"/>
      <c r="J867" s="23"/>
      <c r="K867" s="23"/>
      <c r="M867" s="23"/>
      <c r="N867" s="23"/>
      <c r="P867" s="23"/>
    </row>
    <row r="868" spans="2:16" x14ac:dyDescent="0.25">
      <c r="B868" s="23"/>
      <c r="E868" s="23"/>
      <c r="G868" s="23"/>
      <c r="H868" s="23"/>
      <c r="J868" s="23"/>
      <c r="K868" s="23"/>
      <c r="M868" s="23"/>
      <c r="N868" s="23"/>
      <c r="P868" s="23"/>
    </row>
    <row r="869" spans="2:16" x14ac:dyDescent="0.25">
      <c r="B869" s="23"/>
      <c r="E869" s="23"/>
      <c r="G869" s="23"/>
      <c r="H869" s="23"/>
      <c r="J869" s="23"/>
      <c r="K869" s="23"/>
      <c r="M869" s="23"/>
      <c r="N869" s="23"/>
      <c r="P869" s="23"/>
    </row>
    <row r="870" spans="2:16" x14ac:dyDescent="0.25">
      <c r="B870" s="23"/>
      <c r="E870" s="23"/>
      <c r="G870" s="23"/>
      <c r="H870" s="23"/>
      <c r="J870" s="23"/>
      <c r="K870" s="23"/>
      <c r="M870" s="23"/>
      <c r="N870" s="23"/>
      <c r="P870" s="23"/>
    </row>
    <row r="871" spans="2:16" x14ac:dyDescent="0.25">
      <c r="B871" s="23"/>
      <c r="E871" s="23"/>
      <c r="G871" s="23"/>
      <c r="H871" s="23"/>
      <c r="J871" s="23"/>
      <c r="K871" s="23"/>
      <c r="M871" s="23"/>
      <c r="N871" s="23"/>
      <c r="P871" s="23"/>
    </row>
    <row r="872" spans="2:16" x14ac:dyDescent="0.25">
      <c r="B872" s="23"/>
      <c r="E872" s="23"/>
      <c r="G872" s="23"/>
      <c r="H872" s="23"/>
      <c r="J872" s="23"/>
      <c r="K872" s="23"/>
      <c r="M872" s="23"/>
      <c r="N872" s="23"/>
      <c r="P872" s="23"/>
    </row>
    <row r="873" spans="2:16" x14ac:dyDescent="0.25">
      <c r="B873" s="23"/>
      <c r="E873" s="23"/>
      <c r="G873" s="23"/>
      <c r="H873" s="23"/>
      <c r="J873" s="23"/>
      <c r="K873" s="23"/>
      <c r="M873" s="23"/>
      <c r="N873" s="23"/>
      <c r="P873" s="23"/>
    </row>
    <row r="874" spans="2:16" x14ac:dyDescent="0.25">
      <c r="B874" s="23"/>
      <c r="E874" s="23"/>
      <c r="G874" s="23"/>
      <c r="H874" s="23"/>
      <c r="J874" s="23"/>
      <c r="K874" s="23"/>
      <c r="M874" s="23"/>
      <c r="N874" s="23"/>
      <c r="P874" s="23"/>
    </row>
    <row r="875" spans="2:16" x14ac:dyDescent="0.25">
      <c r="B875" s="23"/>
      <c r="E875" s="23"/>
      <c r="G875" s="23"/>
      <c r="H875" s="23"/>
      <c r="J875" s="23"/>
      <c r="K875" s="23"/>
      <c r="M875" s="23"/>
      <c r="N875" s="23"/>
      <c r="P875" s="23"/>
    </row>
    <row r="876" spans="2:16" x14ac:dyDescent="0.25">
      <c r="B876" s="23"/>
      <c r="E876" s="23"/>
      <c r="G876" s="23"/>
      <c r="H876" s="23"/>
      <c r="J876" s="23"/>
      <c r="K876" s="23"/>
      <c r="M876" s="23"/>
      <c r="N876" s="23"/>
      <c r="P876" s="23"/>
    </row>
    <row r="877" spans="2:16" x14ac:dyDescent="0.25">
      <c r="B877" s="23"/>
      <c r="E877" s="23"/>
      <c r="G877" s="23"/>
      <c r="H877" s="23"/>
      <c r="J877" s="23"/>
      <c r="K877" s="23"/>
      <c r="M877" s="23"/>
      <c r="N877" s="23"/>
      <c r="P877" s="23"/>
    </row>
    <row r="878" spans="2:16" x14ac:dyDescent="0.25">
      <c r="B878" s="23"/>
      <c r="E878" s="23"/>
      <c r="G878" s="23"/>
      <c r="H878" s="23"/>
      <c r="J878" s="23"/>
      <c r="K878" s="23"/>
      <c r="M878" s="23"/>
      <c r="N878" s="23"/>
      <c r="P878" s="23"/>
    </row>
    <row r="879" spans="2:16" x14ac:dyDescent="0.25">
      <c r="B879" s="23"/>
      <c r="E879" s="23"/>
      <c r="G879" s="23"/>
      <c r="H879" s="23"/>
      <c r="J879" s="23"/>
      <c r="K879" s="23"/>
      <c r="M879" s="23"/>
      <c r="N879" s="23"/>
      <c r="P879" s="23"/>
    </row>
    <row r="880" spans="2:16" x14ac:dyDescent="0.25">
      <c r="B880" s="23"/>
      <c r="E880" s="23"/>
      <c r="G880" s="23"/>
      <c r="H880" s="23"/>
      <c r="J880" s="23"/>
      <c r="K880" s="23"/>
      <c r="M880" s="23"/>
      <c r="N880" s="23"/>
      <c r="P880" s="23"/>
    </row>
    <row r="881" spans="2:16" x14ac:dyDescent="0.25">
      <c r="B881" s="23"/>
      <c r="E881" s="23"/>
      <c r="G881" s="23"/>
      <c r="H881" s="23"/>
      <c r="J881" s="23"/>
      <c r="K881" s="23"/>
      <c r="M881" s="23"/>
      <c r="N881" s="23"/>
      <c r="P881" s="23"/>
    </row>
    <row r="882" spans="2:16" x14ac:dyDescent="0.25">
      <c r="B882" s="23"/>
      <c r="E882" s="23"/>
      <c r="G882" s="23"/>
      <c r="H882" s="23"/>
      <c r="J882" s="23"/>
      <c r="K882" s="23"/>
      <c r="M882" s="23"/>
      <c r="N882" s="23"/>
      <c r="P882" s="23"/>
    </row>
    <row r="883" spans="2:16" x14ac:dyDescent="0.25">
      <c r="B883" s="23"/>
      <c r="E883" s="23"/>
      <c r="G883" s="23"/>
      <c r="H883" s="23"/>
      <c r="J883" s="23"/>
      <c r="K883" s="23"/>
      <c r="M883" s="23"/>
      <c r="N883" s="23"/>
      <c r="P883" s="23"/>
    </row>
    <row r="884" spans="2:16" x14ac:dyDescent="0.25">
      <c r="B884" s="23"/>
      <c r="E884" s="23"/>
      <c r="G884" s="23"/>
      <c r="H884" s="23"/>
      <c r="J884" s="23"/>
      <c r="K884" s="23"/>
      <c r="M884" s="23"/>
      <c r="N884" s="23"/>
      <c r="P884" s="23"/>
    </row>
    <row r="885" spans="2:16" x14ac:dyDescent="0.25">
      <c r="B885" s="23"/>
      <c r="E885" s="23"/>
      <c r="G885" s="23"/>
      <c r="H885" s="23"/>
      <c r="J885" s="23"/>
      <c r="K885" s="23"/>
      <c r="M885" s="23"/>
      <c r="N885" s="23"/>
      <c r="P885" s="23"/>
    </row>
    <row r="886" spans="2:16" x14ac:dyDescent="0.25">
      <c r="B886" s="23"/>
      <c r="E886" s="23"/>
      <c r="G886" s="23"/>
      <c r="H886" s="23"/>
      <c r="J886" s="23"/>
      <c r="K886" s="23"/>
      <c r="M886" s="23"/>
      <c r="N886" s="23"/>
      <c r="P886" s="23"/>
    </row>
    <row r="887" spans="2:16" x14ac:dyDescent="0.25">
      <c r="B887" s="23"/>
      <c r="E887" s="23"/>
      <c r="G887" s="23"/>
      <c r="H887" s="23"/>
      <c r="J887" s="23"/>
      <c r="K887" s="23"/>
      <c r="M887" s="23"/>
      <c r="N887" s="23"/>
      <c r="P887" s="23"/>
    </row>
    <row r="888" spans="2:16" x14ac:dyDescent="0.25">
      <c r="B888" s="23"/>
      <c r="E888" s="23"/>
      <c r="G888" s="23"/>
      <c r="H888" s="23"/>
      <c r="J888" s="23"/>
      <c r="K888" s="23"/>
      <c r="M888" s="23"/>
      <c r="N888" s="23"/>
      <c r="P888" s="23"/>
    </row>
    <row r="889" spans="2:16" x14ac:dyDescent="0.25">
      <c r="B889" s="23"/>
      <c r="E889" s="23"/>
      <c r="G889" s="23"/>
      <c r="H889" s="23"/>
      <c r="J889" s="23"/>
      <c r="K889" s="23"/>
      <c r="M889" s="23"/>
      <c r="N889" s="23"/>
      <c r="P889" s="23"/>
    </row>
    <row r="890" spans="2:16" x14ac:dyDescent="0.25">
      <c r="B890" s="23"/>
      <c r="E890" s="23"/>
      <c r="G890" s="23"/>
      <c r="H890" s="23"/>
      <c r="J890" s="23"/>
      <c r="K890" s="23"/>
      <c r="M890" s="23"/>
      <c r="N890" s="23"/>
      <c r="P890" s="23"/>
    </row>
    <row r="891" spans="2:16" x14ac:dyDescent="0.25">
      <c r="B891" s="23"/>
      <c r="E891" s="23"/>
      <c r="G891" s="23"/>
      <c r="H891" s="23"/>
      <c r="J891" s="23"/>
      <c r="K891" s="23"/>
      <c r="M891" s="23"/>
      <c r="N891" s="23"/>
      <c r="P891" s="23"/>
    </row>
    <row r="892" spans="2:16" x14ac:dyDescent="0.25">
      <c r="B892" s="23"/>
      <c r="E892" s="23"/>
      <c r="G892" s="23"/>
      <c r="H892" s="23"/>
      <c r="J892" s="23"/>
      <c r="K892" s="23"/>
      <c r="M892" s="23"/>
      <c r="N892" s="23"/>
      <c r="P892" s="23"/>
    </row>
    <row r="893" spans="2:16" x14ac:dyDescent="0.25">
      <c r="B893" s="23"/>
      <c r="E893" s="23"/>
      <c r="G893" s="23"/>
      <c r="H893" s="23"/>
      <c r="J893" s="23"/>
      <c r="K893" s="23"/>
      <c r="M893" s="23"/>
      <c r="N893" s="23"/>
      <c r="P893" s="23"/>
    </row>
    <row r="894" spans="2:16" x14ac:dyDescent="0.25">
      <c r="B894" s="23"/>
      <c r="E894" s="23"/>
      <c r="G894" s="23"/>
      <c r="H894" s="23"/>
      <c r="J894" s="23"/>
      <c r="K894" s="23"/>
      <c r="M894" s="23"/>
      <c r="N894" s="23"/>
      <c r="P894" s="23"/>
    </row>
    <row r="895" spans="2:16" x14ac:dyDescent="0.25">
      <c r="B895" s="23"/>
      <c r="E895" s="23"/>
      <c r="G895" s="23"/>
      <c r="H895" s="23"/>
      <c r="J895" s="23"/>
      <c r="K895" s="23"/>
      <c r="M895" s="23"/>
      <c r="N895" s="23"/>
      <c r="P895" s="23"/>
    </row>
    <row r="896" spans="2:16" x14ac:dyDescent="0.25">
      <c r="B896" s="23"/>
      <c r="E896" s="23"/>
      <c r="G896" s="23"/>
      <c r="H896" s="23"/>
      <c r="J896" s="23"/>
      <c r="K896" s="23"/>
      <c r="M896" s="23"/>
      <c r="N896" s="23"/>
      <c r="P896" s="23"/>
    </row>
    <row r="897" spans="2:16" x14ac:dyDescent="0.25">
      <c r="B897" s="23"/>
      <c r="E897" s="23"/>
      <c r="G897" s="23"/>
      <c r="H897" s="23"/>
      <c r="J897" s="23"/>
      <c r="K897" s="23"/>
      <c r="M897" s="23"/>
      <c r="N897" s="23"/>
      <c r="P897" s="23"/>
    </row>
    <row r="898" spans="2:16" x14ac:dyDescent="0.25">
      <c r="B898" s="23"/>
      <c r="E898" s="23"/>
      <c r="G898" s="23"/>
      <c r="H898" s="23"/>
      <c r="J898" s="23"/>
      <c r="K898" s="23"/>
      <c r="M898" s="23"/>
      <c r="N898" s="23"/>
      <c r="P898" s="23"/>
    </row>
    <row r="899" spans="2:16" x14ac:dyDescent="0.25">
      <c r="B899" s="23"/>
      <c r="E899" s="23"/>
      <c r="G899" s="23"/>
      <c r="H899" s="23"/>
      <c r="J899" s="23"/>
      <c r="K899" s="23"/>
      <c r="M899" s="23"/>
      <c r="N899" s="23"/>
      <c r="P899" s="23"/>
    </row>
    <row r="900" spans="2:16" x14ac:dyDescent="0.25">
      <c r="B900" s="23"/>
      <c r="E900" s="23"/>
      <c r="G900" s="23"/>
      <c r="H900" s="23"/>
      <c r="J900" s="23"/>
      <c r="K900" s="23"/>
      <c r="M900" s="23"/>
      <c r="N900" s="23"/>
      <c r="P900" s="23"/>
    </row>
    <row r="901" spans="2:16" x14ac:dyDescent="0.25">
      <c r="B901" s="23"/>
      <c r="E901" s="23"/>
      <c r="G901" s="23"/>
      <c r="H901" s="23"/>
      <c r="J901" s="23"/>
      <c r="K901" s="23"/>
      <c r="M901" s="23"/>
      <c r="N901" s="23"/>
      <c r="P901" s="23"/>
    </row>
    <row r="902" spans="2:16" x14ac:dyDescent="0.25">
      <c r="B902" s="23"/>
      <c r="E902" s="23"/>
      <c r="G902" s="23"/>
      <c r="H902" s="23"/>
      <c r="J902" s="23"/>
      <c r="K902" s="23"/>
      <c r="M902" s="23"/>
      <c r="N902" s="23"/>
      <c r="P902" s="23"/>
    </row>
    <row r="903" spans="2:16" x14ac:dyDescent="0.25">
      <c r="B903" s="23"/>
      <c r="E903" s="23"/>
      <c r="G903" s="23"/>
      <c r="H903" s="23"/>
      <c r="J903" s="23"/>
      <c r="K903" s="23"/>
      <c r="M903" s="23"/>
      <c r="N903" s="23"/>
      <c r="P903" s="23"/>
    </row>
    <row r="904" spans="2:16" x14ac:dyDescent="0.25">
      <c r="B904" s="23"/>
      <c r="E904" s="23"/>
      <c r="G904" s="23"/>
      <c r="H904" s="23"/>
      <c r="J904" s="23"/>
      <c r="K904" s="23"/>
      <c r="M904" s="23"/>
      <c r="N904" s="23"/>
      <c r="P904" s="23"/>
    </row>
    <row r="905" spans="2:16" x14ac:dyDescent="0.25">
      <c r="B905" s="23"/>
      <c r="E905" s="23"/>
      <c r="G905" s="23"/>
      <c r="H905" s="23"/>
      <c r="J905" s="23"/>
      <c r="K905" s="23"/>
      <c r="M905" s="23"/>
      <c r="N905" s="23"/>
      <c r="P905" s="23"/>
    </row>
    <row r="906" spans="2:16" x14ac:dyDescent="0.25">
      <c r="B906" s="23"/>
      <c r="E906" s="23"/>
      <c r="G906" s="23"/>
      <c r="H906" s="23"/>
      <c r="J906" s="23"/>
      <c r="K906" s="23"/>
      <c r="M906" s="23"/>
      <c r="N906" s="23"/>
      <c r="P906" s="23"/>
    </row>
    <row r="907" spans="2:16" x14ac:dyDescent="0.25">
      <c r="B907" s="23"/>
      <c r="E907" s="23"/>
      <c r="G907" s="23"/>
      <c r="H907" s="23"/>
      <c r="J907" s="23"/>
      <c r="K907" s="23"/>
      <c r="M907" s="23"/>
      <c r="N907" s="23"/>
      <c r="P907" s="23"/>
    </row>
    <row r="908" spans="2:16" x14ac:dyDescent="0.25">
      <c r="B908" s="23"/>
      <c r="E908" s="23"/>
      <c r="G908" s="23"/>
      <c r="H908" s="23"/>
      <c r="J908" s="23"/>
      <c r="K908" s="23"/>
      <c r="M908" s="23"/>
      <c r="N908" s="23"/>
      <c r="P908" s="23"/>
    </row>
    <row r="909" spans="2:16" x14ac:dyDescent="0.25">
      <c r="B909" s="23"/>
      <c r="E909" s="23"/>
      <c r="G909" s="23"/>
      <c r="H909" s="23"/>
      <c r="J909" s="23"/>
      <c r="K909" s="23"/>
      <c r="M909" s="23"/>
      <c r="N909" s="23"/>
      <c r="P909" s="23"/>
    </row>
    <row r="910" spans="2:16" x14ac:dyDescent="0.25">
      <c r="B910" s="23"/>
      <c r="E910" s="23"/>
      <c r="G910" s="23"/>
      <c r="H910" s="23"/>
      <c r="J910" s="23"/>
      <c r="K910" s="23"/>
      <c r="M910" s="23"/>
      <c r="N910" s="23"/>
      <c r="P910" s="23"/>
    </row>
    <row r="911" spans="2:16" x14ac:dyDescent="0.25">
      <c r="B911" s="23"/>
      <c r="E911" s="23"/>
      <c r="G911" s="23"/>
      <c r="H911" s="23"/>
      <c r="J911" s="23"/>
      <c r="K911" s="23"/>
      <c r="M911" s="23"/>
      <c r="N911" s="23"/>
      <c r="P911" s="23"/>
    </row>
    <row r="912" spans="2:16" x14ac:dyDescent="0.25">
      <c r="B912" s="23"/>
      <c r="E912" s="23"/>
      <c r="G912" s="23"/>
      <c r="H912" s="23"/>
      <c r="J912" s="23"/>
      <c r="K912" s="23"/>
      <c r="M912" s="23"/>
      <c r="N912" s="23"/>
      <c r="P912" s="23"/>
    </row>
    <row r="913" spans="2:16" x14ac:dyDescent="0.25">
      <c r="B913" s="23"/>
      <c r="E913" s="23"/>
      <c r="G913" s="23"/>
      <c r="H913" s="23"/>
      <c r="J913" s="23"/>
      <c r="K913" s="23"/>
      <c r="M913" s="23"/>
      <c r="N913" s="23"/>
      <c r="P913" s="23"/>
    </row>
    <row r="914" spans="2:16" x14ac:dyDescent="0.25">
      <c r="B914" s="23"/>
      <c r="E914" s="23"/>
      <c r="G914" s="23"/>
      <c r="H914" s="23"/>
      <c r="J914" s="23"/>
      <c r="K914" s="23"/>
      <c r="M914" s="23"/>
      <c r="N914" s="23"/>
      <c r="P914" s="23"/>
    </row>
    <row r="915" spans="2:16" x14ac:dyDescent="0.25">
      <c r="B915" s="23"/>
      <c r="E915" s="23"/>
      <c r="G915" s="23"/>
      <c r="H915" s="23"/>
      <c r="J915" s="23"/>
      <c r="K915" s="23"/>
      <c r="M915" s="23"/>
      <c r="N915" s="23"/>
      <c r="P915" s="23"/>
    </row>
    <row r="916" spans="2:16" x14ac:dyDescent="0.25">
      <c r="B916" s="23"/>
      <c r="E916" s="23"/>
      <c r="G916" s="23"/>
      <c r="H916" s="23"/>
      <c r="J916" s="23"/>
      <c r="K916" s="23"/>
      <c r="M916" s="23"/>
      <c r="N916" s="23"/>
      <c r="P916" s="23"/>
    </row>
    <row r="917" spans="2:16" x14ac:dyDescent="0.25">
      <c r="B917" s="23"/>
      <c r="E917" s="23"/>
      <c r="G917" s="23"/>
      <c r="H917" s="23"/>
      <c r="J917" s="23"/>
      <c r="K917" s="23"/>
      <c r="M917" s="23"/>
      <c r="N917" s="23"/>
      <c r="P917" s="23"/>
    </row>
    <row r="918" spans="2:16" x14ac:dyDescent="0.25">
      <c r="B918" s="23"/>
      <c r="E918" s="23"/>
      <c r="G918" s="23"/>
      <c r="H918" s="23"/>
      <c r="J918" s="23"/>
      <c r="K918" s="23"/>
      <c r="M918" s="23"/>
      <c r="N918" s="23"/>
      <c r="P918" s="23"/>
    </row>
    <row r="919" spans="2:16" x14ac:dyDescent="0.25">
      <c r="B919" s="23"/>
      <c r="E919" s="23"/>
      <c r="G919" s="23"/>
      <c r="H919" s="23"/>
      <c r="J919" s="23"/>
      <c r="K919" s="23"/>
      <c r="M919" s="23"/>
      <c r="N919" s="23"/>
      <c r="P919" s="23"/>
    </row>
    <row r="920" spans="2:16" x14ac:dyDescent="0.25">
      <c r="B920" s="23"/>
      <c r="E920" s="23"/>
      <c r="G920" s="23"/>
      <c r="H920" s="23"/>
      <c r="J920" s="23"/>
      <c r="K920" s="23"/>
      <c r="M920" s="23"/>
      <c r="N920" s="23"/>
      <c r="P920" s="23"/>
    </row>
    <row r="921" spans="2:16" x14ac:dyDescent="0.25">
      <c r="B921" s="23"/>
      <c r="E921" s="23"/>
      <c r="G921" s="23"/>
      <c r="H921" s="23"/>
      <c r="J921" s="23"/>
      <c r="K921" s="23"/>
      <c r="M921" s="23"/>
      <c r="N921" s="23"/>
      <c r="P921" s="23"/>
    </row>
    <row r="922" spans="2:16" x14ac:dyDescent="0.25">
      <c r="B922" s="23"/>
      <c r="E922" s="23"/>
      <c r="G922" s="23"/>
      <c r="H922" s="23"/>
      <c r="J922" s="23"/>
      <c r="K922" s="23"/>
      <c r="M922" s="23"/>
      <c r="N922" s="23"/>
      <c r="P922" s="23"/>
    </row>
    <row r="923" spans="2:16" x14ac:dyDescent="0.25">
      <c r="B923" s="23"/>
      <c r="E923" s="23"/>
      <c r="G923" s="23"/>
      <c r="H923" s="23"/>
      <c r="J923" s="23"/>
      <c r="K923" s="23"/>
      <c r="M923" s="23"/>
      <c r="N923" s="23"/>
      <c r="P923" s="23"/>
    </row>
    <row r="924" spans="2:16" x14ac:dyDescent="0.25">
      <c r="B924" s="23"/>
      <c r="E924" s="23"/>
      <c r="G924" s="23"/>
      <c r="H924" s="23"/>
      <c r="J924" s="23"/>
      <c r="K924" s="23"/>
      <c r="M924" s="23"/>
      <c r="N924" s="23"/>
      <c r="P924" s="23"/>
    </row>
    <row r="925" spans="2:16" x14ac:dyDescent="0.25">
      <c r="B925" s="23"/>
      <c r="E925" s="23"/>
      <c r="G925" s="23"/>
      <c r="H925" s="23"/>
      <c r="J925" s="23"/>
      <c r="K925" s="23"/>
      <c r="M925" s="23"/>
      <c r="N925" s="23"/>
      <c r="P925" s="23"/>
    </row>
    <row r="926" spans="2:16" x14ac:dyDescent="0.25">
      <c r="B926" s="23"/>
      <c r="E926" s="23"/>
      <c r="G926" s="23"/>
      <c r="H926" s="23"/>
      <c r="J926" s="23"/>
      <c r="K926" s="23"/>
      <c r="M926" s="23"/>
      <c r="N926" s="23"/>
      <c r="P926" s="23"/>
    </row>
    <row r="927" spans="2:16" x14ac:dyDescent="0.25">
      <c r="B927" s="23"/>
      <c r="E927" s="23"/>
      <c r="G927" s="23"/>
      <c r="H927" s="23"/>
      <c r="J927" s="23"/>
      <c r="K927" s="23"/>
      <c r="M927" s="23"/>
      <c r="N927" s="23"/>
      <c r="P927" s="23"/>
    </row>
    <row r="928" spans="2:16" x14ac:dyDescent="0.25">
      <c r="B928" s="23"/>
      <c r="E928" s="23"/>
      <c r="G928" s="23"/>
      <c r="H928" s="23"/>
      <c r="J928" s="23"/>
      <c r="K928" s="23"/>
      <c r="M928" s="23"/>
      <c r="N928" s="23"/>
      <c r="P928" s="23"/>
    </row>
    <row r="929" spans="2:16" x14ac:dyDescent="0.25">
      <c r="B929" s="23"/>
      <c r="E929" s="23"/>
      <c r="G929" s="23"/>
      <c r="H929" s="23"/>
      <c r="J929" s="23"/>
      <c r="K929" s="23"/>
      <c r="M929" s="23"/>
      <c r="N929" s="23"/>
      <c r="P929" s="23"/>
    </row>
    <row r="930" spans="2:16" x14ac:dyDescent="0.25">
      <c r="B930" s="23"/>
      <c r="E930" s="23"/>
      <c r="G930" s="23"/>
      <c r="H930" s="23"/>
      <c r="J930" s="23"/>
      <c r="K930" s="23"/>
      <c r="M930" s="23"/>
      <c r="N930" s="23"/>
      <c r="P930" s="23"/>
    </row>
    <row r="931" spans="2:16" x14ac:dyDescent="0.25">
      <c r="B931" s="23"/>
      <c r="E931" s="23"/>
      <c r="G931" s="23"/>
      <c r="H931" s="23"/>
      <c r="J931" s="23"/>
      <c r="K931" s="23"/>
      <c r="M931" s="23"/>
      <c r="N931" s="23"/>
      <c r="P931" s="23"/>
    </row>
    <row r="932" spans="2:16" x14ac:dyDescent="0.25">
      <c r="B932" s="23"/>
      <c r="E932" s="23"/>
      <c r="G932" s="23"/>
      <c r="H932" s="23"/>
      <c r="J932" s="23"/>
      <c r="K932" s="23"/>
      <c r="M932" s="23"/>
      <c r="N932" s="23"/>
      <c r="P932" s="23"/>
    </row>
    <row r="933" spans="2:16" x14ac:dyDescent="0.25">
      <c r="B933" s="23"/>
      <c r="E933" s="23"/>
      <c r="G933" s="23"/>
      <c r="H933" s="23"/>
      <c r="J933" s="23"/>
      <c r="K933" s="23"/>
      <c r="M933" s="23"/>
      <c r="N933" s="23"/>
      <c r="P933" s="23"/>
    </row>
    <row r="934" spans="2:16" x14ac:dyDescent="0.25">
      <c r="B934" s="23"/>
      <c r="E934" s="23"/>
      <c r="G934" s="23"/>
      <c r="H934" s="23"/>
      <c r="J934" s="23"/>
      <c r="K934" s="23"/>
      <c r="M934" s="23"/>
      <c r="N934" s="23"/>
      <c r="P934" s="23"/>
    </row>
    <row r="935" spans="2:16" x14ac:dyDescent="0.25">
      <c r="B935" s="23"/>
      <c r="E935" s="23"/>
      <c r="G935" s="23"/>
      <c r="H935" s="23"/>
      <c r="J935" s="23"/>
      <c r="K935" s="23"/>
      <c r="M935" s="23"/>
      <c r="N935" s="23"/>
      <c r="P935" s="23"/>
    </row>
    <row r="936" spans="2:16" x14ac:dyDescent="0.25">
      <c r="B936" s="23"/>
      <c r="E936" s="23"/>
      <c r="G936" s="23"/>
      <c r="H936" s="23"/>
      <c r="J936" s="23"/>
      <c r="K936" s="23"/>
      <c r="M936" s="23"/>
      <c r="N936" s="23"/>
      <c r="P936" s="23"/>
    </row>
    <row r="937" spans="2:16" x14ac:dyDescent="0.25">
      <c r="B937" s="23"/>
      <c r="E937" s="23"/>
      <c r="G937" s="23"/>
      <c r="H937" s="23"/>
      <c r="J937" s="23"/>
      <c r="K937" s="23"/>
      <c r="M937" s="23"/>
      <c r="N937" s="23"/>
      <c r="P937" s="23"/>
    </row>
    <row r="938" spans="2:16" x14ac:dyDescent="0.25">
      <c r="B938" s="23"/>
      <c r="E938" s="23"/>
      <c r="G938" s="23"/>
      <c r="H938" s="23"/>
      <c r="J938" s="23"/>
      <c r="K938" s="23"/>
      <c r="M938" s="23"/>
      <c r="N938" s="23"/>
      <c r="P938" s="23"/>
    </row>
    <row r="939" spans="2:16" x14ac:dyDescent="0.25">
      <c r="B939" s="23"/>
      <c r="E939" s="23"/>
      <c r="G939" s="23"/>
      <c r="H939" s="23"/>
      <c r="J939" s="23"/>
      <c r="K939" s="23"/>
      <c r="M939" s="23"/>
      <c r="N939" s="23"/>
      <c r="P939" s="23"/>
    </row>
    <row r="940" spans="2:16" x14ac:dyDescent="0.25">
      <c r="B940" s="23"/>
      <c r="E940" s="23"/>
      <c r="G940" s="23"/>
      <c r="H940" s="23"/>
      <c r="J940" s="23"/>
      <c r="K940" s="23"/>
      <c r="M940" s="23"/>
      <c r="N940" s="23"/>
      <c r="P940" s="23"/>
    </row>
    <row r="941" spans="2:16" x14ac:dyDescent="0.25">
      <c r="B941" s="23"/>
      <c r="E941" s="23"/>
      <c r="G941" s="23"/>
      <c r="H941" s="23"/>
      <c r="J941" s="23"/>
      <c r="K941" s="23"/>
      <c r="M941" s="23"/>
      <c r="N941" s="23"/>
      <c r="P941" s="23"/>
    </row>
    <row r="942" spans="2:16" x14ac:dyDescent="0.25">
      <c r="B942" s="23"/>
      <c r="E942" s="23"/>
      <c r="G942" s="23"/>
      <c r="H942" s="23"/>
      <c r="J942" s="23"/>
      <c r="K942" s="23"/>
      <c r="M942" s="23"/>
      <c r="N942" s="23"/>
      <c r="P942" s="23"/>
    </row>
    <row r="943" spans="2:16" x14ac:dyDescent="0.25">
      <c r="B943" s="23"/>
      <c r="E943" s="23"/>
      <c r="G943" s="23"/>
      <c r="H943" s="23"/>
      <c r="J943" s="23"/>
      <c r="K943" s="23"/>
      <c r="M943" s="23"/>
      <c r="N943" s="23"/>
      <c r="P943" s="23"/>
    </row>
    <row r="944" spans="2:16" x14ac:dyDescent="0.25">
      <c r="B944" s="23"/>
      <c r="E944" s="23"/>
      <c r="G944" s="23"/>
      <c r="H944" s="23"/>
      <c r="J944" s="23"/>
      <c r="K944" s="23"/>
      <c r="M944" s="23"/>
      <c r="N944" s="23"/>
      <c r="P944" s="23"/>
    </row>
    <row r="945" spans="2:16" x14ac:dyDescent="0.25">
      <c r="B945" s="23"/>
      <c r="E945" s="23"/>
      <c r="G945" s="23"/>
      <c r="H945" s="23"/>
      <c r="J945" s="23"/>
      <c r="K945" s="23"/>
      <c r="M945" s="23"/>
      <c r="N945" s="23"/>
      <c r="P945" s="23"/>
    </row>
    <row r="946" spans="2:16" x14ac:dyDescent="0.25">
      <c r="B946" s="23"/>
      <c r="E946" s="23"/>
      <c r="G946" s="23"/>
      <c r="H946" s="23"/>
      <c r="J946" s="23"/>
      <c r="K946" s="23"/>
      <c r="M946" s="23"/>
      <c r="N946" s="23"/>
      <c r="P946" s="23"/>
    </row>
    <row r="947" spans="2:16" x14ac:dyDescent="0.25">
      <c r="B947" s="23"/>
      <c r="E947" s="23"/>
      <c r="G947" s="23"/>
      <c r="H947" s="23"/>
      <c r="J947" s="23"/>
      <c r="K947" s="23"/>
      <c r="M947" s="23"/>
      <c r="N947" s="23"/>
      <c r="P947" s="23"/>
    </row>
    <row r="948" spans="2:16" x14ac:dyDescent="0.25">
      <c r="B948" s="23"/>
      <c r="E948" s="23"/>
      <c r="G948" s="23"/>
      <c r="H948" s="23"/>
      <c r="J948" s="23"/>
      <c r="K948" s="23"/>
      <c r="M948" s="23"/>
      <c r="N948" s="23"/>
      <c r="P948" s="23"/>
    </row>
    <row r="949" spans="2:16" x14ac:dyDescent="0.25">
      <c r="B949" s="23"/>
      <c r="E949" s="23"/>
      <c r="G949" s="23"/>
      <c r="H949" s="23"/>
      <c r="J949" s="23"/>
      <c r="K949" s="23"/>
      <c r="M949" s="23"/>
      <c r="N949" s="23"/>
      <c r="P949" s="23"/>
    </row>
    <row r="950" spans="2:16" x14ac:dyDescent="0.25">
      <c r="B950" s="23"/>
      <c r="E950" s="23"/>
      <c r="G950" s="23"/>
      <c r="H950" s="23"/>
      <c r="J950" s="23"/>
      <c r="K950" s="23"/>
      <c r="M950" s="23"/>
      <c r="N950" s="23"/>
      <c r="P950" s="23"/>
    </row>
    <row r="951" spans="2:16" x14ac:dyDescent="0.25">
      <c r="B951" s="23"/>
      <c r="E951" s="23"/>
      <c r="G951" s="23"/>
      <c r="H951" s="23"/>
      <c r="J951" s="23"/>
      <c r="K951" s="23"/>
      <c r="M951" s="23"/>
      <c r="N951" s="23"/>
      <c r="P951" s="23"/>
    </row>
    <row r="952" spans="2:16" x14ac:dyDescent="0.25">
      <c r="B952" s="23"/>
      <c r="E952" s="23"/>
      <c r="G952" s="23"/>
      <c r="H952" s="23"/>
      <c r="J952" s="23"/>
      <c r="K952" s="23"/>
      <c r="M952" s="23"/>
      <c r="N952" s="23"/>
      <c r="P952" s="23"/>
    </row>
    <row r="953" spans="2:16" x14ac:dyDescent="0.25">
      <c r="B953" s="23"/>
      <c r="E953" s="23"/>
      <c r="G953" s="23"/>
      <c r="H953" s="23"/>
      <c r="J953" s="23"/>
      <c r="K953" s="23"/>
      <c r="M953" s="23"/>
      <c r="N953" s="23"/>
      <c r="P953" s="23"/>
    </row>
    <row r="954" spans="2:16" x14ac:dyDescent="0.25">
      <c r="B954" s="23"/>
      <c r="E954" s="23"/>
      <c r="G954" s="23"/>
      <c r="H954" s="23"/>
      <c r="J954" s="23"/>
      <c r="K954" s="23"/>
      <c r="M954" s="23"/>
      <c r="N954" s="23"/>
      <c r="P954" s="23"/>
    </row>
    <row r="955" spans="2:16" x14ac:dyDescent="0.25">
      <c r="B955" s="23"/>
      <c r="E955" s="23"/>
      <c r="G955" s="23"/>
      <c r="H955" s="23"/>
      <c r="J955" s="23"/>
      <c r="K955" s="23"/>
      <c r="M955" s="23"/>
      <c r="N955" s="23"/>
      <c r="P955" s="23"/>
    </row>
    <row r="956" spans="2:16" x14ac:dyDescent="0.25">
      <c r="B956" s="23"/>
      <c r="E956" s="23"/>
      <c r="G956" s="23"/>
      <c r="H956" s="23"/>
      <c r="J956" s="23"/>
      <c r="K956" s="23"/>
      <c r="M956" s="23"/>
      <c r="N956" s="23"/>
      <c r="P956" s="23"/>
    </row>
    <row r="957" spans="2:16" x14ac:dyDescent="0.25">
      <c r="B957" s="23"/>
      <c r="E957" s="23"/>
      <c r="G957" s="23"/>
      <c r="H957" s="23"/>
      <c r="J957" s="23"/>
      <c r="K957" s="23"/>
      <c r="M957" s="23"/>
      <c r="N957" s="23"/>
      <c r="P957" s="23"/>
    </row>
    <row r="958" spans="2:16" x14ac:dyDescent="0.25">
      <c r="B958" s="23"/>
      <c r="E958" s="23"/>
      <c r="G958" s="23"/>
      <c r="H958" s="23"/>
      <c r="J958" s="23"/>
      <c r="K958" s="23"/>
      <c r="M958" s="23"/>
      <c r="N958" s="23"/>
      <c r="P958" s="23"/>
    </row>
    <row r="959" spans="2:16" x14ac:dyDescent="0.25">
      <c r="B959" s="23"/>
      <c r="E959" s="23"/>
      <c r="G959" s="23"/>
      <c r="H959" s="23"/>
      <c r="J959" s="23"/>
      <c r="K959" s="23"/>
      <c r="M959" s="23"/>
      <c r="N959" s="23"/>
      <c r="P959" s="23"/>
    </row>
    <row r="960" spans="2:16" x14ac:dyDescent="0.25">
      <c r="B960" s="23"/>
      <c r="E960" s="23"/>
      <c r="G960" s="23"/>
      <c r="H960" s="23"/>
      <c r="J960" s="23"/>
      <c r="K960" s="23"/>
      <c r="M960" s="23"/>
      <c r="N960" s="23"/>
      <c r="P960" s="23"/>
    </row>
    <row r="961" spans="2:16" x14ac:dyDescent="0.25">
      <c r="B961" s="23"/>
      <c r="E961" s="23"/>
      <c r="G961" s="23"/>
      <c r="H961" s="23"/>
      <c r="J961" s="23"/>
      <c r="K961" s="23"/>
      <c r="M961" s="23"/>
      <c r="N961" s="23"/>
      <c r="P961" s="23"/>
    </row>
    <row r="962" spans="2:16" x14ac:dyDescent="0.25">
      <c r="B962" s="23"/>
      <c r="E962" s="23"/>
      <c r="G962" s="23"/>
      <c r="H962" s="23"/>
      <c r="J962" s="23"/>
      <c r="K962" s="23"/>
      <c r="M962" s="23"/>
      <c r="N962" s="23"/>
      <c r="P962" s="23"/>
    </row>
    <row r="963" spans="2:16" x14ac:dyDescent="0.25">
      <c r="B963" s="23"/>
      <c r="E963" s="23"/>
      <c r="G963" s="23"/>
      <c r="H963" s="23"/>
      <c r="J963" s="23"/>
      <c r="K963" s="23"/>
      <c r="M963" s="23"/>
      <c r="N963" s="23"/>
      <c r="P963" s="23"/>
    </row>
    <row r="964" spans="2:16" x14ac:dyDescent="0.25">
      <c r="B964" s="23"/>
      <c r="E964" s="23"/>
      <c r="G964" s="23"/>
      <c r="H964" s="23"/>
      <c r="J964" s="23"/>
      <c r="K964" s="23"/>
      <c r="M964" s="23"/>
      <c r="N964" s="23"/>
      <c r="P964" s="23"/>
    </row>
    <row r="965" spans="2:16" x14ac:dyDescent="0.25">
      <c r="B965" s="23"/>
      <c r="E965" s="23"/>
      <c r="G965" s="23"/>
      <c r="H965" s="23"/>
      <c r="J965" s="23"/>
      <c r="K965" s="23"/>
      <c r="M965" s="23"/>
      <c r="N965" s="23"/>
      <c r="P965" s="23"/>
    </row>
    <row r="966" spans="2:16" x14ac:dyDescent="0.25">
      <c r="B966" s="23"/>
      <c r="E966" s="23"/>
      <c r="G966" s="23"/>
      <c r="H966" s="23"/>
      <c r="J966" s="23"/>
      <c r="K966" s="23"/>
      <c r="M966" s="23"/>
      <c r="N966" s="23"/>
      <c r="P966" s="23"/>
    </row>
    <row r="967" spans="2:16" x14ac:dyDescent="0.25">
      <c r="B967" s="23"/>
      <c r="E967" s="23"/>
      <c r="G967" s="23"/>
      <c r="H967" s="23"/>
      <c r="J967" s="23"/>
      <c r="K967" s="23"/>
      <c r="M967" s="23"/>
      <c r="N967" s="23"/>
      <c r="P967" s="23"/>
    </row>
    <row r="968" spans="2:16" x14ac:dyDescent="0.25">
      <c r="B968" s="23"/>
      <c r="E968" s="23"/>
      <c r="G968" s="23"/>
      <c r="H968" s="23"/>
      <c r="J968" s="23"/>
      <c r="K968" s="23"/>
      <c r="M968" s="23"/>
      <c r="N968" s="23"/>
      <c r="P968" s="23"/>
    </row>
    <row r="969" spans="2:16" x14ac:dyDescent="0.25">
      <c r="B969" s="23"/>
      <c r="E969" s="23"/>
      <c r="G969" s="23"/>
      <c r="H969" s="23"/>
      <c r="J969" s="23"/>
      <c r="K969" s="23"/>
      <c r="M969" s="23"/>
      <c r="N969" s="23"/>
      <c r="P969" s="23"/>
    </row>
    <row r="970" spans="2:16" x14ac:dyDescent="0.25">
      <c r="B970" s="23"/>
      <c r="E970" s="23"/>
      <c r="G970" s="23"/>
      <c r="H970" s="23"/>
      <c r="J970" s="23"/>
      <c r="K970" s="23"/>
      <c r="M970" s="23"/>
      <c r="N970" s="23"/>
      <c r="P970" s="23"/>
    </row>
    <row r="971" spans="2:16" x14ac:dyDescent="0.25">
      <c r="B971" s="23"/>
      <c r="E971" s="23"/>
      <c r="G971" s="23"/>
      <c r="H971" s="23"/>
      <c r="J971" s="23"/>
      <c r="K971" s="23"/>
      <c r="M971" s="23"/>
      <c r="N971" s="23"/>
      <c r="P971" s="23"/>
    </row>
    <row r="972" spans="2:16" x14ac:dyDescent="0.25">
      <c r="B972" s="23"/>
      <c r="E972" s="23"/>
      <c r="G972" s="23"/>
      <c r="H972" s="23"/>
      <c r="J972" s="23"/>
      <c r="K972" s="23"/>
      <c r="M972" s="23"/>
      <c r="N972" s="23"/>
      <c r="P972" s="23"/>
    </row>
    <row r="973" spans="2:16" x14ac:dyDescent="0.25">
      <c r="B973" s="23"/>
      <c r="E973" s="23"/>
      <c r="G973" s="23"/>
      <c r="H973" s="23"/>
      <c r="J973" s="23"/>
      <c r="K973" s="23"/>
      <c r="M973" s="23"/>
      <c r="N973" s="23"/>
      <c r="P973" s="23"/>
    </row>
    <row r="974" spans="2:16" x14ac:dyDescent="0.25">
      <c r="B974" s="23"/>
      <c r="E974" s="23"/>
      <c r="G974" s="23"/>
      <c r="H974" s="23"/>
      <c r="J974" s="23"/>
      <c r="K974" s="23"/>
      <c r="M974" s="23"/>
      <c r="N974" s="23"/>
      <c r="P974" s="23"/>
    </row>
    <row r="975" spans="2:16" x14ac:dyDescent="0.25">
      <c r="B975" s="23"/>
      <c r="E975" s="23"/>
      <c r="G975" s="23"/>
      <c r="H975" s="23"/>
      <c r="J975" s="23"/>
      <c r="K975" s="23"/>
      <c r="M975" s="23"/>
      <c r="N975" s="23"/>
      <c r="P975" s="23"/>
    </row>
    <row r="976" spans="2:16" x14ac:dyDescent="0.25">
      <c r="B976" s="23"/>
      <c r="E976" s="23"/>
      <c r="G976" s="23"/>
      <c r="H976" s="23"/>
      <c r="J976" s="23"/>
      <c r="K976" s="23"/>
      <c r="M976" s="23"/>
      <c r="N976" s="23"/>
      <c r="P976" s="23"/>
    </row>
    <row r="977" spans="2:16" x14ac:dyDescent="0.25">
      <c r="B977" s="23"/>
      <c r="E977" s="23"/>
      <c r="G977" s="23"/>
      <c r="H977" s="23"/>
      <c r="J977" s="23"/>
      <c r="K977" s="23"/>
      <c r="M977" s="23"/>
      <c r="N977" s="23"/>
      <c r="P977" s="23"/>
    </row>
    <row r="978" spans="2:16" x14ac:dyDescent="0.25">
      <c r="B978" s="23"/>
      <c r="E978" s="23"/>
      <c r="G978" s="23"/>
      <c r="H978" s="23"/>
      <c r="J978" s="23"/>
      <c r="K978" s="23"/>
      <c r="M978" s="23"/>
      <c r="N978" s="23"/>
      <c r="P978" s="23"/>
    </row>
    <row r="979" spans="2:16" x14ac:dyDescent="0.25">
      <c r="B979" s="23"/>
      <c r="E979" s="23"/>
      <c r="G979" s="23"/>
      <c r="H979" s="23"/>
      <c r="J979" s="23"/>
      <c r="K979" s="23"/>
      <c r="M979" s="23"/>
      <c r="N979" s="23"/>
      <c r="P979" s="23"/>
    </row>
    <row r="980" spans="2:16" x14ac:dyDescent="0.25">
      <c r="B980" s="23"/>
      <c r="E980" s="23"/>
      <c r="G980" s="23"/>
      <c r="H980" s="23"/>
      <c r="J980" s="23"/>
      <c r="K980" s="23"/>
      <c r="M980" s="23"/>
      <c r="N980" s="23"/>
      <c r="P980" s="23"/>
    </row>
    <row r="981" spans="2:16" x14ac:dyDescent="0.25">
      <c r="B981" s="23"/>
      <c r="E981" s="23"/>
      <c r="G981" s="23"/>
      <c r="H981" s="23"/>
      <c r="J981" s="23"/>
      <c r="K981" s="23"/>
      <c r="M981" s="23"/>
      <c r="N981" s="23"/>
      <c r="P981" s="23"/>
    </row>
    <row r="982" spans="2:16" x14ac:dyDescent="0.25">
      <c r="B982" s="23"/>
      <c r="E982" s="23"/>
      <c r="G982" s="23"/>
      <c r="H982" s="23"/>
      <c r="J982" s="23"/>
      <c r="K982" s="23"/>
      <c r="M982" s="23"/>
      <c r="N982" s="23"/>
      <c r="P982" s="23"/>
    </row>
    <row r="983" spans="2:16" x14ac:dyDescent="0.25">
      <c r="B983" s="23"/>
      <c r="E983" s="23"/>
      <c r="G983" s="23"/>
      <c r="H983" s="23"/>
      <c r="J983" s="23"/>
      <c r="K983" s="23"/>
      <c r="M983" s="23"/>
      <c r="N983" s="23"/>
      <c r="P983" s="23"/>
    </row>
    <row r="984" spans="2:16" x14ac:dyDescent="0.25">
      <c r="B984" s="23"/>
      <c r="E984" s="23"/>
      <c r="G984" s="23"/>
      <c r="H984" s="23"/>
      <c r="J984" s="23"/>
      <c r="K984" s="23"/>
      <c r="M984" s="23"/>
      <c r="N984" s="23"/>
      <c r="P984" s="23"/>
    </row>
    <row r="985" spans="2:16" x14ac:dyDescent="0.25">
      <c r="B985" s="23"/>
      <c r="E985" s="23"/>
      <c r="G985" s="23"/>
      <c r="H985" s="23"/>
      <c r="J985" s="23"/>
      <c r="K985" s="23"/>
      <c r="M985" s="23"/>
      <c r="N985" s="23"/>
      <c r="P985" s="23"/>
    </row>
    <row r="986" spans="2:16" x14ac:dyDescent="0.25">
      <c r="B986" s="23"/>
      <c r="E986" s="23"/>
      <c r="G986" s="23"/>
      <c r="H986" s="23"/>
      <c r="J986" s="23"/>
      <c r="K986" s="23"/>
      <c r="M986" s="23"/>
      <c r="N986" s="23"/>
      <c r="P986" s="23"/>
    </row>
    <row r="987" spans="2:16" x14ac:dyDescent="0.25">
      <c r="B987" s="23"/>
      <c r="E987" s="23"/>
      <c r="G987" s="23"/>
      <c r="H987" s="23"/>
      <c r="J987" s="23"/>
      <c r="K987" s="23"/>
      <c r="M987" s="23"/>
      <c r="N987" s="23"/>
      <c r="P987" s="23"/>
    </row>
    <row r="988" spans="2:16" x14ac:dyDescent="0.25">
      <c r="B988" s="23"/>
      <c r="E988" s="23"/>
      <c r="G988" s="23"/>
      <c r="H988" s="23"/>
      <c r="J988" s="23"/>
      <c r="K988" s="23"/>
      <c r="M988" s="23"/>
      <c r="N988" s="23"/>
      <c r="P988" s="23"/>
    </row>
    <row r="989" spans="2:16" x14ac:dyDescent="0.25">
      <c r="B989" s="23"/>
      <c r="E989" s="23"/>
      <c r="G989" s="23"/>
      <c r="H989" s="23"/>
      <c r="J989" s="23"/>
      <c r="K989" s="23"/>
      <c r="M989" s="23"/>
      <c r="N989" s="23"/>
      <c r="P989" s="23"/>
    </row>
    <row r="990" spans="2:16" x14ac:dyDescent="0.25">
      <c r="B990" s="23"/>
      <c r="E990" s="23"/>
      <c r="G990" s="23"/>
      <c r="H990" s="23"/>
      <c r="J990" s="23"/>
      <c r="K990" s="23"/>
      <c r="M990" s="23"/>
      <c r="N990" s="23"/>
      <c r="P990" s="23"/>
    </row>
    <row r="991" spans="2:16" x14ac:dyDescent="0.25">
      <c r="B991" s="23"/>
      <c r="E991" s="23"/>
      <c r="G991" s="23"/>
      <c r="H991" s="23"/>
      <c r="J991" s="23"/>
      <c r="K991" s="23"/>
      <c r="M991" s="23"/>
      <c r="N991" s="23"/>
      <c r="P991" s="23"/>
    </row>
    <row r="992" spans="2:16" x14ac:dyDescent="0.25">
      <c r="B992" s="23"/>
      <c r="E992" s="23"/>
      <c r="G992" s="23"/>
      <c r="H992" s="23"/>
      <c r="J992" s="23"/>
      <c r="K992" s="23"/>
      <c r="M992" s="23"/>
      <c r="N992" s="23"/>
      <c r="P992" s="23"/>
    </row>
    <row r="993" spans="2:16" x14ac:dyDescent="0.25">
      <c r="B993" s="23"/>
      <c r="E993" s="23"/>
      <c r="G993" s="23"/>
      <c r="H993" s="23"/>
      <c r="J993" s="23"/>
      <c r="K993" s="23"/>
      <c r="M993" s="23"/>
      <c r="N993" s="23"/>
      <c r="P993" s="23"/>
    </row>
    <row r="994" spans="2:16" x14ac:dyDescent="0.25">
      <c r="B994" s="23"/>
      <c r="E994" s="23"/>
      <c r="G994" s="23"/>
      <c r="H994" s="23"/>
      <c r="J994" s="23"/>
      <c r="K994" s="23"/>
      <c r="M994" s="23"/>
      <c r="N994" s="23"/>
      <c r="P994" s="23"/>
    </row>
    <row r="995" spans="2:16" x14ac:dyDescent="0.25">
      <c r="B995" s="23"/>
      <c r="E995" s="23"/>
      <c r="G995" s="23"/>
      <c r="H995" s="23"/>
      <c r="J995" s="23"/>
      <c r="K995" s="23"/>
      <c r="M995" s="23"/>
      <c r="N995" s="23"/>
      <c r="P995" s="23"/>
    </row>
    <row r="996" spans="2:16" x14ac:dyDescent="0.25">
      <c r="B996" s="23"/>
      <c r="E996" s="23"/>
      <c r="G996" s="23"/>
      <c r="H996" s="23"/>
      <c r="J996" s="23"/>
      <c r="K996" s="23"/>
      <c r="M996" s="23"/>
      <c r="N996" s="23"/>
      <c r="P996" s="23"/>
    </row>
    <row r="997" spans="2:16" x14ac:dyDescent="0.25">
      <c r="B997" s="23"/>
      <c r="E997" s="23"/>
      <c r="G997" s="23"/>
      <c r="H997" s="23"/>
      <c r="J997" s="23"/>
      <c r="K997" s="23"/>
      <c r="M997" s="23"/>
      <c r="N997" s="23"/>
      <c r="P997" s="23"/>
    </row>
    <row r="998" spans="2:16" x14ac:dyDescent="0.25">
      <c r="B998" s="23"/>
      <c r="E998" s="23"/>
      <c r="G998" s="23"/>
      <c r="H998" s="23"/>
      <c r="J998" s="23"/>
      <c r="K998" s="23"/>
      <c r="M998" s="23"/>
      <c r="N998" s="23"/>
      <c r="P998" s="23"/>
    </row>
    <row r="999" spans="2:16" x14ac:dyDescent="0.25">
      <c r="B999" s="23"/>
      <c r="E999" s="23"/>
      <c r="G999" s="23"/>
      <c r="H999" s="23"/>
      <c r="J999" s="23"/>
      <c r="K999" s="23"/>
      <c r="M999" s="23"/>
      <c r="N999" s="23"/>
      <c r="P999" s="23"/>
    </row>
    <row r="1000" spans="2:16" x14ac:dyDescent="0.25">
      <c r="B1000" s="23"/>
      <c r="E1000" s="23"/>
      <c r="G1000" s="23"/>
      <c r="H1000" s="23"/>
      <c r="J1000" s="23"/>
      <c r="K1000" s="23"/>
      <c r="M1000" s="23"/>
      <c r="N1000" s="23"/>
      <c r="P1000" s="23"/>
    </row>
    <row r="1001" spans="2:16" x14ac:dyDescent="0.25">
      <c r="B1001" s="23"/>
      <c r="E1001" s="23"/>
      <c r="G1001" s="23"/>
      <c r="H1001" s="23"/>
      <c r="J1001" s="23"/>
      <c r="K1001" s="23"/>
      <c r="M1001" s="23"/>
      <c r="N1001" s="23"/>
      <c r="P1001" s="23"/>
    </row>
    <row r="1002" spans="2:16" x14ac:dyDescent="0.25">
      <c r="B1002" s="23"/>
      <c r="E1002" s="23"/>
      <c r="G1002" s="23"/>
      <c r="H1002" s="23"/>
      <c r="J1002" s="23"/>
      <c r="K1002" s="23"/>
      <c r="M1002" s="23"/>
      <c r="N1002" s="23"/>
      <c r="P1002" s="23"/>
    </row>
    <row r="1003" spans="2:16" x14ac:dyDescent="0.25">
      <c r="B1003" s="23"/>
      <c r="E1003" s="23"/>
      <c r="G1003" s="23"/>
      <c r="H1003" s="23"/>
      <c r="J1003" s="23"/>
      <c r="K1003" s="23"/>
      <c r="M1003" s="23"/>
      <c r="N1003" s="23"/>
      <c r="P1003" s="23"/>
    </row>
    <row r="1004" spans="2:16" x14ac:dyDescent="0.25">
      <c r="B1004" s="23"/>
      <c r="E1004" s="23"/>
      <c r="G1004" s="23"/>
      <c r="H1004" s="23"/>
      <c r="J1004" s="23"/>
      <c r="K1004" s="23"/>
      <c r="M1004" s="23"/>
      <c r="N1004" s="23"/>
      <c r="P1004" s="23"/>
    </row>
    <row r="1005" spans="2:16" x14ac:dyDescent="0.25">
      <c r="B1005" s="23"/>
      <c r="E1005" s="23"/>
      <c r="G1005" s="23"/>
      <c r="H1005" s="23"/>
      <c r="J1005" s="23"/>
      <c r="K1005" s="23"/>
      <c r="M1005" s="23"/>
      <c r="N1005" s="23"/>
      <c r="P1005" s="23"/>
    </row>
    <row r="1006" spans="2:16" x14ac:dyDescent="0.25">
      <c r="B1006" s="23"/>
      <c r="E1006" s="23"/>
      <c r="G1006" s="23"/>
      <c r="H1006" s="23"/>
      <c r="J1006" s="23"/>
      <c r="K1006" s="23"/>
      <c r="M1006" s="23"/>
      <c r="N1006" s="23"/>
      <c r="P1006" s="23"/>
    </row>
    <row r="1007" spans="2:16" x14ac:dyDescent="0.25">
      <c r="B1007" s="23"/>
      <c r="E1007" s="23"/>
      <c r="G1007" s="23"/>
      <c r="H1007" s="23"/>
      <c r="J1007" s="23"/>
      <c r="K1007" s="23"/>
      <c r="M1007" s="23"/>
      <c r="N1007" s="23"/>
      <c r="P1007" s="23"/>
    </row>
    <row r="1008" spans="2:16" x14ac:dyDescent="0.25">
      <c r="B1008" s="23"/>
      <c r="E1008" s="23"/>
      <c r="G1008" s="23"/>
      <c r="H1008" s="23"/>
      <c r="J1008" s="23"/>
      <c r="K1008" s="23"/>
      <c r="M1008" s="23"/>
      <c r="N1008" s="23"/>
      <c r="P1008" s="23"/>
    </row>
    <row r="1009" spans="2:16" x14ac:dyDescent="0.25">
      <c r="B1009" s="23"/>
      <c r="E1009" s="23"/>
      <c r="G1009" s="23"/>
      <c r="H1009" s="23"/>
      <c r="J1009" s="23"/>
      <c r="K1009" s="23"/>
      <c r="M1009" s="23"/>
      <c r="N1009" s="23"/>
      <c r="P1009" s="23"/>
    </row>
    <row r="1010" spans="2:16" x14ac:dyDescent="0.25">
      <c r="B1010" s="23"/>
      <c r="E1010" s="23"/>
      <c r="G1010" s="23"/>
      <c r="H1010" s="23"/>
      <c r="J1010" s="23"/>
      <c r="K1010" s="23"/>
      <c r="M1010" s="23"/>
      <c r="N1010" s="23"/>
      <c r="P1010" s="23"/>
    </row>
    <row r="1011" spans="2:16" x14ac:dyDescent="0.25">
      <c r="B1011" s="23"/>
      <c r="E1011" s="23"/>
      <c r="G1011" s="23"/>
      <c r="H1011" s="23"/>
      <c r="J1011" s="23"/>
      <c r="K1011" s="23"/>
      <c r="M1011" s="23"/>
      <c r="N1011" s="23"/>
      <c r="P1011" s="23"/>
    </row>
    <row r="1012" spans="2:16" x14ac:dyDescent="0.25">
      <c r="B1012" s="23"/>
      <c r="E1012" s="23"/>
      <c r="G1012" s="23"/>
      <c r="H1012" s="23"/>
      <c r="J1012" s="23"/>
      <c r="K1012" s="23"/>
      <c r="M1012" s="23"/>
      <c r="N1012" s="23"/>
      <c r="P1012" s="23"/>
    </row>
    <row r="1013" spans="2:16" x14ac:dyDescent="0.25">
      <c r="B1013" s="23"/>
      <c r="E1013" s="23"/>
      <c r="G1013" s="23"/>
      <c r="H1013" s="23"/>
      <c r="J1013" s="23"/>
      <c r="K1013" s="23"/>
      <c r="M1013" s="23"/>
      <c r="N1013" s="23"/>
      <c r="P1013" s="23"/>
    </row>
    <row r="1014" spans="2:16" x14ac:dyDescent="0.25">
      <c r="B1014" s="23"/>
      <c r="E1014" s="23"/>
      <c r="G1014" s="23"/>
      <c r="H1014" s="23"/>
      <c r="J1014" s="23"/>
      <c r="K1014" s="23"/>
      <c r="M1014" s="23"/>
      <c r="N1014" s="23"/>
      <c r="P1014" s="23"/>
    </row>
    <row r="1015" spans="2:16" x14ac:dyDescent="0.25">
      <c r="B1015" s="23"/>
      <c r="E1015" s="23"/>
      <c r="G1015" s="23"/>
      <c r="H1015" s="23"/>
      <c r="J1015" s="23"/>
      <c r="K1015" s="23"/>
      <c r="M1015" s="23"/>
      <c r="N1015" s="23"/>
      <c r="P1015" s="23"/>
    </row>
    <row r="1016" spans="2:16" x14ac:dyDescent="0.25">
      <c r="B1016" s="23"/>
      <c r="E1016" s="23"/>
      <c r="G1016" s="23"/>
      <c r="H1016" s="23"/>
      <c r="J1016" s="23"/>
      <c r="K1016" s="23"/>
      <c r="M1016" s="23"/>
      <c r="N1016" s="23"/>
      <c r="P1016" s="23"/>
    </row>
    <row r="1017" spans="2:16" x14ac:dyDescent="0.25">
      <c r="B1017" s="23"/>
      <c r="E1017" s="23"/>
      <c r="G1017" s="23"/>
      <c r="H1017" s="23"/>
      <c r="J1017" s="23"/>
      <c r="K1017" s="23"/>
      <c r="M1017" s="23"/>
      <c r="N1017" s="23"/>
      <c r="P1017" s="23"/>
    </row>
    <row r="1018" spans="2:16" x14ac:dyDescent="0.25">
      <c r="B1018" s="23"/>
      <c r="E1018" s="23"/>
      <c r="G1018" s="23"/>
      <c r="H1018" s="23"/>
      <c r="J1018" s="23"/>
      <c r="K1018" s="23"/>
      <c r="M1018" s="23"/>
      <c r="N1018" s="23"/>
      <c r="P1018" s="23"/>
    </row>
    <row r="1019" spans="2:16" x14ac:dyDescent="0.25">
      <c r="B1019" s="23"/>
      <c r="E1019" s="23"/>
      <c r="G1019" s="23"/>
      <c r="H1019" s="23"/>
      <c r="J1019" s="23"/>
      <c r="K1019" s="23"/>
      <c r="M1019" s="23"/>
      <c r="N1019" s="23"/>
      <c r="P1019" s="23"/>
    </row>
    <row r="1020" spans="2:16" x14ac:dyDescent="0.25">
      <c r="B1020" s="23"/>
      <c r="E1020" s="23"/>
      <c r="G1020" s="23"/>
      <c r="H1020" s="23"/>
      <c r="J1020" s="23"/>
      <c r="K1020" s="23"/>
      <c r="M1020" s="23"/>
      <c r="N1020" s="23"/>
      <c r="P1020" s="23"/>
    </row>
    <row r="1021" spans="2:16" x14ac:dyDescent="0.25">
      <c r="B1021" s="23"/>
      <c r="E1021" s="23"/>
      <c r="G1021" s="23"/>
      <c r="H1021" s="23"/>
      <c r="J1021" s="23"/>
      <c r="K1021" s="23"/>
      <c r="M1021" s="23"/>
      <c r="N1021" s="23"/>
      <c r="P1021" s="23"/>
    </row>
    <row r="1022" spans="2:16" x14ac:dyDescent="0.25">
      <c r="B1022" s="23"/>
      <c r="E1022" s="23"/>
      <c r="G1022" s="23"/>
      <c r="H1022" s="23"/>
      <c r="J1022" s="23"/>
      <c r="K1022" s="23"/>
      <c r="M1022" s="23"/>
      <c r="N1022" s="23"/>
      <c r="P1022" s="23"/>
    </row>
    <row r="1023" spans="2:16" x14ac:dyDescent="0.25">
      <c r="B1023" s="23"/>
      <c r="E1023" s="23"/>
      <c r="G1023" s="23"/>
      <c r="H1023" s="23"/>
      <c r="J1023" s="23"/>
      <c r="K1023" s="23"/>
      <c r="M1023" s="23"/>
      <c r="N1023" s="23"/>
      <c r="P1023" s="23"/>
    </row>
    <row r="1024" spans="2:16" x14ac:dyDescent="0.25">
      <c r="B1024" s="23"/>
      <c r="E1024" s="23"/>
      <c r="G1024" s="23"/>
      <c r="H1024" s="23"/>
      <c r="J1024" s="23"/>
      <c r="K1024" s="23"/>
      <c r="M1024" s="23"/>
      <c r="N1024" s="23"/>
      <c r="P1024" s="23"/>
    </row>
    <row r="1025" spans="2:16" x14ac:dyDescent="0.25">
      <c r="B1025" s="23"/>
      <c r="E1025" s="23"/>
      <c r="G1025" s="23"/>
      <c r="H1025" s="23"/>
      <c r="J1025" s="23"/>
      <c r="K1025" s="23"/>
      <c r="M1025" s="23"/>
      <c r="N1025" s="23"/>
      <c r="P1025" s="23"/>
    </row>
    <row r="1026" spans="2:16" x14ac:dyDescent="0.25">
      <c r="B1026" s="23"/>
      <c r="E1026" s="23"/>
      <c r="G1026" s="23"/>
      <c r="H1026" s="23"/>
      <c r="J1026" s="23"/>
      <c r="K1026" s="23"/>
      <c r="M1026" s="23"/>
      <c r="N1026" s="23"/>
      <c r="P1026" s="23"/>
    </row>
    <row r="1027" spans="2:16" x14ac:dyDescent="0.25">
      <c r="B1027" s="23"/>
      <c r="E1027" s="23"/>
      <c r="G1027" s="23"/>
      <c r="H1027" s="23"/>
      <c r="J1027" s="23"/>
      <c r="K1027" s="23"/>
      <c r="M1027" s="23"/>
      <c r="N1027" s="23"/>
      <c r="P1027" s="23"/>
    </row>
    <row r="1028" spans="2:16" x14ac:dyDescent="0.25">
      <c r="B1028" s="23"/>
      <c r="E1028" s="23"/>
      <c r="G1028" s="23"/>
      <c r="H1028" s="23"/>
      <c r="J1028" s="23"/>
      <c r="K1028" s="23"/>
      <c r="M1028" s="23"/>
      <c r="N1028" s="23"/>
      <c r="P1028" s="23"/>
    </row>
    <row r="1029" spans="2:16" x14ac:dyDescent="0.25">
      <c r="B1029" s="23"/>
      <c r="E1029" s="23"/>
      <c r="G1029" s="23"/>
      <c r="H1029" s="23"/>
      <c r="J1029" s="23"/>
      <c r="K1029" s="23"/>
      <c r="M1029" s="23"/>
      <c r="N1029" s="23"/>
      <c r="P1029" s="23"/>
    </row>
    <row r="1030" spans="2:16" x14ac:dyDescent="0.25">
      <c r="B1030" s="23"/>
      <c r="E1030" s="23"/>
      <c r="G1030" s="23"/>
      <c r="H1030" s="23"/>
      <c r="J1030" s="23"/>
      <c r="K1030" s="23"/>
      <c r="M1030" s="23"/>
      <c r="N1030" s="23"/>
      <c r="P1030" s="23"/>
    </row>
    <row r="1031" spans="2:16" x14ac:dyDescent="0.25">
      <c r="B1031" s="23"/>
      <c r="E1031" s="23"/>
      <c r="G1031" s="23"/>
      <c r="H1031" s="23"/>
      <c r="J1031" s="23"/>
      <c r="K1031" s="23"/>
      <c r="M1031" s="23"/>
      <c r="N1031" s="23"/>
      <c r="P1031" s="23"/>
    </row>
    <row r="1032" spans="2:16" x14ac:dyDescent="0.25">
      <c r="B1032" s="23"/>
      <c r="E1032" s="23"/>
      <c r="G1032" s="23"/>
      <c r="H1032" s="23"/>
      <c r="J1032" s="23"/>
      <c r="K1032" s="23"/>
      <c r="M1032" s="23"/>
      <c r="N1032" s="23"/>
      <c r="P1032" s="23"/>
    </row>
    <row r="1033" spans="2:16" x14ac:dyDescent="0.25">
      <c r="B1033" s="23"/>
      <c r="E1033" s="23"/>
      <c r="G1033" s="23"/>
      <c r="H1033" s="23"/>
      <c r="J1033" s="23"/>
      <c r="K1033" s="23"/>
      <c r="M1033" s="23"/>
      <c r="N1033" s="23"/>
      <c r="P1033" s="23"/>
    </row>
    <row r="1034" spans="2:16" x14ac:dyDescent="0.25">
      <c r="B1034" s="23"/>
      <c r="E1034" s="23"/>
      <c r="G1034" s="23"/>
      <c r="H1034" s="23"/>
      <c r="J1034" s="23"/>
      <c r="K1034" s="23"/>
      <c r="M1034" s="23"/>
      <c r="N1034" s="23"/>
      <c r="P1034" s="23"/>
    </row>
    <row r="1035" spans="2:16" x14ac:dyDescent="0.25">
      <c r="B1035" s="23"/>
      <c r="E1035" s="23"/>
      <c r="G1035" s="23"/>
      <c r="H1035" s="23"/>
      <c r="J1035" s="23"/>
      <c r="K1035" s="23"/>
      <c r="M1035" s="23"/>
      <c r="N1035" s="23"/>
      <c r="P1035" s="23"/>
    </row>
    <row r="1036" spans="2:16" x14ac:dyDescent="0.25">
      <c r="B1036" s="23"/>
      <c r="E1036" s="23"/>
      <c r="G1036" s="23"/>
      <c r="H1036" s="23"/>
      <c r="J1036" s="23"/>
      <c r="K1036" s="23"/>
      <c r="M1036" s="23"/>
      <c r="N1036" s="23"/>
      <c r="P1036" s="23"/>
    </row>
    <row r="1037" spans="2:16" x14ac:dyDescent="0.25">
      <c r="B1037" s="23"/>
      <c r="E1037" s="23"/>
      <c r="G1037" s="23"/>
      <c r="H1037" s="23"/>
      <c r="J1037" s="23"/>
      <c r="K1037" s="23"/>
      <c r="M1037" s="23"/>
      <c r="N1037" s="23"/>
      <c r="P1037" s="23"/>
    </row>
    <row r="1038" spans="2:16" x14ac:dyDescent="0.25">
      <c r="B1038" s="23"/>
      <c r="E1038" s="23"/>
      <c r="G1038" s="23"/>
      <c r="H1038" s="23"/>
      <c r="J1038" s="23"/>
      <c r="K1038" s="23"/>
      <c r="M1038" s="23"/>
      <c r="N1038" s="23"/>
      <c r="P1038" s="23"/>
    </row>
    <row r="1039" spans="2:16" x14ac:dyDescent="0.25">
      <c r="B1039" s="23"/>
      <c r="E1039" s="23"/>
      <c r="G1039" s="23"/>
      <c r="H1039" s="23"/>
      <c r="J1039" s="23"/>
      <c r="K1039" s="23"/>
      <c r="M1039" s="23"/>
      <c r="N1039" s="23"/>
      <c r="P1039" s="23"/>
    </row>
    <row r="1040" spans="2:16" x14ac:dyDescent="0.25">
      <c r="B1040" s="23"/>
      <c r="E1040" s="23"/>
      <c r="G1040" s="23"/>
      <c r="H1040" s="23"/>
      <c r="J1040" s="23"/>
      <c r="K1040" s="23"/>
      <c r="M1040" s="23"/>
      <c r="N1040" s="23"/>
      <c r="P1040" s="23"/>
    </row>
    <row r="1041" spans="2:16" x14ac:dyDescent="0.25">
      <c r="B1041" s="23"/>
      <c r="E1041" s="23"/>
      <c r="G1041" s="23"/>
      <c r="H1041" s="23"/>
      <c r="J1041" s="23"/>
      <c r="K1041" s="23"/>
      <c r="M1041" s="23"/>
      <c r="N1041" s="23"/>
      <c r="P1041" s="23"/>
    </row>
    <row r="1042" spans="2:16" x14ac:dyDescent="0.25">
      <c r="B1042" s="23"/>
      <c r="E1042" s="23"/>
      <c r="G1042" s="23"/>
      <c r="H1042" s="23"/>
      <c r="J1042" s="23"/>
      <c r="K1042" s="23"/>
      <c r="M1042" s="23"/>
      <c r="N1042" s="23"/>
      <c r="P1042" s="23"/>
    </row>
    <row r="1043" spans="2:16" x14ac:dyDescent="0.25">
      <c r="B1043" s="23"/>
      <c r="E1043" s="23"/>
      <c r="G1043" s="23"/>
      <c r="H1043" s="23"/>
      <c r="J1043" s="23"/>
      <c r="K1043" s="23"/>
      <c r="M1043" s="23"/>
      <c r="N1043" s="23"/>
      <c r="P1043" s="23"/>
    </row>
    <row r="1044" spans="2:16" x14ac:dyDescent="0.25">
      <c r="B1044" s="23"/>
      <c r="E1044" s="23"/>
      <c r="G1044" s="23"/>
      <c r="H1044" s="23"/>
      <c r="J1044" s="23"/>
      <c r="K1044" s="23"/>
      <c r="M1044" s="23"/>
      <c r="N1044" s="23"/>
      <c r="P1044" s="23"/>
    </row>
    <row r="1045" spans="2:16" x14ac:dyDescent="0.25">
      <c r="B1045" s="23"/>
      <c r="E1045" s="23"/>
      <c r="G1045" s="23"/>
      <c r="H1045" s="23"/>
      <c r="J1045" s="23"/>
      <c r="K1045" s="23"/>
      <c r="M1045" s="23"/>
      <c r="N1045" s="23"/>
      <c r="P1045" s="23"/>
    </row>
    <row r="1046" spans="2:16" x14ac:dyDescent="0.25">
      <c r="B1046" s="23"/>
      <c r="E1046" s="23"/>
      <c r="G1046" s="23"/>
      <c r="H1046" s="23"/>
      <c r="J1046" s="23"/>
      <c r="K1046" s="23"/>
      <c r="M1046" s="23"/>
      <c r="N1046" s="23"/>
      <c r="P1046" s="23"/>
    </row>
    <row r="1047" spans="2:16" x14ac:dyDescent="0.25">
      <c r="B1047" s="23"/>
      <c r="E1047" s="23"/>
      <c r="G1047" s="23"/>
      <c r="H1047" s="23"/>
      <c r="J1047" s="23"/>
      <c r="K1047" s="23"/>
      <c r="M1047" s="23"/>
      <c r="N1047" s="23"/>
      <c r="P1047" s="23"/>
    </row>
    <row r="1048" spans="2:16" x14ac:dyDescent="0.25">
      <c r="B1048" s="23"/>
      <c r="E1048" s="23"/>
      <c r="G1048" s="23"/>
      <c r="H1048" s="23"/>
      <c r="J1048" s="23"/>
      <c r="K1048" s="23"/>
      <c r="M1048" s="23"/>
      <c r="N1048" s="23"/>
      <c r="P1048" s="23"/>
    </row>
    <row r="1049" spans="2:16" x14ac:dyDescent="0.25">
      <c r="B1049" s="23"/>
      <c r="E1049" s="23"/>
      <c r="G1049" s="23"/>
      <c r="H1049" s="23"/>
      <c r="J1049" s="23"/>
      <c r="K1049" s="23"/>
      <c r="M1049" s="23"/>
      <c r="N1049" s="23"/>
      <c r="P1049" s="23"/>
    </row>
    <row r="1050" spans="2:16" x14ac:dyDescent="0.25">
      <c r="B1050" s="23"/>
      <c r="E1050" s="23"/>
      <c r="G1050" s="23"/>
      <c r="H1050" s="23"/>
      <c r="J1050" s="23"/>
      <c r="K1050" s="23"/>
      <c r="M1050" s="23"/>
      <c r="N1050" s="23"/>
      <c r="P1050" s="23"/>
    </row>
    <row r="1051" spans="2:16" x14ac:dyDescent="0.25">
      <c r="B1051" s="23"/>
      <c r="E1051" s="23"/>
      <c r="G1051" s="23"/>
      <c r="H1051" s="23"/>
      <c r="J1051" s="23"/>
      <c r="K1051" s="23"/>
      <c r="M1051" s="23"/>
      <c r="N1051" s="23"/>
      <c r="P1051" s="23"/>
    </row>
    <row r="1052" spans="2:16" x14ac:dyDescent="0.25">
      <c r="B1052" s="23"/>
      <c r="E1052" s="23"/>
      <c r="G1052" s="23"/>
      <c r="H1052" s="23"/>
      <c r="J1052" s="23"/>
      <c r="K1052" s="23"/>
      <c r="M1052" s="23"/>
      <c r="N1052" s="23"/>
      <c r="P1052" s="23"/>
    </row>
    <row r="1053" spans="2:16" x14ac:dyDescent="0.25">
      <c r="B1053" s="23"/>
      <c r="E1053" s="23"/>
      <c r="G1053" s="23"/>
      <c r="H1053" s="23"/>
      <c r="J1053" s="23"/>
      <c r="K1053" s="23"/>
      <c r="M1053" s="23"/>
      <c r="N1053" s="23"/>
      <c r="P1053" s="23"/>
    </row>
    <row r="1054" spans="2:16" x14ac:dyDescent="0.25">
      <c r="B1054" s="23"/>
      <c r="E1054" s="23"/>
      <c r="G1054" s="23"/>
      <c r="H1054" s="23"/>
      <c r="J1054" s="23"/>
      <c r="K1054" s="23"/>
      <c r="M1054" s="23"/>
      <c r="N1054" s="23"/>
      <c r="P1054" s="23"/>
    </row>
    <row r="1055" spans="2:16" x14ac:dyDescent="0.25">
      <c r="B1055" s="23"/>
      <c r="E1055" s="23"/>
      <c r="G1055" s="23"/>
      <c r="H1055" s="23"/>
      <c r="J1055" s="23"/>
      <c r="K1055" s="23"/>
      <c r="M1055" s="23"/>
      <c r="N1055" s="23"/>
      <c r="P1055" s="23"/>
    </row>
    <row r="1056" spans="2:16" x14ac:dyDescent="0.25">
      <c r="B1056" s="23"/>
      <c r="E1056" s="23"/>
      <c r="G1056" s="23"/>
      <c r="H1056" s="23"/>
      <c r="J1056" s="23"/>
      <c r="K1056" s="23"/>
      <c r="M1056" s="23"/>
      <c r="N1056" s="23"/>
      <c r="P1056" s="23"/>
    </row>
    <row r="1057" spans="2:16" x14ac:dyDescent="0.25">
      <c r="B1057" s="23"/>
      <c r="E1057" s="23"/>
      <c r="G1057" s="23"/>
      <c r="H1057" s="23"/>
      <c r="J1057" s="23"/>
      <c r="K1057" s="23"/>
      <c r="M1057" s="23"/>
      <c r="N1057" s="23"/>
      <c r="P1057" s="23"/>
    </row>
    <row r="1058" spans="2:16" x14ac:dyDescent="0.25">
      <c r="B1058" s="23"/>
      <c r="E1058" s="23"/>
      <c r="G1058" s="23"/>
      <c r="H1058" s="23"/>
      <c r="J1058" s="23"/>
      <c r="K1058" s="23"/>
      <c r="M1058" s="23"/>
      <c r="N1058" s="23"/>
      <c r="P1058" s="23"/>
    </row>
    <row r="1059" spans="2:16" x14ac:dyDescent="0.25">
      <c r="B1059" s="23"/>
      <c r="E1059" s="23"/>
      <c r="G1059" s="23"/>
      <c r="H1059" s="23"/>
      <c r="J1059" s="23"/>
      <c r="K1059" s="23"/>
      <c r="M1059" s="23"/>
      <c r="N1059" s="23"/>
      <c r="P1059" s="23"/>
    </row>
    <row r="1060" spans="2:16" x14ac:dyDescent="0.25">
      <c r="B1060" s="23"/>
      <c r="E1060" s="23"/>
      <c r="G1060" s="23"/>
      <c r="H1060" s="23"/>
      <c r="J1060" s="23"/>
      <c r="K1060" s="23"/>
      <c r="M1060" s="23"/>
      <c r="N1060" s="23"/>
      <c r="P1060" s="23"/>
    </row>
    <row r="1061" spans="2:16" x14ac:dyDescent="0.25">
      <c r="B1061" s="23"/>
      <c r="E1061" s="23"/>
      <c r="G1061" s="23"/>
      <c r="H1061" s="23"/>
      <c r="J1061" s="23"/>
      <c r="K1061" s="23"/>
      <c r="M1061" s="23"/>
      <c r="N1061" s="23"/>
      <c r="P1061" s="23"/>
    </row>
    <row r="1062" spans="2:16" x14ac:dyDescent="0.25">
      <c r="B1062" s="23"/>
      <c r="E1062" s="23"/>
      <c r="G1062" s="23"/>
      <c r="H1062" s="23"/>
      <c r="J1062" s="23"/>
      <c r="K1062" s="23"/>
      <c r="M1062" s="23"/>
      <c r="N1062" s="23"/>
      <c r="P1062" s="23"/>
    </row>
    <row r="1063" spans="2:16" x14ac:dyDescent="0.25">
      <c r="B1063" s="23"/>
      <c r="E1063" s="23"/>
      <c r="G1063" s="23"/>
      <c r="H1063" s="23"/>
      <c r="J1063" s="23"/>
      <c r="K1063" s="23"/>
      <c r="M1063" s="23"/>
      <c r="N1063" s="23"/>
      <c r="P1063" s="23"/>
    </row>
    <row r="1064" spans="2:16" x14ac:dyDescent="0.25">
      <c r="B1064" s="23"/>
      <c r="E1064" s="23"/>
      <c r="G1064" s="23"/>
      <c r="H1064" s="23"/>
      <c r="J1064" s="23"/>
      <c r="K1064" s="23"/>
      <c r="M1064" s="23"/>
      <c r="N1064" s="23"/>
      <c r="P1064" s="23"/>
    </row>
    <row r="1065" spans="2:16" x14ac:dyDescent="0.25">
      <c r="B1065" s="23"/>
      <c r="E1065" s="23"/>
      <c r="G1065" s="23"/>
      <c r="H1065" s="23"/>
      <c r="J1065" s="23"/>
      <c r="K1065" s="23"/>
      <c r="M1065" s="23"/>
      <c r="N1065" s="23"/>
      <c r="P1065" s="23"/>
    </row>
    <row r="1066" spans="2:16" x14ac:dyDescent="0.25">
      <c r="B1066" s="23"/>
      <c r="E1066" s="23"/>
      <c r="G1066" s="23"/>
      <c r="H1066" s="23"/>
      <c r="J1066" s="23"/>
      <c r="K1066" s="23"/>
      <c r="M1066" s="23"/>
      <c r="N1066" s="23"/>
      <c r="P1066" s="23"/>
    </row>
    <row r="1067" spans="2:16" x14ac:dyDescent="0.25">
      <c r="B1067" s="23"/>
      <c r="E1067" s="23"/>
      <c r="G1067" s="23"/>
      <c r="H1067" s="23"/>
      <c r="J1067" s="23"/>
      <c r="K1067" s="23"/>
      <c r="M1067" s="23"/>
      <c r="N1067" s="23"/>
      <c r="P1067" s="23"/>
    </row>
    <row r="1068" spans="2:16" x14ac:dyDescent="0.25">
      <c r="B1068" s="23"/>
      <c r="E1068" s="23"/>
      <c r="G1068" s="23"/>
      <c r="H1068" s="23"/>
      <c r="J1068" s="23"/>
      <c r="K1068" s="23"/>
      <c r="M1068" s="23"/>
      <c r="N1068" s="23"/>
      <c r="P1068" s="23"/>
    </row>
    <row r="1069" spans="2:16" x14ac:dyDescent="0.25">
      <c r="B1069" s="23"/>
      <c r="E1069" s="23"/>
      <c r="G1069" s="23"/>
      <c r="H1069" s="23"/>
      <c r="J1069" s="23"/>
      <c r="K1069" s="23"/>
      <c r="M1069" s="23"/>
      <c r="N1069" s="23"/>
      <c r="P1069" s="23"/>
    </row>
    <row r="1070" spans="2:16" x14ac:dyDescent="0.25">
      <c r="B1070" s="23"/>
      <c r="E1070" s="23"/>
      <c r="G1070" s="23"/>
      <c r="H1070" s="23"/>
      <c r="J1070" s="23"/>
      <c r="K1070" s="23"/>
      <c r="M1070" s="23"/>
      <c r="N1070" s="23"/>
      <c r="P1070" s="23"/>
    </row>
    <row r="1071" spans="2:16" x14ac:dyDescent="0.25">
      <c r="B1071" s="23"/>
      <c r="E1071" s="23"/>
      <c r="G1071" s="23"/>
      <c r="H1071" s="23"/>
      <c r="J1071" s="23"/>
      <c r="K1071" s="23"/>
      <c r="M1071" s="23"/>
      <c r="N1071" s="23"/>
      <c r="P1071" s="23"/>
    </row>
    <row r="1072" spans="2:16" x14ac:dyDescent="0.25">
      <c r="B1072" s="23"/>
      <c r="E1072" s="23"/>
      <c r="G1072" s="23"/>
      <c r="H1072" s="23"/>
      <c r="J1072" s="23"/>
      <c r="K1072" s="23"/>
      <c r="M1072" s="23"/>
      <c r="N1072" s="23"/>
      <c r="P1072" s="23"/>
    </row>
    <row r="1073" spans="2:16" x14ac:dyDescent="0.25">
      <c r="B1073" s="23"/>
      <c r="E1073" s="23"/>
      <c r="G1073" s="23"/>
      <c r="H1073" s="23"/>
      <c r="J1073" s="23"/>
      <c r="K1073" s="23"/>
      <c r="M1073" s="23"/>
      <c r="N1073" s="23"/>
      <c r="P1073" s="23"/>
    </row>
    <row r="1074" spans="2:16" x14ac:dyDescent="0.25">
      <c r="B1074" s="23"/>
      <c r="E1074" s="23"/>
      <c r="G1074" s="23"/>
      <c r="H1074" s="23"/>
      <c r="J1074" s="23"/>
      <c r="K1074" s="23"/>
      <c r="M1074" s="23"/>
      <c r="N1074" s="23"/>
      <c r="P1074" s="23"/>
    </row>
    <row r="1075" spans="2:16" x14ac:dyDescent="0.25">
      <c r="B1075" s="23"/>
      <c r="E1075" s="23"/>
      <c r="G1075" s="23"/>
      <c r="H1075" s="23"/>
      <c r="J1075" s="23"/>
      <c r="K1075" s="23"/>
      <c r="M1075" s="23"/>
      <c r="N1075" s="23"/>
      <c r="P1075" s="23"/>
    </row>
    <row r="1076" spans="2:16" x14ac:dyDescent="0.25">
      <c r="B1076" s="23"/>
      <c r="E1076" s="23"/>
      <c r="G1076" s="23"/>
      <c r="H1076" s="23"/>
      <c r="J1076" s="23"/>
      <c r="K1076" s="23"/>
      <c r="M1076" s="23"/>
      <c r="N1076" s="23"/>
      <c r="P1076" s="23"/>
    </row>
    <row r="1077" spans="2:16" x14ac:dyDescent="0.25">
      <c r="B1077" s="23"/>
      <c r="E1077" s="23"/>
      <c r="G1077" s="23"/>
      <c r="H1077" s="23"/>
      <c r="J1077" s="23"/>
      <c r="K1077" s="23"/>
      <c r="M1077" s="23"/>
      <c r="N1077" s="23"/>
      <c r="P1077" s="23"/>
    </row>
    <row r="1078" spans="2:16" x14ac:dyDescent="0.25">
      <c r="B1078" s="23"/>
      <c r="E1078" s="23"/>
      <c r="G1078" s="23"/>
      <c r="H1078" s="23"/>
      <c r="J1078" s="23"/>
      <c r="K1078" s="23"/>
      <c r="M1078" s="23"/>
      <c r="N1078" s="23"/>
      <c r="P1078" s="23"/>
    </row>
    <row r="1079" spans="2:16" x14ac:dyDescent="0.25">
      <c r="B1079" s="23"/>
      <c r="E1079" s="23"/>
      <c r="G1079" s="23"/>
      <c r="H1079" s="23"/>
      <c r="J1079" s="23"/>
      <c r="K1079" s="23"/>
      <c r="M1079" s="23"/>
      <c r="N1079" s="23"/>
      <c r="P1079" s="23"/>
    </row>
    <row r="1080" spans="2:16" x14ac:dyDescent="0.25">
      <c r="B1080" s="23"/>
      <c r="E1080" s="23"/>
      <c r="G1080" s="23"/>
      <c r="H1080" s="23"/>
      <c r="J1080" s="23"/>
      <c r="K1080" s="23"/>
      <c r="M1080" s="23"/>
      <c r="N1080" s="23"/>
      <c r="P1080" s="23"/>
    </row>
    <row r="1081" spans="2:16" x14ac:dyDescent="0.25">
      <c r="B1081" s="23"/>
      <c r="E1081" s="23"/>
      <c r="G1081" s="23"/>
      <c r="H1081" s="23"/>
      <c r="J1081" s="23"/>
      <c r="K1081" s="23"/>
      <c r="M1081" s="23"/>
      <c r="N1081" s="23"/>
      <c r="P1081" s="23"/>
    </row>
    <row r="1082" spans="2:16" x14ac:dyDescent="0.25">
      <c r="B1082" s="23"/>
      <c r="E1082" s="23"/>
      <c r="G1082" s="23"/>
      <c r="H1082" s="23"/>
      <c r="J1082" s="23"/>
      <c r="K1082" s="23"/>
      <c r="M1082" s="23"/>
      <c r="N1082" s="23"/>
      <c r="P1082" s="23"/>
    </row>
    <row r="1083" spans="2:16" x14ac:dyDescent="0.25">
      <c r="B1083" s="23"/>
      <c r="E1083" s="23"/>
      <c r="G1083" s="23"/>
      <c r="H1083" s="23"/>
      <c r="J1083" s="23"/>
      <c r="K1083" s="23"/>
      <c r="M1083" s="23"/>
      <c r="N1083" s="23"/>
      <c r="P1083" s="23"/>
    </row>
    <row r="1084" spans="2:16" x14ac:dyDescent="0.25">
      <c r="B1084" s="23"/>
      <c r="E1084" s="23"/>
      <c r="G1084" s="23"/>
      <c r="H1084" s="23"/>
      <c r="J1084" s="23"/>
      <c r="K1084" s="23"/>
      <c r="M1084" s="23"/>
      <c r="N1084" s="23"/>
      <c r="P1084" s="23"/>
    </row>
    <row r="1085" spans="2:16" x14ac:dyDescent="0.25">
      <c r="B1085" s="23"/>
      <c r="E1085" s="23"/>
      <c r="G1085" s="23"/>
      <c r="H1085" s="23"/>
      <c r="J1085" s="23"/>
      <c r="K1085" s="23"/>
      <c r="M1085" s="23"/>
      <c r="N1085" s="23"/>
      <c r="P1085" s="23"/>
    </row>
    <row r="1086" spans="2:16" x14ac:dyDescent="0.25">
      <c r="B1086" s="23"/>
      <c r="E1086" s="23"/>
      <c r="G1086" s="23"/>
      <c r="H1086" s="23"/>
      <c r="J1086" s="23"/>
      <c r="K1086" s="23"/>
      <c r="M1086" s="23"/>
      <c r="N1086" s="23"/>
      <c r="P1086" s="23"/>
    </row>
    <row r="1087" spans="2:16" x14ac:dyDescent="0.25">
      <c r="B1087" s="23"/>
      <c r="E1087" s="23"/>
      <c r="G1087" s="23"/>
      <c r="H1087" s="23"/>
      <c r="J1087" s="23"/>
      <c r="K1087" s="23"/>
      <c r="M1087" s="23"/>
      <c r="N1087" s="23"/>
      <c r="P1087" s="23"/>
    </row>
    <row r="1088" spans="2:16" x14ac:dyDescent="0.25">
      <c r="B1088" s="23"/>
      <c r="E1088" s="23"/>
      <c r="G1088" s="23"/>
      <c r="H1088" s="23"/>
      <c r="J1088" s="23"/>
      <c r="K1088" s="23"/>
      <c r="M1088" s="23"/>
      <c r="N1088" s="23"/>
      <c r="P1088" s="23"/>
    </row>
    <row r="1089" spans="2:16" x14ac:dyDescent="0.25">
      <c r="B1089" s="23"/>
      <c r="E1089" s="23"/>
      <c r="G1089" s="23"/>
      <c r="H1089" s="23"/>
      <c r="J1089" s="23"/>
      <c r="K1089" s="23"/>
      <c r="M1089" s="23"/>
      <c r="N1089" s="23"/>
      <c r="P1089" s="23"/>
    </row>
    <row r="1090" spans="2:16" x14ac:dyDescent="0.25">
      <c r="B1090" s="23"/>
      <c r="E1090" s="23"/>
      <c r="G1090" s="23"/>
      <c r="H1090" s="23"/>
      <c r="J1090" s="23"/>
      <c r="K1090" s="23"/>
      <c r="M1090" s="23"/>
      <c r="N1090" s="23"/>
      <c r="P1090" s="23"/>
    </row>
    <row r="1091" spans="2:16" x14ac:dyDescent="0.25">
      <c r="B1091" s="23"/>
      <c r="E1091" s="23"/>
      <c r="G1091" s="23"/>
      <c r="H1091" s="23"/>
      <c r="J1091" s="23"/>
      <c r="K1091" s="23"/>
      <c r="M1091" s="23"/>
      <c r="N1091" s="23"/>
      <c r="P1091" s="23"/>
    </row>
    <row r="1092" spans="2:16" x14ac:dyDescent="0.25">
      <c r="B1092" s="23"/>
      <c r="E1092" s="23"/>
      <c r="G1092" s="23"/>
      <c r="H1092" s="23"/>
      <c r="J1092" s="23"/>
      <c r="K1092" s="23"/>
      <c r="M1092" s="23"/>
      <c r="N1092" s="23"/>
      <c r="P1092" s="23"/>
    </row>
    <row r="1093" spans="2:16" x14ac:dyDescent="0.25">
      <c r="B1093" s="23"/>
      <c r="E1093" s="23"/>
      <c r="G1093" s="23"/>
      <c r="H1093" s="23"/>
      <c r="J1093" s="23"/>
      <c r="K1093" s="23"/>
      <c r="M1093" s="23"/>
      <c r="N1093" s="23"/>
      <c r="P1093" s="23"/>
    </row>
    <row r="1094" spans="2:16" x14ac:dyDescent="0.25">
      <c r="B1094" s="23"/>
      <c r="E1094" s="23"/>
      <c r="G1094" s="23"/>
      <c r="H1094" s="23"/>
      <c r="J1094" s="23"/>
      <c r="K1094" s="23"/>
      <c r="M1094" s="23"/>
      <c r="N1094" s="23"/>
      <c r="P1094" s="23"/>
    </row>
    <row r="1095" spans="2:16" x14ac:dyDescent="0.25">
      <c r="B1095" s="23"/>
      <c r="E1095" s="23"/>
      <c r="G1095" s="23"/>
      <c r="H1095" s="23"/>
      <c r="J1095" s="23"/>
      <c r="K1095" s="23"/>
      <c r="M1095" s="23"/>
      <c r="N1095" s="23"/>
      <c r="P1095" s="23"/>
    </row>
    <row r="1096" spans="2:16" x14ac:dyDescent="0.25">
      <c r="B1096" s="23"/>
      <c r="E1096" s="23"/>
      <c r="G1096" s="23"/>
      <c r="H1096" s="23"/>
      <c r="J1096" s="23"/>
      <c r="K1096" s="23"/>
      <c r="M1096" s="23"/>
      <c r="N1096" s="23"/>
      <c r="P1096" s="23"/>
    </row>
    <row r="1097" spans="2:16" x14ac:dyDescent="0.25">
      <c r="B1097" s="23"/>
      <c r="E1097" s="23"/>
      <c r="G1097" s="23"/>
      <c r="H1097" s="23"/>
      <c r="J1097" s="23"/>
      <c r="K1097" s="23"/>
      <c r="M1097" s="23"/>
      <c r="N1097" s="23"/>
      <c r="P1097" s="23"/>
    </row>
    <row r="1098" spans="2:16" x14ac:dyDescent="0.25">
      <c r="B1098" s="23"/>
      <c r="E1098" s="23"/>
      <c r="G1098" s="23"/>
      <c r="H1098" s="23"/>
      <c r="J1098" s="23"/>
      <c r="K1098" s="23"/>
      <c r="M1098" s="23"/>
      <c r="N1098" s="23"/>
      <c r="P1098" s="23"/>
    </row>
    <row r="1099" spans="2:16" x14ac:dyDescent="0.25">
      <c r="B1099" s="23"/>
      <c r="E1099" s="23"/>
      <c r="G1099" s="23"/>
      <c r="H1099" s="23"/>
      <c r="J1099" s="23"/>
      <c r="K1099" s="23"/>
      <c r="M1099" s="23"/>
      <c r="N1099" s="23"/>
      <c r="P1099" s="23"/>
    </row>
    <row r="1100" spans="2:16" x14ac:dyDescent="0.25">
      <c r="B1100" s="23"/>
      <c r="E1100" s="23"/>
      <c r="G1100" s="23"/>
      <c r="H1100" s="23"/>
      <c r="J1100" s="23"/>
      <c r="K1100" s="23"/>
      <c r="M1100" s="23"/>
      <c r="N1100" s="23"/>
      <c r="P1100" s="23"/>
    </row>
    <row r="1101" spans="2:16" x14ac:dyDescent="0.25">
      <c r="B1101" s="23"/>
      <c r="E1101" s="23"/>
      <c r="G1101" s="23"/>
      <c r="H1101" s="23"/>
      <c r="J1101" s="23"/>
      <c r="K1101" s="23"/>
      <c r="M1101" s="23"/>
      <c r="N1101" s="23"/>
      <c r="P1101" s="23"/>
    </row>
    <row r="1102" spans="2:16" x14ac:dyDescent="0.25">
      <c r="B1102" s="23"/>
      <c r="E1102" s="23"/>
      <c r="G1102" s="23"/>
      <c r="H1102" s="23"/>
      <c r="J1102" s="23"/>
      <c r="K1102" s="23"/>
      <c r="M1102" s="23"/>
      <c r="N1102" s="23"/>
      <c r="P1102" s="23"/>
    </row>
    <row r="1103" spans="2:16" x14ac:dyDescent="0.25">
      <c r="B1103" s="23"/>
      <c r="E1103" s="23"/>
      <c r="G1103" s="23"/>
      <c r="H1103" s="23"/>
      <c r="J1103" s="23"/>
      <c r="K1103" s="23"/>
      <c r="M1103" s="23"/>
      <c r="N1103" s="23"/>
      <c r="P1103" s="23"/>
    </row>
    <row r="1104" spans="2:16" x14ac:dyDescent="0.25">
      <c r="B1104" s="23"/>
      <c r="E1104" s="23"/>
      <c r="G1104" s="23"/>
      <c r="H1104" s="23"/>
      <c r="J1104" s="23"/>
      <c r="K1104" s="23"/>
      <c r="M1104" s="23"/>
      <c r="N1104" s="23"/>
      <c r="P1104" s="23"/>
    </row>
    <row r="1105" spans="2:16" x14ac:dyDescent="0.25">
      <c r="B1105" s="23"/>
      <c r="E1105" s="23"/>
      <c r="G1105" s="23"/>
      <c r="H1105" s="23"/>
      <c r="J1105" s="23"/>
      <c r="K1105" s="23"/>
      <c r="M1105" s="23"/>
      <c r="N1105" s="23"/>
      <c r="P1105" s="23"/>
    </row>
    <row r="1106" spans="2:16" x14ac:dyDescent="0.25">
      <c r="B1106" s="23"/>
      <c r="E1106" s="23"/>
      <c r="G1106" s="23"/>
      <c r="H1106" s="23"/>
      <c r="J1106" s="23"/>
      <c r="K1106" s="23"/>
      <c r="M1106" s="23"/>
      <c r="N1106" s="23"/>
      <c r="P1106" s="23"/>
    </row>
    <row r="1107" spans="2:16" x14ac:dyDescent="0.25">
      <c r="B1107" s="23"/>
      <c r="E1107" s="23"/>
      <c r="G1107" s="23"/>
      <c r="H1107" s="23"/>
      <c r="J1107" s="23"/>
      <c r="K1107" s="23"/>
      <c r="M1107" s="23"/>
      <c r="N1107" s="23"/>
      <c r="P1107" s="23"/>
    </row>
    <row r="1108" spans="2:16" x14ac:dyDescent="0.25">
      <c r="B1108" s="23"/>
      <c r="E1108" s="23"/>
      <c r="G1108" s="23"/>
      <c r="H1108" s="23"/>
      <c r="J1108" s="23"/>
      <c r="K1108" s="23"/>
      <c r="M1108" s="23"/>
      <c r="N1108" s="23"/>
      <c r="P1108" s="23"/>
    </row>
    <row r="1109" spans="2:16" x14ac:dyDescent="0.25">
      <c r="B1109" s="23"/>
      <c r="E1109" s="23"/>
      <c r="G1109" s="23"/>
      <c r="H1109" s="23"/>
      <c r="J1109" s="23"/>
      <c r="K1109" s="23"/>
      <c r="M1109" s="23"/>
      <c r="N1109" s="23"/>
      <c r="P1109" s="23"/>
    </row>
    <row r="1110" spans="2:16" x14ac:dyDescent="0.25">
      <c r="B1110" s="23"/>
      <c r="E1110" s="23"/>
      <c r="G1110" s="23"/>
      <c r="H1110" s="23"/>
      <c r="J1110" s="23"/>
      <c r="K1110" s="23"/>
      <c r="M1110" s="23"/>
      <c r="N1110" s="23"/>
      <c r="P1110" s="23"/>
    </row>
    <row r="1111" spans="2:16" x14ac:dyDescent="0.25">
      <c r="B1111" s="23"/>
      <c r="E1111" s="23"/>
      <c r="G1111" s="23"/>
      <c r="H1111" s="23"/>
      <c r="J1111" s="23"/>
      <c r="K1111" s="23"/>
      <c r="M1111" s="23"/>
      <c r="N1111" s="23"/>
      <c r="P1111" s="23"/>
    </row>
    <row r="1112" spans="2:16" x14ac:dyDescent="0.25">
      <c r="B1112" s="23"/>
      <c r="E1112" s="23"/>
      <c r="G1112" s="23"/>
      <c r="H1112" s="23"/>
      <c r="J1112" s="23"/>
      <c r="K1112" s="23"/>
      <c r="M1112" s="23"/>
      <c r="N1112" s="23"/>
      <c r="P1112" s="23"/>
    </row>
    <row r="1113" spans="2:16" x14ac:dyDescent="0.25">
      <c r="B1113" s="23"/>
      <c r="E1113" s="23"/>
      <c r="G1113" s="23"/>
      <c r="H1113" s="23"/>
      <c r="J1113" s="23"/>
      <c r="K1113" s="23"/>
      <c r="M1113" s="23"/>
      <c r="N1113" s="23"/>
      <c r="P1113" s="23"/>
    </row>
    <row r="1114" spans="2:16" x14ac:dyDescent="0.25">
      <c r="B1114" s="23"/>
      <c r="E1114" s="23"/>
      <c r="G1114" s="23"/>
      <c r="H1114" s="23"/>
      <c r="J1114" s="23"/>
      <c r="K1114" s="23"/>
      <c r="M1114" s="23"/>
      <c r="N1114" s="23"/>
      <c r="P1114" s="23"/>
    </row>
    <row r="1115" spans="2:16" x14ac:dyDescent="0.25">
      <c r="B1115" s="23"/>
      <c r="E1115" s="23"/>
      <c r="G1115" s="23"/>
      <c r="H1115" s="23"/>
      <c r="J1115" s="23"/>
      <c r="K1115" s="23"/>
      <c r="M1115" s="23"/>
      <c r="N1115" s="23"/>
      <c r="P1115" s="23"/>
    </row>
    <row r="1116" spans="2:16" x14ac:dyDescent="0.25">
      <c r="B1116" s="23"/>
      <c r="E1116" s="23"/>
      <c r="G1116" s="23"/>
      <c r="H1116" s="23"/>
      <c r="J1116" s="23"/>
      <c r="K1116" s="23"/>
      <c r="M1116" s="23"/>
      <c r="N1116" s="23"/>
      <c r="P1116" s="23"/>
    </row>
    <row r="1117" spans="2:16" x14ac:dyDescent="0.25">
      <c r="B1117" s="23"/>
      <c r="E1117" s="23"/>
      <c r="G1117" s="23"/>
      <c r="H1117" s="23"/>
      <c r="J1117" s="23"/>
      <c r="K1117" s="23"/>
      <c r="M1117" s="23"/>
      <c r="N1117" s="23"/>
      <c r="P1117" s="23"/>
    </row>
    <row r="1118" spans="2:16" x14ac:dyDescent="0.25">
      <c r="B1118" s="23"/>
      <c r="E1118" s="23"/>
      <c r="G1118" s="23"/>
      <c r="H1118" s="23"/>
      <c r="J1118" s="23"/>
      <c r="K1118" s="23"/>
      <c r="M1118" s="23"/>
      <c r="N1118" s="23"/>
      <c r="P1118" s="23"/>
    </row>
    <row r="1119" spans="2:16" x14ac:dyDescent="0.25">
      <c r="B1119" s="23"/>
      <c r="E1119" s="23"/>
      <c r="G1119" s="23"/>
      <c r="H1119" s="23"/>
      <c r="J1119" s="23"/>
      <c r="K1119" s="23"/>
      <c r="M1119" s="23"/>
      <c r="N1119" s="23"/>
      <c r="P1119" s="23"/>
    </row>
    <row r="1120" spans="2:16" x14ac:dyDescent="0.25">
      <c r="B1120" s="23"/>
      <c r="E1120" s="23"/>
      <c r="G1120" s="23"/>
      <c r="H1120" s="23"/>
      <c r="J1120" s="23"/>
      <c r="K1120" s="23"/>
      <c r="M1120" s="23"/>
      <c r="N1120" s="23"/>
      <c r="P1120" s="23"/>
    </row>
    <row r="1121" spans="2:16" x14ac:dyDescent="0.25">
      <c r="B1121" s="23"/>
      <c r="E1121" s="23"/>
      <c r="G1121" s="23"/>
      <c r="H1121" s="23"/>
      <c r="J1121" s="23"/>
      <c r="K1121" s="23"/>
      <c r="M1121" s="23"/>
      <c r="N1121" s="23"/>
      <c r="P1121" s="23"/>
    </row>
    <row r="1122" spans="2:16" x14ac:dyDescent="0.25">
      <c r="B1122" s="23"/>
      <c r="E1122" s="23"/>
      <c r="G1122" s="23"/>
      <c r="H1122" s="23"/>
      <c r="J1122" s="23"/>
      <c r="K1122" s="23"/>
      <c r="M1122" s="23"/>
      <c r="N1122" s="23"/>
      <c r="P1122" s="23"/>
    </row>
    <row r="1123" spans="2:16" x14ac:dyDescent="0.25">
      <c r="B1123" s="23"/>
      <c r="E1123" s="23"/>
      <c r="G1123" s="23"/>
      <c r="H1123" s="23"/>
      <c r="J1123" s="23"/>
      <c r="K1123" s="23"/>
      <c r="M1123" s="23"/>
      <c r="N1123" s="23"/>
      <c r="P1123" s="23"/>
    </row>
    <row r="1124" spans="2:16" x14ac:dyDescent="0.25">
      <c r="B1124" s="23"/>
      <c r="E1124" s="23"/>
      <c r="G1124" s="23"/>
      <c r="H1124" s="23"/>
      <c r="J1124" s="23"/>
      <c r="K1124" s="23"/>
      <c r="M1124" s="23"/>
      <c r="N1124" s="23"/>
      <c r="P1124" s="23"/>
    </row>
    <row r="1125" spans="2:16" x14ac:dyDescent="0.25">
      <c r="B1125" s="23"/>
      <c r="E1125" s="23"/>
      <c r="G1125" s="23"/>
      <c r="H1125" s="23"/>
      <c r="J1125" s="23"/>
      <c r="K1125" s="23"/>
      <c r="M1125" s="23"/>
      <c r="N1125" s="23"/>
      <c r="P1125" s="23"/>
    </row>
    <row r="1126" spans="2:16" x14ac:dyDescent="0.25">
      <c r="B1126" s="23"/>
      <c r="E1126" s="23"/>
      <c r="G1126" s="23"/>
      <c r="H1126" s="23"/>
      <c r="J1126" s="23"/>
      <c r="K1126" s="23"/>
      <c r="M1126" s="23"/>
      <c r="N1126" s="23"/>
      <c r="P1126" s="23"/>
    </row>
    <row r="1127" spans="2:16" x14ac:dyDescent="0.25">
      <c r="B1127" s="23"/>
      <c r="E1127" s="23"/>
      <c r="G1127" s="23"/>
      <c r="H1127" s="23"/>
      <c r="J1127" s="23"/>
      <c r="K1127" s="23"/>
      <c r="M1127" s="23"/>
      <c r="N1127" s="23"/>
      <c r="P1127" s="23"/>
    </row>
    <row r="1128" spans="2:16" x14ac:dyDescent="0.25">
      <c r="B1128" s="23"/>
      <c r="E1128" s="23"/>
      <c r="G1128" s="23"/>
      <c r="H1128" s="23"/>
      <c r="J1128" s="23"/>
      <c r="K1128" s="23"/>
      <c r="M1128" s="23"/>
      <c r="N1128" s="23"/>
      <c r="P1128" s="23"/>
    </row>
    <row r="1129" spans="2:16" x14ac:dyDescent="0.25">
      <c r="B1129" s="23"/>
      <c r="E1129" s="23"/>
      <c r="G1129" s="23"/>
      <c r="H1129" s="23"/>
      <c r="J1129" s="23"/>
      <c r="K1129" s="23"/>
      <c r="M1129" s="23"/>
      <c r="N1129" s="23"/>
      <c r="P1129" s="23"/>
    </row>
    <row r="1130" spans="2:16" x14ac:dyDescent="0.25">
      <c r="B1130" s="23"/>
      <c r="E1130" s="23"/>
      <c r="G1130" s="23"/>
      <c r="H1130" s="23"/>
      <c r="J1130" s="23"/>
      <c r="K1130" s="23"/>
      <c r="M1130" s="23"/>
      <c r="N1130" s="23"/>
      <c r="P1130" s="23"/>
    </row>
    <row r="1131" spans="2:16" x14ac:dyDescent="0.25">
      <c r="B1131" s="23"/>
      <c r="E1131" s="23"/>
      <c r="G1131" s="23"/>
      <c r="H1131" s="23"/>
      <c r="J1131" s="23"/>
      <c r="K1131" s="23"/>
      <c r="M1131" s="23"/>
      <c r="N1131" s="23"/>
      <c r="P1131" s="23"/>
    </row>
    <row r="1132" spans="2:16" x14ac:dyDescent="0.25">
      <c r="B1132" s="23"/>
      <c r="E1132" s="23"/>
      <c r="G1132" s="23"/>
      <c r="H1132" s="23"/>
      <c r="J1132" s="23"/>
      <c r="K1132" s="23"/>
      <c r="M1132" s="23"/>
      <c r="N1132" s="23"/>
      <c r="P1132" s="23"/>
    </row>
    <row r="1133" spans="2:16" x14ac:dyDescent="0.25">
      <c r="B1133" s="23"/>
      <c r="E1133" s="23"/>
      <c r="G1133" s="23"/>
      <c r="H1133" s="23"/>
      <c r="J1133" s="23"/>
      <c r="K1133" s="23"/>
      <c r="M1133" s="23"/>
      <c r="N1133" s="23"/>
      <c r="P1133" s="23"/>
    </row>
    <row r="1134" spans="2:16" x14ac:dyDescent="0.25">
      <c r="B1134" s="23"/>
      <c r="E1134" s="23"/>
      <c r="G1134" s="23"/>
      <c r="H1134" s="23"/>
      <c r="J1134" s="23"/>
      <c r="K1134" s="23"/>
      <c r="M1134" s="23"/>
      <c r="N1134" s="23"/>
      <c r="P1134" s="23"/>
    </row>
    <row r="1135" spans="2:16" x14ac:dyDescent="0.25">
      <c r="B1135" s="23"/>
      <c r="E1135" s="23"/>
      <c r="G1135" s="23"/>
      <c r="H1135" s="23"/>
      <c r="J1135" s="23"/>
      <c r="K1135" s="23"/>
      <c r="M1135" s="23"/>
      <c r="N1135" s="23"/>
      <c r="P1135" s="23"/>
    </row>
    <row r="1136" spans="2:16" x14ac:dyDescent="0.25">
      <c r="B1136" s="23"/>
      <c r="E1136" s="23"/>
      <c r="G1136" s="23"/>
      <c r="H1136" s="23"/>
      <c r="J1136" s="23"/>
      <c r="K1136" s="23"/>
      <c r="M1136" s="23"/>
      <c r="N1136" s="23"/>
      <c r="P1136" s="23"/>
    </row>
    <row r="1137" spans="2:16" x14ac:dyDescent="0.25">
      <c r="B1137" s="23"/>
      <c r="E1137" s="23"/>
      <c r="G1137" s="23"/>
      <c r="H1137" s="23"/>
      <c r="J1137" s="23"/>
      <c r="K1137" s="23"/>
      <c r="M1137" s="23"/>
      <c r="N1137" s="23"/>
      <c r="P1137" s="23"/>
    </row>
    <row r="1138" spans="2:16" x14ac:dyDescent="0.25">
      <c r="B1138" s="23"/>
      <c r="E1138" s="23"/>
      <c r="G1138" s="23"/>
      <c r="H1138" s="23"/>
      <c r="J1138" s="23"/>
      <c r="K1138" s="23"/>
      <c r="M1138" s="23"/>
      <c r="N1138" s="23"/>
      <c r="P1138" s="23"/>
    </row>
    <row r="1139" spans="2:16" x14ac:dyDescent="0.25">
      <c r="B1139" s="23"/>
      <c r="E1139" s="23"/>
      <c r="G1139" s="23"/>
      <c r="H1139" s="23"/>
      <c r="J1139" s="23"/>
      <c r="K1139" s="23"/>
      <c r="M1139" s="23"/>
      <c r="N1139" s="23"/>
      <c r="P1139" s="23"/>
    </row>
    <row r="1140" spans="2:16" x14ac:dyDescent="0.25">
      <c r="B1140" s="23"/>
      <c r="E1140" s="23"/>
      <c r="G1140" s="23"/>
      <c r="H1140" s="23"/>
      <c r="J1140" s="23"/>
      <c r="K1140" s="23"/>
      <c r="M1140" s="23"/>
      <c r="N1140" s="23"/>
      <c r="P1140" s="23"/>
    </row>
    <row r="1141" spans="2:16" x14ac:dyDescent="0.25">
      <c r="B1141" s="23"/>
      <c r="E1141" s="23"/>
      <c r="G1141" s="23"/>
      <c r="H1141" s="23"/>
      <c r="J1141" s="23"/>
      <c r="K1141" s="23"/>
      <c r="M1141" s="23"/>
      <c r="N1141" s="23"/>
      <c r="P1141" s="23"/>
    </row>
    <row r="1142" spans="2:16" x14ac:dyDescent="0.25">
      <c r="B1142" s="23"/>
      <c r="E1142" s="23"/>
      <c r="G1142" s="23"/>
      <c r="H1142" s="23"/>
      <c r="J1142" s="23"/>
      <c r="K1142" s="23"/>
      <c r="M1142" s="23"/>
      <c r="N1142" s="23"/>
      <c r="P1142" s="23"/>
    </row>
    <row r="1143" spans="2:16" x14ac:dyDescent="0.25">
      <c r="B1143" s="23"/>
      <c r="E1143" s="23"/>
      <c r="G1143" s="23"/>
      <c r="H1143" s="23"/>
      <c r="J1143" s="23"/>
      <c r="K1143" s="23"/>
      <c r="M1143" s="23"/>
      <c r="N1143" s="23"/>
      <c r="P1143" s="23"/>
    </row>
    <row r="1144" spans="2:16" x14ac:dyDescent="0.25">
      <c r="B1144" s="23"/>
      <c r="E1144" s="23"/>
      <c r="G1144" s="23"/>
      <c r="H1144" s="23"/>
      <c r="J1144" s="23"/>
      <c r="K1144" s="23"/>
      <c r="M1144" s="23"/>
      <c r="N1144" s="23"/>
      <c r="P1144" s="23"/>
    </row>
    <row r="1145" spans="2:16" x14ac:dyDescent="0.25">
      <c r="B1145" s="23"/>
      <c r="E1145" s="23"/>
      <c r="G1145" s="23"/>
      <c r="H1145" s="23"/>
      <c r="J1145" s="23"/>
      <c r="K1145" s="23"/>
      <c r="M1145" s="23"/>
      <c r="N1145" s="23"/>
      <c r="P1145" s="23"/>
    </row>
    <row r="1146" spans="2:16" x14ac:dyDescent="0.25">
      <c r="B1146" s="23"/>
      <c r="E1146" s="23"/>
      <c r="G1146" s="23"/>
      <c r="H1146" s="23"/>
      <c r="J1146" s="23"/>
      <c r="K1146" s="23"/>
      <c r="M1146" s="23"/>
      <c r="N1146" s="23"/>
      <c r="P1146" s="23"/>
    </row>
    <row r="1147" spans="2:16" x14ac:dyDescent="0.25">
      <c r="B1147" s="23"/>
      <c r="E1147" s="23"/>
      <c r="G1147" s="23"/>
      <c r="H1147" s="23"/>
      <c r="J1147" s="23"/>
      <c r="K1147" s="23"/>
      <c r="M1147" s="23"/>
      <c r="N1147" s="23"/>
      <c r="P1147" s="23"/>
    </row>
    <row r="1148" spans="2:16" x14ac:dyDescent="0.25">
      <c r="B1148" s="23"/>
      <c r="E1148" s="23"/>
      <c r="G1148" s="23"/>
      <c r="H1148" s="23"/>
      <c r="J1148" s="23"/>
      <c r="K1148" s="23"/>
      <c r="M1148" s="23"/>
      <c r="N1148" s="23"/>
      <c r="P1148" s="23"/>
    </row>
    <row r="1149" spans="2:16" x14ac:dyDescent="0.25">
      <c r="B1149" s="23"/>
      <c r="E1149" s="23"/>
      <c r="G1149" s="23"/>
      <c r="H1149" s="23"/>
      <c r="J1149" s="23"/>
      <c r="K1149" s="23"/>
      <c r="M1149" s="23"/>
      <c r="N1149" s="23"/>
      <c r="P1149" s="23"/>
    </row>
    <row r="1150" spans="2:16" x14ac:dyDescent="0.25">
      <c r="B1150" s="23"/>
      <c r="E1150" s="23"/>
      <c r="G1150" s="23"/>
      <c r="H1150" s="23"/>
      <c r="J1150" s="23"/>
      <c r="K1150" s="23"/>
      <c r="M1150" s="23"/>
      <c r="N1150" s="23"/>
      <c r="P1150" s="23"/>
    </row>
    <row r="1151" spans="2:16" x14ac:dyDescent="0.25">
      <c r="B1151" s="23"/>
      <c r="E1151" s="23"/>
      <c r="G1151" s="23"/>
      <c r="H1151" s="23"/>
      <c r="J1151" s="23"/>
      <c r="K1151" s="23"/>
      <c r="M1151" s="23"/>
      <c r="N1151" s="23"/>
      <c r="P1151" s="23"/>
    </row>
    <row r="1152" spans="2:16" x14ac:dyDescent="0.25">
      <c r="B1152" s="23"/>
      <c r="E1152" s="23"/>
      <c r="G1152" s="23"/>
      <c r="H1152" s="23"/>
      <c r="J1152" s="23"/>
      <c r="K1152" s="23"/>
      <c r="M1152" s="23"/>
      <c r="N1152" s="23"/>
      <c r="P1152" s="23"/>
    </row>
    <row r="1153" spans="2:16" x14ac:dyDescent="0.25">
      <c r="B1153" s="23"/>
      <c r="E1153" s="23"/>
      <c r="G1153" s="23"/>
      <c r="H1153" s="23"/>
      <c r="J1153" s="23"/>
      <c r="K1153" s="23"/>
      <c r="M1153" s="23"/>
      <c r="N1153" s="23"/>
      <c r="P1153" s="23"/>
    </row>
    <row r="1154" spans="2:16" x14ac:dyDescent="0.25">
      <c r="B1154" s="23"/>
      <c r="E1154" s="23"/>
      <c r="G1154" s="23"/>
      <c r="H1154" s="23"/>
      <c r="J1154" s="23"/>
      <c r="K1154" s="23"/>
      <c r="M1154" s="23"/>
      <c r="N1154" s="23"/>
      <c r="P1154" s="23"/>
    </row>
    <row r="1155" spans="2:16" x14ac:dyDescent="0.25">
      <c r="B1155" s="23"/>
      <c r="E1155" s="23"/>
      <c r="G1155" s="23"/>
      <c r="H1155" s="23"/>
      <c r="J1155" s="23"/>
      <c r="K1155" s="23"/>
      <c r="M1155" s="23"/>
      <c r="N1155" s="23"/>
      <c r="P1155" s="23"/>
    </row>
    <row r="1156" spans="2:16" x14ac:dyDescent="0.25">
      <c r="B1156" s="23"/>
      <c r="E1156" s="23"/>
      <c r="G1156" s="23"/>
      <c r="H1156" s="23"/>
      <c r="J1156" s="23"/>
      <c r="K1156" s="23"/>
      <c r="M1156" s="23"/>
      <c r="N1156" s="23"/>
      <c r="P1156" s="23"/>
    </row>
    <row r="1157" spans="2:16" x14ac:dyDescent="0.25">
      <c r="B1157" s="23"/>
      <c r="E1157" s="23"/>
      <c r="G1157" s="23"/>
      <c r="H1157" s="23"/>
      <c r="J1157" s="23"/>
      <c r="K1157" s="23"/>
      <c r="M1157" s="23"/>
      <c r="N1157" s="23"/>
      <c r="P1157" s="23"/>
    </row>
    <row r="1158" spans="2:16" x14ac:dyDescent="0.25">
      <c r="B1158" s="23"/>
      <c r="E1158" s="23"/>
      <c r="G1158" s="23"/>
      <c r="H1158" s="23"/>
      <c r="J1158" s="23"/>
      <c r="K1158" s="23"/>
      <c r="M1158" s="23"/>
      <c r="N1158" s="23"/>
      <c r="P1158" s="23"/>
    </row>
    <row r="1159" spans="2:16" x14ac:dyDescent="0.25">
      <c r="B1159" s="23"/>
      <c r="E1159" s="23"/>
      <c r="G1159" s="23"/>
      <c r="H1159" s="23"/>
      <c r="J1159" s="23"/>
      <c r="K1159" s="23"/>
      <c r="M1159" s="23"/>
      <c r="N1159" s="23"/>
      <c r="P1159" s="23"/>
    </row>
    <row r="1160" spans="2:16" x14ac:dyDescent="0.25">
      <c r="B1160" s="23"/>
      <c r="E1160" s="23"/>
      <c r="G1160" s="23"/>
      <c r="H1160" s="23"/>
      <c r="J1160" s="23"/>
      <c r="K1160" s="23"/>
      <c r="M1160" s="23"/>
      <c r="N1160" s="23"/>
      <c r="P1160" s="23"/>
    </row>
    <row r="1161" spans="2:16" x14ac:dyDescent="0.25">
      <c r="B1161" s="23"/>
      <c r="E1161" s="23"/>
      <c r="G1161" s="23"/>
      <c r="H1161" s="23"/>
      <c r="J1161" s="23"/>
      <c r="K1161" s="23"/>
      <c r="M1161" s="23"/>
      <c r="N1161" s="23"/>
      <c r="P1161" s="23"/>
    </row>
    <row r="1162" spans="2:16" x14ac:dyDescent="0.25">
      <c r="B1162" s="23"/>
      <c r="E1162" s="23"/>
      <c r="G1162" s="23"/>
      <c r="H1162" s="23"/>
      <c r="J1162" s="23"/>
      <c r="K1162" s="23"/>
      <c r="M1162" s="23"/>
      <c r="N1162" s="23"/>
      <c r="P1162" s="23"/>
    </row>
    <row r="1163" spans="2:16" x14ac:dyDescent="0.25">
      <c r="B1163" s="23"/>
      <c r="E1163" s="23"/>
      <c r="G1163" s="23"/>
      <c r="H1163" s="23"/>
      <c r="J1163" s="23"/>
      <c r="K1163" s="23"/>
      <c r="M1163" s="23"/>
      <c r="N1163" s="23"/>
      <c r="P1163" s="23"/>
    </row>
    <row r="1164" spans="2:16" x14ac:dyDescent="0.25">
      <c r="B1164" s="23"/>
      <c r="E1164" s="23"/>
      <c r="G1164" s="23"/>
      <c r="H1164" s="23"/>
      <c r="J1164" s="23"/>
      <c r="K1164" s="23"/>
      <c r="M1164" s="23"/>
      <c r="N1164" s="23"/>
      <c r="P1164" s="23"/>
    </row>
    <row r="1165" spans="2:16" x14ac:dyDescent="0.25">
      <c r="B1165" s="23"/>
      <c r="E1165" s="23"/>
      <c r="G1165" s="23"/>
      <c r="H1165" s="23"/>
      <c r="J1165" s="23"/>
      <c r="K1165" s="23"/>
      <c r="M1165" s="23"/>
      <c r="N1165" s="23"/>
      <c r="P1165" s="23"/>
    </row>
    <row r="1166" spans="2:16" x14ac:dyDescent="0.25">
      <c r="B1166" s="23"/>
      <c r="E1166" s="23"/>
      <c r="G1166" s="23"/>
      <c r="H1166" s="23"/>
      <c r="J1166" s="23"/>
      <c r="K1166" s="23"/>
      <c r="M1166" s="23"/>
      <c r="N1166" s="23"/>
      <c r="P1166" s="23"/>
    </row>
    <row r="1167" spans="2:16" x14ac:dyDescent="0.25">
      <c r="B1167" s="23"/>
      <c r="E1167" s="23"/>
      <c r="G1167" s="23"/>
      <c r="H1167" s="23"/>
      <c r="J1167" s="23"/>
      <c r="K1167" s="23"/>
      <c r="M1167" s="23"/>
      <c r="N1167" s="23"/>
      <c r="P1167" s="23"/>
    </row>
    <row r="1168" spans="2:16" x14ac:dyDescent="0.25">
      <c r="B1168" s="23"/>
      <c r="E1168" s="23"/>
      <c r="G1168" s="23"/>
      <c r="H1168" s="23"/>
      <c r="J1168" s="23"/>
      <c r="K1168" s="23"/>
      <c r="M1168" s="23"/>
      <c r="N1168" s="23"/>
      <c r="P1168" s="23"/>
    </row>
    <row r="1169" spans="2:16" x14ac:dyDescent="0.25">
      <c r="B1169" s="23"/>
      <c r="E1169" s="23"/>
      <c r="G1169" s="23"/>
      <c r="H1169" s="23"/>
      <c r="J1169" s="23"/>
      <c r="K1169" s="23"/>
      <c r="M1169" s="23"/>
      <c r="N1169" s="23"/>
      <c r="P1169" s="23"/>
    </row>
    <row r="1170" spans="2:16" x14ac:dyDescent="0.25">
      <c r="B1170" s="23"/>
      <c r="E1170" s="23"/>
      <c r="G1170" s="23"/>
      <c r="H1170" s="23"/>
      <c r="J1170" s="23"/>
      <c r="K1170" s="23"/>
      <c r="M1170" s="23"/>
      <c r="N1170" s="23"/>
      <c r="P1170" s="23"/>
    </row>
    <row r="1171" spans="2:16" x14ac:dyDescent="0.25">
      <c r="B1171" s="23"/>
      <c r="E1171" s="23"/>
      <c r="G1171" s="23"/>
      <c r="H1171" s="23"/>
      <c r="J1171" s="23"/>
      <c r="K1171" s="23"/>
      <c r="M1171" s="23"/>
      <c r="N1171" s="23"/>
      <c r="P1171" s="23"/>
    </row>
    <row r="1172" spans="2:16" x14ac:dyDescent="0.25">
      <c r="B1172" s="23"/>
      <c r="E1172" s="23"/>
      <c r="G1172" s="23"/>
      <c r="H1172" s="23"/>
      <c r="J1172" s="23"/>
      <c r="K1172" s="23"/>
      <c r="M1172" s="23"/>
      <c r="N1172" s="23"/>
      <c r="P1172" s="23"/>
    </row>
    <row r="1173" spans="2:16" x14ac:dyDescent="0.25">
      <c r="B1173" s="23"/>
      <c r="E1173" s="23"/>
      <c r="G1173" s="23"/>
      <c r="H1173" s="23"/>
      <c r="J1173" s="23"/>
      <c r="K1173" s="23"/>
      <c r="M1173" s="23"/>
      <c r="N1173" s="23"/>
      <c r="P1173" s="23"/>
    </row>
    <row r="1174" spans="2:16" x14ac:dyDescent="0.25">
      <c r="B1174" s="23"/>
      <c r="E1174" s="23"/>
      <c r="G1174" s="23"/>
      <c r="H1174" s="23"/>
      <c r="J1174" s="23"/>
      <c r="K1174" s="23"/>
      <c r="M1174" s="23"/>
      <c r="N1174" s="23"/>
      <c r="P1174" s="23"/>
    </row>
    <row r="1175" spans="2:16" x14ac:dyDescent="0.25">
      <c r="B1175" s="23"/>
      <c r="E1175" s="23"/>
      <c r="G1175" s="23"/>
      <c r="H1175" s="23"/>
      <c r="J1175" s="23"/>
      <c r="K1175" s="23"/>
      <c r="M1175" s="23"/>
      <c r="N1175" s="23"/>
      <c r="P1175" s="23"/>
    </row>
    <row r="1176" spans="2:16" x14ac:dyDescent="0.25">
      <c r="B1176" s="23"/>
      <c r="E1176" s="23"/>
      <c r="G1176" s="23"/>
      <c r="H1176" s="23"/>
      <c r="J1176" s="23"/>
      <c r="K1176" s="23"/>
      <c r="M1176" s="23"/>
      <c r="N1176" s="23"/>
      <c r="P1176" s="23"/>
    </row>
    <row r="1177" spans="2:16" x14ac:dyDescent="0.25">
      <c r="B1177" s="23"/>
      <c r="E1177" s="23"/>
      <c r="G1177" s="23"/>
      <c r="H1177" s="23"/>
      <c r="J1177" s="23"/>
      <c r="K1177" s="23"/>
      <c r="M1177" s="23"/>
      <c r="N1177" s="23"/>
      <c r="P1177" s="23"/>
    </row>
    <row r="1178" spans="2:16" x14ac:dyDescent="0.25">
      <c r="B1178" s="23"/>
      <c r="E1178" s="23"/>
      <c r="G1178" s="23"/>
      <c r="H1178" s="23"/>
      <c r="J1178" s="23"/>
      <c r="K1178" s="23"/>
      <c r="M1178" s="23"/>
      <c r="N1178" s="23"/>
      <c r="P1178" s="23"/>
    </row>
    <row r="1179" spans="2:16" x14ac:dyDescent="0.25">
      <c r="B1179" s="23"/>
      <c r="E1179" s="23"/>
      <c r="G1179" s="23"/>
      <c r="H1179" s="23"/>
      <c r="J1179" s="23"/>
      <c r="K1179" s="23"/>
      <c r="M1179" s="23"/>
      <c r="N1179" s="23"/>
      <c r="P1179" s="23"/>
    </row>
    <row r="1180" spans="2:16" x14ac:dyDescent="0.25">
      <c r="B1180" s="23"/>
      <c r="E1180" s="23"/>
      <c r="G1180" s="23"/>
      <c r="H1180" s="23"/>
      <c r="J1180" s="23"/>
      <c r="K1180" s="23"/>
      <c r="M1180" s="23"/>
      <c r="N1180" s="23"/>
      <c r="P1180" s="23"/>
    </row>
    <row r="1181" spans="2:16" x14ac:dyDescent="0.25">
      <c r="B1181" s="23"/>
      <c r="E1181" s="23"/>
      <c r="G1181" s="23"/>
      <c r="H1181" s="23"/>
      <c r="J1181" s="23"/>
      <c r="K1181" s="23"/>
      <c r="M1181" s="23"/>
      <c r="N1181" s="23"/>
      <c r="P1181" s="23"/>
    </row>
    <row r="1182" spans="2:16" x14ac:dyDescent="0.25">
      <c r="B1182" s="23"/>
      <c r="E1182" s="23"/>
      <c r="G1182" s="23"/>
      <c r="H1182" s="23"/>
      <c r="J1182" s="23"/>
      <c r="K1182" s="23"/>
      <c r="M1182" s="23"/>
      <c r="N1182" s="23"/>
      <c r="P1182" s="23"/>
    </row>
    <row r="1183" spans="2:16" x14ac:dyDescent="0.25">
      <c r="B1183" s="23"/>
      <c r="E1183" s="23"/>
      <c r="G1183" s="23"/>
      <c r="H1183" s="23"/>
      <c r="J1183" s="23"/>
      <c r="K1183" s="23"/>
      <c r="M1183" s="23"/>
      <c r="N1183" s="23"/>
      <c r="P1183" s="23"/>
    </row>
    <row r="1184" spans="2:16" x14ac:dyDescent="0.25">
      <c r="B1184" s="23"/>
      <c r="E1184" s="23"/>
      <c r="G1184" s="23"/>
      <c r="H1184" s="23"/>
      <c r="J1184" s="23"/>
      <c r="K1184" s="23"/>
      <c r="M1184" s="23"/>
      <c r="N1184" s="23"/>
      <c r="P1184" s="23"/>
    </row>
    <row r="1185" spans="2:16" x14ac:dyDescent="0.25">
      <c r="B1185" s="23"/>
      <c r="E1185" s="23"/>
      <c r="G1185" s="23"/>
      <c r="H1185" s="23"/>
      <c r="J1185" s="23"/>
      <c r="K1185" s="23"/>
      <c r="M1185" s="23"/>
      <c r="N1185" s="23"/>
      <c r="P1185" s="23"/>
    </row>
    <row r="1186" spans="2:16" x14ac:dyDescent="0.25">
      <c r="B1186" s="23"/>
      <c r="E1186" s="23"/>
      <c r="G1186" s="23"/>
      <c r="H1186" s="23"/>
      <c r="J1186" s="23"/>
      <c r="K1186" s="23"/>
      <c r="M1186" s="23"/>
      <c r="N1186" s="23"/>
      <c r="P1186" s="23"/>
    </row>
    <row r="1187" spans="2:16" x14ac:dyDescent="0.25">
      <c r="B1187" s="23"/>
      <c r="E1187" s="23"/>
      <c r="G1187" s="23"/>
      <c r="H1187" s="23"/>
      <c r="J1187" s="23"/>
      <c r="K1187" s="23"/>
      <c r="M1187" s="23"/>
      <c r="N1187" s="23"/>
      <c r="P1187" s="23"/>
    </row>
    <row r="1188" spans="2:16" x14ac:dyDescent="0.25">
      <c r="B1188" s="23"/>
      <c r="E1188" s="23"/>
      <c r="G1188" s="23"/>
      <c r="H1188" s="23"/>
      <c r="J1188" s="23"/>
      <c r="K1188" s="23"/>
      <c r="M1188" s="23"/>
      <c r="N1188" s="23"/>
      <c r="P1188" s="23"/>
    </row>
    <row r="1189" spans="2:16" x14ac:dyDescent="0.25">
      <c r="B1189" s="23"/>
      <c r="E1189" s="23"/>
      <c r="G1189" s="23"/>
      <c r="H1189" s="23"/>
      <c r="J1189" s="23"/>
      <c r="K1189" s="23"/>
      <c r="M1189" s="23"/>
      <c r="N1189" s="23"/>
      <c r="P1189" s="23"/>
    </row>
    <row r="1190" spans="2:16" x14ac:dyDescent="0.25">
      <c r="B1190" s="23"/>
      <c r="E1190" s="23"/>
      <c r="G1190" s="23"/>
      <c r="H1190" s="23"/>
      <c r="J1190" s="23"/>
      <c r="K1190" s="23"/>
      <c r="M1190" s="23"/>
      <c r="N1190" s="23"/>
      <c r="P1190" s="23"/>
    </row>
    <row r="1191" spans="2:16" x14ac:dyDescent="0.25">
      <c r="B1191" s="23"/>
      <c r="E1191" s="23"/>
      <c r="G1191" s="23"/>
      <c r="H1191" s="23"/>
      <c r="J1191" s="23"/>
      <c r="K1191" s="23"/>
      <c r="M1191" s="23"/>
      <c r="N1191" s="23"/>
      <c r="P1191" s="23"/>
    </row>
    <row r="1192" spans="2:16" x14ac:dyDescent="0.25">
      <c r="B1192" s="23"/>
      <c r="E1192" s="23"/>
      <c r="G1192" s="23"/>
      <c r="H1192" s="23"/>
      <c r="J1192" s="23"/>
      <c r="K1192" s="23"/>
      <c r="M1192" s="23"/>
      <c r="N1192" s="23"/>
      <c r="P1192" s="23"/>
    </row>
    <row r="1193" spans="2:16" x14ac:dyDescent="0.25">
      <c r="B1193" s="23"/>
      <c r="E1193" s="23"/>
      <c r="G1193" s="23"/>
      <c r="H1193" s="23"/>
      <c r="J1193" s="23"/>
      <c r="K1193" s="23"/>
      <c r="M1193" s="23"/>
      <c r="N1193" s="23"/>
      <c r="P1193" s="23"/>
    </row>
    <row r="1194" spans="2:16" x14ac:dyDescent="0.25">
      <c r="B1194" s="23"/>
      <c r="E1194" s="23"/>
      <c r="G1194" s="23"/>
      <c r="H1194" s="23"/>
      <c r="J1194" s="23"/>
      <c r="K1194" s="23"/>
      <c r="M1194" s="23"/>
      <c r="N1194" s="23"/>
      <c r="P1194" s="23"/>
    </row>
    <row r="1195" spans="2:16" x14ac:dyDescent="0.25">
      <c r="B1195" s="23"/>
      <c r="E1195" s="23"/>
      <c r="G1195" s="23"/>
      <c r="H1195" s="23"/>
      <c r="J1195" s="23"/>
      <c r="K1195" s="23"/>
      <c r="M1195" s="23"/>
      <c r="N1195" s="23"/>
      <c r="P1195" s="23"/>
    </row>
    <row r="1196" spans="2:16" x14ac:dyDescent="0.25">
      <c r="B1196" s="23"/>
      <c r="E1196" s="23"/>
      <c r="G1196" s="23"/>
      <c r="H1196" s="23"/>
      <c r="J1196" s="23"/>
      <c r="K1196" s="23"/>
      <c r="M1196" s="23"/>
      <c r="N1196" s="23"/>
      <c r="P1196" s="23"/>
    </row>
    <row r="1197" spans="2:16" x14ac:dyDescent="0.25">
      <c r="B1197" s="23"/>
      <c r="E1197" s="23"/>
      <c r="G1197" s="23"/>
      <c r="H1197" s="23"/>
      <c r="J1197" s="23"/>
      <c r="K1197" s="23"/>
      <c r="M1197" s="23"/>
      <c r="N1197" s="23"/>
      <c r="P1197" s="23"/>
    </row>
    <row r="1198" spans="2:16" x14ac:dyDescent="0.25">
      <c r="B1198" s="23"/>
      <c r="E1198" s="23"/>
      <c r="G1198" s="23"/>
      <c r="H1198" s="23"/>
      <c r="J1198" s="23"/>
      <c r="K1198" s="23"/>
      <c r="M1198" s="23"/>
      <c r="N1198" s="23"/>
      <c r="P1198" s="23"/>
    </row>
    <row r="1199" spans="2:16" x14ac:dyDescent="0.25">
      <c r="B1199" s="23"/>
      <c r="E1199" s="23"/>
      <c r="G1199" s="23"/>
      <c r="H1199" s="23"/>
      <c r="J1199" s="23"/>
      <c r="K1199" s="23"/>
      <c r="M1199" s="23"/>
      <c r="N1199" s="23"/>
      <c r="P1199" s="23"/>
    </row>
    <row r="1200" spans="2:16" x14ac:dyDescent="0.25">
      <c r="B1200" s="23"/>
      <c r="E1200" s="23"/>
      <c r="G1200" s="23"/>
      <c r="H1200" s="23"/>
      <c r="J1200" s="23"/>
      <c r="K1200" s="23"/>
      <c r="M1200" s="23"/>
      <c r="N1200" s="23"/>
      <c r="P1200" s="23"/>
    </row>
    <row r="1201" spans="2:16" x14ac:dyDescent="0.25">
      <c r="B1201" s="23"/>
      <c r="E1201" s="23"/>
      <c r="G1201" s="23"/>
      <c r="H1201" s="23"/>
      <c r="J1201" s="23"/>
      <c r="K1201" s="23"/>
      <c r="M1201" s="23"/>
      <c r="N1201" s="23"/>
      <c r="P1201" s="23"/>
    </row>
    <row r="1202" spans="2:16" x14ac:dyDescent="0.25">
      <c r="B1202" s="23"/>
      <c r="E1202" s="23"/>
      <c r="G1202" s="23"/>
      <c r="H1202" s="23"/>
      <c r="J1202" s="23"/>
      <c r="K1202" s="23"/>
      <c r="M1202" s="23"/>
      <c r="N1202" s="23"/>
      <c r="P1202" s="23"/>
    </row>
    <row r="1203" spans="2:16" x14ac:dyDescent="0.25">
      <c r="B1203" s="23"/>
      <c r="E1203" s="23"/>
      <c r="G1203" s="23"/>
      <c r="H1203" s="23"/>
      <c r="J1203" s="23"/>
      <c r="K1203" s="23"/>
      <c r="M1203" s="23"/>
      <c r="N1203" s="23"/>
      <c r="P1203" s="23"/>
    </row>
    <row r="1204" spans="2:16" x14ac:dyDescent="0.25">
      <c r="B1204" s="23"/>
      <c r="E1204" s="23"/>
      <c r="G1204" s="23"/>
      <c r="H1204" s="23"/>
      <c r="J1204" s="23"/>
      <c r="K1204" s="23"/>
      <c r="M1204" s="23"/>
      <c r="N1204" s="23"/>
      <c r="P1204" s="23"/>
    </row>
    <row r="1205" spans="2:16" x14ac:dyDescent="0.25">
      <c r="B1205" s="23"/>
      <c r="E1205" s="23"/>
      <c r="G1205" s="23"/>
      <c r="H1205" s="23"/>
      <c r="J1205" s="23"/>
      <c r="K1205" s="23"/>
      <c r="M1205" s="23"/>
      <c r="N1205" s="23"/>
      <c r="P1205" s="23"/>
    </row>
    <row r="1206" spans="2:16" x14ac:dyDescent="0.25">
      <c r="B1206" s="23"/>
      <c r="E1206" s="23"/>
      <c r="G1206" s="23"/>
      <c r="H1206" s="23"/>
      <c r="J1206" s="23"/>
      <c r="K1206" s="23"/>
      <c r="M1206" s="23"/>
      <c r="N1206" s="23"/>
      <c r="P1206" s="23"/>
    </row>
    <row r="1207" spans="2:16" x14ac:dyDescent="0.25">
      <c r="B1207" s="23"/>
      <c r="E1207" s="23"/>
      <c r="G1207" s="23"/>
      <c r="H1207" s="23"/>
      <c r="J1207" s="23"/>
      <c r="K1207" s="23"/>
      <c r="M1207" s="23"/>
      <c r="N1207" s="23"/>
      <c r="P1207" s="23"/>
    </row>
    <row r="1208" spans="2:16" x14ac:dyDescent="0.25">
      <c r="B1208" s="23"/>
      <c r="E1208" s="23"/>
      <c r="G1208" s="23"/>
      <c r="H1208" s="23"/>
      <c r="J1208" s="23"/>
      <c r="K1208" s="23"/>
      <c r="M1208" s="23"/>
      <c r="N1208" s="23"/>
      <c r="P1208" s="23"/>
    </row>
    <row r="1209" spans="2:16" x14ac:dyDescent="0.25">
      <c r="B1209" s="23"/>
      <c r="E1209" s="23"/>
      <c r="G1209" s="23"/>
      <c r="H1209" s="23"/>
      <c r="J1209" s="23"/>
      <c r="K1209" s="23"/>
      <c r="M1209" s="23"/>
      <c r="N1209" s="23"/>
      <c r="P1209" s="23"/>
    </row>
    <row r="1210" spans="2:16" x14ac:dyDescent="0.25">
      <c r="B1210" s="23"/>
      <c r="E1210" s="23"/>
      <c r="G1210" s="23"/>
      <c r="H1210" s="23"/>
      <c r="J1210" s="23"/>
      <c r="K1210" s="23"/>
      <c r="M1210" s="23"/>
      <c r="N1210" s="23"/>
      <c r="P1210" s="23"/>
    </row>
    <row r="1211" spans="2:16" x14ac:dyDescent="0.25">
      <c r="B1211" s="23"/>
      <c r="E1211" s="23"/>
      <c r="G1211" s="23"/>
      <c r="H1211" s="23"/>
      <c r="J1211" s="23"/>
      <c r="K1211" s="23"/>
      <c r="M1211" s="23"/>
      <c r="N1211" s="23"/>
      <c r="P1211" s="23"/>
    </row>
    <row r="1212" spans="2:16" x14ac:dyDescent="0.25">
      <c r="B1212" s="23"/>
      <c r="E1212" s="23"/>
      <c r="G1212" s="23"/>
      <c r="H1212" s="23"/>
      <c r="J1212" s="23"/>
      <c r="K1212" s="23"/>
      <c r="M1212" s="23"/>
      <c r="N1212" s="23"/>
      <c r="P1212" s="23"/>
    </row>
    <row r="1213" spans="2:16" x14ac:dyDescent="0.25">
      <c r="B1213" s="23"/>
      <c r="E1213" s="23"/>
      <c r="G1213" s="23"/>
      <c r="H1213" s="23"/>
      <c r="J1213" s="23"/>
      <c r="K1213" s="23"/>
      <c r="M1213" s="23"/>
      <c r="N1213" s="23"/>
      <c r="P1213" s="23"/>
    </row>
    <row r="1214" spans="2:16" x14ac:dyDescent="0.25">
      <c r="B1214" s="23"/>
      <c r="E1214" s="23"/>
      <c r="G1214" s="23"/>
      <c r="H1214" s="23"/>
      <c r="J1214" s="23"/>
      <c r="K1214" s="23"/>
      <c r="M1214" s="23"/>
      <c r="N1214" s="23"/>
      <c r="P1214" s="23"/>
    </row>
    <row r="1215" spans="2:16" x14ac:dyDescent="0.25">
      <c r="B1215" s="23"/>
      <c r="E1215" s="23"/>
      <c r="G1215" s="23"/>
      <c r="H1215" s="23"/>
      <c r="J1215" s="23"/>
      <c r="K1215" s="23"/>
      <c r="M1215" s="23"/>
      <c r="N1215" s="23"/>
      <c r="P1215" s="23"/>
    </row>
    <row r="1216" spans="2:16" x14ac:dyDescent="0.25">
      <c r="B1216" s="23"/>
      <c r="E1216" s="23"/>
      <c r="G1216" s="23"/>
      <c r="H1216" s="23"/>
      <c r="J1216" s="23"/>
      <c r="K1216" s="23"/>
      <c r="M1216" s="23"/>
      <c r="N1216" s="23"/>
      <c r="P1216" s="23"/>
    </row>
    <row r="1217" spans="2:16" x14ac:dyDescent="0.25">
      <c r="B1217" s="23"/>
      <c r="E1217" s="23"/>
      <c r="G1217" s="23"/>
      <c r="H1217" s="23"/>
      <c r="J1217" s="23"/>
      <c r="K1217" s="23"/>
      <c r="M1217" s="23"/>
      <c r="N1217" s="23"/>
      <c r="P1217" s="23"/>
    </row>
    <row r="1218" spans="2:16" x14ac:dyDescent="0.25">
      <c r="B1218" s="23"/>
      <c r="E1218" s="23"/>
      <c r="G1218" s="23"/>
      <c r="H1218" s="23"/>
      <c r="J1218" s="23"/>
      <c r="K1218" s="23"/>
      <c r="M1218" s="23"/>
      <c r="N1218" s="23"/>
      <c r="P1218" s="23"/>
    </row>
    <row r="1219" spans="2:16" x14ac:dyDescent="0.25">
      <c r="B1219" s="23"/>
      <c r="E1219" s="23"/>
      <c r="G1219" s="23"/>
      <c r="H1219" s="23"/>
      <c r="J1219" s="23"/>
      <c r="K1219" s="23"/>
      <c r="M1219" s="23"/>
      <c r="N1219" s="23"/>
      <c r="P1219" s="23"/>
    </row>
    <row r="1220" spans="2:16" x14ac:dyDescent="0.25">
      <c r="B1220" s="23"/>
      <c r="E1220" s="23"/>
      <c r="G1220" s="23"/>
      <c r="H1220" s="23"/>
      <c r="J1220" s="23"/>
      <c r="K1220" s="23"/>
      <c r="M1220" s="23"/>
      <c r="N1220" s="23"/>
      <c r="P1220" s="23"/>
    </row>
    <row r="1221" spans="2:16" x14ac:dyDescent="0.25">
      <c r="B1221" s="23"/>
      <c r="E1221" s="23"/>
      <c r="G1221" s="23"/>
      <c r="H1221" s="23"/>
      <c r="J1221" s="23"/>
      <c r="K1221" s="23"/>
      <c r="M1221" s="23"/>
      <c r="N1221" s="23"/>
      <c r="P1221" s="23"/>
    </row>
    <row r="1222" spans="2:16" x14ac:dyDescent="0.25">
      <c r="B1222" s="23"/>
      <c r="E1222" s="23"/>
      <c r="G1222" s="23"/>
      <c r="H1222" s="23"/>
      <c r="J1222" s="23"/>
      <c r="K1222" s="23"/>
      <c r="M1222" s="23"/>
      <c r="N1222" s="23"/>
      <c r="P1222" s="23"/>
    </row>
    <row r="1223" spans="2:16" x14ac:dyDescent="0.25">
      <c r="B1223" s="23"/>
      <c r="E1223" s="23"/>
      <c r="G1223" s="23"/>
      <c r="H1223" s="23"/>
      <c r="J1223" s="23"/>
      <c r="K1223" s="23"/>
      <c r="M1223" s="23"/>
      <c r="N1223" s="23"/>
      <c r="P1223" s="23"/>
    </row>
    <row r="1224" spans="2:16" x14ac:dyDescent="0.25">
      <c r="B1224" s="23"/>
      <c r="E1224" s="23"/>
      <c r="G1224" s="23"/>
      <c r="H1224" s="23"/>
      <c r="J1224" s="23"/>
      <c r="K1224" s="23"/>
      <c r="M1224" s="23"/>
      <c r="N1224" s="23"/>
      <c r="P1224" s="23"/>
    </row>
    <row r="1225" spans="2:16" x14ac:dyDescent="0.25">
      <c r="B1225" s="23"/>
      <c r="E1225" s="23"/>
      <c r="G1225" s="23"/>
      <c r="H1225" s="23"/>
      <c r="J1225" s="23"/>
      <c r="K1225" s="23"/>
      <c r="M1225" s="23"/>
      <c r="N1225" s="23"/>
      <c r="P1225" s="23"/>
    </row>
    <row r="1226" spans="2:16" x14ac:dyDescent="0.25">
      <c r="B1226" s="23"/>
      <c r="E1226" s="23"/>
      <c r="G1226" s="23"/>
      <c r="H1226" s="23"/>
      <c r="J1226" s="23"/>
      <c r="K1226" s="23"/>
      <c r="M1226" s="23"/>
      <c r="N1226" s="23"/>
      <c r="P1226" s="23"/>
    </row>
    <row r="1227" spans="2:16" x14ac:dyDescent="0.25">
      <c r="B1227" s="23"/>
      <c r="E1227" s="23"/>
      <c r="G1227" s="23"/>
      <c r="H1227" s="23"/>
      <c r="J1227" s="23"/>
      <c r="K1227" s="23"/>
      <c r="M1227" s="23"/>
      <c r="N1227" s="23"/>
      <c r="P1227" s="23"/>
    </row>
    <row r="1228" spans="2:16" x14ac:dyDescent="0.25">
      <c r="B1228" s="23"/>
      <c r="E1228" s="23"/>
      <c r="G1228" s="23"/>
      <c r="H1228" s="23"/>
      <c r="J1228" s="23"/>
      <c r="K1228" s="23"/>
      <c r="M1228" s="23"/>
      <c r="N1228" s="23"/>
      <c r="P1228" s="23"/>
    </row>
    <row r="1229" spans="2:16" x14ac:dyDescent="0.25">
      <c r="B1229" s="23"/>
      <c r="E1229" s="23"/>
      <c r="G1229" s="23"/>
      <c r="H1229" s="23"/>
      <c r="J1229" s="23"/>
      <c r="K1229" s="23"/>
      <c r="M1229" s="23"/>
      <c r="N1229" s="23"/>
      <c r="P1229" s="23"/>
    </row>
    <row r="1230" spans="2:16" x14ac:dyDescent="0.25">
      <c r="B1230" s="23"/>
      <c r="E1230" s="23"/>
      <c r="G1230" s="23"/>
      <c r="H1230" s="23"/>
      <c r="J1230" s="23"/>
      <c r="K1230" s="23"/>
      <c r="M1230" s="23"/>
      <c r="N1230" s="23"/>
      <c r="P1230" s="23"/>
    </row>
    <row r="1231" spans="2:16" x14ac:dyDescent="0.25">
      <c r="B1231" s="23"/>
      <c r="E1231" s="23"/>
      <c r="G1231" s="23"/>
      <c r="H1231" s="23"/>
      <c r="J1231" s="23"/>
      <c r="K1231" s="23"/>
      <c r="M1231" s="23"/>
      <c r="N1231" s="23"/>
      <c r="P1231" s="23"/>
    </row>
    <row r="1232" spans="2:16" x14ac:dyDescent="0.25">
      <c r="B1232" s="23"/>
      <c r="E1232" s="23"/>
      <c r="G1232" s="23"/>
      <c r="H1232" s="23"/>
      <c r="J1232" s="23"/>
      <c r="K1232" s="23"/>
      <c r="M1232" s="23"/>
      <c r="N1232" s="23"/>
      <c r="P1232" s="23"/>
    </row>
    <row r="1233" spans="2:16" x14ac:dyDescent="0.25">
      <c r="B1233" s="23"/>
      <c r="E1233" s="23"/>
      <c r="G1233" s="23"/>
      <c r="H1233" s="23"/>
      <c r="J1233" s="23"/>
      <c r="K1233" s="23"/>
      <c r="M1233" s="23"/>
      <c r="N1233" s="23"/>
      <c r="P1233" s="23"/>
    </row>
    <row r="1234" spans="2:16" x14ac:dyDescent="0.25">
      <c r="B1234" s="23"/>
      <c r="E1234" s="23"/>
      <c r="G1234" s="23"/>
      <c r="H1234" s="23"/>
      <c r="J1234" s="23"/>
      <c r="K1234" s="23"/>
      <c r="M1234" s="23"/>
      <c r="N1234" s="23"/>
      <c r="P1234" s="23"/>
    </row>
    <row r="1235" spans="2:16" x14ac:dyDescent="0.25">
      <c r="B1235" s="23"/>
      <c r="E1235" s="23"/>
      <c r="G1235" s="23"/>
      <c r="H1235" s="23"/>
      <c r="J1235" s="23"/>
      <c r="K1235" s="23"/>
      <c r="M1235" s="23"/>
      <c r="N1235" s="23"/>
      <c r="P1235" s="23"/>
    </row>
    <row r="1236" spans="2:16" x14ac:dyDescent="0.25">
      <c r="B1236" s="23"/>
      <c r="E1236" s="23"/>
      <c r="G1236" s="23"/>
      <c r="H1236" s="23"/>
      <c r="J1236" s="23"/>
      <c r="K1236" s="23"/>
      <c r="M1236" s="23"/>
      <c r="N1236" s="23"/>
      <c r="P1236" s="23"/>
    </row>
    <row r="1237" spans="2:16" x14ac:dyDescent="0.25">
      <c r="B1237" s="23"/>
      <c r="E1237" s="23"/>
      <c r="G1237" s="23"/>
      <c r="H1237" s="23"/>
      <c r="J1237" s="23"/>
      <c r="K1237" s="23"/>
      <c r="M1237" s="23"/>
      <c r="N1237" s="23"/>
      <c r="P1237" s="23"/>
    </row>
    <row r="1238" spans="2:16" x14ac:dyDescent="0.25">
      <c r="B1238" s="23"/>
      <c r="E1238" s="23"/>
      <c r="G1238" s="23"/>
      <c r="H1238" s="23"/>
      <c r="J1238" s="23"/>
      <c r="K1238" s="23"/>
      <c r="M1238" s="23"/>
      <c r="N1238" s="23"/>
      <c r="P1238" s="23"/>
    </row>
    <row r="1239" spans="2:16" x14ac:dyDescent="0.25">
      <c r="B1239" s="23"/>
      <c r="E1239" s="23"/>
      <c r="G1239" s="23"/>
      <c r="H1239" s="23"/>
      <c r="J1239" s="23"/>
      <c r="K1239" s="23"/>
      <c r="M1239" s="23"/>
      <c r="N1239" s="23"/>
      <c r="P1239" s="23"/>
    </row>
    <row r="1240" spans="2:16" x14ac:dyDescent="0.25">
      <c r="B1240" s="23"/>
      <c r="E1240" s="23"/>
      <c r="G1240" s="23"/>
      <c r="H1240" s="23"/>
      <c r="J1240" s="23"/>
      <c r="K1240" s="23"/>
      <c r="M1240" s="23"/>
      <c r="N1240" s="23"/>
      <c r="P1240" s="23"/>
    </row>
    <row r="1241" spans="2:16" x14ac:dyDescent="0.25">
      <c r="B1241" s="23"/>
      <c r="E1241" s="23"/>
      <c r="G1241" s="23"/>
      <c r="H1241" s="23"/>
      <c r="J1241" s="23"/>
      <c r="K1241" s="23"/>
      <c r="M1241" s="23"/>
      <c r="N1241" s="23"/>
      <c r="P1241" s="23"/>
    </row>
    <row r="1242" spans="2:16" x14ac:dyDescent="0.25">
      <c r="B1242" s="23"/>
      <c r="E1242" s="23"/>
      <c r="G1242" s="23"/>
      <c r="H1242" s="23"/>
      <c r="J1242" s="23"/>
      <c r="K1242" s="23"/>
      <c r="M1242" s="23"/>
      <c r="N1242" s="23"/>
      <c r="P1242" s="23"/>
    </row>
    <row r="1243" spans="2:16" x14ac:dyDescent="0.25">
      <c r="B1243" s="23"/>
      <c r="E1243" s="23"/>
      <c r="G1243" s="23"/>
      <c r="H1243" s="23"/>
      <c r="J1243" s="23"/>
      <c r="K1243" s="23"/>
      <c r="M1243" s="23"/>
      <c r="N1243" s="23"/>
      <c r="P1243" s="23"/>
    </row>
    <row r="1244" spans="2:16" x14ac:dyDescent="0.25">
      <c r="B1244" s="23"/>
      <c r="E1244" s="23"/>
      <c r="G1244" s="23"/>
      <c r="H1244" s="23"/>
      <c r="J1244" s="23"/>
      <c r="K1244" s="23"/>
      <c r="M1244" s="23"/>
      <c r="N1244" s="23"/>
      <c r="P1244" s="23"/>
    </row>
    <row r="1245" spans="2:16" x14ac:dyDescent="0.25">
      <c r="B1245" s="23"/>
      <c r="E1245" s="23"/>
      <c r="G1245" s="23"/>
      <c r="H1245" s="23"/>
      <c r="J1245" s="23"/>
      <c r="K1245" s="23"/>
      <c r="M1245" s="23"/>
      <c r="N1245" s="23"/>
      <c r="P1245" s="23"/>
    </row>
    <row r="1246" spans="2:16" x14ac:dyDescent="0.25">
      <c r="B1246" s="23"/>
      <c r="E1246" s="23"/>
      <c r="G1246" s="23"/>
      <c r="H1246" s="23"/>
      <c r="J1246" s="23"/>
      <c r="K1246" s="23"/>
      <c r="M1246" s="23"/>
      <c r="N1246" s="23"/>
      <c r="P1246" s="23"/>
    </row>
    <row r="1247" spans="2:16" x14ac:dyDescent="0.25">
      <c r="B1247" s="23"/>
      <c r="E1247" s="23"/>
      <c r="G1247" s="23"/>
      <c r="H1247" s="23"/>
      <c r="J1247" s="23"/>
      <c r="K1247" s="23"/>
      <c r="M1247" s="23"/>
      <c r="N1247" s="23"/>
      <c r="P1247" s="23"/>
    </row>
    <row r="1248" spans="2:16" x14ac:dyDescent="0.25">
      <c r="B1248" s="23"/>
      <c r="E1248" s="23"/>
      <c r="G1248" s="23"/>
      <c r="H1248" s="23"/>
      <c r="J1248" s="23"/>
      <c r="K1248" s="23"/>
      <c r="M1248" s="23"/>
      <c r="N1248" s="23"/>
      <c r="P1248" s="23"/>
    </row>
    <row r="1249" spans="2:16" x14ac:dyDescent="0.25">
      <c r="B1249" s="23"/>
      <c r="E1249" s="23"/>
      <c r="G1249" s="23"/>
      <c r="H1249" s="23"/>
      <c r="J1249" s="23"/>
      <c r="K1249" s="23"/>
      <c r="M1249" s="23"/>
      <c r="N1249" s="23"/>
      <c r="P1249" s="23"/>
    </row>
    <row r="1250" spans="2:16" x14ac:dyDescent="0.25">
      <c r="B1250" s="23"/>
      <c r="E1250" s="23"/>
      <c r="G1250" s="23"/>
      <c r="H1250" s="23"/>
      <c r="J1250" s="23"/>
      <c r="K1250" s="23"/>
      <c r="M1250" s="23"/>
      <c r="N1250" s="23"/>
      <c r="P1250" s="23"/>
    </row>
    <row r="1251" spans="2:16" x14ac:dyDescent="0.25">
      <c r="B1251" s="23"/>
      <c r="E1251" s="23"/>
      <c r="G1251" s="23"/>
      <c r="H1251" s="23"/>
      <c r="J1251" s="23"/>
      <c r="K1251" s="23"/>
      <c r="M1251" s="23"/>
      <c r="N1251" s="23"/>
      <c r="P1251" s="23"/>
    </row>
    <row r="1252" spans="2:16" x14ac:dyDescent="0.25">
      <c r="B1252" s="23"/>
      <c r="E1252" s="23"/>
      <c r="G1252" s="23"/>
      <c r="H1252" s="23"/>
      <c r="J1252" s="23"/>
      <c r="K1252" s="23"/>
      <c r="M1252" s="23"/>
      <c r="N1252" s="23"/>
      <c r="P1252" s="23"/>
    </row>
    <row r="1253" spans="2:16" x14ac:dyDescent="0.25">
      <c r="B1253" s="23"/>
      <c r="E1253" s="23"/>
      <c r="G1253" s="23"/>
      <c r="H1253" s="23"/>
      <c r="J1253" s="23"/>
      <c r="K1253" s="23"/>
      <c r="M1253" s="23"/>
      <c r="N1253" s="23"/>
      <c r="P1253" s="23"/>
    </row>
    <row r="1254" spans="2:16" x14ac:dyDescent="0.25">
      <c r="B1254" s="23"/>
      <c r="E1254" s="23"/>
      <c r="G1254" s="23"/>
      <c r="H1254" s="23"/>
      <c r="J1254" s="23"/>
      <c r="K1254" s="23"/>
      <c r="M1254" s="23"/>
      <c r="N1254" s="23"/>
      <c r="P1254" s="23"/>
    </row>
    <row r="1255" spans="2:16" x14ac:dyDescent="0.25">
      <c r="B1255" s="23"/>
      <c r="E1255" s="23"/>
      <c r="G1255" s="23"/>
      <c r="H1255" s="23"/>
      <c r="J1255" s="23"/>
      <c r="K1255" s="23"/>
      <c r="M1255" s="23"/>
      <c r="N1255" s="23"/>
      <c r="P1255" s="23"/>
    </row>
    <row r="1256" spans="2:16" x14ac:dyDescent="0.25">
      <c r="B1256" s="23"/>
      <c r="E1256" s="23"/>
      <c r="G1256" s="23"/>
      <c r="H1256" s="23"/>
      <c r="J1256" s="23"/>
      <c r="K1256" s="23"/>
      <c r="M1256" s="23"/>
      <c r="N1256" s="23"/>
      <c r="P1256" s="23"/>
    </row>
    <row r="1257" spans="2:16" x14ac:dyDescent="0.25">
      <c r="B1257" s="23"/>
      <c r="E1257" s="23"/>
      <c r="G1257" s="23"/>
      <c r="H1257" s="23"/>
      <c r="J1257" s="23"/>
      <c r="K1257" s="23"/>
      <c r="M1257" s="23"/>
      <c r="N1257" s="23"/>
      <c r="P1257" s="23"/>
    </row>
    <row r="1258" spans="2:16" x14ac:dyDescent="0.25">
      <c r="B1258" s="23"/>
      <c r="E1258" s="23"/>
      <c r="G1258" s="23"/>
      <c r="H1258" s="23"/>
      <c r="J1258" s="23"/>
      <c r="K1258" s="23"/>
      <c r="M1258" s="23"/>
      <c r="N1258" s="23"/>
      <c r="P1258" s="23"/>
    </row>
    <row r="1259" spans="2:16" x14ac:dyDescent="0.25">
      <c r="B1259" s="23"/>
      <c r="E1259" s="23"/>
      <c r="G1259" s="23"/>
      <c r="H1259" s="23"/>
      <c r="J1259" s="23"/>
      <c r="K1259" s="23"/>
      <c r="M1259" s="23"/>
      <c r="N1259" s="23"/>
      <c r="P1259" s="23"/>
    </row>
    <row r="1260" spans="2:16" x14ac:dyDescent="0.25">
      <c r="B1260" s="23"/>
      <c r="E1260" s="23"/>
      <c r="G1260" s="23"/>
      <c r="H1260" s="23"/>
      <c r="J1260" s="23"/>
      <c r="K1260" s="23"/>
      <c r="M1260" s="23"/>
      <c r="N1260" s="23"/>
      <c r="P1260" s="23"/>
    </row>
    <row r="1261" spans="2:16" x14ac:dyDescent="0.25">
      <c r="B1261" s="23"/>
      <c r="E1261" s="23"/>
      <c r="G1261" s="23"/>
      <c r="H1261" s="23"/>
      <c r="J1261" s="23"/>
      <c r="K1261" s="23"/>
      <c r="M1261" s="23"/>
      <c r="N1261" s="23"/>
      <c r="P1261" s="23"/>
    </row>
    <row r="1262" spans="2:16" x14ac:dyDescent="0.25">
      <c r="B1262" s="23"/>
      <c r="E1262" s="23"/>
      <c r="G1262" s="23"/>
      <c r="H1262" s="23"/>
      <c r="J1262" s="23"/>
      <c r="K1262" s="23"/>
      <c r="M1262" s="23"/>
      <c r="N1262" s="23"/>
      <c r="P1262" s="23"/>
    </row>
    <row r="1263" spans="2:16" x14ac:dyDescent="0.25">
      <c r="B1263" s="23"/>
      <c r="E1263" s="23"/>
      <c r="G1263" s="23"/>
      <c r="H1263" s="23"/>
      <c r="J1263" s="23"/>
      <c r="K1263" s="23"/>
      <c r="M1263" s="23"/>
      <c r="N1263" s="23"/>
      <c r="P1263" s="23"/>
    </row>
    <row r="1264" spans="2:16" x14ac:dyDescent="0.25">
      <c r="B1264" s="23"/>
      <c r="E1264" s="23"/>
      <c r="G1264" s="23"/>
      <c r="H1264" s="23"/>
      <c r="J1264" s="23"/>
      <c r="K1264" s="23"/>
      <c r="M1264" s="23"/>
      <c r="N1264" s="23"/>
      <c r="P1264" s="23"/>
    </row>
    <row r="1265" spans="2:16" x14ac:dyDescent="0.25">
      <c r="B1265" s="23"/>
      <c r="E1265" s="23"/>
      <c r="G1265" s="23"/>
      <c r="H1265" s="23"/>
      <c r="J1265" s="23"/>
      <c r="K1265" s="23"/>
      <c r="M1265" s="23"/>
      <c r="N1265" s="23"/>
      <c r="P1265" s="23"/>
    </row>
    <row r="1266" spans="2:16" x14ac:dyDescent="0.25">
      <c r="B1266" s="23"/>
      <c r="E1266" s="23"/>
      <c r="G1266" s="23"/>
      <c r="H1266" s="23"/>
      <c r="J1266" s="23"/>
      <c r="K1266" s="23"/>
      <c r="M1266" s="23"/>
      <c r="N1266" s="23"/>
      <c r="P1266" s="23"/>
    </row>
    <row r="1267" spans="2:16" x14ac:dyDescent="0.25">
      <c r="B1267" s="23"/>
      <c r="E1267" s="23"/>
      <c r="G1267" s="23"/>
      <c r="H1267" s="23"/>
      <c r="J1267" s="23"/>
      <c r="K1267" s="23"/>
      <c r="M1267" s="23"/>
      <c r="N1267" s="23"/>
      <c r="P1267" s="23"/>
    </row>
    <row r="1268" spans="2:16" x14ac:dyDescent="0.25">
      <c r="B1268" s="23"/>
      <c r="E1268" s="23"/>
      <c r="G1268" s="23"/>
      <c r="H1268" s="23"/>
      <c r="J1268" s="23"/>
      <c r="K1268" s="23"/>
      <c r="M1268" s="23"/>
      <c r="N1268" s="23"/>
      <c r="P1268" s="23"/>
    </row>
    <row r="1269" spans="2:16" x14ac:dyDescent="0.25">
      <c r="B1269" s="23"/>
      <c r="E1269" s="23"/>
      <c r="G1269" s="23"/>
      <c r="H1269" s="23"/>
      <c r="J1269" s="23"/>
      <c r="K1269" s="23"/>
      <c r="M1269" s="23"/>
      <c r="N1269" s="23"/>
      <c r="P1269" s="23"/>
    </row>
    <row r="1270" spans="2:16" x14ac:dyDescent="0.25">
      <c r="B1270" s="23"/>
      <c r="E1270" s="23"/>
      <c r="G1270" s="23"/>
      <c r="H1270" s="23"/>
      <c r="J1270" s="23"/>
      <c r="K1270" s="23"/>
      <c r="M1270" s="23"/>
      <c r="N1270" s="23"/>
      <c r="P1270" s="23"/>
    </row>
    <row r="1271" spans="2:16" x14ac:dyDescent="0.25">
      <c r="B1271" s="23"/>
      <c r="E1271" s="23"/>
      <c r="G1271" s="23"/>
      <c r="H1271" s="23"/>
      <c r="J1271" s="23"/>
      <c r="K1271" s="23"/>
      <c r="M1271" s="23"/>
      <c r="N1271" s="23"/>
      <c r="P1271" s="23"/>
    </row>
    <row r="1272" spans="2:16" x14ac:dyDescent="0.25">
      <c r="B1272" s="23"/>
      <c r="E1272" s="23"/>
      <c r="G1272" s="23"/>
      <c r="H1272" s="23"/>
      <c r="J1272" s="23"/>
      <c r="K1272" s="23"/>
      <c r="M1272" s="23"/>
      <c r="N1272" s="23"/>
      <c r="P1272" s="23"/>
    </row>
    <row r="1273" spans="2:16" x14ac:dyDescent="0.25">
      <c r="B1273" s="23"/>
      <c r="E1273" s="23"/>
      <c r="G1273" s="23"/>
      <c r="H1273" s="23"/>
      <c r="J1273" s="23"/>
      <c r="K1273" s="23"/>
      <c r="M1273" s="23"/>
      <c r="N1273" s="23"/>
      <c r="P1273" s="23"/>
    </row>
    <row r="1274" spans="2:16" x14ac:dyDescent="0.25">
      <c r="B1274" s="23"/>
      <c r="E1274" s="23"/>
      <c r="G1274" s="23"/>
      <c r="H1274" s="23"/>
      <c r="J1274" s="23"/>
      <c r="K1274" s="23"/>
      <c r="M1274" s="23"/>
      <c r="N1274" s="23"/>
      <c r="P1274" s="23"/>
    </row>
    <row r="1275" spans="2:16" x14ac:dyDescent="0.25">
      <c r="B1275" s="23"/>
      <c r="E1275" s="23"/>
      <c r="G1275" s="23"/>
      <c r="H1275" s="23"/>
      <c r="J1275" s="23"/>
      <c r="K1275" s="23"/>
      <c r="M1275" s="23"/>
      <c r="N1275" s="23"/>
      <c r="P1275" s="23"/>
    </row>
    <row r="1276" spans="2:16" x14ac:dyDescent="0.25">
      <c r="B1276" s="23"/>
      <c r="E1276" s="23"/>
      <c r="G1276" s="23"/>
      <c r="H1276" s="23"/>
      <c r="J1276" s="23"/>
      <c r="K1276" s="23"/>
      <c r="M1276" s="23"/>
      <c r="N1276" s="23"/>
      <c r="P1276" s="23"/>
    </row>
    <row r="1277" spans="2:16" x14ac:dyDescent="0.25">
      <c r="B1277" s="23"/>
      <c r="E1277" s="23"/>
      <c r="G1277" s="23"/>
      <c r="H1277" s="23"/>
      <c r="J1277" s="23"/>
      <c r="K1277" s="23"/>
      <c r="M1277" s="23"/>
      <c r="N1277" s="23"/>
      <c r="P1277" s="23"/>
    </row>
    <row r="1278" spans="2:16" x14ac:dyDescent="0.25">
      <c r="B1278" s="23"/>
      <c r="E1278" s="23"/>
      <c r="G1278" s="23"/>
      <c r="H1278" s="23"/>
      <c r="J1278" s="23"/>
      <c r="K1278" s="23"/>
      <c r="M1278" s="23"/>
      <c r="N1278" s="23"/>
      <c r="P1278" s="23"/>
    </row>
    <row r="1279" spans="2:16" x14ac:dyDescent="0.25">
      <c r="B1279" s="23"/>
      <c r="E1279" s="23"/>
      <c r="G1279" s="23"/>
      <c r="H1279" s="23"/>
      <c r="J1279" s="23"/>
      <c r="K1279" s="23"/>
      <c r="M1279" s="23"/>
      <c r="N1279" s="23"/>
      <c r="P1279" s="23"/>
    </row>
    <row r="1280" spans="2:16" x14ac:dyDescent="0.25">
      <c r="B1280" s="23"/>
      <c r="E1280" s="23"/>
      <c r="G1280" s="23"/>
      <c r="H1280" s="23"/>
      <c r="J1280" s="23"/>
      <c r="K1280" s="23"/>
      <c r="M1280" s="23"/>
      <c r="N1280" s="23"/>
      <c r="P1280" s="23"/>
    </row>
    <row r="1281" spans="2:16" x14ac:dyDescent="0.25">
      <c r="B1281" s="23"/>
      <c r="E1281" s="23"/>
      <c r="G1281" s="23"/>
      <c r="H1281" s="23"/>
      <c r="J1281" s="23"/>
      <c r="K1281" s="23"/>
      <c r="M1281" s="23"/>
      <c r="N1281" s="23"/>
      <c r="P1281" s="23"/>
    </row>
    <row r="1282" spans="2:16" x14ac:dyDescent="0.25">
      <c r="B1282" s="23"/>
      <c r="E1282" s="23"/>
      <c r="G1282" s="23"/>
      <c r="H1282" s="23"/>
      <c r="J1282" s="23"/>
      <c r="K1282" s="23"/>
      <c r="M1282" s="23"/>
      <c r="N1282" s="23"/>
      <c r="P1282" s="23"/>
    </row>
    <row r="1283" spans="2:16" x14ac:dyDescent="0.25">
      <c r="B1283" s="23"/>
      <c r="E1283" s="23"/>
      <c r="G1283" s="23"/>
      <c r="H1283" s="23"/>
      <c r="J1283" s="23"/>
      <c r="K1283" s="23"/>
      <c r="M1283" s="23"/>
      <c r="N1283" s="23"/>
      <c r="P1283" s="23"/>
    </row>
    <row r="1284" spans="2:16" x14ac:dyDescent="0.25">
      <c r="B1284" s="23"/>
      <c r="E1284" s="23"/>
      <c r="G1284" s="23"/>
      <c r="H1284" s="23"/>
      <c r="J1284" s="23"/>
      <c r="K1284" s="23"/>
      <c r="M1284" s="23"/>
      <c r="N1284" s="23"/>
      <c r="P1284" s="23"/>
    </row>
    <row r="1285" spans="2:16" x14ac:dyDescent="0.25">
      <c r="B1285" s="23"/>
      <c r="E1285" s="23"/>
      <c r="G1285" s="23"/>
      <c r="H1285" s="23"/>
      <c r="J1285" s="23"/>
      <c r="K1285" s="23"/>
      <c r="M1285" s="23"/>
      <c r="N1285" s="23"/>
      <c r="P1285" s="23"/>
    </row>
    <row r="1286" spans="2:16" x14ac:dyDescent="0.25">
      <c r="B1286" s="23"/>
      <c r="E1286" s="23"/>
      <c r="G1286" s="23"/>
      <c r="H1286" s="23"/>
      <c r="J1286" s="23"/>
      <c r="K1286" s="23"/>
      <c r="M1286" s="23"/>
      <c r="N1286" s="23"/>
      <c r="P1286" s="23"/>
    </row>
    <row r="1287" spans="2:16" x14ac:dyDescent="0.25">
      <c r="B1287" s="23"/>
      <c r="E1287" s="23"/>
      <c r="G1287" s="23"/>
      <c r="H1287" s="23"/>
      <c r="J1287" s="23"/>
      <c r="K1287" s="23"/>
      <c r="M1287" s="23"/>
      <c r="N1287" s="23"/>
      <c r="P1287" s="23"/>
    </row>
    <row r="1288" spans="2:16" x14ac:dyDescent="0.25">
      <c r="B1288" s="23"/>
      <c r="E1288" s="23"/>
      <c r="G1288" s="23"/>
      <c r="H1288" s="23"/>
      <c r="J1288" s="23"/>
      <c r="K1288" s="23"/>
      <c r="M1288" s="23"/>
      <c r="N1288" s="23"/>
      <c r="P1288" s="23"/>
    </row>
    <row r="1289" spans="2:16" x14ac:dyDescent="0.25">
      <c r="B1289" s="23"/>
      <c r="E1289" s="23"/>
      <c r="G1289" s="23"/>
      <c r="H1289" s="23"/>
      <c r="J1289" s="23"/>
      <c r="K1289" s="23"/>
      <c r="M1289" s="23"/>
      <c r="N1289" s="23"/>
      <c r="P1289" s="23"/>
    </row>
    <row r="1290" spans="2:16" x14ac:dyDescent="0.25">
      <c r="B1290" s="23"/>
      <c r="E1290" s="23"/>
      <c r="G1290" s="23"/>
      <c r="H1290" s="23"/>
      <c r="J1290" s="23"/>
      <c r="K1290" s="23"/>
      <c r="M1290" s="23"/>
      <c r="N1290" s="23"/>
      <c r="P1290" s="23"/>
    </row>
    <row r="1291" spans="2:16" x14ac:dyDescent="0.25">
      <c r="B1291" s="23"/>
      <c r="E1291" s="23"/>
      <c r="G1291" s="23"/>
      <c r="H1291" s="23"/>
      <c r="J1291" s="23"/>
      <c r="K1291" s="23"/>
      <c r="M1291" s="23"/>
      <c r="N1291" s="23"/>
      <c r="P1291" s="23"/>
    </row>
    <row r="1292" spans="2:16" x14ac:dyDescent="0.25">
      <c r="B1292" s="23"/>
      <c r="E1292" s="23"/>
      <c r="G1292" s="23"/>
      <c r="H1292" s="23"/>
      <c r="J1292" s="23"/>
      <c r="K1292" s="23"/>
      <c r="M1292" s="23"/>
      <c r="N1292" s="23"/>
      <c r="P1292" s="23"/>
    </row>
    <row r="1293" spans="2:16" x14ac:dyDescent="0.25">
      <c r="B1293" s="23"/>
      <c r="E1293" s="23"/>
      <c r="G1293" s="23"/>
      <c r="H1293" s="23"/>
      <c r="J1293" s="23"/>
      <c r="K1293" s="23"/>
      <c r="M1293" s="23"/>
      <c r="N1293" s="23"/>
      <c r="P1293" s="23"/>
    </row>
    <row r="1294" spans="2:16" x14ac:dyDescent="0.25">
      <c r="B1294" s="23"/>
      <c r="E1294" s="23"/>
      <c r="G1294" s="23"/>
      <c r="H1294" s="23"/>
      <c r="J1294" s="23"/>
      <c r="K1294" s="23"/>
      <c r="M1294" s="23"/>
      <c r="N1294" s="23"/>
      <c r="P1294" s="23"/>
    </row>
    <row r="1295" spans="2:16" x14ac:dyDescent="0.25">
      <c r="B1295" s="23"/>
      <c r="E1295" s="23"/>
      <c r="G1295" s="23"/>
      <c r="H1295" s="23"/>
      <c r="J1295" s="23"/>
      <c r="K1295" s="23"/>
      <c r="M1295" s="23"/>
      <c r="N1295" s="23"/>
      <c r="P1295" s="23"/>
    </row>
    <row r="1296" spans="2:16" x14ac:dyDescent="0.25">
      <c r="B1296" s="23"/>
      <c r="E1296" s="23"/>
      <c r="G1296" s="23"/>
      <c r="H1296" s="23"/>
      <c r="J1296" s="23"/>
      <c r="K1296" s="23"/>
      <c r="M1296" s="23"/>
      <c r="N1296" s="23"/>
      <c r="P1296" s="23"/>
    </row>
    <row r="1297" spans="2:16" x14ac:dyDescent="0.25">
      <c r="B1297" s="23"/>
      <c r="E1297" s="23"/>
      <c r="G1297" s="23"/>
      <c r="H1297" s="23"/>
      <c r="J1297" s="23"/>
      <c r="K1297" s="23"/>
      <c r="M1297" s="23"/>
      <c r="N1297" s="23"/>
      <c r="P1297" s="23"/>
    </row>
    <row r="1298" spans="2:16" x14ac:dyDescent="0.25">
      <c r="B1298" s="23"/>
      <c r="E1298" s="23"/>
      <c r="G1298" s="23"/>
      <c r="H1298" s="23"/>
      <c r="J1298" s="23"/>
      <c r="K1298" s="23"/>
      <c r="M1298" s="23"/>
      <c r="N1298" s="23"/>
      <c r="P1298" s="23"/>
    </row>
    <row r="1299" spans="2:16" x14ac:dyDescent="0.25">
      <c r="B1299" s="23"/>
      <c r="E1299" s="23"/>
      <c r="G1299" s="23"/>
      <c r="H1299" s="23"/>
      <c r="J1299" s="23"/>
      <c r="K1299" s="23"/>
      <c r="M1299" s="23"/>
      <c r="N1299" s="23"/>
      <c r="P1299" s="23"/>
    </row>
    <row r="1300" spans="2:16" x14ac:dyDescent="0.25">
      <c r="B1300" s="23"/>
      <c r="E1300" s="23"/>
      <c r="G1300" s="23"/>
      <c r="H1300" s="23"/>
      <c r="J1300" s="23"/>
      <c r="K1300" s="23"/>
      <c r="M1300" s="23"/>
      <c r="N1300" s="23"/>
      <c r="P1300" s="23"/>
    </row>
    <row r="1301" spans="2:16" x14ac:dyDescent="0.25">
      <c r="B1301" s="23"/>
      <c r="E1301" s="23"/>
      <c r="G1301" s="23"/>
      <c r="H1301" s="23"/>
      <c r="J1301" s="23"/>
      <c r="K1301" s="23"/>
      <c r="M1301" s="23"/>
      <c r="N1301" s="23"/>
      <c r="P1301" s="23"/>
    </row>
    <row r="1302" spans="2:16" x14ac:dyDescent="0.25">
      <c r="B1302" s="23"/>
      <c r="E1302" s="23"/>
      <c r="G1302" s="23"/>
      <c r="H1302" s="23"/>
      <c r="J1302" s="23"/>
      <c r="K1302" s="23"/>
      <c r="M1302" s="23"/>
      <c r="N1302" s="23"/>
      <c r="P1302" s="23"/>
    </row>
    <row r="1303" spans="2:16" x14ac:dyDescent="0.25">
      <c r="B1303" s="23"/>
      <c r="E1303" s="23"/>
      <c r="G1303" s="23"/>
      <c r="H1303" s="23"/>
      <c r="J1303" s="23"/>
      <c r="K1303" s="23"/>
      <c r="M1303" s="23"/>
      <c r="N1303" s="23"/>
      <c r="P1303" s="23"/>
    </row>
    <row r="1304" spans="2:16" x14ac:dyDescent="0.25">
      <c r="B1304" s="23"/>
      <c r="E1304" s="23"/>
      <c r="G1304" s="23"/>
      <c r="H1304" s="23"/>
      <c r="J1304" s="23"/>
      <c r="K1304" s="23"/>
      <c r="M1304" s="23"/>
      <c r="N1304" s="23"/>
      <c r="P1304" s="23"/>
    </row>
    <row r="1305" spans="2:16" x14ac:dyDescent="0.25">
      <c r="B1305" s="23"/>
      <c r="E1305" s="23"/>
      <c r="G1305" s="23"/>
      <c r="H1305" s="23"/>
      <c r="J1305" s="23"/>
      <c r="K1305" s="23"/>
      <c r="M1305" s="23"/>
      <c r="N1305" s="23"/>
      <c r="P1305" s="23"/>
    </row>
    <row r="1306" spans="2:16" x14ac:dyDescent="0.25">
      <c r="B1306" s="23"/>
      <c r="E1306" s="23"/>
      <c r="G1306" s="23"/>
      <c r="H1306" s="23"/>
      <c r="J1306" s="23"/>
      <c r="K1306" s="23"/>
      <c r="M1306" s="23"/>
      <c r="N1306" s="23"/>
      <c r="P1306" s="23"/>
    </row>
    <row r="1307" spans="2:16" x14ac:dyDescent="0.25">
      <c r="B1307" s="23"/>
      <c r="E1307" s="23"/>
      <c r="G1307" s="23"/>
      <c r="H1307" s="23"/>
      <c r="J1307" s="23"/>
      <c r="K1307" s="23"/>
      <c r="M1307" s="23"/>
      <c r="N1307" s="23"/>
      <c r="P1307" s="23"/>
    </row>
    <row r="1308" spans="2:16" x14ac:dyDescent="0.25">
      <c r="B1308" s="23"/>
      <c r="E1308" s="23"/>
      <c r="G1308" s="23"/>
      <c r="H1308" s="23"/>
      <c r="J1308" s="23"/>
      <c r="K1308" s="23"/>
      <c r="M1308" s="23"/>
      <c r="N1308" s="23"/>
      <c r="P1308" s="23"/>
    </row>
    <row r="1309" spans="2:16" x14ac:dyDescent="0.25">
      <c r="B1309" s="23"/>
      <c r="E1309" s="23"/>
      <c r="G1309" s="23"/>
      <c r="H1309" s="23"/>
      <c r="J1309" s="23"/>
      <c r="K1309" s="23"/>
      <c r="M1309" s="23"/>
      <c r="N1309" s="23"/>
      <c r="P1309" s="23"/>
    </row>
    <row r="1310" spans="2:16" x14ac:dyDescent="0.25">
      <c r="B1310" s="23"/>
      <c r="E1310" s="23"/>
      <c r="G1310" s="23"/>
      <c r="H1310" s="23"/>
      <c r="J1310" s="23"/>
      <c r="K1310" s="23"/>
      <c r="M1310" s="23"/>
      <c r="N1310" s="23"/>
      <c r="P1310" s="23"/>
    </row>
    <row r="1311" spans="2:16" x14ac:dyDescent="0.25">
      <c r="B1311" s="23"/>
      <c r="E1311" s="23"/>
      <c r="G1311" s="23"/>
      <c r="H1311" s="23"/>
      <c r="J1311" s="23"/>
      <c r="K1311" s="23"/>
      <c r="M1311" s="23"/>
      <c r="N1311" s="23"/>
      <c r="P1311" s="23"/>
    </row>
    <row r="1312" spans="2:16" x14ac:dyDescent="0.25">
      <c r="B1312" s="23"/>
      <c r="E1312" s="23"/>
      <c r="G1312" s="23"/>
      <c r="H1312" s="23"/>
      <c r="J1312" s="23"/>
      <c r="K1312" s="23"/>
      <c r="M1312" s="23"/>
      <c r="N1312" s="23"/>
      <c r="P1312" s="23"/>
    </row>
    <row r="1313" spans="2:16" x14ac:dyDescent="0.25">
      <c r="B1313" s="23"/>
      <c r="E1313" s="23"/>
      <c r="G1313" s="23"/>
      <c r="H1313" s="23"/>
      <c r="J1313" s="23"/>
      <c r="K1313" s="23"/>
      <c r="M1313" s="23"/>
      <c r="N1313" s="23"/>
      <c r="P1313" s="23"/>
    </row>
    <row r="1314" spans="2:16" x14ac:dyDescent="0.25">
      <c r="B1314" s="23"/>
      <c r="E1314" s="23"/>
      <c r="G1314" s="23"/>
      <c r="H1314" s="23"/>
      <c r="J1314" s="23"/>
      <c r="K1314" s="23"/>
      <c r="M1314" s="23"/>
      <c r="N1314" s="23"/>
      <c r="P1314" s="23"/>
    </row>
    <row r="1315" spans="2:16" x14ac:dyDescent="0.25">
      <c r="B1315" s="23"/>
      <c r="E1315" s="23"/>
      <c r="G1315" s="23"/>
      <c r="H1315" s="23"/>
      <c r="J1315" s="23"/>
      <c r="K1315" s="23"/>
      <c r="M1315" s="23"/>
      <c r="N1315" s="23"/>
      <c r="P1315" s="23"/>
    </row>
    <row r="1316" spans="2:16" x14ac:dyDescent="0.25">
      <c r="B1316" s="23"/>
      <c r="E1316" s="23"/>
      <c r="G1316" s="23"/>
      <c r="H1316" s="23"/>
      <c r="J1316" s="23"/>
      <c r="K1316" s="23"/>
      <c r="M1316" s="23"/>
      <c r="N1316" s="23"/>
      <c r="P1316" s="23"/>
    </row>
    <row r="1317" spans="2:16" x14ac:dyDescent="0.25">
      <c r="B1317" s="23"/>
      <c r="E1317" s="23"/>
      <c r="G1317" s="23"/>
      <c r="H1317" s="23"/>
      <c r="J1317" s="23"/>
      <c r="K1317" s="23"/>
      <c r="M1317" s="23"/>
      <c r="N1317" s="23"/>
      <c r="P1317" s="23"/>
    </row>
    <row r="1318" spans="2:16" x14ac:dyDescent="0.25">
      <c r="B1318" s="23"/>
      <c r="E1318" s="23"/>
      <c r="G1318" s="23"/>
      <c r="H1318" s="23"/>
      <c r="J1318" s="23"/>
      <c r="K1318" s="23"/>
      <c r="M1318" s="23"/>
      <c r="N1318" s="23"/>
      <c r="P1318" s="23"/>
    </row>
    <row r="1319" spans="2:16" x14ac:dyDescent="0.25">
      <c r="B1319" s="23"/>
      <c r="E1319" s="23"/>
      <c r="G1319" s="23"/>
      <c r="H1319" s="23"/>
      <c r="J1319" s="23"/>
      <c r="K1319" s="23"/>
      <c r="M1319" s="23"/>
      <c r="N1319" s="23"/>
      <c r="P1319" s="23"/>
    </row>
    <row r="1320" spans="2:16" x14ac:dyDescent="0.25">
      <c r="B1320" s="23"/>
      <c r="E1320" s="23"/>
      <c r="G1320" s="23"/>
      <c r="H1320" s="23"/>
      <c r="J1320" s="23"/>
      <c r="K1320" s="23"/>
      <c r="M1320" s="23"/>
      <c r="N1320" s="23"/>
      <c r="P1320" s="23"/>
    </row>
    <row r="1321" spans="2:16" x14ac:dyDescent="0.25">
      <c r="B1321" s="23"/>
      <c r="E1321" s="23"/>
      <c r="G1321" s="23"/>
      <c r="H1321" s="23"/>
      <c r="J1321" s="23"/>
      <c r="K1321" s="23"/>
      <c r="M1321" s="23"/>
      <c r="N1321" s="23"/>
      <c r="P1321" s="23"/>
    </row>
    <row r="1322" spans="2:16" x14ac:dyDescent="0.25">
      <c r="B1322" s="23"/>
      <c r="E1322" s="23"/>
      <c r="G1322" s="23"/>
      <c r="H1322" s="23"/>
      <c r="J1322" s="23"/>
      <c r="K1322" s="23"/>
      <c r="M1322" s="23"/>
      <c r="N1322" s="23"/>
      <c r="P1322" s="23"/>
    </row>
    <row r="1323" spans="2:16" x14ac:dyDescent="0.25">
      <c r="B1323" s="23"/>
      <c r="E1323" s="23"/>
      <c r="G1323" s="23"/>
      <c r="H1323" s="23"/>
      <c r="J1323" s="23"/>
      <c r="K1323" s="23"/>
      <c r="M1323" s="23"/>
      <c r="N1323" s="23"/>
      <c r="P1323" s="23"/>
    </row>
    <row r="1324" spans="2:16" x14ac:dyDescent="0.25">
      <c r="B1324" s="23"/>
      <c r="E1324" s="23"/>
      <c r="G1324" s="23"/>
      <c r="H1324" s="23"/>
      <c r="J1324" s="23"/>
      <c r="K1324" s="23"/>
      <c r="M1324" s="23"/>
      <c r="N1324" s="23"/>
      <c r="P1324" s="23"/>
    </row>
    <row r="1325" spans="2:16" x14ac:dyDescent="0.25">
      <c r="B1325" s="23"/>
      <c r="E1325" s="23"/>
      <c r="G1325" s="23"/>
      <c r="H1325" s="23"/>
      <c r="J1325" s="23"/>
      <c r="K1325" s="23"/>
      <c r="M1325" s="23"/>
      <c r="N1325" s="23"/>
      <c r="P1325" s="23"/>
    </row>
    <row r="1326" spans="2:16" x14ac:dyDescent="0.25">
      <c r="B1326" s="23"/>
      <c r="E1326" s="23"/>
      <c r="G1326" s="23"/>
      <c r="H1326" s="23"/>
      <c r="J1326" s="23"/>
      <c r="K1326" s="23"/>
      <c r="M1326" s="23"/>
      <c r="N1326" s="23"/>
      <c r="P1326" s="23"/>
    </row>
    <row r="1327" spans="2:16" x14ac:dyDescent="0.25">
      <c r="B1327" s="23"/>
      <c r="E1327" s="23"/>
      <c r="G1327" s="23"/>
      <c r="H1327" s="23"/>
      <c r="J1327" s="23"/>
      <c r="K1327" s="23"/>
      <c r="M1327" s="23"/>
      <c r="N1327" s="23"/>
      <c r="P1327" s="23"/>
    </row>
    <row r="1328" spans="2:16" x14ac:dyDescent="0.25">
      <c r="B1328" s="23"/>
      <c r="E1328" s="23"/>
      <c r="G1328" s="23"/>
      <c r="H1328" s="23"/>
      <c r="J1328" s="23"/>
      <c r="K1328" s="23"/>
      <c r="M1328" s="23"/>
      <c r="N1328" s="23"/>
      <c r="P1328" s="23"/>
    </row>
    <row r="1329" spans="2:16" x14ac:dyDescent="0.25">
      <c r="B1329" s="23"/>
      <c r="E1329" s="23"/>
      <c r="G1329" s="23"/>
      <c r="H1329" s="23"/>
      <c r="J1329" s="23"/>
      <c r="K1329" s="23"/>
      <c r="M1329" s="23"/>
      <c r="N1329" s="23"/>
      <c r="P1329" s="23"/>
    </row>
    <row r="1330" spans="2:16" x14ac:dyDescent="0.25">
      <c r="B1330" s="23"/>
      <c r="E1330" s="23"/>
      <c r="G1330" s="23"/>
      <c r="H1330" s="23"/>
      <c r="J1330" s="23"/>
      <c r="K1330" s="23"/>
      <c r="M1330" s="23"/>
      <c r="N1330" s="23"/>
      <c r="P1330" s="23"/>
    </row>
    <row r="1331" spans="2:16" x14ac:dyDescent="0.25">
      <c r="B1331" s="23"/>
      <c r="E1331" s="23"/>
      <c r="G1331" s="23"/>
      <c r="H1331" s="23"/>
      <c r="J1331" s="23"/>
      <c r="K1331" s="23"/>
      <c r="M1331" s="23"/>
      <c r="N1331" s="23"/>
      <c r="P1331" s="23"/>
    </row>
    <row r="1332" spans="2:16" x14ac:dyDescent="0.25">
      <c r="B1332" s="23"/>
      <c r="E1332" s="23"/>
      <c r="G1332" s="23"/>
      <c r="H1332" s="23"/>
      <c r="J1332" s="23"/>
      <c r="K1332" s="23"/>
      <c r="M1332" s="23"/>
      <c r="N1332" s="23"/>
      <c r="P1332" s="23"/>
    </row>
    <row r="1333" spans="2:16" x14ac:dyDescent="0.25">
      <c r="B1333" s="23"/>
      <c r="E1333" s="23"/>
      <c r="G1333" s="23"/>
      <c r="H1333" s="23"/>
      <c r="J1333" s="23"/>
      <c r="K1333" s="23"/>
      <c r="M1333" s="23"/>
      <c r="N1333" s="23"/>
      <c r="P1333" s="23"/>
    </row>
    <row r="1334" spans="2:16" x14ac:dyDescent="0.25">
      <c r="B1334" s="23"/>
      <c r="E1334" s="23"/>
      <c r="G1334" s="23"/>
      <c r="H1334" s="23"/>
      <c r="J1334" s="23"/>
      <c r="K1334" s="23"/>
      <c r="M1334" s="23"/>
      <c r="N1334" s="23"/>
      <c r="P1334" s="23"/>
    </row>
    <row r="1335" spans="2:16" x14ac:dyDescent="0.25">
      <c r="B1335" s="23"/>
      <c r="E1335" s="23"/>
      <c r="G1335" s="23"/>
      <c r="H1335" s="23"/>
      <c r="J1335" s="23"/>
      <c r="K1335" s="23"/>
      <c r="M1335" s="23"/>
      <c r="N1335" s="23"/>
      <c r="P1335" s="23"/>
    </row>
    <row r="1336" spans="2:16" x14ac:dyDescent="0.25">
      <c r="B1336" s="23"/>
      <c r="E1336" s="23"/>
      <c r="G1336" s="23"/>
      <c r="H1336" s="23"/>
      <c r="J1336" s="23"/>
      <c r="K1336" s="23"/>
      <c r="M1336" s="23"/>
      <c r="N1336" s="23"/>
      <c r="P1336" s="23"/>
    </row>
    <row r="1337" spans="2:16" x14ac:dyDescent="0.25">
      <c r="B1337" s="23"/>
      <c r="E1337" s="23"/>
      <c r="G1337" s="23"/>
      <c r="H1337" s="23"/>
      <c r="J1337" s="23"/>
      <c r="K1337" s="23"/>
      <c r="M1337" s="23"/>
      <c r="N1337" s="23"/>
      <c r="P1337" s="23"/>
    </row>
    <row r="1338" spans="2:16" x14ac:dyDescent="0.25">
      <c r="B1338" s="23"/>
      <c r="E1338" s="23"/>
      <c r="G1338" s="23"/>
      <c r="H1338" s="23"/>
      <c r="J1338" s="23"/>
      <c r="K1338" s="23"/>
      <c r="M1338" s="23"/>
      <c r="N1338" s="23"/>
      <c r="P1338" s="23"/>
    </row>
    <row r="1339" spans="2:16" x14ac:dyDescent="0.25">
      <c r="B1339" s="23"/>
      <c r="E1339" s="23"/>
      <c r="G1339" s="23"/>
      <c r="H1339" s="23"/>
      <c r="J1339" s="23"/>
      <c r="K1339" s="23"/>
      <c r="M1339" s="23"/>
      <c r="N1339" s="23"/>
      <c r="P1339" s="23"/>
    </row>
    <row r="1340" spans="2:16" x14ac:dyDescent="0.25">
      <c r="B1340" s="23"/>
      <c r="E1340" s="23"/>
      <c r="G1340" s="23"/>
      <c r="H1340" s="23"/>
      <c r="J1340" s="23"/>
      <c r="K1340" s="23"/>
      <c r="M1340" s="23"/>
      <c r="N1340" s="23"/>
      <c r="P1340" s="23"/>
    </row>
    <row r="1341" spans="2:16" x14ac:dyDescent="0.25">
      <c r="B1341" s="23"/>
      <c r="E1341" s="23"/>
      <c r="G1341" s="23"/>
      <c r="H1341" s="23"/>
      <c r="J1341" s="23"/>
      <c r="K1341" s="23"/>
      <c r="M1341" s="23"/>
      <c r="N1341" s="23"/>
      <c r="P1341" s="23"/>
    </row>
    <row r="1342" spans="2:16" x14ac:dyDescent="0.25">
      <c r="B1342" s="23"/>
      <c r="E1342" s="23"/>
      <c r="G1342" s="23"/>
      <c r="H1342" s="23"/>
      <c r="J1342" s="23"/>
      <c r="K1342" s="23"/>
      <c r="M1342" s="23"/>
      <c r="N1342" s="23"/>
      <c r="P1342" s="23"/>
    </row>
    <row r="1343" spans="2:16" x14ac:dyDescent="0.25">
      <c r="B1343" s="23"/>
      <c r="E1343" s="23"/>
      <c r="G1343" s="23"/>
      <c r="H1343" s="23"/>
      <c r="J1343" s="23"/>
      <c r="K1343" s="23"/>
      <c r="M1343" s="23"/>
      <c r="N1343" s="23"/>
      <c r="P1343" s="23"/>
    </row>
    <row r="1344" spans="2:16" x14ac:dyDescent="0.25">
      <c r="B1344" s="23"/>
      <c r="E1344" s="23"/>
      <c r="G1344" s="23"/>
      <c r="H1344" s="23"/>
      <c r="J1344" s="23"/>
      <c r="K1344" s="23"/>
      <c r="M1344" s="23"/>
      <c r="N1344" s="23"/>
      <c r="P1344" s="23"/>
    </row>
    <row r="1345" spans="2:16" x14ac:dyDescent="0.25">
      <c r="B1345" s="23"/>
      <c r="E1345" s="23"/>
      <c r="G1345" s="23"/>
      <c r="H1345" s="23"/>
      <c r="J1345" s="23"/>
      <c r="K1345" s="23"/>
      <c r="M1345" s="23"/>
      <c r="N1345" s="23"/>
      <c r="P1345" s="23"/>
    </row>
    <row r="1346" spans="2:16" x14ac:dyDescent="0.25">
      <c r="B1346" s="23"/>
      <c r="E1346" s="23"/>
      <c r="G1346" s="23"/>
      <c r="H1346" s="23"/>
      <c r="J1346" s="23"/>
      <c r="K1346" s="23"/>
      <c r="M1346" s="23"/>
      <c r="N1346" s="23"/>
      <c r="P1346" s="23"/>
    </row>
    <row r="1347" spans="2:16" x14ac:dyDescent="0.25">
      <c r="B1347" s="23"/>
      <c r="E1347" s="23"/>
      <c r="G1347" s="23"/>
      <c r="H1347" s="23"/>
      <c r="J1347" s="23"/>
      <c r="K1347" s="23"/>
      <c r="M1347" s="23"/>
      <c r="N1347" s="23"/>
      <c r="P1347" s="23"/>
    </row>
    <row r="1348" spans="2:16" x14ac:dyDescent="0.25">
      <c r="B1348" s="23"/>
      <c r="E1348" s="23"/>
      <c r="G1348" s="23"/>
      <c r="H1348" s="23"/>
      <c r="J1348" s="23"/>
      <c r="K1348" s="23"/>
      <c r="M1348" s="23"/>
      <c r="N1348" s="23"/>
      <c r="P1348" s="23"/>
    </row>
    <row r="1349" spans="2:16" x14ac:dyDescent="0.25">
      <c r="B1349" s="23"/>
      <c r="E1349" s="23"/>
      <c r="G1349" s="23"/>
      <c r="H1349" s="23"/>
      <c r="J1349" s="23"/>
      <c r="K1349" s="23"/>
      <c r="M1349" s="23"/>
      <c r="N1349" s="23"/>
      <c r="P1349" s="23"/>
    </row>
    <row r="1350" spans="2:16" x14ac:dyDescent="0.25">
      <c r="B1350" s="23"/>
      <c r="E1350" s="23"/>
      <c r="G1350" s="23"/>
      <c r="H1350" s="23"/>
      <c r="J1350" s="23"/>
      <c r="K1350" s="23"/>
      <c r="M1350" s="23"/>
      <c r="N1350" s="23"/>
      <c r="P1350" s="23"/>
    </row>
    <row r="1351" spans="2:16" x14ac:dyDescent="0.25">
      <c r="B1351" s="23"/>
      <c r="E1351" s="23"/>
      <c r="G1351" s="23"/>
      <c r="H1351" s="23"/>
      <c r="J1351" s="23"/>
      <c r="K1351" s="23"/>
      <c r="M1351" s="23"/>
      <c r="N1351" s="23"/>
      <c r="P1351" s="23"/>
    </row>
    <row r="1352" spans="2:16" x14ac:dyDescent="0.25">
      <c r="B1352" s="23"/>
      <c r="E1352" s="23"/>
      <c r="G1352" s="23"/>
      <c r="H1352" s="23"/>
      <c r="J1352" s="23"/>
      <c r="K1352" s="23"/>
      <c r="M1352" s="23"/>
      <c r="N1352" s="23"/>
      <c r="P1352" s="23"/>
    </row>
    <row r="1353" spans="2:16" x14ac:dyDescent="0.25">
      <c r="B1353" s="23"/>
      <c r="E1353" s="23"/>
      <c r="G1353" s="23"/>
      <c r="H1353" s="23"/>
      <c r="J1353" s="23"/>
      <c r="K1353" s="23"/>
      <c r="M1353" s="23"/>
      <c r="N1353" s="23"/>
      <c r="P1353" s="23"/>
    </row>
    <row r="1354" spans="2:16" x14ac:dyDescent="0.25">
      <c r="B1354" s="23"/>
      <c r="E1354" s="23"/>
      <c r="G1354" s="23"/>
      <c r="H1354" s="23"/>
      <c r="J1354" s="23"/>
      <c r="K1354" s="23"/>
      <c r="M1354" s="23"/>
      <c r="N1354" s="23"/>
      <c r="P1354" s="23"/>
    </row>
    <row r="1355" spans="2:16" x14ac:dyDescent="0.25">
      <c r="B1355" s="23"/>
      <c r="E1355" s="23"/>
      <c r="G1355" s="23"/>
      <c r="H1355" s="23"/>
      <c r="J1355" s="23"/>
      <c r="K1355" s="23"/>
      <c r="M1355" s="23"/>
      <c r="N1355" s="23"/>
      <c r="P1355" s="23"/>
    </row>
    <row r="1356" spans="2:16" x14ac:dyDescent="0.25">
      <c r="B1356" s="23"/>
      <c r="E1356" s="23"/>
      <c r="G1356" s="23"/>
      <c r="H1356" s="23"/>
      <c r="J1356" s="23"/>
      <c r="K1356" s="23"/>
      <c r="M1356" s="23"/>
      <c r="N1356" s="23"/>
      <c r="P1356" s="23"/>
    </row>
    <row r="1357" spans="2:16" x14ac:dyDescent="0.25">
      <c r="B1357" s="23"/>
      <c r="E1357" s="23"/>
      <c r="G1357" s="23"/>
      <c r="H1357" s="23"/>
      <c r="J1357" s="23"/>
      <c r="K1357" s="23"/>
      <c r="M1357" s="23"/>
      <c r="N1357" s="23"/>
      <c r="P1357" s="23"/>
    </row>
    <row r="1358" spans="2:16" x14ac:dyDescent="0.25">
      <c r="B1358" s="23"/>
      <c r="E1358" s="23"/>
      <c r="G1358" s="23"/>
      <c r="H1358" s="23"/>
      <c r="J1358" s="23"/>
      <c r="K1358" s="23"/>
      <c r="M1358" s="23"/>
      <c r="N1358" s="23"/>
      <c r="P1358" s="23"/>
    </row>
    <row r="1359" spans="2:16" x14ac:dyDescent="0.25">
      <c r="B1359" s="23"/>
      <c r="E1359" s="23"/>
      <c r="G1359" s="23"/>
      <c r="H1359" s="23"/>
      <c r="J1359" s="23"/>
      <c r="K1359" s="23"/>
      <c r="M1359" s="23"/>
      <c r="N1359" s="23"/>
      <c r="P1359" s="23"/>
    </row>
    <row r="1360" spans="2:16" x14ac:dyDescent="0.25">
      <c r="B1360" s="23"/>
      <c r="E1360" s="23"/>
      <c r="G1360" s="23"/>
      <c r="H1360" s="23"/>
      <c r="J1360" s="23"/>
      <c r="K1360" s="23"/>
      <c r="M1360" s="23"/>
      <c r="N1360" s="23"/>
      <c r="P1360" s="23"/>
    </row>
    <row r="1361" spans="2:16" x14ac:dyDescent="0.25">
      <c r="B1361" s="23"/>
      <c r="E1361" s="23"/>
      <c r="G1361" s="23"/>
      <c r="H1361" s="23"/>
      <c r="J1361" s="23"/>
      <c r="K1361" s="23"/>
      <c r="M1361" s="23"/>
      <c r="N1361" s="23"/>
      <c r="P1361" s="23"/>
    </row>
    <row r="1362" spans="2:16" x14ac:dyDescent="0.25">
      <c r="B1362" s="23"/>
      <c r="E1362" s="23"/>
      <c r="G1362" s="23"/>
      <c r="H1362" s="23"/>
      <c r="J1362" s="23"/>
      <c r="K1362" s="23"/>
      <c r="M1362" s="23"/>
      <c r="N1362" s="23"/>
      <c r="P1362" s="23"/>
    </row>
    <row r="1363" spans="2:16" x14ac:dyDescent="0.25">
      <c r="B1363" s="23"/>
      <c r="E1363" s="23"/>
      <c r="G1363" s="23"/>
      <c r="H1363" s="23"/>
      <c r="J1363" s="23"/>
      <c r="K1363" s="23"/>
      <c r="M1363" s="23"/>
      <c r="N1363" s="23"/>
      <c r="P1363" s="23"/>
    </row>
    <row r="1364" spans="2:16" x14ac:dyDescent="0.25">
      <c r="B1364" s="23"/>
      <c r="E1364" s="23"/>
      <c r="G1364" s="23"/>
      <c r="H1364" s="23"/>
      <c r="J1364" s="23"/>
      <c r="K1364" s="23"/>
      <c r="M1364" s="23"/>
      <c r="N1364" s="23"/>
      <c r="P1364" s="23"/>
    </row>
    <row r="1365" spans="2:16" x14ac:dyDescent="0.25">
      <c r="B1365" s="23"/>
      <c r="E1365" s="23"/>
      <c r="G1365" s="23"/>
      <c r="H1365" s="23"/>
      <c r="J1365" s="23"/>
      <c r="K1365" s="23"/>
      <c r="M1365" s="23"/>
      <c r="N1365" s="23"/>
      <c r="P1365" s="23"/>
    </row>
    <row r="1366" spans="2:16" x14ac:dyDescent="0.25">
      <c r="B1366" s="23"/>
      <c r="E1366" s="23"/>
      <c r="G1366" s="23"/>
      <c r="H1366" s="23"/>
      <c r="J1366" s="23"/>
      <c r="K1366" s="23"/>
      <c r="M1366" s="23"/>
      <c r="N1366" s="23"/>
      <c r="P1366" s="23"/>
    </row>
    <row r="1367" spans="2:16" x14ac:dyDescent="0.25">
      <c r="B1367" s="23"/>
      <c r="E1367" s="23"/>
      <c r="G1367" s="23"/>
      <c r="H1367" s="23"/>
      <c r="J1367" s="23"/>
      <c r="K1367" s="23"/>
      <c r="M1367" s="23"/>
      <c r="N1367" s="23"/>
      <c r="P1367" s="23"/>
    </row>
    <row r="1368" spans="2:16" x14ac:dyDescent="0.25">
      <c r="B1368" s="23"/>
      <c r="E1368" s="23"/>
      <c r="G1368" s="23"/>
      <c r="H1368" s="23"/>
      <c r="J1368" s="23"/>
      <c r="K1368" s="23"/>
      <c r="M1368" s="23"/>
      <c r="N1368" s="23"/>
      <c r="P1368" s="23"/>
    </row>
    <row r="1369" spans="2:16" x14ac:dyDescent="0.25">
      <c r="B1369" s="23"/>
      <c r="E1369" s="23"/>
      <c r="G1369" s="23"/>
      <c r="H1369" s="23"/>
      <c r="J1369" s="23"/>
      <c r="K1369" s="23"/>
      <c r="M1369" s="23"/>
      <c r="N1369" s="23"/>
      <c r="P1369" s="23"/>
    </row>
    <row r="1370" spans="2:16" x14ac:dyDescent="0.25">
      <c r="B1370" s="23"/>
      <c r="E1370" s="23"/>
      <c r="G1370" s="23"/>
      <c r="H1370" s="23"/>
      <c r="J1370" s="23"/>
      <c r="K1370" s="23"/>
      <c r="M1370" s="23"/>
      <c r="N1370" s="23"/>
      <c r="P1370" s="23"/>
    </row>
    <row r="1371" spans="2:16" x14ac:dyDescent="0.25">
      <c r="B1371" s="23"/>
      <c r="E1371" s="23"/>
      <c r="G1371" s="23"/>
      <c r="H1371" s="23"/>
      <c r="J1371" s="23"/>
      <c r="K1371" s="23"/>
      <c r="M1371" s="23"/>
      <c r="N1371" s="23"/>
      <c r="P1371" s="23"/>
    </row>
    <row r="1372" spans="2:16" x14ac:dyDescent="0.25">
      <c r="B1372" s="23"/>
      <c r="E1372" s="23"/>
      <c r="G1372" s="23"/>
      <c r="H1372" s="23"/>
      <c r="J1372" s="23"/>
      <c r="K1372" s="23"/>
      <c r="M1372" s="23"/>
      <c r="N1372" s="23"/>
      <c r="P1372" s="23"/>
    </row>
    <row r="1373" spans="2:16" x14ac:dyDescent="0.25">
      <c r="B1373" s="23"/>
      <c r="E1373" s="23"/>
      <c r="G1373" s="23"/>
      <c r="H1373" s="23"/>
      <c r="J1373" s="23"/>
      <c r="K1373" s="23"/>
      <c r="M1373" s="23"/>
      <c r="N1373" s="23"/>
      <c r="P1373" s="23"/>
    </row>
    <row r="1374" spans="2:16" x14ac:dyDescent="0.25">
      <c r="B1374" s="23"/>
      <c r="E1374" s="23"/>
      <c r="G1374" s="23"/>
      <c r="H1374" s="23"/>
      <c r="J1374" s="23"/>
      <c r="K1374" s="23"/>
      <c r="M1374" s="23"/>
      <c r="N1374" s="23"/>
      <c r="P1374" s="23"/>
    </row>
    <row r="1375" spans="2:16" x14ac:dyDescent="0.25">
      <c r="B1375" s="23"/>
      <c r="E1375" s="23"/>
      <c r="G1375" s="23"/>
      <c r="H1375" s="23"/>
      <c r="J1375" s="23"/>
      <c r="K1375" s="23"/>
      <c r="M1375" s="23"/>
      <c r="N1375" s="23"/>
      <c r="P1375" s="23"/>
    </row>
    <row r="1376" spans="2:16" x14ac:dyDescent="0.25">
      <c r="B1376" s="23"/>
      <c r="E1376" s="23"/>
      <c r="G1376" s="23"/>
      <c r="H1376" s="23"/>
      <c r="J1376" s="23"/>
      <c r="K1376" s="23"/>
      <c r="M1376" s="23"/>
      <c r="N1376" s="23"/>
      <c r="P1376" s="23"/>
    </row>
    <row r="1377" spans="2:16" x14ac:dyDescent="0.25">
      <c r="B1377" s="23"/>
      <c r="E1377" s="23"/>
      <c r="G1377" s="23"/>
      <c r="H1377" s="23"/>
      <c r="J1377" s="23"/>
      <c r="K1377" s="23"/>
      <c r="M1377" s="23"/>
      <c r="N1377" s="23"/>
      <c r="P1377" s="23"/>
    </row>
    <row r="1378" spans="2:16" x14ac:dyDescent="0.25">
      <c r="B1378" s="23"/>
      <c r="E1378" s="23"/>
      <c r="G1378" s="23"/>
      <c r="H1378" s="23"/>
      <c r="J1378" s="23"/>
      <c r="K1378" s="23"/>
      <c r="M1378" s="23"/>
      <c r="N1378" s="23"/>
      <c r="P1378" s="23"/>
    </row>
    <row r="1379" spans="2:16" x14ac:dyDescent="0.25">
      <c r="B1379" s="23"/>
      <c r="E1379" s="23"/>
      <c r="G1379" s="23"/>
      <c r="H1379" s="23"/>
      <c r="J1379" s="23"/>
      <c r="K1379" s="23"/>
      <c r="M1379" s="23"/>
      <c r="N1379" s="23"/>
      <c r="P1379" s="23"/>
    </row>
    <row r="1380" spans="2:16" x14ac:dyDescent="0.25">
      <c r="B1380" s="23"/>
      <c r="E1380" s="23"/>
      <c r="G1380" s="23"/>
      <c r="H1380" s="23"/>
      <c r="J1380" s="23"/>
      <c r="K1380" s="23"/>
      <c r="M1380" s="23"/>
      <c r="N1380" s="23"/>
      <c r="P1380" s="23"/>
    </row>
    <row r="1381" spans="2:16" x14ac:dyDescent="0.25">
      <c r="B1381" s="23"/>
      <c r="E1381" s="23"/>
      <c r="G1381" s="23"/>
      <c r="H1381" s="23"/>
      <c r="J1381" s="23"/>
      <c r="K1381" s="23"/>
      <c r="M1381" s="23"/>
      <c r="N1381" s="23"/>
      <c r="P1381" s="23"/>
    </row>
    <row r="1382" spans="2:16" x14ac:dyDescent="0.25">
      <c r="B1382" s="23"/>
      <c r="E1382" s="23"/>
      <c r="G1382" s="23"/>
      <c r="H1382" s="23"/>
      <c r="J1382" s="23"/>
      <c r="K1382" s="23"/>
      <c r="M1382" s="23"/>
      <c r="N1382" s="23"/>
      <c r="P1382" s="23"/>
    </row>
    <row r="1383" spans="2:16" x14ac:dyDescent="0.25">
      <c r="B1383" s="23"/>
      <c r="E1383" s="23"/>
      <c r="G1383" s="23"/>
      <c r="H1383" s="23"/>
      <c r="J1383" s="23"/>
      <c r="K1383" s="23"/>
      <c r="M1383" s="23"/>
      <c r="N1383" s="23"/>
      <c r="P1383" s="23"/>
    </row>
    <row r="1384" spans="2:16" x14ac:dyDescent="0.25">
      <c r="B1384" s="23"/>
      <c r="E1384" s="23"/>
      <c r="G1384" s="23"/>
      <c r="H1384" s="23"/>
      <c r="J1384" s="23"/>
      <c r="K1384" s="23"/>
      <c r="M1384" s="23"/>
      <c r="N1384" s="23"/>
      <c r="P1384" s="23"/>
    </row>
    <row r="1385" spans="2:16" x14ac:dyDescent="0.25">
      <c r="B1385" s="23"/>
      <c r="E1385" s="23"/>
      <c r="G1385" s="23"/>
      <c r="H1385" s="23"/>
      <c r="J1385" s="23"/>
      <c r="K1385" s="23"/>
      <c r="M1385" s="23"/>
      <c r="N1385" s="23"/>
      <c r="P1385" s="23"/>
    </row>
    <row r="1386" spans="2:16" x14ac:dyDescent="0.25">
      <c r="B1386" s="23"/>
      <c r="E1386" s="23"/>
      <c r="G1386" s="23"/>
      <c r="H1386" s="23"/>
      <c r="J1386" s="23"/>
      <c r="K1386" s="23"/>
      <c r="M1386" s="23"/>
      <c r="N1386" s="23"/>
      <c r="P1386" s="23"/>
    </row>
    <row r="1387" spans="2:16" x14ac:dyDescent="0.25">
      <c r="B1387" s="23"/>
      <c r="E1387" s="23"/>
      <c r="G1387" s="23"/>
      <c r="H1387" s="23"/>
      <c r="J1387" s="23"/>
      <c r="K1387" s="23"/>
      <c r="M1387" s="23"/>
      <c r="N1387" s="23"/>
      <c r="P1387" s="23"/>
    </row>
    <row r="1388" spans="2:16" x14ac:dyDescent="0.25">
      <c r="B1388" s="23"/>
      <c r="E1388" s="23"/>
      <c r="G1388" s="23"/>
      <c r="H1388" s="23"/>
      <c r="J1388" s="23"/>
      <c r="K1388" s="23"/>
      <c r="M1388" s="23"/>
      <c r="N1388" s="23"/>
      <c r="P1388" s="23"/>
    </row>
    <row r="1389" spans="2:16" x14ac:dyDescent="0.25">
      <c r="B1389" s="23"/>
      <c r="E1389" s="23"/>
      <c r="G1389" s="23"/>
      <c r="H1389" s="23"/>
      <c r="J1389" s="23"/>
      <c r="K1389" s="23"/>
      <c r="M1389" s="23"/>
      <c r="N1389" s="23"/>
      <c r="P1389" s="23"/>
    </row>
    <row r="1390" spans="2:16" x14ac:dyDescent="0.25">
      <c r="B1390" s="23"/>
      <c r="E1390" s="23"/>
      <c r="G1390" s="23"/>
      <c r="H1390" s="23"/>
      <c r="J1390" s="23"/>
      <c r="K1390" s="23"/>
      <c r="M1390" s="23"/>
      <c r="N1390" s="23"/>
      <c r="P1390" s="23"/>
    </row>
    <row r="1391" spans="2:16" x14ac:dyDescent="0.25">
      <c r="B1391" s="23"/>
      <c r="E1391" s="23"/>
      <c r="G1391" s="23"/>
      <c r="H1391" s="23"/>
      <c r="J1391" s="23"/>
      <c r="K1391" s="23"/>
      <c r="M1391" s="23"/>
      <c r="N1391" s="23"/>
      <c r="P1391" s="23"/>
    </row>
    <row r="1392" spans="2:16" x14ac:dyDescent="0.25">
      <c r="B1392" s="23"/>
      <c r="E1392" s="23"/>
      <c r="G1392" s="23"/>
      <c r="H1392" s="23"/>
      <c r="J1392" s="23"/>
      <c r="K1392" s="23"/>
      <c r="M1392" s="23"/>
      <c r="N1392" s="23"/>
      <c r="P1392" s="23"/>
    </row>
    <row r="1393" spans="2:16" x14ac:dyDescent="0.25">
      <c r="B1393" s="23"/>
      <c r="E1393" s="23"/>
      <c r="G1393" s="23"/>
      <c r="H1393" s="23"/>
      <c r="J1393" s="23"/>
      <c r="K1393" s="23"/>
      <c r="M1393" s="23"/>
      <c r="N1393" s="23"/>
      <c r="P1393" s="23"/>
    </row>
    <row r="1394" spans="2:16" x14ac:dyDescent="0.25">
      <c r="B1394" s="23"/>
      <c r="E1394" s="23"/>
      <c r="G1394" s="23"/>
      <c r="H1394" s="23"/>
      <c r="J1394" s="23"/>
      <c r="K1394" s="23"/>
      <c r="M1394" s="23"/>
      <c r="N1394" s="23"/>
      <c r="P1394" s="23"/>
    </row>
    <row r="1395" spans="2:16" x14ac:dyDescent="0.25">
      <c r="B1395" s="23"/>
      <c r="E1395" s="23"/>
      <c r="G1395" s="23"/>
      <c r="H1395" s="23"/>
      <c r="J1395" s="23"/>
      <c r="K1395" s="23"/>
      <c r="M1395" s="23"/>
      <c r="N1395" s="23"/>
      <c r="P1395" s="23"/>
    </row>
    <row r="1396" spans="2:16" x14ac:dyDescent="0.25">
      <c r="B1396" s="23"/>
      <c r="E1396" s="23"/>
      <c r="G1396" s="23"/>
      <c r="H1396" s="23"/>
      <c r="J1396" s="23"/>
      <c r="K1396" s="23"/>
      <c r="M1396" s="23"/>
      <c r="N1396" s="23"/>
      <c r="P1396" s="23"/>
    </row>
    <row r="1397" spans="2:16" x14ac:dyDescent="0.25">
      <c r="B1397" s="23"/>
      <c r="E1397" s="23"/>
      <c r="G1397" s="23"/>
      <c r="H1397" s="23"/>
      <c r="J1397" s="23"/>
      <c r="K1397" s="23"/>
      <c r="M1397" s="23"/>
      <c r="N1397" s="23"/>
      <c r="P1397" s="23"/>
    </row>
    <row r="1398" spans="2:16" x14ac:dyDescent="0.25">
      <c r="B1398" s="23"/>
      <c r="E1398" s="23"/>
      <c r="G1398" s="23"/>
      <c r="H1398" s="23"/>
      <c r="J1398" s="23"/>
      <c r="K1398" s="23"/>
      <c r="M1398" s="23"/>
      <c r="N1398" s="23"/>
      <c r="P1398" s="23"/>
    </row>
    <row r="1399" spans="2:16" x14ac:dyDescent="0.25">
      <c r="B1399" s="23"/>
      <c r="E1399" s="23"/>
      <c r="G1399" s="23"/>
      <c r="H1399" s="23"/>
      <c r="J1399" s="23"/>
      <c r="K1399" s="23"/>
      <c r="M1399" s="23"/>
      <c r="N1399" s="23"/>
      <c r="P1399" s="23"/>
    </row>
    <row r="1400" spans="2:16" x14ac:dyDescent="0.25">
      <c r="B1400" s="23"/>
      <c r="E1400" s="23"/>
      <c r="G1400" s="23"/>
      <c r="H1400" s="23"/>
      <c r="J1400" s="23"/>
      <c r="K1400" s="23"/>
      <c r="M1400" s="23"/>
      <c r="N1400" s="23"/>
      <c r="P1400" s="23"/>
    </row>
    <row r="1401" spans="2:16" x14ac:dyDescent="0.25">
      <c r="B1401" s="23"/>
      <c r="E1401" s="23"/>
      <c r="G1401" s="23"/>
      <c r="H1401" s="23"/>
      <c r="J1401" s="23"/>
      <c r="K1401" s="23"/>
      <c r="M1401" s="23"/>
      <c r="N1401" s="23"/>
      <c r="P1401" s="23"/>
    </row>
    <row r="1402" spans="2:16" x14ac:dyDescent="0.25">
      <c r="B1402" s="23"/>
      <c r="E1402" s="23"/>
      <c r="G1402" s="23"/>
      <c r="H1402" s="23"/>
      <c r="J1402" s="23"/>
      <c r="K1402" s="23"/>
      <c r="M1402" s="23"/>
      <c r="N1402" s="23"/>
      <c r="P1402" s="23"/>
    </row>
    <row r="1403" spans="2:16" x14ac:dyDescent="0.25">
      <c r="B1403" s="23"/>
      <c r="E1403" s="23"/>
      <c r="G1403" s="23"/>
      <c r="H1403" s="23"/>
      <c r="J1403" s="23"/>
      <c r="K1403" s="23"/>
      <c r="M1403" s="23"/>
      <c r="N1403" s="23"/>
      <c r="P1403" s="23"/>
    </row>
    <row r="1404" spans="2:16" x14ac:dyDescent="0.25">
      <c r="B1404" s="23"/>
      <c r="E1404" s="23"/>
      <c r="G1404" s="23"/>
      <c r="H1404" s="23"/>
      <c r="J1404" s="23"/>
      <c r="K1404" s="23"/>
      <c r="M1404" s="23"/>
      <c r="N1404" s="23"/>
      <c r="P1404" s="23"/>
    </row>
    <row r="1405" spans="2:16" x14ac:dyDescent="0.25">
      <c r="B1405" s="23"/>
      <c r="E1405" s="23"/>
      <c r="G1405" s="23"/>
      <c r="H1405" s="23"/>
      <c r="J1405" s="23"/>
      <c r="K1405" s="23"/>
      <c r="M1405" s="23"/>
      <c r="N1405" s="23"/>
      <c r="P1405" s="23"/>
    </row>
    <row r="1406" spans="2:16" x14ac:dyDescent="0.25">
      <c r="B1406" s="23"/>
      <c r="E1406" s="23"/>
      <c r="G1406" s="23"/>
      <c r="H1406" s="23"/>
      <c r="J1406" s="23"/>
      <c r="K1406" s="23"/>
      <c r="M1406" s="23"/>
      <c r="N1406" s="23"/>
      <c r="P1406" s="23"/>
    </row>
    <row r="1407" spans="2:16" x14ac:dyDescent="0.25">
      <c r="B1407" s="23"/>
      <c r="E1407" s="23"/>
      <c r="G1407" s="23"/>
      <c r="H1407" s="23"/>
      <c r="J1407" s="23"/>
      <c r="K1407" s="23"/>
      <c r="M1407" s="23"/>
      <c r="N1407" s="23"/>
      <c r="P1407" s="23"/>
    </row>
    <row r="1408" spans="2:16" x14ac:dyDescent="0.25">
      <c r="B1408" s="23"/>
      <c r="E1408" s="23"/>
      <c r="G1408" s="23"/>
      <c r="H1408" s="23"/>
      <c r="J1408" s="23"/>
      <c r="K1408" s="23"/>
      <c r="M1408" s="23"/>
      <c r="N1408" s="23"/>
      <c r="P1408" s="23"/>
    </row>
    <row r="1409" spans="2:16" x14ac:dyDescent="0.25">
      <c r="B1409" s="23"/>
      <c r="E1409" s="23"/>
      <c r="G1409" s="23"/>
      <c r="H1409" s="23"/>
      <c r="J1409" s="23"/>
      <c r="K1409" s="23"/>
      <c r="M1409" s="23"/>
      <c r="N1409" s="23"/>
      <c r="P1409" s="23"/>
    </row>
    <row r="1410" spans="2:16" x14ac:dyDescent="0.25">
      <c r="B1410" s="23"/>
      <c r="E1410" s="23"/>
      <c r="G1410" s="23"/>
      <c r="H1410" s="23"/>
      <c r="J1410" s="23"/>
      <c r="K1410" s="23"/>
      <c r="M1410" s="23"/>
      <c r="N1410" s="23"/>
      <c r="P1410" s="23"/>
    </row>
    <row r="1411" spans="2:16" x14ac:dyDescent="0.25">
      <c r="B1411" s="23"/>
      <c r="E1411" s="23"/>
      <c r="G1411" s="23"/>
      <c r="H1411" s="23"/>
      <c r="J1411" s="23"/>
      <c r="K1411" s="23"/>
      <c r="M1411" s="23"/>
      <c r="N1411" s="23"/>
      <c r="P1411" s="23"/>
    </row>
    <row r="1412" spans="2:16" x14ac:dyDescent="0.25">
      <c r="B1412" s="23"/>
      <c r="E1412" s="23"/>
      <c r="G1412" s="23"/>
      <c r="H1412" s="23"/>
      <c r="J1412" s="23"/>
      <c r="K1412" s="23"/>
      <c r="M1412" s="23"/>
      <c r="N1412" s="23"/>
      <c r="P1412" s="23"/>
    </row>
    <row r="1413" spans="2:16" x14ac:dyDescent="0.25">
      <c r="B1413" s="23"/>
      <c r="E1413" s="23"/>
      <c r="G1413" s="23"/>
      <c r="H1413" s="23"/>
      <c r="J1413" s="23"/>
      <c r="K1413" s="23"/>
      <c r="M1413" s="23"/>
      <c r="N1413" s="23"/>
      <c r="P1413" s="23"/>
    </row>
    <row r="1414" spans="2:16" x14ac:dyDescent="0.25">
      <c r="B1414" s="23"/>
      <c r="E1414" s="23"/>
      <c r="G1414" s="23"/>
      <c r="H1414" s="23"/>
      <c r="J1414" s="23"/>
      <c r="K1414" s="23"/>
      <c r="M1414" s="23"/>
      <c r="N1414" s="23"/>
      <c r="P1414" s="23"/>
    </row>
    <row r="1415" spans="2:16" x14ac:dyDescent="0.25">
      <c r="B1415" s="23"/>
      <c r="E1415" s="23"/>
      <c r="G1415" s="23"/>
      <c r="H1415" s="23"/>
      <c r="J1415" s="23"/>
      <c r="K1415" s="23"/>
      <c r="M1415" s="23"/>
      <c r="N1415" s="23"/>
      <c r="P1415" s="23"/>
    </row>
    <row r="1416" spans="2:16" x14ac:dyDescent="0.25">
      <c r="B1416" s="23"/>
      <c r="E1416" s="23"/>
      <c r="G1416" s="23"/>
      <c r="H1416" s="23"/>
      <c r="J1416" s="23"/>
      <c r="K1416" s="23"/>
      <c r="M1416" s="23"/>
      <c r="N1416" s="23"/>
      <c r="P1416" s="23"/>
    </row>
    <row r="1417" spans="2:16" x14ac:dyDescent="0.25">
      <c r="B1417" s="23"/>
      <c r="E1417" s="23"/>
      <c r="G1417" s="23"/>
      <c r="H1417" s="23"/>
      <c r="J1417" s="23"/>
      <c r="K1417" s="23"/>
      <c r="M1417" s="23"/>
      <c r="N1417" s="23"/>
      <c r="P1417" s="23"/>
    </row>
    <row r="1418" spans="2:16" x14ac:dyDescent="0.25">
      <c r="B1418" s="23"/>
      <c r="E1418" s="23"/>
      <c r="G1418" s="23"/>
      <c r="H1418" s="23"/>
      <c r="J1418" s="23"/>
      <c r="K1418" s="23"/>
      <c r="M1418" s="23"/>
      <c r="N1418" s="23"/>
      <c r="P1418" s="23"/>
    </row>
    <row r="1419" spans="2:16" x14ac:dyDescent="0.25">
      <c r="B1419" s="23"/>
      <c r="E1419" s="23"/>
      <c r="G1419" s="23"/>
      <c r="H1419" s="23"/>
      <c r="J1419" s="23"/>
      <c r="K1419" s="23"/>
      <c r="M1419" s="23"/>
      <c r="N1419" s="23"/>
      <c r="P1419" s="23"/>
    </row>
    <row r="1420" spans="2:16" x14ac:dyDescent="0.25">
      <c r="B1420" s="23"/>
      <c r="E1420" s="23"/>
      <c r="G1420" s="23"/>
      <c r="H1420" s="23"/>
      <c r="J1420" s="23"/>
      <c r="K1420" s="23"/>
      <c r="M1420" s="23"/>
      <c r="N1420" s="23"/>
      <c r="P1420" s="23"/>
    </row>
    <row r="1421" spans="2:16" x14ac:dyDescent="0.25">
      <c r="B1421" s="23"/>
      <c r="E1421" s="23"/>
      <c r="G1421" s="23"/>
      <c r="H1421" s="23"/>
      <c r="J1421" s="23"/>
      <c r="K1421" s="23"/>
      <c r="M1421" s="23"/>
      <c r="N1421" s="23"/>
      <c r="P1421" s="23"/>
    </row>
    <row r="1422" spans="2:16" x14ac:dyDescent="0.25">
      <c r="B1422" s="23"/>
      <c r="E1422" s="23"/>
      <c r="G1422" s="23"/>
      <c r="H1422" s="23"/>
      <c r="J1422" s="23"/>
      <c r="K1422" s="23"/>
      <c r="M1422" s="23"/>
      <c r="N1422" s="23"/>
      <c r="P1422" s="23"/>
    </row>
    <row r="1423" spans="2:16" x14ac:dyDescent="0.25">
      <c r="B1423" s="23"/>
      <c r="E1423" s="23"/>
      <c r="G1423" s="23"/>
      <c r="H1423" s="23"/>
      <c r="J1423" s="23"/>
      <c r="K1423" s="23"/>
      <c r="M1423" s="23"/>
      <c r="N1423" s="23"/>
      <c r="P1423" s="23"/>
    </row>
    <row r="1424" spans="2:16" x14ac:dyDescent="0.25">
      <c r="B1424" s="23"/>
      <c r="E1424" s="23"/>
      <c r="G1424" s="23"/>
      <c r="H1424" s="23"/>
      <c r="J1424" s="23"/>
      <c r="K1424" s="23"/>
      <c r="M1424" s="23"/>
      <c r="N1424" s="23"/>
      <c r="P1424" s="23"/>
    </row>
    <row r="1425" spans="2:16" x14ac:dyDescent="0.25">
      <c r="B1425" s="23"/>
      <c r="E1425" s="23"/>
      <c r="G1425" s="23"/>
      <c r="H1425" s="23"/>
      <c r="J1425" s="23"/>
      <c r="K1425" s="23"/>
      <c r="M1425" s="23"/>
      <c r="N1425" s="23"/>
      <c r="P1425" s="23"/>
    </row>
    <row r="1426" spans="2:16" x14ac:dyDescent="0.25">
      <c r="B1426" s="23"/>
      <c r="E1426" s="23"/>
      <c r="G1426" s="23"/>
      <c r="H1426" s="23"/>
      <c r="J1426" s="23"/>
      <c r="K1426" s="23"/>
      <c r="M1426" s="23"/>
      <c r="N1426" s="23"/>
      <c r="P1426" s="23"/>
    </row>
    <row r="1427" spans="2:16" x14ac:dyDescent="0.25">
      <c r="B1427" s="23"/>
      <c r="E1427" s="23"/>
      <c r="G1427" s="23"/>
      <c r="H1427" s="23"/>
      <c r="J1427" s="23"/>
      <c r="K1427" s="23"/>
      <c r="M1427" s="23"/>
      <c r="N1427" s="23"/>
      <c r="P1427" s="23"/>
    </row>
    <row r="1428" spans="2:16" x14ac:dyDescent="0.25">
      <c r="B1428" s="23"/>
      <c r="E1428" s="23"/>
      <c r="G1428" s="23"/>
      <c r="H1428" s="23"/>
      <c r="J1428" s="23"/>
      <c r="K1428" s="23"/>
      <c r="M1428" s="23"/>
      <c r="N1428" s="23"/>
      <c r="P1428" s="23"/>
    </row>
    <row r="1429" spans="2:16" x14ac:dyDescent="0.25">
      <c r="B1429" s="23"/>
      <c r="E1429" s="23"/>
      <c r="G1429" s="23"/>
      <c r="H1429" s="23"/>
      <c r="J1429" s="23"/>
      <c r="K1429" s="23"/>
      <c r="M1429" s="23"/>
      <c r="N1429" s="23"/>
      <c r="P1429" s="23"/>
    </row>
    <row r="1430" spans="2:16" x14ac:dyDescent="0.25">
      <c r="B1430" s="23"/>
      <c r="E1430" s="23"/>
      <c r="G1430" s="23"/>
      <c r="H1430" s="23"/>
      <c r="J1430" s="23"/>
      <c r="K1430" s="23"/>
      <c r="M1430" s="23"/>
      <c r="N1430" s="23"/>
      <c r="P1430" s="23"/>
    </row>
    <row r="1431" spans="2:16" x14ac:dyDescent="0.25">
      <c r="B1431" s="23"/>
      <c r="E1431" s="23"/>
      <c r="G1431" s="23"/>
      <c r="H1431" s="23"/>
      <c r="J1431" s="23"/>
      <c r="K1431" s="23"/>
      <c r="M1431" s="23"/>
      <c r="N1431" s="23"/>
      <c r="P1431" s="23"/>
    </row>
    <row r="1432" spans="2:16" x14ac:dyDescent="0.25">
      <c r="B1432" s="23"/>
      <c r="E1432" s="23"/>
      <c r="G1432" s="23"/>
      <c r="H1432" s="23"/>
      <c r="J1432" s="23"/>
      <c r="K1432" s="23"/>
      <c r="M1432" s="23"/>
      <c r="N1432" s="23"/>
      <c r="P1432" s="23"/>
    </row>
    <row r="1433" spans="2:16" x14ac:dyDescent="0.25">
      <c r="B1433" s="23"/>
      <c r="E1433" s="23"/>
      <c r="G1433" s="23"/>
      <c r="H1433" s="23"/>
      <c r="J1433" s="23"/>
      <c r="K1433" s="23"/>
      <c r="M1433" s="23"/>
      <c r="N1433" s="23"/>
      <c r="P1433" s="23"/>
    </row>
    <row r="1434" spans="2:16" x14ac:dyDescent="0.25">
      <c r="B1434" s="23"/>
      <c r="E1434" s="23"/>
      <c r="G1434" s="23"/>
      <c r="H1434" s="23"/>
      <c r="J1434" s="23"/>
      <c r="K1434" s="23"/>
      <c r="M1434" s="23"/>
      <c r="N1434" s="23"/>
      <c r="P1434" s="23"/>
    </row>
    <row r="1435" spans="2:16" x14ac:dyDescent="0.25">
      <c r="B1435" s="23"/>
      <c r="E1435" s="23"/>
      <c r="G1435" s="23"/>
      <c r="H1435" s="23"/>
      <c r="J1435" s="23"/>
      <c r="K1435" s="23"/>
      <c r="M1435" s="23"/>
      <c r="N1435" s="23"/>
      <c r="P1435" s="23"/>
    </row>
    <row r="1436" spans="2:16" x14ac:dyDescent="0.25">
      <c r="B1436" s="23"/>
      <c r="E1436" s="23"/>
      <c r="G1436" s="23"/>
      <c r="H1436" s="23"/>
      <c r="J1436" s="23"/>
      <c r="K1436" s="23"/>
      <c r="M1436" s="23"/>
      <c r="N1436" s="23"/>
      <c r="P1436" s="23"/>
    </row>
    <row r="1437" spans="2:16" x14ac:dyDescent="0.25">
      <c r="B1437" s="23"/>
      <c r="E1437" s="23"/>
      <c r="G1437" s="23"/>
      <c r="H1437" s="23"/>
      <c r="J1437" s="23"/>
      <c r="K1437" s="23"/>
      <c r="M1437" s="23"/>
      <c r="N1437" s="23"/>
      <c r="P1437" s="23"/>
    </row>
    <row r="1438" spans="2:16" x14ac:dyDescent="0.25">
      <c r="B1438" s="23"/>
      <c r="E1438" s="23"/>
      <c r="G1438" s="23"/>
      <c r="H1438" s="23"/>
      <c r="J1438" s="23"/>
      <c r="K1438" s="23"/>
      <c r="M1438" s="23"/>
      <c r="N1438" s="23"/>
      <c r="P1438" s="23"/>
    </row>
    <row r="1439" spans="2:16" x14ac:dyDescent="0.25">
      <c r="B1439" s="23"/>
      <c r="E1439" s="23"/>
      <c r="G1439" s="23"/>
      <c r="H1439" s="23"/>
      <c r="J1439" s="23"/>
      <c r="K1439" s="23"/>
      <c r="M1439" s="23"/>
      <c r="N1439" s="23"/>
      <c r="P1439" s="23"/>
    </row>
    <row r="1440" spans="2:16" x14ac:dyDescent="0.25">
      <c r="B1440" s="23"/>
      <c r="E1440" s="23"/>
      <c r="G1440" s="23"/>
      <c r="H1440" s="23"/>
      <c r="J1440" s="23"/>
      <c r="K1440" s="23"/>
      <c r="M1440" s="23"/>
      <c r="N1440" s="23"/>
      <c r="P1440" s="23"/>
    </row>
    <row r="1441" spans="2:16" x14ac:dyDescent="0.25">
      <c r="B1441" s="23"/>
      <c r="E1441" s="23"/>
      <c r="G1441" s="23"/>
      <c r="H1441" s="23"/>
      <c r="J1441" s="23"/>
      <c r="K1441" s="23"/>
      <c r="M1441" s="23"/>
      <c r="N1441" s="23"/>
      <c r="P1441" s="23"/>
    </row>
    <row r="1442" spans="2:16" x14ac:dyDescent="0.25">
      <c r="B1442" s="23"/>
      <c r="E1442" s="23"/>
      <c r="G1442" s="23"/>
      <c r="H1442" s="23"/>
      <c r="J1442" s="23"/>
      <c r="K1442" s="23"/>
      <c r="M1442" s="23"/>
      <c r="N1442" s="23"/>
      <c r="P1442" s="23"/>
    </row>
    <row r="1443" spans="2:16" x14ac:dyDescent="0.25">
      <c r="B1443" s="23"/>
      <c r="E1443" s="23"/>
      <c r="G1443" s="23"/>
      <c r="H1443" s="23"/>
      <c r="J1443" s="23"/>
      <c r="K1443" s="23"/>
      <c r="M1443" s="23"/>
      <c r="N1443" s="23"/>
      <c r="P1443" s="23"/>
    </row>
    <row r="1444" spans="2:16" x14ac:dyDescent="0.25">
      <c r="B1444" s="23"/>
      <c r="E1444" s="23"/>
      <c r="G1444" s="23"/>
      <c r="H1444" s="23"/>
      <c r="J1444" s="23"/>
      <c r="K1444" s="23"/>
      <c r="M1444" s="23"/>
      <c r="N1444" s="23"/>
      <c r="P1444" s="23"/>
    </row>
    <row r="1445" spans="2:16" x14ac:dyDescent="0.25">
      <c r="B1445" s="23"/>
      <c r="E1445" s="23"/>
      <c r="G1445" s="23"/>
      <c r="H1445" s="23"/>
      <c r="J1445" s="23"/>
      <c r="K1445" s="23"/>
      <c r="M1445" s="23"/>
      <c r="N1445" s="23"/>
      <c r="P1445" s="23"/>
    </row>
    <row r="1446" spans="2:16" x14ac:dyDescent="0.25">
      <c r="B1446" s="23"/>
      <c r="E1446" s="23"/>
      <c r="G1446" s="23"/>
      <c r="H1446" s="23"/>
      <c r="J1446" s="23"/>
      <c r="K1446" s="23"/>
      <c r="M1446" s="23"/>
      <c r="N1446" s="23"/>
      <c r="P1446" s="23"/>
    </row>
    <row r="1447" spans="2:16" x14ac:dyDescent="0.25">
      <c r="B1447" s="23"/>
      <c r="E1447" s="23"/>
      <c r="G1447" s="23"/>
      <c r="H1447" s="23"/>
      <c r="J1447" s="23"/>
      <c r="K1447" s="23"/>
      <c r="M1447" s="23"/>
      <c r="N1447" s="23"/>
      <c r="P1447" s="23"/>
    </row>
    <row r="1448" spans="2:16" x14ac:dyDescent="0.25">
      <c r="B1448" s="23"/>
      <c r="E1448" s="23"/>
      <c r="G1448" s="23"/>
      <c r="H1448" s="23"/>
      <c r="J1448" s="23"/>
      <c r="K1448" s="23"/>
      <c r="M1448" s="23"/>
      <c r="N1448" s="23"/>
      <c r="P1448" s="23"/>
    </row>
    <row r="1449" spans="2:16" x14ac:dyDescent="0.25">
      <c r="B1449" s="23"/>
      <c r="E1449" s="23"/>
      <c r="G1449" s="23"/>
      <c r="H1449" s="23"/>
      <c r="J1449" s="23"/>
      <c r="K1449" s="23"/>
      <c r="M1449" s="23"/>
      <c r="N1449" s="23"/>
      <c r="P1449" s="23"/>
    </row>
    <row r="1450" spans="2:16" x14ac:dyDescent="0.25">
      <c r="B1450" s="23"/>
      <c r="E1450" s="23"/>
      <c r="G1450" s="23"/>
      <c r="H1450" s="23"/>
      <c r="J1450" s="23"/>
      <c r="K1450" s="23"/>
      <c r="M1450" s="23"/>
      <c r="N1450" s="23"/>
      <c r="P1450" s="23"/>
    </row>
    <row r="1451" spans="2:16" x14ac:dyDescent="0.25">
      <c r="B1451" s="23"/>
      <c r="E1451" s="23"/>
      <c r="G1451" s="23"/>
      <c r="H1451" s="23"/>
      <c r="J1451" s="23"/>
      <c r="K1451" s="23"/>
      <c r="M1451" s="23"/>
      <c r="N1451" s="23"/>
      <c r="P1451" s="23"/>
    </row>
    <row r="1452" spans="2:16" x14ac:dyDescent="0.25">
      <c r="B1452" s="23"/>
      <c r="E1452" s="23"/>
      <c r="G1452" s="23"/>
      <c r="H1452" s="23"/>
      <c r="J1452" s="23"/>
      <c r="K1452" s="23"/>
      <c r="M1452" s="23"/>
      <c r="N1452" s="23"/>
      <c r="P1452" s="23"/>
    </row>
    <row r="1453" spans="2:16" x14ac:dyDescent="0.25">
      <c r="B1453" s="23"/>
      <c r="E1453" s="23"/>
      <c r="G1453" s="23"/>
      <c r="H1453" s="23"/>
      <c r="J1453" s="23"/>
      <c r="K1453" s="23"/>
      <c r="M1453" s="23"/>
      <c r="N1453" s="23"/>
      <c r="P1453" s="23"/>
    </row>
    <row r="1454" spans="2:16" x14ac:dyDescent="0.25">
      <c r="B1454" s="23"/>
      <c r="E1454" s="23"/>
      <c r="G1454" s="23"/>
      <c r="H1454" s="23"/>
      <c r="J1454" s="23"/>
      <c r="K1454" s="23"/>
      <c r="M1454" s="23"/>
      <c r="N1454" s="23"/>
      <c r="P1454" s="23"/>
    </row>
    <row r="1455" spans="2:16" x14ac:dyDescent="0.25">
      <c r="B1455" s="23"/>
      <c r="E1455" s="23"/>
      <c r="G1455" s="23"/>
      <c r="H1455" s="23"/>
      <c r="J1455" s="23"/>
      <c r="K1455" s="23"/>
      <c r="M1455" s="23"/>
      <c r="N1455" s="23"/>
      <c r="P1455" s="23"/>
    </row>
    <row r="1456" spans="2:16" x14ac:dyDescent="0.25">
      <c r="B1456" s="23"/>
      <c r="E1456" s="23"/>
      <c r="G1456" s="23"/>
      <c r="H1456" s="23"/>
      <c r="J1456" s="23"/>
      <c r="K1456" s="23"/>
      <c r="M1456" s="23"/>
      <c r="N1456" s="23"/>
      <c r="P1456" s="23"/>
    </row>
    <row r="1457" spans="2:16" x14ac:dyDescent="0.25">
      <c r="B1457" s="23"/>
      <c r="E1457" s="23"/>
      <c r="G1457" s="23"/>
      <c r="H1457" s="23"/>
      <c r="J1457" s="23"/>
      <c r="K1457" s="23"/>
      <c r="M1457" s="23"/>
      <c r="N1457" s="23"/>
      <c r="P1457" s="23"/>
    </row>
    <row r="1458" spans="2:16" x14ac:dyDescent="0.25">
      <c r="B1458" s="23"/>
      <c r="E1458" s="23"/>
      <c r="G1458" s="23"/>
      <c r="H1458" s="23"/>
      <c r="J1458" s="23"/>
      <c r="K1458" s="23"/>
      <c r="M1458" s="23"/>
      <c r="N1458" s="23"/>
      <c r="P1458" s="23"/>
    </row>
    <row r="1459" spans="2:16" x14ac:dyDescent="0.25">
      <c r="B1459" s="23"/>
      <c r="E1459" s="23"/>
      <c r="G1459" s="23"/>
      <c r="H1459" s="23"/>
      <c r="J1459" s="23"/>
      <c r="K1459" s="23"/>
      <c r="M1459" s="23"/>
      <c r="N1459" s="23"/>
      <c r="P1459" s="23"/>
    </row>
    <row r="1460" spans="2:16" x14ac:dyDescent="0.25">
      <c r="B1460" s="23"/>
      <c r="E1460" s="23"/>
      <c r="G1460" s="23"/>
      <c r="H1460" s="23"/>
      <c r="J1460" s="23"/>
      <c r="K1460" s="23"/>
      <c r="M1460" s="23"/>
      <c r="N1460" s="23"/>
      <c r="P1460" s="23"/>
    </row>
    <row r="1461" spans="2:16" x14ac:dyDescent="0.25">
      <c r="B1461" s="23"/>
      <c r="E1461" s="23"/>
      <c r="G1461" s="23"/>
      <c r="H1461" s="23"/>
      <c r="J1461" s="23"/>
      <c r="K1461" s="23"/>
      <c r="M1461" s="23"/>
      <c r="N1461" s="23"/>
      <c r="P1461" s="23"/>
    </row>
    <row r="1462" spans="2:16" x14ac:dyDescent="0.25">
      <c r="B1462" s="23"/>
      <c r="E1462" s="23"/>
      <c r="G1462" s="23"/>
      <c r="H1462" s="23"/>
      <c r="J1462" s="23"/>
      <c r="K1462" s="23"/>
      <c r="M1462" s="23"/>
      <c r="N1462" s="23"/>
      <c r="P1462" s="23"/>
    </row>
    <row r="1463" spans="2:16" x14ac:dyDescent="0.25">
      <c r="B1463" s="23"/>
      <c r="E1463" s="23"/>
      <c r="G1463" s="23"/>
      <c r="H1463" s="23"/>
      <c r="J1463" s="23"/>
      <c r="K1463" s="23"/>
      <c r="M1463" s="23"/>
      <c r="N1463" s="23"/>
      <c r="P1463" s="23"/>
    </row>
    <row r="1464" spans="2:16" x14ac:dyDescent="0.25">
      <c r="B1464" s="23"/>
      <c r="E1464" s="23"/>
      <c r="G1464" s="23"/>
      <c r="H1464" s="23"/>
      <c r="J1464" s="23"/>
      <c r="K1464" s="23"/>
      <c r="M1464" s="23"/>
      <c r="N1464" s="23"/>
      <c r="P1464" s="23"/>
    </row>
    <row r="1465" spans="2:16" x14ac:dyDescent="0.25">
      <c r="B1465" s="23"/>
      <c r="E1465" s="23"/>
      <c r="G1465" s="23"/>
      <c r="H1465" s="23"/>
      <c r="J1465" s="23"/>
      <c r="K1465" s="23"/>
      <c r="M1465" s="23"/>
      <c r="N1465" s="23"/>
      <c r="P1465" s="23"/>
    </row>
    <row r="1466" spans="2:16" x14ac:dyDescent="0.25">
      <c r="B1466" s="23"/>
      <c r="E1466" s="23"/>
      <c r="G1466" s="23"/>
      <c r="H1466" s="23"/>
      <c r="J1466" s="23"/>
      <c r="K1466" s="23"/>
      <c r="M1466" s="23"/>
      <c r="N1466" s="23"/>
      <c r="P1466" s="23"/>
    </row>
    <row r="1467" spans="2:16" x14ac:dyDescent="0.25">
      <c r="B1467" s="23"/>
      <c r="E1467" s="23"/>
      <c r="G1467" s="23"/>
      <c r="H1467" s="23"/>
      <c r="J1467" s="23"/>
      <c r="K1467" s="23"/>
      <c r="M1467" s="23"/>
      <c r="N1467" s="23"/>
      <c r="P1467" s="23"/>
    </row>
    <row r="1468" spans="2:16" x14ac:dyDescent="0.25">
      <c r="B1468" s="23"/>
      <c r="E1468" s="23"/>
      <c r="G1468" s="23"/>
      <c r="H1468" s="23"/>
      <c r="J1468" s="23"/>
      <c r="K1468" s="23"/>
      <c r="M1468" s="23"/>
      <c r="N1468" s="23"/>
      <c r="P1468" s="23"/>
    </row>
    <row r="1469" spans="2:16" x14ac:dyDescent="0.25">
      <c r="B1469" s="23"/>
      <c r="E1469" s="23"/>
      <c r="G1469" s="23"/>
      <c r="H1469" s="23"/>
      <c r="J1469" s="23"/>
      <c r="K1469" s="23"/>
      <c r="M1469" s="23"/>
      <c r="N1469" s="23"/>
      <c r="P1469" s="23"/>
    </row>
    <row r="1470" spans="2:16" x14ac:dyDescent="0.25">
      <c r="B1470" s="23"/>
      <c r="E1470" s="23"/>
      <c r="G1470" s="23"/>
      <c r="H1470" s="23"/>
      <c r="J1470" s="23"/>
      <c r="K1470" s="23"/>
      <c r="M1470" s="23"/>
      <c r="N1470" s="23"/>
      <c r="P1470" s="23"/>
    </row>
    <row r="1471" spans="2:16" x14ac:dyDescent="0.25">
      <c r="B1471" s="23"/>
      <c r="E1471" s="23"/>
      <c r="G1471" s="23"/>
      <c r="H1471" s="23"/>
      <c r="J1471" s="23"/>
      <c r="K1471" s="23"/>
      <c r="M1471" s="23"/>
      <c r="N1471" s="23"/>
      <c r="P1471" s="23"/>
    </row>
    <row r="1472" spans="2:16" x14ac:dyDescent="0.25">
      <c r="B1472" s="23"/>
      <c r="E1472" s="23"/>
      <c r="G1472" s="23"/>
      <c r="H1472" s="23"/>
      <c r="J1472" s="23"/>
      <c r="K1472" s="23"/>
      <c r="M1472" s="23"/>
      <c r="N1472" s="23"/>
      <c r="P1472" s="23"/>
    </row>
    <row r="1473" spans="2:16" x14ac:dyDescent="0.25">
      <c r="B1473" s="23"/>
      <c r="E1473" s="23"/>
      <c r="G1473" s="23"/>
      <c r="H1473" s="23"/>
      <c r="J1473" s="23"/>
      <c r="K1473" s="23"/>
      <c r="M1473" s="23"/>
      <c r="N1473" s="23"/>
      <c r="P1473" s="23"/>
    </row>
    <row r="1474" spans="2:16" x14ac:dyDescent="0.25">
      <c r="B1474" s="23"/>
      <c r="E1474" s="23"/>
      <c r="G1474" s="23"/>
      <c r="H1474" s="23"/>
      <c r="J1474" s="23"/>
      <c r="K1474" s="23"/>
      <c r="M1474" s="23"/>
      <c r="N1474" s="23"/>
      <c r="P1474" s="23"/>
    </row>
    <row r="1475" spans="2:16" x14ac:dyDescent="0.25">
      <c r="B1475" s="23"/>
      <c r="E1475" s="23"/>
      <c r="G1475" s="23"/>
      <c r="H1475" s="23"/>
      <c r="J1475" s="23"/>
      <c r="K1475" s="23"/>
      <c r="M1475" s="23"/>
      <c r="N1475" s="23"/>
      <c r="P1475" s="23"/>
    </row>
    <row r="1476" spans="2:16" x14ac:dyDescent="0.25">
      <c r="B1476" s="23"/>
      <c r="E1476" s="23"/>
      <c r="G1476" s="23"/>
      <c r="H1476" s="23"/>
      <c r="J1476" s="23"/>
      <c r="K1476" s="23"/>
      <c r="M1476" s="23"/>
      <c r="N1476" s="23"/>
      <c r="P1476" s="23"/>
    </row>
    <row r="1477" spans="2:16" x14ac:dyDescent="0.25">
      <c r="B1477" s="23"/>
      <c r="E1477" s="23"/>
      <c r="G1477" s="23"/>
      <c r="H1477" s="23"/>
      <c r="J1477" s="23"/>
      <c r="K1477" s="23"/>
      <c r="M1477" s="23"/>
      <c r="N1477" s="23"/>
      <c r="P1477" s="23"/>
    </row>
    <row r="1478" spans="2:16" x14ac:dyDescent="0.25">
      <c r="B1478" s="23"/>
      <c r="E1478" s="23"/>
      <c r="G1478" s="23"/>
      <c r="H1478" s="23"/>
      <c r="J1478" s="23"/>
      <c r="K1478" s="23"/>
      <c r="M1478" s="23"/>
      <c r="N1478" s="23"/>
      <c r="P1478" s="23"/>
    </row>
    <row r="1479" spans="2:16" x14ac:dyDescent="0.25">
      <c r="B1479" s="23"/>
      <c r="E1479" s="23"/>
      <c r="G1479" s="23"/>
      <c r="H1479" s="23"/>
      <c r="J1479" s="23"/>
      <c r="K1479" s="23"/>
      <c r="M1479" s="23"/>
      <c r="N1479" s="23"/>
      <c r="P1479" s="23"/>
    </row>
    <row r="1480" spans="2:16" x14ac:dyDescent="0.25">
      <c r="B1480" s="23"/>
      <c r="E1480" s="23"/>
      <c r="G1480" s="23"/>
      <c r="H1480" s="23"/>
      <c r="J1480" s="23"/>
      <c r="K1480" s="23"/>
      <c r="M1480" s="23"/>
      <c r="N1480" s="23"/>
      <c r="P1480" s="23"/>
    </row>
    <row r="1481" spans="2:16" x14ac:dyDescent="0.25">
      <c r="B1481" s="23"/>
      <c r="E1481" s="23"/>
      <c r="G1481" s="23"/>
      <c r="H1481" s="23"/>
      <c r="J1481" s="23"/>
      <c r="K1481" s="23"/>
      <c r="M1481" s="23"/>
      <c r="N1481" s="23"/>
      <c r="P1481" s="23"/>
    </row>
    <row r="1482" spans="2:16" x14ac:dyDescent="0.25">
      <c r="B1482" s="23"/>
      <c r="E1482" s="23"/>
      <c r="G1482" s="23"/>
      <c r="H1482" s="23"/>
      <c r="J1482" s="23"/>
      <c r="K1482" s="23"/>
      <c r="M1482" s="23"/>
      <c r="N1482" s="23"/>
      <c r="P1482" s="23"/>
    </row>
    <row r="1483" spans="2:16" x14ac:dyDescent="0.25">
      <c r="B1483" s="23"/>
      <c r="E1483" s="23"/>
      <c r="G1483" s="23"/>
      <c r="H1483" s="23"/>
      <c r="J1483" s="23"/>
      <c r="K1483" s="23"/>
      <c r="M1483" s="23"/>
      <c r="N1483" s="23"/>
      <c r="P1483" s="23"/>
    </row>
    <row r="1484" spans="2:16" x14ac:dyDescent="0.25">
      <c r="B1484" s="23"/>
      <c r="E1484" s="23"/>
      <c r="G1484" s="23"/>
      <c r="H1484" s="23"/>
      <c r="J1484" s="23"/>
      <c r="K1484" s="23"/>
      <c r="M1484" s="23"/>
      <c r="N1484" s="23"/>
      <c r="P1484" s="23"/>
    </row>
    <row r="1485" spans="2:16" x14ac:dyDescent="0.25">
      <c r="B1485" s="23"/>
      <c r="E1485" s="23"/>
      <c r="G1485" s="23"/>
      <c r="H1485" s="23"/>
      <c r="J1485" s="23"/>
      <c r="K1485" s="23"/>
      <c r="M1485" s="23"/>
      <c r="N1485" s="23"/>
      <c r="P1485" s="23"/>
    </row>
    <row r="1486" spans="2:16" x14ac:dyDescent="0.25">
      <c r="B1486" s="23"/>
      <c r="E1486" s="23"/>
      <c r="G1486" s="23"/>
      <c r="H1486" s="23"/>
      <c r="J1486" s="23"/>
      <c r="K1486" s="23"/>
      <c r="M1486" s="23"/>
      <c r="N1486" s="23"/>
      <c r="P1486" s="23"/>
    </row>
    <row r="1487" spans="2:16" x14ac:dyDescent="0.25">
      <c r="B1487" s="23"/>
      <c r="E1487" s="23"/>
      <c r="G1487" s="23"/>
      <c r="H1487" s="23"/>
      <c r="J1487" s="23"/>
      <c r="K1487" s="23"/>
      <c r="M1487" s="23"/>
      <c r="N1487" s="23"/>
      <c r="P1487" s="23"/>
    </row>
    <row r="1488" spans="2:16" x14ac:dyDescent="0.25">
      <c r="B1488" s="23"/>
      <c r="E1488" s="23"/>
      <c r="G1488" s="23"/>
      <c r="H1488" s="23"/>
      <c r="J1488" s="23"/>
      <c r="K1488" s="23"/>
      <c r="M1488" s="23"/>
      <c r="N1488" s="23"/>
      <c r="P1488" s="23"/>
    </row>
    <row r="1489" spans="2:16" x14ac:dyDescent="0.25">
      <c r="B1489" s="23"/>
      <c r="E1489" s="23"/>
      <c r="G1489" s="23"/>
      <c r="H1489" s="23"/>
      <c r="J1489" s="23"/>
      <c r="K1489" s="23"/>
      <c r="M1489" s="23"/>
      <c r="N1489" s="23"/>
      <c r="P1489" s="23"/>
    </row>
    <row r="1490" spans="2:16" x14ac:dyDescent="0.25">
      <c r="B1490" s="23"/>
      <c r="E1490" s="23"/>
      <c r="G1490" s="23"/>
      <c r="H1490" s="23"/>
      <c r="J1490" s="23"/>
      <c r="K1490" s="23"/>
      <c r="M1490" s="23"/>
      <c r="N1490" s="23"/>
      <c r="P1490" s="23"/>
    </row>
    <row r="1491" spans="2:16" x14ac:dyDescent="0.25">
      <c r="B1491" s="23"/>
      <c r="E1491" s="23"/>
      <c r="G1491" s="23"/>
      <c r="H1491" s="23"/>
      <c r="J1491" s="23"/>
      <c r="K1491" s="23"/>
      <c r="M1491" s="23"/>
      <c r="N1491" s="23"/>
      <c r="P1491" s="23"/>
    </row>
    <row r="1492" spans="2:16" x14ac:dyDescent="0.25">
      <c r="B1492" s="23"/>
      <c r="E1492" s="23"/>
      <c r="G1492" s="23"/>
      <c r="H1492" s="23"/>
      <c r="J1492" s="23"/>
      <c r="K1492" s="23"/>
      <c r="M1492" s="23"/>
      <c r="N1492" s="23"/>
      <c r="P1492" s="23"/>
    </row>
    <row r="1493" spans="2:16" x14ac:dyDescent="0.25">
      <c r="B1493" s="23"/>
      <c r="E1493" s="23"/>
      <c r="G1493" s="23"/>
      <c r="H1493" s="23"/>
      <c r="J1493" s="23"/>
      <c r="K1493" s="23"/>
      <c r="M1493" s="23"/>
      <c r="N1493" s="23"/>
      <c r="P1493" s="23"/>
    </row>
    <row r="1494" spans="2:16" x14ac:dyDescent="0.25">
      <c r="B1494" s="23"/>
      <c r="E1494" s="23"/>
      <c r="G1494" s="23"/>
      <c r="H1494" s="23"/>
      <c r="J1494" s="23"/>
      <c r="K1494" s="23"/>
      <c r="M1494" s="23"/>
      <c r="N1494" s="23"/>
      <c r="P1494" s="23"/>
    </row>
    <row r="1495" spans="2:16" x14ac:dyDescent="0.25">
      <c r="B1495" s="23"/>
      <c r="E1495" s="23"/>
      <c r="G1495" s="23"/>
      <c r="H1495" s="23"/>
      <c r="J1495" s="23"/>
      <c r="K1495" s="23"/>
      <c r="M1495" s="23"/>
      <c r="N1495" s="23"/>
      <c r="P1495" s="23"/>
    </row>
    <row r="1496" spans="2:16" x14ac:dyDescent="0.25">
      <c r="B1496" s="23"/>
      <c r="E1496" s="23"/>
      <c r="G1496" s="23"/>
      <c r="H1496" s="23"/>
      <c r="J1496" s="23"/>
      <c r="K1496" s="23"/>
      <c r="M1496" s="23"/>
      <c r="N1496" s="23"/>
      <c r="P1496" s="23"/>
    </row>
    <row r="1497" spans="2:16" x14ac:dyDescent="0.25">
      <c r="B1497" s="23"/>
      <c r="E1497" s="23"/>
      <c r="G1497" s="23"/>
      <c r="H1497" s="23"/>
      <c r="J1497" s="23"/>
      <c r="K1497" s="23"/>
      <c r="M1497" s="23"/>
      <c r="N1497" s="23"/>
      <c r="P1497" s="23"/>
    </row>
    <row r="1498" spans="2:16" x14ac:dyDescent="0.25">
      <c r="B1498" s="23"/>
      <c r="E1498" s="23"/>
      <c r="G1498" s="23"/>
      <c r="H1498" s="23"/>
      <c r="J1498" s="23"/>
      <c r="K1498" s="23"/>
      <c r="M1498" s="23"/>
      <c r="N1498" s="23"/>
      <c r="P1498" s="23"/>
    </row>
    <row r="1499" spans="2:16" x14ac:dyDescent="0.25">
      <c r="B1499" s="23"/>
      <c r="E1499" s="23"/>
      <c r="G1499" s="23"/>
      <c r="H1499" s="23"/>
      <c r="J1499" s="23"/>
      <c r="K1499" s="23"/>
      <c r="M1499" s="23"/>
      <c r="N1499" s="23"/>
      <c r="P1499" s="23"/>
    </row>
    <row r="1500" spans="2:16" x14ac:dyDescent="0.25">
      <c r="B1500" s="23"/>
      <c r="E1500" s="23"/>
      <c r="G1500" s="23"/>
      <c r="H1500" s="23"/>
      <c r="J1500" s="23"/>
      <c r="K1500" s="23"/>
      <c r="M1500" s="23"/>
      <c r="N1500" s="23"/>
      <c r="P1500" s="23"/>
    </row>
    <row r="1501" spans="2:16" x14ac:dyDescent="0.25">
      <c r="B1501" s="23"/>
      <c r="E1501" s="23"/>
      <c r="G1501" s="23"/>
      <c r="H1501" s="23"/>
      <c r="J1501" s="23"/>
      <c r="K1501" s="23"/>
      <c r="M1501" s="23"/>
      <c r="N1501" s="23"/>
      <c r="P1501" s="23"/>
    </row>
    <row r="1502" spans="2:16" x14ac:dyDescent="0.25">
      <c r="B1502" s="23"/>
      <c r="E1502" s="23"/>
      <c r="G1502" s="23"/>
      <c r="H1502" s="23"/>
      <c r="J1502" s="23"/>
      <c r="K1502" s="23"/>
      <c r="M1502" s="23"/>
      <c r="N1502" s="23"/>
      <c r="P1502" s="23"/>
    </row>
    <row r="1503" spans="2:16" x14ac:dyDescent="0.25">
      <c r="B1503" s="23"/>
      <c r="E1503" s="23"/>
      <c r="G1503" s="23"/>
      <c r="H1503" s="23"/>
      <c r="J1503" s="23"/>
      <c r="K1503" s="23"/>
      <c r="M1503" s="23"/>
      <c r="N1503" s="23"/>
      <c r="P1503" s="23"/>
    </row>
    <row r="1504" spans="2:16" x14ac:dyDescent="0.25">
      <c r="B1504" s="23"/>
      <c r="E1504" s="23"/>
      <c r="G1504" s="23"/>
      <c r="H1504" s="23"/>
      <c r="J1504" s="23"/>
      <c r="K1504" s="23"/>
      <c r="M1504" s="23"/>
      <c r="N1504" s="23"/>
      <c r="P1504" s="23"/>
    </row>
    <row r="1505" spans="2:16" x14ac:dyDescent="0.25">
      <c r="B1505" s="23"/>
      <c r="E1505" s="23"/>
      <c r="G1505" s="23"/>
      <c r="H1505" s="23"/>
      <c r="J1505" s="23"/>
      <c r="K1505" s="23"/>
      <c r="M1505" s="23"/>
      <c r="N1505" s="23"/>
      <c r="P1505" s="23"/>
    </row>
    <row r="1506" spans="2:16" x14ac:dyDescent="0.25">
      <c r="B1506" s="23"/>
      <c r="E1506" s="23"/>
      <c r="G1506" s="23"/>
      <c r="H1506" s="23"/>
      <c r="J1506" s="23"/>
      <c r="K1506" s="23"/>
      <c r="M1506" s="23"/>
      <c r="N1506" s="23"/>
      <c r="P1506" s="23"/>
    </row>
    <row r="1507" spans="2:16" x14ac:dyDescent="0.25">
      <c r="B1507" s="23"/>
      <c r="E1507" s="23"/>
      <c r="G1507" s="23"/>
      <c r="H1507" s="23"/>
      <c r="J1507" s="23"/>
      <c r="K1507" s="23"/>
      <c r="M1507" s="23"/>
      <c r="N1507" s="23"/>
      <c r="P1507" s="23"/>
    </row>
    <row r="1508" spans="2:16" x14ac:dyDescent="0.25">
      <c r="B1508" s="23"/>
      <c r="E1508" s="23"/>
      <c r="G1508" s="23"/>
      <c r="H1508" s="23"/>
      <c r="J1508" s="23"/>
      <c r="K1508" s="23"/>
      <c r="M1508" s="23"/>
      <c r="N1508" s="23"/>
      <c r="P1508" s="23"/>
    </row>
    <row r="1509" spans="2:16" x14ac:dyDescent="0.25">
      <c r="B1509" s="23"/>
      <c r="E1509" s="23"/>
      <c r="G1509" s="23"/>
      <c r="H1509" s="23"/>
      <c r="J1509" s="23"/>
      <c r="K1509" s="23"/>
      <c r="M1509" s="23"/>
      <c r="N1509" s="23"/>
      <c r="P1509" s="23"/>
    </row>
    <row r="1510" spans="2:16" x14ac:dyDescent="0.25">
      <c r="B1510" s="23"/>
      <c r="E1510" s="23"/>
      <c r="G1510" s="23"/>
      <c r="H1510" s="23"/>
      <c r="J1510" s="23"/>
      <c r="K1510" s="23"/>
      <c r="M1510" s="23"/>
      <c r="N1510" s="23"/>
      <c r="P1510" s="23"/>
    </row>
    <row r="1511" spans="2:16" x14ac:dyDescent="0.25">
      <c r="B1511" s="23"/>
      <c r="E1511" s="23"/>
      <c r="G1511" s="23"/>
      <c r="H1511" s="23"/>
      <c r="J1511" s="23"/>
      <c r="K1511" s="23"/>
      <c r="M1511" s="23"/>
      <c r="N1511" s="23"/>
      <c r="P1511" s="23"/>
    </row>
    <row r="1512" spans="2:16" x14ac:dyDescent="0.25">
      <c r="B1512" s="23"/>
      <c r="E1512" s="23"/>
      <c r="G1512" s="23"/>
      <c r="H1512" s="23"/>
      <c r="J1512" s="23"/>
      <c r="K1512" s="23"/>
      <c r="M1512" s="23"/>
      <c r="N1512" s="23"/>
      <c r="P1512" s="23"/>
    </row>
    <row r="1513" spans="2:16" x14ac:dyDescent="0.25">
      <c r="B1513" s="23"/>
      <c r="E1513" s="23"/>
      <c r="G1513" s="23"/>
      <c r="H1513" s="23"/>
      <c r="J1513" s="23"/>
      <c r="K1513" s="23"/>
      <c r="M1513" s="23"/>
      <c r="N1513" s="23"/>
      <c r="P1513" s="23"/>
    </row>
    <row r="1514" spans="2:16" x14ac:dyDescent="0.25">
      <c r="B1514" s="23"/>
      <c r="E1514" s="23"/>
      <c r="G1514" s="23"/>
      <c r="H1514" s="23"/>
      <c r="J1514" s="23"/>
      <c r="K1514" s="23"/>
      <c r="M1514" s="23"/>
      <c r="N1514" s="23"/>
      <c r="P1514" s="23"/>
    </row>
    <row r="1515" spans="2:16" x14ac:dyDescent="0.25">
      <c r="B1515" s="23"/>
      <c r="E1515" s="23"/>
      <c r="G1515" s="23"/>
      <c r="H1515" s="23"/>
      <c r="J1515" s="23"/>
      <c r="K1515" s="23"/>
      <c r="M1515" s="23"/>
      <c r="N1515" s="23"/>
      <c r="P1515" s="23"/>
    </row>
    <row r="1516" spans="2:16" x14ac:dyDescent="0.25">
      <c r="B1516" s="23"/>
      <c r="E1516" s="23"/>
      <c r="G1516" s="23"/>
      <c r="H1516" s="23"/>
      <c r="J1516" s="23"/>
      <c r="K1516" s="23"/>
      <c r="M1516" s="23"/>
      <c r="N1516" s="23"/>
      <c r="P1516" s="23"/>
    </row>
    <row r="1517" spans="2:16" x14ac:dyDescent="0.25">
      <c r="B1517" s="23"/>
      <c r="E1517" s="23"/>
      <c r="G1517" s="23"/>
      <c r="H1517" s="23"/>
      <c r="J1517" s="23"/>
      <c r="K1517" s="23"/>
      <c r="M1517" s="23"/>
      <c r="N1517" s="23"/>
      <c r="P1517" s="23"/>
    </row>
    <row r="1518" spans="2:16" x14ac:dyDescent="0.25">
      <c r="B1518" s="23"/>
      <c r="E1518" s="23"/>
      <c r="G1518" s="23"/>
      <c r="H1518" s="23"/>
      <c r="J1518" s="23"/>
      <c r="K1518" s="23"/>
      <c r="M1518" s="23"/>
      <c r="N1518" s="23"/>
      <c r="P1518" s="23"/>
    </row>
    <row r="1519" spans="2:16" x14ac:dyDescent="0.25">
      <c r="B1519" s="23"/>
      <c r="E1519" s="23"/>
      <c r="G1519" s="23"/>
      <c r="H1519" s="23"/>
      <c r="J1519" s="23"/>
      <c r="K1519" s="23"/>
      <c r="M1519" s="23"/>
      <c r="N1519" s="23"/>
      <c r="P1519" s="23"/>
    </row>
    <row r="1520" spans="2:16" x14ac:dyDescent="0.25">
      <c r="B1520" s="23"/>
      <c r="E1520" s="23"/>
      <c r="G1520" s="23"/>
      <c r="H1520" s="23"/>
      <c r="J1520" s="23"/>
      <c r="K1520" s="23"/>
      <c r="M1520" s="23"/>
      <c r="N1520" s="23"/>
      <c r="P1520" s="23"/>
    </row>
    <row r="1521" spans="2:16" x14ac:dyDescent="0.25">
      <c r="B1521" s="23"/>
      <c r="E1521" s="23"/>
      <c r="G1521" s="23"/>
      <c r="H1521" s="23"/>
      <c r="J1521" s="23"/>
      <c r="K1521" s="23"/>
      <c r="M1521" s="23"/>
      <c r="N1521" s="23"/>
      <c r="P1521" s="23"/>
    </row>
    <row r="1522" spans="2:16" x14ac:dyDescent="0.25">
      <c r="B1522" s="23"/>
      <c r="E1522" s="23"/>
      <c r="G1522" s="23"/>
      <c r="H1522" s="23"/>
      <c r="J1522" s="23"/>
      <c r="K1522" s="23"/>
      <c r="M1522" s="23"/>
      <c r="N1522" s="23"/>
      <c r="P1522" s="23"/>
    </row>
    <row r="1523" spans="2:16" x14ac:dyDescent="0.25">
      <c r="B1523" s="23"/>
      <c r="E1523" s="23"/>
      <c r="G1523" s="23"/>
      <c r="H1523" s="23"/>
      <c r="J1523" s="23"/>
      <c r="K1523" s="23"/>
      <c r="M1523" s="23"/>
      <c r="N1523" s="23"/>
      <c r="P1523" s="23"/>
    </row>
    <row r="1524" spans="2:16" x14ac:dyDescent="0.25">
      <c r="B1524" s="23"/>
      <c r="E1524" s="23"/>
      <c r="G1524" s="23"/>
      <c r="H1524" s="23"/>
      <c r="J1524" s="23"/>
      <c r="K1524" s="23"/>
      <c r="M1524" s="23"/>
      <c r="N1524" s="23"/>
      <c r="P1524" s="23"/>
    </row>
    <row r="1525" spans="2:16" x14ac:dyDescent="0.25">
      <c r="B1525" s="23"/>
      <c r="E1525" s="23"/>
      <c r="G1525" s="23"/>
      <c r="H1525" s="23"/>
      <c r="J1525" s="23"/>
      <c r="K1525" s="23"/>
      <c r="M1525" s="23"/>
      <c r="N1525" s="23"/>
      <c r="P1525" s="23"/>
    </row>
    <row r="1526" spans="2:16" x14ac:dyDescent="0.25">
      <c r="B1526" s="23"/>
      <c r="E1526" s="23"/>
      <c r="G1526" s="23"/>
      <c r="H1526" s="23"/>
      <c r="J1526" s="23"/>
      <c r="K1526" s="23"/>
      <c r="M1526" s="23"/>
      <c r="N1526" s="23"/>
      <c r="P1526" s="23"/>
    </row>
    <row r="1527" spans="2:16" x14ac:dyDescent="0.25">
      <c r="B1527" s="23"/>
      <c r="E1527" s="23"/>
      <c r="G1527" s="23"/>
      <c r="H1527" s="23"/>
      <c r="J1527" s="23"/>
      <c r="K1527" s="23"/>
      <c r="M1527" s="23"/>
      <c r="N1527" s="23"/>
      <c r="P1527" s="23"/>
    </row>
    <row r="1528" spans="2:16" x14ac:dyDescent="0.25">
      <c r="B1528" s="23"/>
      <c r="E1528" s="23"/>
      <c r="G1528" s="23"/>
      <c r="H1528" s="23"/>
      <c r="J1528" s="23"/>
      <c r="K1528" s="23"/>
      <c r="M1528" s="23"/>
      <c r="N1528" s="23"/>
      <c r="P1528" s="23"/>
    </row>
    <row r="1529" spans="2:16" x14ac:dyDescent="0.25">
      <c r="B1529" s="23"/>
      <c r="E1529" s="23"/>
      <c r="G1529" s="23"/>
      <c r="H1529" s="23"/>
      <c r="J1529" s="23"/>
      <c r="K1529" s="23"/>
      <c r="M1529" s="23"/>
      <c r="N1529" s="23"/>
      <c r="P1529" s="23"/>
    </row>
    <row r="1530" spans="2:16" x14ac:dyDescent="0.25">
      <c r="B1530" s="23"/>
      <c r="E1530" s="23"/>
      <c r="G1530" s="23"/>
      <c r="H1530" s="23"/>
      <c r="J1530" s="23"/>
      <c r="K1530" s="23"/>
      <c r="M1530" s="23"/>
      <c r="N1530" s="23"/>
      <c r="P1530" s="23"/>
    </row>
    <row r="1531" spans="2:16" x14ac:dyDescent="0.25">
      <c r="B1531" s="23"/>
      <c r="E1531" s="23"/>
      <c r="G1531" s="23"/>
      <c r="H1531" s="23"/>
      <c r="J1531" s="23"/>
      <c r="K1531" s="23"/>
      <c r="M1531" s="23"/>
      <c r="N1531" s="23"/>
      <c r="P1531" s="23"/>
    </row>
    <row r="1532" spans="2:16" x14ac:dyDescent="0.25">
      <c r="B1532" s="23"/>
      <c r="E1532" s="23"/>
      <c r="G1532" s="23"/>
      <c r="H1532" s="23"/>
      <c r="J1532" s="23"/>
      <c r="K1532" s="23"/>
      <c r="M1532" s="23"/>
      <c r="N1532" s="23"/>
      <c r="P1532" s="23"/>
    </row>
    <row r="1533" spans="2:16" x14ac:dyDescent="0.25">
      <c r="B1533" s="23"/>
      <c r="E1533" s="23"/>
      <c r="G1533" s="23"/>
      <c r="H1533" s="23"/>
      <c r="J1533" s="23"/>
      <c r="K1533" s="23"/>
      <c r="M1533" s="23"/>
      <c r="N1533" s="23"/>
      <c r="P1533" s="23"/>
    </row>
    <row r="1534" spans="2:16" x14ac:dyDescent="0.25">
      <c r="B1534" s="23"/>
      <c r="E1534" s="23"/>
      <c r="G1534" s="23"/>
      <c r="H1534" s="23"/>
      <c r="J1534" s="23"/>
      <c r="K1534" s="23"/>
      <c r="M1534" s="23"/>
      <c r="N1534" s="23"/>
      <c r="P1534" s="23"/>
    </row>
    <row r="1535" spans="2:16" x14ac:dyDescent="0.25">
      <c r="B1535" s="23"/>
      <c r="E1535" s="23"/>
      <c r="G1535" s="23"/>
      <c r="H1535" s="23"/>
      <c r="J1535" s="23"/>
      <c r="K1535" s="23"/>
      <c r="M1535" s="23"/>
      <c r="N1535" s="23"/>
      <c r="P1535" s="23"/>
    </row>
    <row r="1536" spans="2:16" x14ac:dyDescent="0.25">
      <c r="B1536" s="23"/>
      <c r="E1536" s="23"/>
      <c r="G1536" s="23"/>
      <c r="H1536" s="23"/>
      <c r="J1536" s="23"/>
      <c r="K1536" s="23"/>
      <c r="M1536" s="23"/>
      <c r="N1536" s="23"/>
      <c r="P1536" s="23"/>
    </row>
    <row r="1537" spans="2:16" x14ac:dyDescent="0.25">
      <c r="B1537" s="23"/>
      <c r="E1537" s="23"/>
      <c r="G1537" s="23"/>
      <c r="H1537" s="23"/>
      <c r="J1537" s="23"/>
      <c r="K1537" s="23"/>
      <c r="M1537" s="23"/>
      <c r="N1537" s="23"/>
      <c r="P1537" s="23"/>
    </row>
    <row r="1538" spans="2:16" x14ac:dyDescent="0.25">
      <c r="B1538" s="23"/>
      <c r="E1538" s="23"/>
      <c r="G1538" s="23"/>
      <c r="H1538" s="23"/>
      <c r="J1538" s="23"/>
      <c r="K1538" s="23"/>
      <c r="M1538" s="23"/>
      <c r="N1538" s="23"/>
      <c r="P1538" s="23"/>
    </row>
    <row r="1539" spans="2:16" x14ac:dyDescent="0.25">
      <c r="B1539" s="23"/>
      <c r="E1539" s="23"/>
      <c r="G1539" s="23"/>
      <c r="H1539" s="23"/>
      <c r="J1539" s="23"/>
      <c r="K1539" s="23"/>
      <c r="M1539" s="23"/>
      <c r="N1539" s="23"/>
      <c r="P1539" s="23"/>
    </row>
    <row r="1540" spans="2:16" x14ac:dyDescent="0.25">
      <c r="B1540" s="23"/>
      <c r="E1540" s="23"/>
      <c r="G1540" s="23"/>
      <c r="H1540" s="23"/>
      <c r="J1540" s="23"/>
      <c r="K1540" s="23"/>
      <c r="M1540" s="23"/>
      <c r="N1540" s="23"/>
      <c r="P1540" s="23"/>
    </row>
    <row r="1541" spans="2:16" x14ac:dyDescent="0.25">
      <c r="B1541" s="23"/>
      <c r="E1541" s="23"/>
      <c r="G1541" s="23"/>
      <c r="H1541" s="23"/>
      <c r="J1541" s="23"/>
      <c r="K1541" s="23"/>
      <c r="M1541" s="23"/>
      <c r="N1541" s="23"/>
      <c r="P1541" s="23"/>
    </row>
    <row r="1542" spans="2:16" x14ac:dyDescent="0.25">
      <c r="B1542" s="23"/>
      <c r="E1542" s="23"/>
      <c r="G1542" s="23"/>
      <c r="H1542" s="23"/>
      <c r="J1542" s="23"/>
      <c r="K1542" s="23"/>
      <c r="M1542" s="23"/>
      <c r="N1542" s="23"/>
      <c r="P1542" s="23"/>
    </row>
    <row r="1543" spans="2:16" x14ac:dyDescent="0.25">
      <c r="B1543" s="23"/>
      <c r="E1543" s="23"/>
      <c r="G1543" s="23"/>
      <c r="H1543" s="23"/>
      <c r="J1543" s="23"/>
      <c r="K1543" s="23"/>
      <c r="M1543" s="23"/>
      <c r="N1543" s="23"/>
      <c r="P1543" s="23"/>
    </row>
    <row r="1544" spans="2:16" x14ac:dyDescent="0.25">
      <c r="B1544" s="23"/>
      <c r="E1544" s="23"/>
      <c r="G1544" s="23"/>
      <c r="H1544" s="23"/>
      <c r="J1544" s="23"/>
      <c r="K1544" s="23"/>
      <c r="M1544" s="23"/>
      <c r="N1544" s="23"/>
      <c r="P1544" s="23"/>
    </row>
    <row r="1545" spans="2:16" x14ac:dyDescent="0.25">
      <c r="B1545" s="23"/>
      <c r="E1545" s="23"/>
      <c r="G1545" s="23"/>
      <c r="H1545" s="23"/>
      <c r="J1545" s="23"/>
      <c r="K1545" s="23"/>
      <c r="M1545" s="23"/>
      <c r="N1545" s="23"/>
      <c r="P1545" s="23"/>
    </row>
    <row r="1546" spans="2:16" x14ac:dyDescent="0.25">
      <c r="B1546" s="23"/>
      <c r="E1546" s="23"/>
      <c r="G1546" s="23"/>
      <c r="H1546" s="23"/>
      <c r="J1546" s="23"/>
      <c r="K1546" s="23"/>
      <c r="M1546" s="23"/>
      <c r="N1546" s="23"/>
      <c r="P1546" s="23"/>
    </row>
    <row r="1547" spans="2:16" x14ac:dyDescent="0.25">
      <c r="B1547" s="23"/>
      <c r="E1547" s="23"/>
      <c r="G1547" s="23"/>
      <c r="H1547" s="23"/>
      <c r="J1547" s="23"/>
      <c r="K1547" s="23"/>
      <c r="M1547" s="23"/>
      <c r="N1547" s="23"/>
      <c r="P1547" s="23"/>
    </row>
    <row r="1548" spans="2:16" x14ac:dyDescent="0.25">
      <c r="B1548" s="23"/>
      <c r="E1548" s="23"/>
      <c r="G1548" s="23"/>
      <c r="H1548" s="23"/>
      <c r="J1548" s="23"/>
      <c r="K1548" s="23"/>
      <c r="M1548" s="23"/>
      <c r="N1548" s="23"/>
      <c r="P1548" s="23"/>
    </row>
    <row r="1549" spans="2:16" x14ac:dyDescent="0.25">
      <c r="B1549" s="23"/>
      <c r="E1549" s="23"/>
      <c r="G1549" s="23"/>
      <c r="H1549" s="23"/>
      <c r="J1549" s="23"/>
      <c r="K1549" s="23"/>
      <c r="M1549" s="23"/>
      <c r="N1549" s="23"/>
      <c r="P1549" s="23"/>
    </row>
    <row r="1550" spans="2:16" x14ac:dyDescent="0.25">
      <c r="B1550" s="23"/>
      <c r="E1550" s="23"/>
      <c r="G1550" s="23"/>
      <c r="H1550" s="23"/>
      <c r="J1550" s="23"/>
      <c r="K1550" s="23"/>
      <c r="M1550" s="23"/>
      <c r="N1550" s="23"/>
      <c r="P1550" s="23"/>
    </row>
    <row r="1551" spans="2:16" x14ac:dyDescent="0.25">
      <c r="B1551" s="23"/>
      <c r="E1551" s="23"/>
      <c r="G1551" s="23"/>
      <c r="H1551" s="23"/>
      <c r="J1551" s="23"/>
      <c r="K1551" s="23"/>
      <c r="M1551" s="23"/>
      <c r="N1551" s="23"/>
      <c r="P1551" s="23"/>
    </row>
    <row r="1552" spans="2:16" x14ac:dyDescent="0.25">
      <c r="B1552" s="23"/>
      <c r="E1552" s="23"/>
      <c r="G1552" s="23"/>
      <c r="H1552" s="23"/>
      <c r="J1552" s="23"/>
      <c r="K1552" s="23"/>
      <c r="M1552" s="23"/>
      <c r="N1552" s="23"/>
      <c r="P1552" s="23"/>
    </row>
    <row r="1553" spans="2:16" x14ac:dyDescent="0.25">
      <c r="B1553" s="23"/>
      <c r="E1553" s="23"/>
      <c r="G1553" s="23"/>
      <c r="H1553" s="23"/>
      <c r="J1553" s="23"/>
      <c r="K1553" s="23"/>
      <c r="M1553" s="23"/>
      <c r="N1553" s="23"/>
      <c r="P1553" s="23"/>
    </row>
    <row r="1554" spans="2:16" x14ac:dyDescent="0.25">
      <c r="B1554" s="23"/>
      <c r="E1554" s="23"/>
      <c r="G1554" s="23"/>
      <c r="H1554" s="23"/>
      <c r="J1554" s="23"/>
      <c r="K1554" s="23"/>
      <c r="M1554" s="23"/>
      <c r="N1554" s="23"/>
      <c r="P1554" s="23"/>
    </row>
    <row r="1555" spans="2:16" x14ac:dyDescent="0.25">
      <c r="B1555" s="23"/>
      <c r="E1555" s="23"/>
      <c r="G1555" s="23"/>
      <c r="H1555" s="23"/>
      <c r="J1555" s="23"/>
      <c r="K1555" s="23"/>
      <c r="M1555" s="23"/>
      <c r="N1555" s="23"/>
      <c r="P1555" s="23"/>
    </row>
    <row r="1556" spans="2:16" x14ac:dyDescent="0.25">
      <c r="B1556" s="23"/>
      <c r="E1556" s="23"/>
      <c r="G1556" s="23"/>
      <c r="H1556" s="23"/>
      <c r="J1556" s="23"/>
      <c r="K1556" s="23"/>
      <c r="M1556" s="23"/>
      <c r="N1556" s="23"/>
      <c r="P1556" s="23"/>
    </row>
    <row r="1557" spans="2:16" x14ac:dyDescent="0.25">
      <c r="B1557" s="23"/>
      <c r="E1557" s="23"/>
      <c r="G1557" s="23"/>
      <c r="H1557" s="23"/>
      <c r="J1557" s="23"/>
      <c r="K1557" s="23"/>
      <c r="M1557" s="23"/>
      <c r="N1557" s="23"/>
      <c r="P1557" s="23"/>
    </row>
    <row r="1558" spans="2:16" x14ac:dyDescent="0.25">
      <c r="B1558" s="23"/>
      <c r="E1558" s="23"/>
      <c r="G1558" s="23"/>
      <c r="H1558" s="23"/>
      <c r="J1558" s="23"/>
      <c r="K1558" s="23"/>
      <c r="M1558" s="23"/>
      <c r="N1558" s="23"/>
      <c r="P1558" s="23"/>
    </row>
    <row r="1559" spans="2:16" x14ac:dyDescent="0.25">
      <c r="B1559" s="23"/>
      <c r="E1559" s="23"/>
      <c r="G1559" s="23"/>
      <c r="H1559" s="23"/>
      <c r="J1559" s="23"/>
      <c r="K1559" s="23"/>
      <c r="M1559" s="23"/>
      <c r="N1559" s="23"/>
      <c r="P1559" s="23"/>
    </row>
    <row r="1560" spans="2:16" x14ac:dyDescent="0.25">
      <c r="B1560" s="23"/>
      <c r="E1560" s="23"/>
      <c r="G1560" s="23"/>
      <c r="H1560" s="23"/>
      <c r="J1560" s="23"/>
      <c r="K1560" s="23"/>
      <c r="M1560" s="23"/>
      <c r="N1560" s="23"/>
      <c r="P1560" s="23"/>
    </row>
    <row r="1561" spans="2:16" x14ac:dyDescent="0.25">
      <c r="B1561" s="23"/>
      <c r="E1561" s="23"/>
      <c r="G1561" s="23"/>
      <c r="H1561" s="23"/>
      <c r="J1561" s="23"/>
      <c r="K1561" s="23"/>
      <c r="M1561" s="23"/>
      <c r="N1561" s="23"/>
      <c r="P1561" s="23"/>
    </row>
    <row r="1562" spans="2:16" x14ac:dyDescent="0.25">
      <c r="B1562" s="23"/>
      <c r="E1562" s="23"/>
      <c r="G1562" s="23"/>
      <c r="H1562" s="23"/>
      <c r="J1562" s="23"/>
      <c r="K1562" s="23"/>
      <c r="M1562" s="23"/>
      <c r="N1562" s="23"/>
      <c r="P1562" s="23"/>
    </row>
    <row r="1563" spans="2:16" x14ac:dyDescent="0.25">
      <c r="B1563" s="23"/>
      <c r="E1563" s="23"/>
      <c r="G1563" s="23"/>
      <c r="H1563" s="23"/>
      <c r="J1563" s="23"/>
      <c r="K1563" s="23"/>
      <c r="M1563" s="23"/>
      <c r="N1563" s="23"/>
      <c r="P1563" s="23"/>
    </row>
    <row r="1564" spans="2:16" x14ac:dyDescent="0.25">
      <c r="B1564" s="23"/>
      <c r="E1564" s="23"/>
      <c r="G1564" s="23"/>
      <c r="H1564" s="23"/>
      <c r="J1564" s="23"/>
      <c r="K1564" s="23"/>
      <c r="M1564" s="23"/>
      <c r="N1564" s="23"/>
      <c r="P1564" s="23"/>
    </row>
    <row r="1565" spans="2:16" x14ac:dyDescent="0.25">
      <c r="B1565" s="23"/>
      <c r="E1565" s="23"/>
      <c r="G1565" s="23"/>
      <c r="H1565" s="23"/>
      <c r="J1565" s="23"/>
      <c r="K1565" s="23"/>
      <c r="M1565" s="23"/>
      <c r="N1565" s="23"/>
      <c r="P1565" s="23"/>
    </row>
    <row r="1566" spans="2:16" x14ac:dyDescent="0.25">
      <c r="B1566" s="23"/>
      <c r="E1566" s="23"/>
      <c r="G1566" s="23"/>
      <c r="H1566" s="23"/>
      <c r="J1566" s="23"/>
      <c r="K1566" s="23"/>
      <c r="M1566" s="23"/>
      <c r="N1566" s="23"/>
      <c r="P1566" s="23"/>
    </row>
    <row r="1567" spans="2:16" x14ac:dyDescent="0.25">
      <c r="B1567" s="23"/>
      <c r="E1567" s="23"/>
      <c r="G1567" s="23"/>
      <c r="H1567" s="23"/>
      <c r="J1567" s="23"/>
      <c r="K1567" s="23"/>
      <c r="M1567" s="23"/>
      <c r="N1567" s="23"/>
      <c r="P1567" s="23"/>
    </row>
    <row r="1568" spans="2:16" x14ac:dyDescent="0.25">
      <c r="B1568" s="23"/>
      <c r="E1568" s="23"/>
      <c r="G1568" s="23"/>
      <c r="H1568" s="23"/>
      <c r="J1568" s="23"/>
      <c r="K1568" s="23"/>
      <c r="M1568" s="23"/>
      <c r="N1568" s="23"/>
      <c r="P1568" s="23"/>
    </row>
    <row r="1569" spans="2:16" x14ac:dyDescent="0.25">
      <c r="B1569" s="23"/>
      <c r="E1569" s="23"/>
      <c r="G1569" s="23"/>
      <c r="H1569" s="23"/>
      <c r="J1569" s="23"/>
      <c r="K1569" s="23"/>
      <c r="M1569" s="23"/>
      <c r="N1569" s="23"/>
      <c r="P1569" s="23"/>
    </row>
    <row r="1570" spans="2:16" x14ac:dyDescent="0.25">
      <c r="B1570" s="23"/>
      <c r="E1570" s="23"/>
      <c r="G1570" s="23"/>
      <c r="H1570" s="23"/>
      <c r="J1570" s="23"/>
      <c r="K1570" s="23"/>
      <c r="M1570" s="23"/>
      <c r="N1570" s="23"/>
      <c r="P1570" s="23"/>
    </row>
    <row r="1571" spans="2:16" x14ac:dyDescent="0.25">
      <c r="B1571" s="23"/>
      <c r="E1571" s="23"/>
      <c r="G1571" s="23"/>
      <c r="H1571" s="23"/>
      <c r="J1571" s="23"/>
      <c r="K1571" s="23"/>
      <c r="M1571" s="23"/>
      <c r="N1571" s="23"/>
      <c r="P1571" s="23"/>
    </row>
    <row r="1572" spans="2:16" x14ac:dyDescent="0.25">
      <c r="B1572" s="23"/>
      <c r="E1572" s="23"/>
      <c r="G1572" s="23"/>
      <c r="H1572" s="23"/>
      <c r="J1572" s="23"/>
      <c r="K1572" s="23"/>
      <c r="M1572" s="23"/>
      <c r="N1572" s="23"/>
      <c r="P1572" s="23"/>
    </row>
    <row r="1573" spans="2:16" x14ac:dyDescent="0.25">
      <c r="B1573" s="23"/>
      <c r="E1573" s="23"/>
      <c r="G1573" s="23"/>
      <c r="H1573" s="23"/>
      <c r="J1573" s="23"/>
      <c r="K1573" s="23"/>
      <c r="M1573" s="23"/>
      <c r="N1573" s="23"/>
      <c r="P1573" s="23"/>
    </row>
    <row r="1574" spans="2:16" x14ac:dyDescent="0.25">
      <c r="B1574" s="23"/>
      <c r="E1574" s="23"/>
      <c r="G1574" s="23"/>
      <c r="H1574" s="23"/>
      <c r="J1574" s="23"/>
      <c r="K1574" s="23"/>
      <c r="M1574" s="23"/>
      <c r="N1574" s="23"/>
      <c r="P1574" s="23"/>
    </row>
    <row r="1575" spans="2:16" x14ac:dyDescent="0.25">
      <c r="B1575" s="23"/>
      <c r="E1575" s="23"/>
      <c r="G1575" s="23"/>
      <c r="H1575" s="23"/>
      <c r="J1575" s="23"/>
      <c r="K1575" s="23"/>
      <c r="M1575" s="23"/>
      <c r="N1575" s="23"/>
      <c r="P1575" s="23"/>
    </row>
    <row r="1576" spans="2:16" x14ac:dyDescent="0.25">
      <c r="B1576" s="23"/>
      <c r="E1576" s="23"/>
      <c r="G1576" s="23"/>
      <c r="H1576" s="23"/>
      <c r="J1576" s="23"/>
      <c r="K1576" s="23"/>
      <c r="M1576" s="23"/>
      <c r="N1576" s="23"/>
      <c r="P1576" s="23"/>
    </row>
    <row r="1577" spans="2:16" x14ac:dyDescent="0.25">
      <c r="B1577" s="23"/>
      <c r="E1577" s="23"/>
      <c r="G1577" s="23"/>
      <c r="H1577" s="23"/>
      <c r="J1577" s="23"/>
      <c r="K1577" s="23"/>
      <c r="M1577" s="23"/>
      <c r="N1577" s="23"/>
      <c r="P1577" s="23"/>
    </row>
    <row r="1578" spans="2:16" x14ac:dyDescent="0.25">
      <c r="B1578" s="23"/>
      <c r="E1578" s="23"/>
      <c r="G1578" s="23"/>
      <c r="H1578" s="23"/>
      <c r="J1578" s="23"/>
      <c r="K1578" s="23"/>
      <c r="M1578" s="23"/>
      <c r="N1578" s="23"/>
      <c r="P1578" s="23"/>
    </row>
    <row r="1579" spans="2:16" x14ac:dyDescent="0.25">
      <c r="B1579" s="23"/>
      <c r="E1579" s="23"/>
      <c r="G1579" s="23"/>
      <c r="H1579" s="23"/>
      <c r="J1579" s="23"/>
      <c r="K1579" s="23"/>
      <c r="M1579" s="23"/>
      <c r="N1579" s="23"/>
      <c r="P1579" s="23"/>
    </row>
    <row r="1580" spans="2:16" x14ac:dyDescent="0.25">
      <c r="B1580" s="23"/>
      <c r="E1580" s="23"/>
      <c r="G1580" s="23"/>
      <c r="H1580" s="23"/>
      <c r="J1580" s="23"/>
      <c r="K1580" s="23"/>
      <c r="M1580" s="23"/>
      <c r="N1580" s="23"/>
      <c r="P1580" s="23"/>
    </row>
    <row r="1581" spans="2:16" x14ac:dyDescent="0.25">
      <c r="B1581" s="23"/>
      <c r="E1581" s="23"/>
      <c r="G1581" s="23"/>
      <c r="H1581" s="23"/>
      <c r="J1581" s="23"/>
      <c r="K1581" s="23"/>
      <c r="M1581" s="23"/>
      <c r="N1581" s="23"/>
      <c r="P1581" s="23"/>
    </row>
    <row r="1582" spans="2:16" x14ac:dyDescent="0.25">
      <c r="B1582" s="23"/>
      <c r="E1582" s="23"/>
      <c r="G1582" s="23"/>
      <c r="H1582" s="23"/>
      <c r="J1582" s="23"/>
      <c r="K1582" s="23"/>
      <c r="M1582" s="23"/>
      <c r="N1582" s="23"/>
      <c r="P1582" s="23"/>
    </row>
    <row r="1583" spans="2:16" x14ac:dyDescent="0.25">
      <c r="B1583" s="23"/>
      <c r="E1583" s="23"/>
      <c r="G1583" s="23"/>
      <c r="H1583" s="23"/>
      <c r="J1583" s="23"/>
      <c r="K1583" s="23"/>
      <c r="M1583" s="23"/>
      <c r="N1583" s="23"/>
      <c r="P1583" s="23"/>
    </row>
    <row r="1584" spans="2:16" x14ac:dyDescent="0.25">
      <c r="B1584" s="23"/>
      <c r="E1584" s="23"/>
      <c r="G1584" s="23"/>
      <c r="H1584" s="23"/>
      <c r="J1584" s="23"/>
      <c r="K1584" s="23"/>
      <c r="M1584" s="23"/>
      <c r="N1584" s="23"/>
      <c r="P1584" s="23"/>
    </row>
    <row r="1585" spans="2:16" x14ac:dyDescent="0.25">
      <c r="B1585" s="23"/>
      <c r="E1585" s="23"/>
      <c r="G1585" s="23"/>
      <c r="H1585" s="23"/>
      <c r="J1585" s="23"/>
      <c r="K1585" s="23"/>
      <c r="M1585" s="23"/>
      <c r="N1585" s="23"/>
      <c r="P1585" s="23"/>
    </row>
    <row r="1586" spans="2:16" x14ac:dyDescent="0.25">
      <c r="B1586" s="23"/>
      <c r="E1586" s="23"/>
      <c r="G1586" s="23"/>
      <c r="H1586" s="23"/>
      <c r="J1586" s="23"/>
      <c r="K1586" s="23"/>
      <c r="M1586" s="23"/>
      <c r="N1586" s="23"/>
      <c r="P1586" s="23"/>
    </row>
    <row r="1587" spans="2:16" x14ac:dyDescent="0.25">
      <c r="B1587" s="23"/>
      <c r="E1587" s="23"/>
      <c r="G1587" s="23"/>
      <c r="H1587" s="23"/>
      <c r="J1587" s="23"/>
      <c r="K1587" s="23"/>
      <c r="M1587" s="23"/>
      <c r="N1587" s="23"/>
      <c r="P1587" s="23"/>
    </row>
    <row r="1588" spans="2:16" x14ac:dyDescent="0.25">
      <c r="B1588" s="23"/>
      <c r="E1588" s="23"/>
      <c r="G1588" s="23"/>
      <c r="H1588" s="23"/>
      <c r="J1588" s="23"/>
      <c r="K1588" s="23"/>
      <c r="M1588" s="23"/>
      <c r="N1588" s="23"/>
      <c r="P1588" s="23"/>
    </row>
    <row r="1589" spans="2:16" x14ac:dyDescent="0.25">
      <c r="B1589" s="23"/>
      <c r="E1589" s="23"/>
      <c r="G1589" s="23"/>
      <c r="H1589" s="23"/>
      <c r="J1589" s="23"/>
      <c r="K1589" s="23"/>
      <c r="M1589" s="23"/>
      <c r="N1589" s="23"/>
      <c r="P1589" s="23"/>
    </row>
    <row r="1590" spans="2:16" x14ac:dyDescent="0.25">
      <c r="B1590" s="23"/>
      <c r="E1590" s="23"/>
      <c r="G1590" s="23"/>
      <c r="H1590" s="23"/>
      <c r="J1590" s="23"/>
      <c r="K1590" s="23"/>
      <c r="M1590" s="23"/>
      <c r="N1590" s="23"/>
      <c r="P1590" s="23"/>
    </row>
    <row r="1591" spans="2:16" x14ac:dyDescent="0.25">
      <c r="B1591" s="23"/>
      <c r="E1591" s="23"/>
      <c r="G1591" s="23"/>
      <c r="H1591" s="23"/>
      <c r="J1591" s="23"/>
      <c r="K1591" s="23"/>
      <c r="M1591" s="23"/>
      <c r="N1591" s="23"/>
      <c r="P1591" s="23"/>
    </row>
    <row r="1592" spans="2:16" x14ac:dyDescent="0.25">
      <c r="B1592" s="23"/>
      <c r="E1592" s="23"/>
      <c r="G1592" s="23"/>
      <c r="H1592" s="23"/>
      <c r="J1592" s="23"/>
      <c r="K1592" s="23"/>
      <c r="M1592" s="23"/>
      <c r="N1592" s="23"/>
      <c r="P1592" s="23"/>
    </row>
    <row r="1593" spans="2:16" x14ac:dyDescent="0.25">
      <c r="B1593" s="23"/>
      <c r="E1593" s="23"/>
      <c r="G1593" s="23"/>
      <c r="H1593" s="23"/>
      <c r="J1593" s="23"/>
      <c r="K1593" s="23"/>
      <c r="M1593" s="23"/>
      <c r="N1593" s="23"/>
      <c r="P1593" s="23"/>
    </row>
    <row r="1594" spans="2:16" x14ac:dyDescent="0.25">
      <c r="B1594" s="23"/>
      <c r="E1594" s="23"/>
      <c r="G1594" s="23"/>
      <c r="H1594" s="23"/>
      <c r="J1594" s="23"/>
      <c r="K1594" s="23"/>
      <c r="M1594" s="23"/>
      <c r="N1594" s="23"/>
      <c r="P1594" s="23"/>
    </row>
    <row r="1595" spans="2:16" x14ac:dyDescent="0.25">
      <c r="B1595" s="23"/>
      <c r="E1595" s="23"/>
      <c r="G1595" s="23"/>
      <c r="H1595" s="23"/>
      <c r="J1595" s="23"/>
      <c r="K1595" s="23"/>
      <c r="M1595" s="23"/>
      <c r="N1595" s="23"/>
      <c r="P1595" s="23"/>
    </row>
    <row r="1596" spans="2:16" x14ac:dyDescent="0.25">
      <c r="B1596" s="23"/>
      <c r="E1596" s="23"/>
      <c r="G1596" s="23"/>
      <c r="H1596" s="23"/>
      <c r="J1596" s="23"/>
      <c r="K1596" s="23"/>
      <c r="M1596" s="23"/>
      <c r="N1596" s="23"/>
      <c r="P1596" s="23"/>
    </row>
    <row r="1597" spans="2:16" x14ac:dyDescent="0.25">
      <c r="B1597" s="23"/>
      <c r="E1597" s="23"/>
      <c r="G1597" s="23"/>
      <c r="H1597" s="23"/>
      <c r="J1597" s="23"/>
      <c r="K1597" s="23"/>
      <c r="M1597" s="23"/>
      <c r="N1597" s="23"/>
      <c r="P1597" s="23"/>
    </row>
    <row r="1598" spans="2:16" x14ac:dyDescent="0.25">
      <c r="B1598" s="23"/>
      <c r="E1598" s="23"/>
      <c r="G1598" s="23"/>
      <c r="H1598" s="23"/>
      <c r="J1598" s="23"/>
      <c r="K1598" s="23"/>
      <c r="M1598" s="23"/>
      <c r="N1598" s="23"/>
      <c r="P1598" s="23"/>
    </row>
    <row r="1599" spans="2:16" x14ac:dyDescent="0.25">
      <c r="B1599" s="23"/>
      <c r="E1599" s="23"/>
      <c r="G1599" s="23"/>
      <c r="H1599" s="23"/>
      <c r="J1599" s="23"/>
      <c r="K1599" s="23"/>
      <c r="M1599" s="23"/>
      <c r="N1599" s="23"/>
      <c r="P1599" s="23"/>
    </row>
    <row r="1600" spans="2:16" x14ac:dyDescent="0.25">
      <c r="B1600" s="23"/>
      <c r="E1600" s="23"/>
      <c r="G1600" s="23"/>
      <c r="H1600" s="23"/>
      <c r="J1600" s="23"/>
      <c r="K1600" s="23"/>
      <c r="M1600" s="23"/>
      <c r="N1600" s="23"/>
      <c r="P1600" s="23"/>
    </row>
    <row r="1601" spans="2:16" x14ac:dyDescent="0.25">
      <c r="B1601" s="23"/>
      <c r="E1601" s="23"/>
      <c r="G1601" s="23"/>
      <c r="H1601" s="23"/>
      <c r="J1601" s="23"/>
      <c r="K1601" s="23"/>
      <c r="M1601" s="23"/>
      <c r="N1601" s="23"/>
      <c r="P1601" s="23"/>
    </row>
    <row r="1602" spans="2:16" x14ac:dyDescent="0.25">
      <c r="B1602" s="23"/>
      <c r="E1602" s="23"/>
      <c r="G1602" s="23"/>
      <c r="H1602" s="23"/>
      <c r="J1602" s="23"/>
      <c r="K1602" s="23"/>
      <c r="M1602" s="23"/>
      <c r="N1602" s="23"/>
      <c r="P1602" s="23"/>
    </row>
    <row r="1603" spans="2:16" x14ac:dyDescent="0.25">
      <c r="B1603" s="23"/>
      <c r="E1603" s="23"/>
      <c r="G1603" s="23"/>
      <c r="H1603" s="23"/>
      <c r="J1603" s="23"/>
      <c r="K1603" s="23"/>
      <c r="M1603" s="23"/>
      <c r="N1603" s="23"/>
      <c r="P1603" s="23"/>
    </row>
    <row r="1604" spans="2:16" x14ac:dyDescent="0.25">
      <c r="B1604" s="23"/>
      <c r="E1604" s="23"/>
      <c r="G1604" s="23"/>
      <c r="H1604" s="23"/>
      <c r="J1604" s="23"/>
      <c r="K1604" s="23"/>
      <c r="M1604" s="23"/>
      <c r="N1604" s="23"/>
      <c r="P1604" s="23"/>
    </row>
    <row r="1605" spans="2:16" x14ac:dyDescent="0.25">
      <c r="B1605" s="23"/>
      <c r="E1605" s="23"/>
      <c r="G1605" s="23"/>
      <c r="H1605" s="23"/>
      <c r="J1605" s="23"/>
      <c r="K1605" s="23"/>
      <c r="M1605" s="23"/>
      <c r="N1605" s="23"/>
      <c r="P1605" s="23"/>
    </row>
    <row r="1606" spans="2:16" x14ac:dyDescent="0.25">
      <c r="B1606" s="23"/>
      <c r="E1606" s="23"/>
      <c r="G1606" s="23"/>
      <c r="H1606" s="23"/>
      <c r="J1606" s="23"/>
      <c r="K1606" s="23"/>
      <c r="M1606" s="23"/>
      <c r="N1606" s="23"/>
      <c r="P1606" s="23"/>
    </row>
    <row r="1607" spans="2:16" x14ac:dyDescent="0.25">
      <c r="B1607" s="23"/>
      <c r="E1607" s="23"/>
      <c r="G1607" s="23"/>
      <c r="H1607" s="23"/>
      <c r="J1607" s="23"/>
      <c r="K1607" s="23"/>
      <c r="M1607" s="23"/>
      <c r="N1607" s="23"/>
      <c r="P1607" s="23"/>
    </row>
    <row r="1608" spans="2:16" x14ac:dyDescent="0.25">
      <c r="B1608" s="23"/>
      <c r="E1608" s="23"/>
      <c r="G1608" s="23"/>
      <c r="H1608" s="23"/>
      <c r="J1608" s="23"/>
      <c r="K1608" s="23"/>
      <c r="M1608" s="23"/>
      <c r="N1608" s="23"/>
      <c r="P1608" s="23"/>
    </row>
    <row r="1609" spans="2:16" x14ac:dyDescent="0.25">
      <c r="B1609" s="23"/>
      <c r="E1609" s="23"/>
      <c r="G1609" s="23"/>
      <c r="H1609" s="23"/>
      <c r="J1609" s="23"/>
      <c r="K1609" s="23"/>
      <c r="M1609" s="23"/>
      <c r="N1609" s="23"/>
      <c r="P1609" s="23"/>
    </row>
    <row r="1610" spans="2:16" x14ac:dyDescent="0.25">
      <c r="B1610" s="23"/>
      <c r="E1610" s="23"/>
      <c r="G1610" s="23"/>
      <c r="H1610" s="23"/>
      <c r="J1610" s="23"/>
      <c r="K1610" s="23"/>
      <c r="M1610" s="23"/>
      <c r="N1610" s="23"/>
      <c r="P1610" s="23"/>
    </row>
    <row r="1611" spans="2:16" x14ac:dyDescent="0.25">
      <c r="B1611" s="23"/>
      <c r="E1611" s="23"/>
      <c r="G1611" s="23"/>
      <c r="H1611" s="23"/>
      <c r="J1611" s="23"/>
      <c r="K1611" s="23"/>
      <c r="M1611" s="23"/>
      <c r="N1611" s="23"/>
      <c r="P1611" s="23"/>
    </row>
    <row r="1612" spans="2:16" x14ac:dyDescent="0.25">
      <c r="B1612" s="23"/>
      <c r="E1612" s="23"/>
      <c r="G1612" s="23"/>
      <c r="H1612" s="23"/>
      <c r="J1612" s="23"/>
      <c r="K1612" s="23"/>
      <c r="M1612" s="23"/>
      <c r="N1612" s="23"/>
      <c r="P1612" s="23"/>
    </row>
    <row r="1613" spans="2:16" x14ac:dyDescent="0.25">
      <c r="B1613" s="23"/>
      <c r="E1613" s="23"/>
      <c r="G1613" s="23"/>
      <c r="H1613" s="23"/>
      <c r="J1613" s="23"/>
      <c r="K1613" s="23"/>
      <c r="M1613" s="23"/>
      <c r="N1613" s="23"/>
      <c r="P1613" s="23"/>
    </row>
    <row r="1614" spans="2:16" x14ac:dyDescent="0.25">
      <c r="B1614" s="23"/>
      <c r="E1614" s="23"/>
      <c r="G1614" s="23"/>
      <c r="H1614" s="23"/>
      <c r="J1614" s="23"/>
      <c r="K1614" s="23"/>
      <c r="M1614" s="23"/>
      <c r="N1614" s="23"/>
      <c r="P1614" s="23"/>
    </row>
    <row r="1615" spans="2:16" x14ac:dyDescent="0.25">
      <c r="B1615" s="23"/>
      <c r="E1615" s="23"/>
      <c r="G1615" s="23"/>
      <c r="H1615" s="23"/>
      <c r="J1615" s="23"/>
      <c r="K1615" s="23"/>
      <c r="M1615" s="23"/>
      <c r="N1615" s="23"/>
      <c r="P1615" s="23"/>
    </row>
    <row r="1616" spans="2:16" x14ac:dyDescent="0.25">
      <c r="B1616" s="23"/>
      <c r="E1616" s="23"/>
      <c r="G1616" s="23"/>
      <c r="H1616" s="23"/>
      <c r="J1616" s="23"/>
      <c r="K1616" s="23"/>
      <c r="M1616" s="23"/>
      <c r="N1616" s="23"/>
      <c r="P1616" s="23"/>
    </row>
    <row r="1617" spans="2:16" x14ac:dyDescent="0.25">
      <c r="B1617" s="23"/>
      <c r="E1617" s="23"/>
      <c r="G1617" s="23"/>
      <c r="H1617" s="23"/>
      <c r="J1617" s="23"/>
      <c r="K1617" s="23"/>
      <c r="M1617" s="23"/>
      <c r="N1617" s="23"/>
      <c r="P1617" s="23"/>
    </row>
    <row r="1618" spans="2:16" x14ac:dyDescent="0.25">
      <c r="B1618" s="23"/>
      <c r="E1618" s="23"/>
      <c r="G1618" s="23"/>
      <c r="H1618" s="23"/>
      <c r="J1618" s="23"/>
      <c r="K1618" s="23"/>
      <c r="M1618" s="23"/>
      <c r="N1618" s="23"/>
      <c r="P1618" s="23"/>
    </row>
    <row r="1619" spans="2:16" x14ac:dyDescent="0.25">
      <c r="B1619" s="23"/>
      <c r="E1619" s="23"/>
      <c r="G1619" s="23"/>
      <c r="H1619" s="23"/>
      <c r="J1619" s="23"/>
      <c r="K1619" s="23"/>
      <c r="M1619" s="23"/>
      <c r="N1619" s="23"/>
      <c r="P1619" s="23"/>
    </row>
    <row r="1620" spans="2:16" x14ac:dyDescent="0.25">
      <c r="B1620" s="23"/>
      <c r="E1620" s="23"/>
      <c r="G1620" s="23"/>
      <c r="H1620" s="23"/>
      <c r="J1620" s="23"/>
      <c r="K1620" s="23"/>
      <c r="M1620" s="23"/>
      <c r="N1620" s="23"/>
      <c r="P1620" s="23"/>
    </row>
    <row r="1621" spans="2:16" x14ac:dyDescent="0.25">
      <c r="B1621" s="23"/>
      <c r="E1621" s="23"/>
      <c r="G1621" s="23"/>
      <c r="H1621" s="23"/>
      <c r="J1621" s="23"/>
      <c r="K1621" s="23"/>
      <c r="M1621" s="23"/>
      <c r="N1621" s="23"/>
      <c r="P1621" s="23"/>
    </row>
    <row r="1622" spans="2:16" x14ac:dyDescent="0.25">
      <c r="B1622" s="23"/>
      <c r="E1622" s="23"/>
      <c r="G1622" s="23"/>
      <c r="H1622" s="23"/>
      <c r="J1622" s="23"/>
      <c r="K1622" s="23"/>
      <c r="M1622" s="23"/>
      <c r="N1622" s="23"/>
      <c r="P1622" s="23"/>
    </row>
    <row r="1623" spans="2:16" x14ac:dyDescent="0.25">
      <c r="B1623" s="23"/>
      <c r="E1623" s="23"/>
      <c r="G1623" s="23"/>
      <c r="H1623" s="23"/>
      <c r="J1623" s="23"/>
      <c r="K1623" s="23"/>
      <c r="M1623" s="23"/>
      <c r="N1623" s="23"/>
      <c r="P1623" s="23"/>
    </row>
    <row r="1624" spans="2:16" x14ac:dyDescent="0.25">
      <c r="B1624" s="23"/>
      <c r="E1624" s="23"/>
      <c r="G1624" s="23"/>
      <c r="H1624" s="23"/>
      <c r="J1624" s="23"/>
      <c r="K1624" s="23"/>
      <c r="M1624" s="23"/>
      <c r="N1624" s="23"/>
      <c r="P1624" s="23"/>
    </row>
    <row r="1625" spans="2:16" x14ac:dyDescent="0.25">
      <c r="B1625" s="23"/>
      <c r="E1625" s="23"/>
      <c r="G1625" s="23"/>
      <c r="H1625" s="23"/>
      <c r="J1625" s="23"/>
      <c r="K1625" s="23"/>
      <c r="M1625" s="23"/>
      <c r="N1625" s="23"/>
      <c r="P1625" s="23"/>
    </row>
    <row r="1626" spans="2:16" x14ac:dyDescent="0.25">
      <c r="B1626" s="23"/>
      <c r="E1626" s="23"/>
      <c r="G1626" s="23"/>
      <c r="H1626" s="23"/>
      <c r="J1626" s="23"/>
      <c r="K1626" s="23"/>
      <c r="M1626" s="23"/>
      <c r="N1626" s="23"/>
      <c r="P1626" s="23"/>
    </row>
    <row r="1627" spans="2:16" x14ac:dyDescent="0.25">
      <c r="B1627" s="23"/>
      <c r="E1627" s="23"/>
      <c r="G1627" s="23"/>
      <c r="H1627" s="23"/>
      <c r="J1627" s="23"/>
      <c r="K1627" s="23"/>
      <c r="M1627" s="23"/>
      <c r="N1627" s="23"/>
      <c r="P1627" s="23"/>
    </row>
    <row r="1628" spans="2:16" x14ac:dyDescent="0.25">
      <c r="B1628" s="23"/>
      <c r="E1628" s="23"/>
      <c r="G1628" s="23"/>
      <c r="H1628" s="23"/>
      <c r="J1628" s="23"/>
      <c r="K1628" s="23"/>
      <c r="M1628" s="23"/>
      <c r="N1628" s="23"/>
      <c r="P1628" s="23"/>
    </row>
    <row r="1629" spans="2:16" x14ac:dyDescent="0.25">
      <c r="B1629" s="23"/>
      <c r="E1629" s="23"/>
      <c r="G1629" s="23"/>
      <c r="H1629" s="23"/>
      <c r="J1629" s="23"/>
      <c r="K1629" s="23"/>
      <c r="M1629" s="23"/>
      <c r="N1629" s="23"/>
      <c r="P1629" s="23"/>
    </row>
    <row r="1630" spans="2:16" x14ac:dyDescent="0.25">
      <c r="B1630" s="23"/>
      <c r="E1630" s="23"/>
      <c r="G1630" s="23"/>
      <c r="H1630" s="23"/>
      <c r="J1630" s="23"/>
      <c r="K1630" s="23"/>
      <c r="M1630" s="23"/>
      <c r="N1630" s="23"/>
      <c r="P1630" s="23"/>
    </row>
    <row r="1631" spans="2:16" x14ac:dyDescent="0.25">
      <c r="B1631" s="23"/>
      <c r="E1631" s="23"/>
      <c r="G1631" s="23"/>
      <c r="H1631" s="23"/>
      <c r="J1631" s="23"/>
      <c r="K1631" s="23"/>
      <c r="M1631" s="23"/>
      <c r="N1631" s="23"/>
      <c r="P1631" s="23"/>
    </row>
    <row r="1632" spans="2:16" x14ac:dyDescent="0.25">
      <c r="B1632" s="23"/>
      <c r="E1632" s="23"/>
      <c r="G1632" s="23"/>
      <c r="H1632" s="23"/>
      <c r="J1632" s="23"/>
      <c r="K1632" s="23"/>
      <c r="M1632" s="23"/>
      <c r="N1632" s="23"/>
      <c r="P1632" s="23"/>
    </row>
    <row r="1633" spans="2:16" x14ac:dyDescent="0.25">
      <c r="B1633" s="23"/>
      <c r="E1633" s="23"/>
      <c r="G1633" s="23"/>
      <c r="H1633" s="23"/>
      <c r="J1633" s="23"/>
      <c r="K1633" s="23"/>
      <c r="M1633" s="23"/>
      <c r="N1633" s="23"/>
      <c r="P1633" s="23"/>
    </row>
    <row r="1634" spans="2:16" x14ac:dyDescent="0.25">
      <c r="B1634" s="23"/>
      <c r="E1634" s="23"/>
      <c r="G1634" s="23"/>
      <c r="H1634" s="23"/>
      <c r="J1634" s="23"/>
      <c r="K1634" s="23"/>
      <c r="M1634" s="23"/>
      <c r="N1634" s="23"/>
      <c r="P1634" s="23"/>
    </row>
    <row r="1635" spans="2:16" x14ac:dyDescent="0.25">
      <c r="B1635" s="23"/>
      <c r="E1635" s="23"/>
      <c r="G1635" s="23"/>
      <c r="H1635" s="23"/>
      <c r="J1635" s="23"/>
      <c r="K1635" s="23"/>
      <c r="M1635" s="23"/>
      <c r="N1635" s="23"/>
      <c r="P1635" s="23"/>
    </row>
    <row r="1636" spans="2:16" x14ac:dyDescent="0.25">
      <c r="B1636" s="23"/>
      <c r="E1636" s="23"/>
      <c r="G1636" s="23"/>
      <c r="H1636" s="23"/>
      <c r="J1636" s="23"/>
      <c r="K1636" s="23"/>
      <c r="M1636" s="23"/>
      <c r="N1636" s="23"/>
      <c r="P1636" s="23"/>
    </row>
    <row r="1637" spans="2:16" x14ac:dyDescent="0.25">
      <c r="B1637" s="23"/>
      <c r="E1637" s="23"/>
      <c r="G1637" s="23"/>
      <c r="H1637" s="23"/>
      <c r="J1637" s="23"/>
      <c r="K1637" s="23"/>
      <c r="M1637" s="23"/>
      <c r="N1637" s="23"/>
      <c r="P1637" s="23"/>
    </row>
    <row r="1638" spans="2:16" x14ac:dyDescent="0.25">
      <c r="B1638" s="23"/>
      <c r="E1638" s="23"/>
      <c r="G1638" s="23"/>
      <c r="H1638" s="23"/>
      <c r="J1638" s="23"/>
      <c r="K1638" s="23"/>
      <c r="M1638" s="23"/>
      <c r="N1638" s="23"/>
      <c r="P1638" s="23"/>
    </row>
    <row r="1639" spans="2:16" x14ac:dyDescent="0.25">
      <c r="B1639" s="23"/>
      <c r="E1639" s="23"/>
      <c r="G1639" s="23"/>
      <c r="H1639" s="23"/>
      <c r="J1639" s="23"/>
      <c r="K1639" s="23"/>
      <c r="M1639" s="23"/>
      <c r="N1639" s="23"/>
      <c r="P1639" s="23"/>
    </row>
    <row r="1640" spans="2:16" x14ac:dyDescent="0.25">
      <c r="B1640" s="23"/>
      <c r="E1640" s="23"/>
      <c r="G1640" s="23"/>
      <c r="H1640" s="23"/>
      <c r="J1640" s="23"/>
      <c r="K1640" s="23"/>
      <c r="M1640" s="23"/>
      <c r="N1640" s="23"/>
      <c r="P1640" s="23"/>
    </row>
    <row r="1641" spans="2:16" x14ac:dyDescent="0.25">
      <c r="B1641" s="23"/>
      <c r="E1641" s="23"/>
      <c r="G1641" s="23"/>
      <c r="H1641" s="23"/>
      <c r="J1641" s="23"/>
      <c r="K1641" s="23"/>
      <c r="M1641" s="23"/>
      <c r="N1641" s="23"/>
      <c r="P1641" s="23"/>
    </row>
    <row r="1642" spans="2:16" x14ac:dyDescent="0.25">
      <c r="B1642" s="23"/>
      <c r="E1642" s="23"/>
      <c r="G1642" s="23"/>
      <c r="H1642" s="23"/>
      <c r="J1642" s="23"/>
      <c r="K1642" s="23"/>
      <c r="M1642" s="23"/>
      <c r="N1642" s="23"/>
      <c r="P1642" s="23"/>
    </row>
    <row r="1643" spans="2:16" x14ac:dyDescent="0.25">
      <c r="B1643" s="23"/>
      <c r="E1643" s="23"/>
      <c r="G1643" s="23"/>
      <c r="H1643" s="23"/>
      <c r="J1643" s="23"/>
      <c r="K1643" s="23"/>
      <c r="M1643" s="23"/>
      <c r="N1643" s="23"/>
      <c r="P1643" s="23"/>
    </row>
    <row r="1644" spans="2:16" x14ac:dyDescent="0.25">
      <c r="B1644" s="23"/>
      <c r="E1644" s="23"/>
      <c r="G1644" s="23"/>
      <c r="H1644" s="23"/>
      <c r="J1644" s="23"/>
      <c r="K1644" s="23"/>
      <c r="M1644" s="23"/>
      <c r="N1644" s="23"/>
      <c r="P1644" s="23"/>
    </row>
    <row r="1645" spans="2:16" x14ac:dyDescent="0.25">
      <c r="B1645" s="23"/>
      <c r="E1645" s="23"/>
      <c r="G1645" s="23"/>
      <c r="H1645" s="23"/>
      <c r="J1645" s="23"/>
      <c r="K1645" s="23"/>
      <c r="M1645" s="23"/>
      <c r="N1645" s="23"/>
      <c r="P1645" s="23"/>
    </row>
    <row r="1646" spans="2:16" x14ac:dyDescent="0.25">
      <c r="B1646" s="23"/>
      <c r="E1646" s="23"/>
      <c r="G1646" s="23"/>
      <c r="H1646" s="23"/>
      <c r="J1646" s="23"/>
      <c r="K1646" s="23"/>
      <c r="M1646" s="23"/>
      <c r="N1646" s="23"/>
      <c r="P1646" s="23"/>
    </row>
    <row r="1647" spans="2:16" x14ac:dyDescent="0.25">
      <c r="B1647" s="23"/>
      <c r="E1647" s="23"/>
      <c r="G1647" s="23"/>
      <c r="H1647" s="23"/>
      <c r="J1647" s="23"/>
      <c r="K1647" s="23"/>
      <c r="M1647" s="23"/>
      <c r="N1647" s="23"/>
      <c r="P1647" s="23"/>
    </row>
    <row r="1648" spans="2:16" x14ac:dyDescent="0.25">
      <c r="B1648" s="23"/>
      <c r="E1648" s="23"/>
      <c r="G1648" s="23"/>
      <c r="H1648" s="23"/>
      <c r="J1648" s="23"/>
      <c r="K1648" s="23"/>
      <c r="M1648" s="23"/>
      <c r="N1648" s="23"/>
      <c r="P1648" s="23"/>
    </row>
    <row r="1649" spans="2:16" x14ac:dyDescent="0.25">
      <c r="B1649" s="23"/>
      <c r="E1649" s="23"/>
      <c r="G1649" s="23"/>
      <c r="H1649" s="23"/>
      <c r="J1649" s="23"/>
      <c r="K1649" s="23"/>
      <c r="M1649" s="23"/>
      <c r="N1649" s="23"/>
      <c r="P1649" s="23"/>
    </row>
    <row r="1650" spans="2:16" x14ac:dyDescent="0.25">
      <c r="B1650" s="23"/>
      <c r="E1650" s="23"/>
      <c r="G1650" s="23"/>
      <c r="H1650" s="23"/>
      <c r="J1650" s="23"/>
      <c r="K1650" s="23"/>
      <c r="M1650" s="23"/>
      <c r="N1650" s="23"/>
      <c r="P1650" s="23"/>
    </row>
    <row r="1651" spans="2:16" x14ac:dyDescent="0.25">
      <c r="B1651" s="23"/>
      <c r="E1651" s="23"/>
      <c r="G1651" s="23"/>
      <c r="H1651" s="23"/>
      <c r="J1651" s="23"/>
      <c r="K1651" s="23"/>
      <c r="M1651" s="23"/>
      <c r="N1651" s="23"/>
      <c r="P1651" s="23"/>
    </row>
    <row r="1652" spans="2:16" x14ac:dyDescent="0.25">
      <c r="B1652" s="23"/>
      <c r="E1652" s="23"/>
      <c r="G1652" s="23"/>
      <c r="H1652" s="23"/>
      <c r="J1652" s="23"/>
      <c r="K1652" s="23"/>
      <c r="M1652" s="23"/>
      <c r="N1652" s="23"/>
      <c r="P1652" s="23"/>
    </row>
    <row r="1653" spans="2:16" x14ac:dyDescent="0.25">
      <c r="B1653" s="23"/>
      <c r="E1653" s="23"/>
      <c r="G1653" s="23"/>
      <c r="H1653" s="23"/>
      <c r="J1653" s="23"/>
      <c r="K1653" s="23"/>
      <c r="M1653" s="23"/>
      <c r="N1653" s="23"/>
      <c r="P1653" s="23"/>
    </row>
    <row r="1654" spans="2:16" x14ac:dyDescent="0.25">
      <c r="B1654" s="23"/>
      <c r="E1654" s="23"/>
      <c r="G1654" s="23"/>
      <c r="H1654" s="23"/>
      <c r="J1654" s="23"/>
      <c r="K1654" s="23"/>
      <c r="M1654" s="23"/>
      <c r="N1654" s="23"/>
      <c r="P1654" s="23"/>
    </row>
    <row r="1655" spans="2:16" x14ac:dyDescent="0.25">
      <c r="B1655" s="23"/>
      <c r="E1655" s="23"/>
      <c r="G1655" s="23"/>
      <c r="H1655" s="23"/>
      <c r="J1655" s="23"/>
      <c r="K1655" s="23"/>
      <c r="M1655" s="23"/>
      <c r="N1655" s="23"/>
      <c r="P1655" s="23"/>
    </row>
    <row r="1656" spans="2:16" x14ac:dyDescent="0.25">
      <c r="B1656" s="23"/>
      <c r="E1656" s="23"/>
      <c r="G1656" s="23"/>
      <c r="H1656" s="23"/>
      <c r="J1656" s="23"/>
      <c r="K1656" s="23"/>
      <c r="M1656" s="23"/>
      <c r="N1656" s="23"/>
      <c r="P1656" s="23"/>
    </row>
    <row r="1657" spans="2:16" x14ac:dyDescent="0.25">
      <c r="B1657" s="23"/>
      <c r="E1657" s="23"/>
      <c r="G1657" s="23"/>
      <c r="H1657" s="23"/>
      <c r="J1657" s="23"/>
      <c r="K1657" s="23"/>
      <c r="M1657" s="23"/>
      <c r="N1657" s="23"/>
      <c r="P1657" s="23"/>
    </row>
    <row r="1658" spans="2:16" x14ac:dyDescent="0.25">
      <c r="B1658" s="23"/>
      <c r="E1658" s="23"/>
      <c r="G1658" s="23"/>
      <c r="H1658" s="23"/>
      <c r="J1658" s="23"/>
      <c r="K1658" s="23"/>
      <c r="M1658" s="23"/>
      <c r="N1658" s="23"/>
      <c r="P1658" s="23"/>
    </row>
    <row r="1659" spans="2:16" x14ac:dyDescent="0.25">
      <c r="B1659" s="23"/>
      <c r="E1659" s="23"/>
      <c r="G1659" s="23"/>
      <c r="H1659" s="23"/>
      <c r="J1659" s="23"/>
      <c r="K1659" s="23"/>
      <c r="M1659" s="23"/>
      <c r="N1659" s="23"/>
      <c r="P1659" s="23"/>
    </row>
    <row r="1660" spans="2:16" x14ac:dyDescent="0.25">
      <c r="B1660" s="23"/>
      <c r="E1660" s="23"/>
      <c r="G1660" s="23"/>
      <c r="H1660" s="23"/>
      <c r="J1660" s="23"/>
      <c r="K1660" s="23"/>
      <c r="M1660" s="23"/>
      <c r="N1660" s="23"/>
      <c r="P1660" s="23"/>
    </row>
    <row r="1661" spans="2:16" x14ac:dyDescent="0.25">
      <c r="B1661" s="23"/>
      <c r="E1661" s="23"/>
      <c r="G1661" s="23"/>
      <c r="H1661" s="23"/>
      <c r="J1661" s="23"/>
      <c r="K1661" s="23"/>
      <c r="M1661" s="23"/>
      <c r="N1661" s="23"/>
      <c r="P1661" s="23"/>
    </row>
    <row r="1662" spans="2:16" x14ac:dyDescent="0.25">
      <c r="B1662" s="23"/>
      <c r="E1662" s="23"/>
      <c r="G1662" s="23"/>
      <c r="H1662" s="23"/>
      <c r="J1662" s="23"/>
      <c r="K1662" s="23"/>
      <c r="M1662" s="23"/>
      <c r="N1662" s="23"/>
      <c r="P1662" s="23"/>
    </row>
    <row r="1663" spans="2:16" x14ac:dyDescent="0.25">
      <c r="B1663" s="23"/>
      <c r="E1663" s="23"/>
      <c r="G1663" s="23"/>
      <c r="H1663" s="23"/>
      <c r="J1663" s="23"/>
      <c r="K1663" s="23"/>
      <c r="M1663" s="23"/>
      <c r="N1663" s="23"/>
      <c r="P1663" s="23"/>
    </row>
    <row r="1664" spans="2:16" x14ac:dyDescent="0.25">
      <c r="B1664" s="23"/>
      <c r="E1664" s="23"/>
      <c r="G1664" s="23"/>
      <c r="H1664" s="23"/>
      <c r="J1664" s="23"/>
      <c r="K1664" s="23"/>
      <c r="M1664" s="23"/>
      <c r="N1664" s="23"/>
      <c r="P1664" s="23"/>
    </row>
    <row r="1665" spans="2:16" x14ac:dyDescent="0.25">
      <c r="B1665" s="23"/>
      <c r="E1665" s="23"/>
      <c r="G1665" s="23"/>
      <c r="H1665" s="23"/>
      <c r="J1665" s="23"/>
      <c r="K1665" s="23"/>
      <c r="M1665" s="23"/>
      <c r="N1665" s="23"/>
      <c r="P1665" s="23"/>
    </row>
    <row r="1666" spans="2:16" x14ac:dyDescent="0.25">
      <c r="B1666" s="23"/>
      <c r="E1666" s="23"/>
      <c r="G1666" s="23"/>
      <c r="H1666" s="23"/>
      <c r="J1666" s="23"/>
      <c r="K1666" s="23"/>
      <c r="M1666" s="23"/>
      <c r="N1666" s="23"/>
      <c r="P1666" s="23"/>
    </row>
    <row r="1667" spans="2:16" x14ac:dyDescent="0.25">
      <c r="B1667" s="23"/>
      <c r="E1667" s="23"/>
      <c r="G1667" s="23"/>
      <c r="H1667" s="23"/>
      <c r="J1667" s="23"/>
      <c r="K1667" s="23"/>
      <c r="M1667" s="23"/>
      <c r="N1667" s="23"/>
      <c r="P1667" s="23"/>
    </row>
    <row r="1668" spans="2:16" x14ac:dyDescent="0.25">
      <c r="B1668" s="23"/>
      <c r="E1668" s="23"/>
      <c r="G1668" s="23"/>
      <c r="H1668" s="23"/>
      <c r="J1668" s="23"/>
      <c r="K1668" s="23"/>
      <c r="M1668" s="23"/>
      <c r="N1668" s="23"/>
      <c r="P1668" s="23"/>
    </row>
    <row r="1669" spans="2:16" x14ac:dyDescent="0.25">
      <c r="B1669" s="23"/>
      <c r="E1669" s="23"/>
      <c r="G1669" s="23"/>
      <c r="H1669" s="23"/>
      <c r="J1669" s="23"/>
      <c r="K1669" s="23"/>
      <c r="M1669" s="23"/>
      <c r="N1669" s="23"/>
      <c r="P1669" s="23"/>
    </row>
    <row r="1670" spans="2:16" x14ac:dyDescent="0.25">
      <c r="B1670" s="23"/>
      <c r="E1670" s="23"/>
      <c r="G1670" s="23"/>
      <c r="H1670" s="23"/>
      <c r="J1670" s="23"/>
      <c r="K1670" s="23"/>
      <c r="M1670" s="23"/>
      <c r="N1670" s="23"/>
      <c r="P1670" s="23"/>
    </row>
    <row r="1671" spans="2:16" x14ac:dyDescent="0.25">
      <c r="B1671" s="23"/>
      <c r="E1671" s="23"/>
      <c r="G1671" s="23"/>
      <c r="H1671" s="23"/>
      <c r="J1671" s="23"/>
      <c r="K1671" s="23"/>
      <c r="M1671" s="23"/>
      <c r="N1671" s="23"/>
      <c r="P1671" s="23"/>
    </row>
    <row r="1672" spans="2:16" x14ac:dyDescent="0.25">
      <c r="B1672" s="23"/>
      <c r="E1672" s="23"/>
      <c r="G1672" s="23"/>
      <c r="H1672" s="23"/>
      <c r="J1672" s="23"/>
      <c r="K1672" s="23"/>
      <c r="M1672" s="23"/>
      <c r="N1672" s="23"/>
      <c r="P1672" s="23"/>
    </row>
    <row r="1673" spans="2:16" x14ac:dyDescent="0.25">
      <c r="B1673" s="23"/>
      <c r="E1673" s="23"/>
      <c r="G1673" s="23"/>
      <c r="H1673" s="23"/>
      <c r="J1673" s="23"/>
      <c r="K1673" s="23"/>
      <c r="M1673" s="23"/>
      <c r="N1673" s="23"/>
      <c r="P1673" s="23"/>
    </row>
    <row r="1674" spans="2:16" x14ac:dyDescent="0.25">
      <c r="B1674" s="23"/>
      <c r="E1674" s="23"/>
      <c r="G1674" s="23"/>
      <c r="H1674" s="23"/>
      <c r="J1674" s="23"/>
      <c r="K1674" s="23"/>
      <c r="M1674" s="23"/>
      <c r="N1674" s="23"/>
      <c r="P1674" s="23"/>
    </row>
    <row r="1675" spans="2:16" x14ac:dyDescent="0.25">
      <c r="B1675" s="23"/>
      <c r="E1675" s="23"/>
      <c r="G1675" s="23"/>
      <c r="H1675" s="23"/>
      <c r="J1675" s="23"/>
      <c r="K1675" s="23"/>
      <c r="M1675" s="23"/>
      <c r="N1675" s="23"/>
      <c r="P1675" s="23"/>
    </row>
    <row r="1676" spans="2:16" x14ac:dyDescent="0.25">
      <c r="B1676" s="23"/>
      <c r="E1676" s="23"/>
      <c r="G1676" s="23"/>
      <c r="H1676" s="23"/>
      <c r="J1676" s="23"/>
      <c r="K1676" s="23"/>
      <c r="M1676" s="23"/>
      <c r="N1676" s="23"/>
      <c r="P1676" s="23"/>
    </row>
    <row r="1677" spans="2:16" x14ac:dyDescent="0.25">
      <c r="B1677" s="23"/>
      <c r="E1677" s="23"/>
      <c r="G1677" s="23"/>
      <c r="H1677" s="23"/>
      <c r="J1677" s="23"/>
      <c r="K1677" s="23"/>
      <c r="M1677" s="23"/>
      <c r="N1677" s="23"/>
      <c r="P1677" s="23"/>
    </row>
    <row r="1678" spans="2:16" x14ac:dyDescent="0.25">
      <c r="B1678" s="23"/>
      <c r="E1678" s="23"/>
      <c r="G1678" s="23"/>
      <c r="H1678" s="23"/>
      <c r="J1678" s="23"/>
      <c r="K1678" s="23"/>
      <c r="M1678" s="23"/>
      <c r="N1678" s="23"/>
      <c r="P1678" s="23"/>
    </row>
    <row r="1679" spans="2:16" x14ac:dyDescent="0.25">
      <c r="B1679" s="23"/>
      <c r="E1679" s="23"/>
      <c r="G1679" s="23"/>
      <c r="H1679" s="23"/>
      <c r="J1679" s="23"/>
      <c r="K1679" s="23"/>
      <c r="M1679" s="23"/>
      <c r="N1679" s="23"/>
      <c r="P1679" s="23"/>
    </row>
    <row r="1680" spans="2:16" x14ac:dyDescent="0.25">
      <c r="B1680" s="23"/>
      <c r="E1680" s="23"/>
      <c r="G1680" s="23"/>
      <c r="H1680" s="23"/>
      <c r="J1680" s="23"/>
      <c r="K1680" s="23"/>
      <c r="M1680" s="23"/>
      <c r="N1680" s="23"/>
      <c r="P1680" s="23"/>
    </row>
    <row r="1681" spans="2:16" x14ac:dyDescent="0.25">
      <c r="B1681" s="23"/>
      <c r="E1681" s="23"/>
      <c r="G1681" s="23"/>
      <c r="H1681" s="23"/>
      <c r="J1681" s="23"/>
      <c r="K1681" s="23"/>
      <c r="M1681" s="23"/>
      <c r="N1681" s="23"/>
      <c r="P1681" s="23"/>
    </row>
    <row r="1682" spans="2:16" x14ac:dyDescent="0.25">
      <c r="B1682" s="23"/>
      <c r="E1682" s="23"/>
      <c r="G1682" s="23"/>
      <c r="H1682" s="23"/>
      <c r="J1682" s="23"/>
      <c r="K1682" s="23"/>
      <c r="M1682" s="23"/>
      <c r="N1682" s="23"/>
      <c r="P1682" s="23"/>
    </row>
    <row r="1683" spans="2:16" x14ac:dyDescent="0.25">
      <c r="B1683" s="23"/>
      <c r="E1683" s="23"/>
      <c r="G1683" s="23"/>
      <c r="H1683" s="23"/>
      <c r="J1683" s="23"/>
      <c r="K1683" s="23"/>
      <c r="M1683" s="23"/>
      <c r="N1683" s="23"/>
      <c r="P1683" s="23"/>
    </row>
    <row r="1684" spans="2:16" x14ac:dyDescent="0.25">
      <c r="B1684" s="23"/>
      <c r="E1684" s="23"/>
      <c r="G1684" s="23"/>
      <c r="H1684" s="23"/>
      <c r="J1684" s="23"/>
      <c r="K1684" s="23"/>
      <c r="M1684" s="23"/>
      <c r="N1684" s="23"/>
      <c r="P1684" s="23"/>
    </row>
    <row r="1685" spans="2:16" x14ac:dyDescent="0.25">
      <c r="B1685" s="23"/>
      <c r="E1685" s="23"/>
      <c r="G1685" s="23"/>
      <c r="H1685" s="23"/>
      <c r="J1685" s="23"/>
      <c r="K1685" s="23"/>
      <c r="M1685" s="23"/>
      <c r="N1685" s="23"/>
      <c r="P1685" s="23"/>
    </row>
    <row r="1686" spans="2:16" x14ac:dyDescent="0.25">
      <c r="B1686" s="23"/>
      <c r="E1686" s="23"/>
      <c r="G1686" s="23"/>
      <c r="H1686" s="23"/>
      <c r="J1686" s="23"/>
      <c r="K1686" s="23"/>
      <c r="M1686" s="23"/>
      <c r="N1686" s="23"/>
      <c r="P1686" s="23"/>
    </row>
    <row r="1687" spans="2:16" x14ac:dyDescent="0.25">
      <c r="B1687" s="23"/>
      <c r="E1687" s="23"/>
      <c r="G1687" s="23"/>
      <c r="H1687" s="23"/>
      <c r="J1687" s="23"/>
      <c r="K1687" s="23"/>
      <c r="M1687" s="23"/>
      <c r="N1687" s="23"/>
      <c r="P1687" s="23"/>
    </row>
    <row r="1688" spans="2:16" x14ac:dyDescent="0.25">
      <c r="B1688" s="23"/>
      <c r="E1688" s="23"/>
      <c r="G1688" s="23"/>
      <c r="H1688" s="23"/>
      <c r="J1688" s="23"/>
      <c r="K1688" s="23"/>
      <c r="M1688" s="23"/>
      <c r="N1688" s="23"/>
      <c r="P1688" s="23"/>
    </row>
    <row r="1689" spans="2:16" x14ac:dyDescent="0.25">
      <c r="B1689" s="23"/>
      <c r="E1689" s="23"/>
      <c r="G1689" s="23"/>
      <c r="H1689" s="23"/>
      <c r="J1689" s="23"/>
      <c r="K1689" s="23"/>
      <c r="M1689" s="23"/>
      <c r="N1689" s="23"/>
      <c r="P1689" s="23"/>
    </row>
    <row r="1690" spans="2:16" x14ac:dyDescent="0.25">
      <c r="B1690" s="23"/>
      <c r="E1690" s="23"/>
      <c r="G1690" s="23"/>
      <c r="H1690" s="23"/>
      <c r="J1690" s="23"/>
      <c r="K1690" s="23"/>
      <c r="M1690" s="23"/>
      <c r="N1690" s="23"/>
      <c r="P1690" s="23"/>
    </row>
    <row r="1691" spans="2:16" x14ac:dyDescent="0.25">
      <c r="B1691" s="23"/>
      <c r="E1691" s="23"/>
      <c r="G1691" s="23"/>
      <c r="H1691" s="23"/>
      <c r="J1691" s="23"/>
      <c r="K1691" s="23"/>
      <c r="M1691" s="23"/>
      <c r="N1691" s="23"/>
      <c r="P1691" s="23"/>
    </row>
    <row r="1692" spans="2:16" x14ac:dyDescent="0.25">
      <c r="B1692" s="23"/>
      <c r="E1692" s="23"/>
      <c r="G1692" s="23"/>
      <c r="H1692" s="23"/>
      <c r="J1692" s="23"/>
      <c r="K1692" s="23"/>
      <c r="M1692" s="23"/>
      <c r="N1692" s="23"/>
      <c r="P1692" s="23"/>
    </row>
    <row r="1693" spans="2:16" x14ac:dyDescent="0.25">
      <c r="B1693" s="23"/>
      <c r="E1693" s="23"/>
      <c r="G1693" s="23"/>
      <c r="H1693" s="23"/>
      <c r="J1693" s="23"/>
      <c r="K1693" s="23"/>
      <c r="M1693" s="23"/>
      <c r="N1693" s="23"/>
      <c r="P1693" s="23"/>
    </row>
    <row r="1694" spans="2:16" x14ac:dyDescent="0.25">
      <c r="B1694" s="23"/>
      <c r="E1694" s="23"/>
      <c r="G1694" s="23"/>
      <c r="H1694" s="23"/>
      <c r="J1694" s="23"/>
      <c r="K1694" s="23"/>
      <c r="M1694" s="23"/>
      <c r="N1694" s="23"/>
      <c r="P1694" s="23"/>
    </row>
    <row r="1695" spans="2:16" x14ac:dyDescent="0.25">
      <c r="B1695" s="23"/>
      <c r="E1695" s="23"/>
      <c r="G1695" s="23"/>
      <c r="H1695" s="23"/>
      <c r="J1695" s="23"/>
      <c r="K1695" s="23"/>
      <c r="M1695" s="23"/>
      <c r="N1695" s="23"/>
      <c r="P1695" s="23"/>
    </row>
    <row r="1696" spans="2:16" x14ac:dyDescent="0.25">
      <c r="B1696" s="23"/>
      <c r="E1696" s="23"/>
      <c r="G1696" s="23"/>
      <c r="H1696" s="23"/>
      <c r="J1696" s="23"/>
      <c r="K1696" s="23"/>
      <c r="M1696" s="23"/>
      <c r="N1696" s="23"/>
      <c r="P1696" s="23"/>
    </row>
    <row r="1697" spans="2:16" x14ac:dyDescent="0.25">
      <c r="B1697" s="23"/>
      <c r="E1697" s="23"/>
      <c r="G1697" s="23"/>
      <c r="H1697" s="23"/>
      <c r="J1697" s="23"/>
      <c r="K1697" s="23"/>
      <c r="M1697" s="23"/>
      <c r="N1697" s="23"/>
      <c r="P1697" s="23"/>
    </row>
    <row r="1698" spans="2:16" x14ac:dyDescent="0.25">
      <c r="B1698" s="23"/>
      <c r="E1698" s="23"/>
      <c r="G1698" s="23"/>
      <c r="H1698" s="23"/>
      <c r="J1698" s="23"/>
      <c r="K1698" s="23"/>
      <c r="M1698" s="23"/>
      <c r="N1698" s="23"/>
      <c r="P1698" s="23"/>
    </row>
    <row r="1699" spans="2:16" x14ac:dyDescent="0.25">
      <c r="B1699" s="23"/>
      <c r="E1699" s="23"/>
      <c r="G1699" s="23"/>
      <c r="H1699" s="23"/>
      <c r="J1699" s="23"/>
      <c r="K1699" s="23"/>
      <c r="M1699" s="23"/>
      <c r="N1699" s="23"/>
      <c r="P1699" s="23"/>
    </row>
    <row r="1700" spans="2:16" x14ac:dyDescent="0.25">
      <c r="B1700" s="23"/>
      <c r="E1700" s="23"/>
      <c r="G1700" s="23"/>
      <c r="H1700" s="23"/>
      <c r="J1700" s="23"/>
      <c r="K1700" s="23"/>
      <c r="M1700" s="23"/>
      <c r="N1700" s="23"/>
      <c r="P1700" s="23"/>
    </row>
    <row r="1701" spans="2:16" x14ac:dyDescent="0.25">
      <c r="B1701" s="23"/>
      <c r="E1701" s="23"/>
      <c r="G1701" s="23"/>
      <c r="H1701" s="23"/>
      <c r="J1701" s="23"/>
      <c r="K1701" s="23"/>
      <c r="M1701" s="23"/>
      <c r="N1701" s="23"/>
      <c r="P1701" s="23"/>
    </row>
    <row r="1702" spans="2:16" x14ac:dyDescent="0.25">
      <c r="B1702" s="23"/>
      <c r="E1702" s="23"/>
      <c r="G1702" s="23"/>
      <c r="H1702" s="23"/>
      <c r="J1702" s="23"/>
      <c r="K1702" s="23"/>
      <c r="M1702" s="23"/>
      <c r="N1702" s="23"/>
      <c r="P1702" s="23"/>
    </row>
    <row r="1703" spans="2:16" x14ac:dyDescent="0.25">
      <c r="B1703" s="23"/>
      <c r="E1703" s="23"/>
      <c r="G1703" s="23"/>
      <c r="H1703" s="23"/>
      <c r="J1703" s="23"/>
      <c r="K1703" s="23"/>
      <c r="M1703" s="23"/>
      <c r="N1703" s="23"/>
      <c r="P1703" s="23"/>
    </row>
    <row r="1704" spans="2:16" x14ac:dyDescent="0.25">
      <c r="B1704" s="23"/>
      <c r="E1704" s="23"/>
      <c r="G1704" s="23"/>
      <c r="H1704" s="23"/>
      <c r="J1704" s="23"/>
      <c r="K1704" s="23"/>
      <c r="M1704" s="23"/>
      <c r="N1704" s="23"/>
      <c r="P1704" s="23"/>
    </row>
    <row r="1705" spans="2:16" x14ac:dyDescent="0.25">
      <c r="B1705" s="23"/>
      <c r="E1705" s="23"/>
      <c r="G1705" s="23"/>
      <c r="H1705" s="23"/>
      <c r="J1705" s="23"/>
      <c r="K1705" s="23"/>
      <c r="M1705" s="23"/>
      <c r="N1705" s="23"/>
      <c r="P1705" s="23"/>
    </row>
    <row r="1706" spans="2:16" x14ac:dyDescent="0.25">
      <c r="B1706" s="23"/>
      <c r="E1706" s="23"/>
      <c r="G1706" s="23"/>
      <c r="H1706" s="23"/>
      <c r="J1706" s="23"/>
      <c r="K1706" s="23"/>
      <c r="M1706" s="23"/>
      <c r="N1706" s="23"/>
      <c r="P1706" s="23"/>
    </row>
    <row r="1707" spans="2:16" x14ac:dyDescent="0.25">
      <c r="B1707" s="23"/>
      <c r="E1707" s="23"/>
      <c r="G1707" s="23"/>
      <c r="H1707" s="23"/>
      <c r="J1707" s="23"/>
      <c r="K1707" s="23"/>
      <c r="M1707" s="23"/>
      <c r="N1707" s="23"/>
      <c r="P1707" s="23"/>
    </row>
    <row r="1708" spans="2:16" x14ac:dyDescent="0.25">
      <c r="B1708" s="23"/>
      <c r="E1708" s="23"/>
      <c r="G1708" s="23"/>
      <c r="H1708" s="23"/>
      <c r="J1708" s="23"/>
      <c r="K1708" s="23"/>
      <c r="M1708" s="23"/>
      <c r="N1708" s="23"/>
      <c r="P1708" s="23"/>
    </row>
    <row r="1709" spans="2:16" x14ac:dyDescent="0.25">
      <c r="B1709" s="23"/>
      <c r="E1709" s="23"/>
      <c r="G1709" s="23"/>
      <c r="H1709" s="23"/>
      <c r="J1709" s="23"/>
      <c r="K1709" s="23"/>
      <c r="M1709" s="23"/>
      <c r="N1709" s="23"/>
      <c r="P1709" s="23"/>
    </row>
    <row r="1710" spans="2:16" x14ac:dyDescent="0.25">
      <c r="B1710" s="23"/>
      <c r="E1710" s="23"/>
      <c r="G1710" s="23"/>
      <c r="H1710" s="23"/>
      <c r="J1710" s="23"/>
      <c r="K1710" s="23"/>
      <c r="M1710" s="23"/>
      <c r="N1710" s="23"/>
      <c r="P1710" s="23"/>
    </row>
    <row r="1711" spans="2:16" x14ac:dyDescent="0.25">
      <c r="B1711" s="23"/>
      <c r="E1711" s="23"/>
      <c r="G1711" s="23"/>
      <c r="H1711" s="23"/>
      <c r="J1711" s="23"/>
      <c r="K1711" s="23"/>
      <c r="M1711" s="23"/>
      <c r="N1711" s="23"/>
      <c r="P1711" s="23"/>
    </row>
    <row r="1712" spans="2:16" x14ac:dyDescent="0.25">
      <c r="B1712" s="23"/>
      <c r="E1712" s="23"/>
      <c r="G1712" s="23"/>
      <c r="H1712" s="23"/>
      <c r="J1712" s="23"/>
      <c r="K1712" s="23"/>
      <c r="M1712" s="23"/>
      <c r="N1712" s="23"/>
      <c r="P1712" s="23"/>
    </row>
    <row r="1713" spans="2:16" x14ac:dyDescent="0.25">
      <c r="B1713" s="23"/>
      <c r="E1713" s="23"/>
      <c r="G1713" s="23"/>
      <c r="H1713" s="23"/>
      <c r="J1713" s="23"/>
      <c r="K1713" s="23"/>
      <c r="M1713" s="23"/>
      <c r="N1713" s="23"/>
      <c r="P1713" s="23"/>
    </row>
    <row r="1714" spans="2:16" x14ac:dyDescent="0.25">
      <c r="B1714" s="23"/>
      <c r="E1714" s="23"/>
      <c r="G1714" s="23"/>
      <c r="H1714" s="23"/>
      <c r="J1714" s="23"/>
      <c r="K1714" s="23"/>
      <c r="M1714" s="23"/>
      <c r="N1714" s="23"/>
      <c r="P1714" s="23"/>
    </row>
    <row r="1715" spans="2:16" x14ac:dyDescent="0.25">
      <c r="B1715" s="23"/>
      <c r="E1715" s="23"/>
      <c r="G1715" s="23"/>
      <c r="H1715" s="23"/>
      <c r="J1715" s="23"/>
      <c r="K1715" s="23"/>
      <c r="M1715" s="23"/>
      <c r="N1715" s="23"/>
      <c r="P1715" s="23"/>
    </row>
    <row r="1716" spans="2:16" x14ac:dyDescent="0.25">
      <c r="B1716" s="23"/>
      <c r="E1716" s="23"/>
      <c r="G1716" s="23"/>
      <c r="H1716" s="23"/>
      <c r="J1716" s="23"/>
      <c r="K1716" s="23"/>
      <c r="M1716" s="23"/>
      <c r="N1716" s="23"/>
      <c r="P1716" s="23"/>
    </row>
    <row r="1717" spans="2:16" x14ac:dyDescent="0.25">
      <c r="B1717" s="23"/>
      <c r="E1717" s="23"/>
      <c r="G1717" s="23"/>
      <c r="H1717" s="23"/>
      <c r="J1717" s="23"/>
      <c r="K1717" s="23"/>
      <c r="M1717" s="23"/>
      <c r="N1717" s="23"/>
      <c r="P1717" s="23"/>
    </row>
    <row r="1718" spans="2:16" x14ac:dyDescent="0.25">
      <c r="B1718" s="23"/>
      <c r="E1718" s="23"/>
      <c r="G1718" s="23"/>
      <c r="H1718" s="23"/>
      <c r="J1718" s="23"/>
      <c r="K1718" s="23"/>
      <c r="M1718" s="23"/>
      <c r="N1718" s="23"/>
      <c r="P1718" s="23"/>
    </row>
    <row r="1719" spans="2:16" x14ac:dyDescent="0.25">
      <c r="B1719" s="23"/>
      <c r="E1719" s="23"/>
      <c r="G1719" s="23"/>
      <c r="H1719" s="23"/>
      <c r="J1719" s="23"/>
      <c r="K1719" s="23"/>
      <c r="M1719" s="23"/>
      <c r="N1719" s="23"/>
      <c r="P1719" s="23"/>
    </row>
    <row r="1720" spans="2:16" x14ac:dyDescent="0.25">
      <c r="B1720" s="23"/>
      <c r="E1720" s="23"/>
      <c r="G1720" s="23"/>
      <c r="H1720" s="23"/>
      <c r="J1720" s="23"/>
      <c r="K1720" s="23"/>
      <c r="M1720" s="23"/>
      <c r="N1720" s="23"/>
      <c r="P1720" s="23"/>
    </row>
    <row r="1721" spans="2:16" x14ac:dyDescent="0.25">
      <c r="B1721" s="23"/>
      <c r="E1721" s="23"/>
      <c r="G1721" s="23"/>
      <c r="H1721" s="23"/>
      <c r="J1721" s="23"/>
      <c r="K1721" s="23"/>
      <c r="M1721" s="23"/>
      <c r="N1721" s="23"/>
      <c r="P1721" s="23"/>
    </row>
    <row r="1722" spans="2:16" x14ac:dyDescent="0.25">
      <c r="B1722" s="23"/>
      <c r="E1722" s="23"/>
      <c r="G1722" s="23"/>
      <c r="H1722" s="23"/>
      <c r="J1722" s="23"/>
      <c r="K1722" s="23"/>
      <c r="M1722" s="23"/>
      <c r="N1722" s="23"/>
      <c r="P1722" s="23"/>
    </row>
    <row r="1723" spans="2:16" x14ac:dyDescent="0.25">
      <c r="B1723" s="23"/>
      <c r="E1723" s="23"/>
      <c r="G1723" s="23"/>
      <c r="H1723" s="23"/>
      <c r="J1723" s="23"/>
      <c r="K1723" s="23"/>
      <c r="M1723" s="23"/>
      <c r="N1723" s="23"/>
      <c r="P1723" s="23"/>
    </row>
    <row r="1724" spans="2:16" x14ac:dyDescent="0.25">
      <c r="B1724" s="23"/>
      <c r="E1724" s="23"/>
      <c r="G1724" s="23"/>
      <c r="H1724" s="23"/>
      <c r="J1724" s="23"/>
      <c r="K1724" s="23"/>
      <c r="M1724" s="23"/>
      <c r="N1724" s="23"/>
      <c r="P1724" s="23"/>
    </row>
    <row r="1725" spans="2:16" x14ac:dyDescent="0.25">
      <c r="B1725" s="23"/>
      <c r="E1725" s="23"/>
      <c r="G1725" s="23"/>
      <c r="H1725" s="23"/>
      <c r="J1725" s="23"/>
      <c r="K1725" s="23"/>
      <c r="M1725" s="23"/>
      <c r="N1725" s="23"/>
      <c r="P1725" s="23"/>
    </row>
    <row r="1726" spans="2:16" x14ac:dyDescent="0.25">
      <c r="B1726" s="23"/>
      <c r="E1726" s="23"/>
      <c r="G1726" s="23"/>
      <c r="H1726" s="23"/>
      <c r="J1726" s="23"/>
      <c r="K1726" s="23"/>
      <c r="M1726" s="23"/>
      <c r="N1726" s="23"/>
      <c r="P1726" s="23"/>
    </row>
    <row r="1727" spans="2:16" x14ac:dyDescent="0.25">
      <c r="B1727" s="23"/>
      <c r="E1727" s="23"/>
      <c r="G1727" s="23"/>
      <c r="H1727" s="23"/>
      <c r="J1727" s="23"/>
      <c r="K1727" s="23"/>
      <c r="M1727" s="23"/>
      <c r="N1727" s="23"/>
      <c r="P1727" s="23"/>
    </row>
    <row r="1728" spans="2:16" x14ac:dyDescent="0.25">
      <c r="B1728" s="23"/>
      <c r="E1728" s="23"/>
      <c r="G1728" s="23"/>
      <c r="H1728" s="23"/>
      <c r="J1728" s="23"/>
      <c r="K1728" s="23"/>
      <c r="M1728" s="23"/>
      <c r="N1728" s="23"/>
      <c r="P1728" s="23"/>
    </row>
    <row r="1729" spans="2:16" x14ac:dyDescent="0.25">
      <c r="B1729" s="23"/>
      <c r="E1729" s="23"/>
      <c r="G1729" s="23"/>
      <c r="H1729" s="23"/>
      <c r="J1729" s="23"/>
      <c r="K1729" s="23"/>
      <c r="M1729" s="23"/>
      <c r="N1729" s="23"/>
      <c r="P1729" s="23"/>
    </row>
    <row r="1730" spans="2:16" x14ac:dyDescent="0.25">
      <c r="B1730" s="23"/>
      <c r="E1730" s="23"/>
      <c r="G1730" s="23"/>
      <c r="H1730" s="23"/>
      <c r="J1730" s="23"/>
      <c r="K1730" s="23"/>
      <c r="M1730" s="23"/>
      <c r="N1730" s="23"/>
      <c r="P1730" s="23"/>
    </row>
    <row r="1731" spans="2:16" x14ac:dyDescent="0.25">
      <c r="B1731" s="23"/>
      <c r="E1731" s="23"/>
      <c r="G1731" s="23"/>
      <c r="H1731" s="23"/>
      <c r="J1731" s="23"/>
      <c r="K1731" s="23"/>
      <c r="M1731" s="23"/>
      <c r="N1731" s="23"/>
      <c r="P1731" s="23"/>
    </row>
    <row r="1732" spans="2:16" x14ac:dyDescent="0.25">
      <c r="B1732" s="23"/>
      <c r="E1732" s="23"/>
      <c r="G1732" s="23"/>
      <c r="H1732" s="23"/>
      <c r="J1732" s="23"/>
      <c r="K1732" s="23"/>
      <c r="M1732" s="23"/>
      <c r="N1732" s="23"/>
      <c r="P1732" s="23"/>
    </row>
    <row r="1733" spans="2:16" x14ac:dyDescent="0.25">
      <c r="B1733" s="23"/>
      <c r="E1733" s="23"/>
      <c r="G1733" s="23"/>
      <c r="H1733" s="23"/>
      <c r="J1733" s="23"/>
      <c r="K1733" s="23"/>
      <c r="M1733" s="23"/>
      <c r="N1733" s="23"/>
      <c r="P1733" s="23"/>
    </row>
    <row r="1734" spans="2:16" x14ac:dyDescent="0.25">
      <c r="B1734" s="23"/>
      <c r="E1734" s="23"/>
      <c r="G1734" s="23"/>
      <c r="H1734" s="23"/>
      <c r="J1734" s="23"/>
      <c r="K1734" s="23"/>
      <c r="M1734" s="23"/>
      <c r="N1734" s="23"/>
      <c r="P1734" s="23"/>
    </row>
    <row r="1735" spans="2:16" x14ac:dyDescent="0.25">
      <c r="B1735" s="23"/>
      <c r="E1735" s="23"/>
      <c r="G1735" s="23"/>
      <c r="H1735" s="23"/>
      <c r="J1735" s="23"/>
      <c r="K1735" s="23"/>
      <c r="M1735" s="23"/>
      <c r="N1735" s="23"/>
      <c r="P1735" s="23"/>
    </row>
    <row r="1736" spans="2:16" x14ac:dyDescent="0.25">
      <c r="B1736" s="23"/>
      <c r="E1736" s="23"/>
      <c r="G1736" s="23"/>
      <c r="H1736" s="23"/>
      <c r="J1736" s="23"/>
      <c r="K1736" s="23"/>
      <c r="M1736" s="23"/>
      <c r="N1736" s="23"/>
      <c r="P1736" s="23"/>
    </row>
    <row r="1737" spans="2:16" x14ac:dyDescent="0.25">
      <c r="B1737" s="23"/>
      <c r="E1737" s="23"/>
      <c r="G1737" s="23"/>
      <c r="H1737" s="23"/>
      <c r="J1737" s="23"/>
      <c r="K1737" s="23"/>
      <c r="M1737" s="23"/>
      <c r="N1737" s="23"/>
      <c r="P1737" s="23"/>
    </row>
    <row r="1738" spans="2:16" x14ac:dyDescent="0.25">
      <c r="B1738" s="23"/>
      <c r="E1738" s="23"/>
      <c r="G1738" s="23"/>
      <c r="H1738" s="23"/>
      <c r="J1738" s="23"/>
      <c r="K1738" s="23"/>
      <c r="M1738" s="23"/>
      <c r="N1738" s="23"/>
      <c r="P1738" s="23"/>
    </row>
    <row r="1739" spans="2:16" x14ac:dyDescent="0.25">
      <c r="B1739" s="23"/>
      <c r="E1739" s="23"/>
      <c r="G1739" s="23"/>
      <c r="H1739" s="23"/>
      <c r="J1739" s="23"/>
      <c r="K1739" s="23"/>
      <c r="M1739" s="23"/>
      <c r="N1739" s="23"/>
      <c r="P1739" s="23"/>
    </row>
    <row r="1740" spans="2:16" x14ac:dyDescent="0.25">
      <c r="B1740" s="23"/>
      <c r="E1740" s="23"/>
      <c r="G1740" s="23"/>
      <c r="H1740" s="23"/>
      <c r="J1740" s="23"/>
      <c r="K1740" s="23"/>
      <c r="M1740" s="23"/>
      <c r="N1740" s="23"/>
      <c r="P1740" s="23"/>
    </row>
    <row r="1741" spans="2:16" x14ac:dyDescent="0.25">
      <c r="B1741" s="23"/>
      <c r="E1741" s="23"/>
      <c r="G1741" s="23"/>
      <c r="H1741" s="23"/>
      <c r="J1741" s="23"/>
      <c r="K1741" s="23"/>
      <c r="M1741" s="23"/>
      <c r="N1741" s="23"/>
      <c r="P1741" s="23"/>
    </row>
    <row r="1742" spans="2:16" x14ac:dyDescent="0.25">
      <c r="B1742" s="23"/>
      <c r="E1742" s="23"/>
      <c r="G1742" s="23"/>
      <c r="H1742" s="23"/>
      <c r="J1742" s="23"/>
      <c r="K1742" s="23"/>
      <c r="M1742" s="23"/>
      <c r="N1742" s="23"/>
      <c r="P1742" s="23"/>
    </row>
    <row r="1743" spans="2:16" x14ac:dyDescent="0.25">
      <c r="B1743" s="23"/>
      <c r="E1743" s="23"/>
      <c r="G1743" s="23"/>
      <c r="H1743" s="23"/>
      <c r="J1743" s="23"/>
      <c r="K1743" s="23"/>
      <c r="M1743" s="23"/>
      <c r="N1743" s="23"/>
      <c r="P1743" s="23"/>
    </row>
    <row r="1744" spans="2:16" x14ac:dyDescent="0.25">
      <c r="B1744" s="23"/>
      <c r="E1744" s="23"/>
      <c r="G1744" s="23"/>
      <c r="H1744" s="23"/>
      <c r="J1744" s="23"/>
      <c r="K1744" s="23"/>
      <c r="M1744" s="23"/>
      <c r="N1744" s="23"/>
      <c r="P1744" s="23"/>
    </row>
    <row r="1745" spans="2:16" x14ac:dyDescent="0.25">
      <c r="B1745" s="23"/>
      <c r="E1745" s="23"/>
      <c r="G1745" s="23"/>
      <c r="H1745" s="23"/>
      <c r="J1745" s="23"/>
      <c r="K1745" s="23"/>
      <c r="M1745" s="23"/>
      <c r="N1745" s="23"/>
      <c r="P1745" s="23"/>
    </row>
    <row r="1746" spans="2:16" x14ac:dyDescent="0.25">
      <c r="B1746" s="23"/>
      <c r="E1746" s="23"/>
      <c r="G1746" s="23"/>
      <c r="H1746" s="23"/>
      <c r="J1746" s="23"/>
      <c r="K1746" s="23"/>
      <c r="M1746" s="23"/>
      <c r="N1746" s="23"/>
      <c r="P1746" s="23"/>
    </row>
    <row r="1747" spans="2:16" x14ac:dyDescent="0.25">
      <c r="B1747" s="23"/>
      <c r="E1747" s="23"/>
      <c r="G1747" s="23"/>
      <c r="H1747" s="23"/>
      <c r="J1747" s="23"/>
      <c r="K1747" s="23"/>
      <c r="M1747" s="23"/>
      <c r="N1747" s="23"/>
      <c r="P1747" s="23"/>
    </row>
    <row r="1748" spans="2:16" x14ac:dyDescent="0.25">
      <c r="B1748" s="23"/>
      <c r="E1748" s="23"/>
      <c r="G1748" s="23"/>
      <c r="H1748" s="23"/>
      <c r="J1748" s="23"/>
      <c r="K1748" s="23"/>
      <c r="M1748" s="23"/>
      <c r="N1748" s="23"/>
      <c r="P1748" s="23"/>
    </row>
    <row r="1749" spans="2:16" x14ac:dyDescent="0.25">
      <c r="B1749" s="23"/>
      <c r="E1749" s="23"/>
      <c r="G1749" s="23"/>
      <c r="H1749" s="23"/>
      <c r="J1749" s="23"/>
      <c r="K1749" s="23"/>
      <c r="M1749" s="23"/>
      <c r="N1749" s="23"/>
      <c r="P1749" s="23"/>
    </row>
    <row r="1750" spans="2:16" x14ac:dyDescent="0.25">
      <c r="B1750" s="23"/>
      <c r="E1750" s="23"/>
      <c r="G1750" s="23"/>
      <c r="H1750" s="23"/>
      <c r="J1750" s="23"/>
      <c r="K1750" s="23"/>
      <c r="M1750" s="23"/>
      <c r="N1750" s="23"/>
      <c r="P1750" s="23"/>
    </row>
    <row r="1751" spans="2:16" x14ac:dyDescent="0.25">
      <c r="B1751" s="23"/>
      <c r="E1751" s="23"/>
      <c r="G1751" s="23"/>
      <c r="H1751" s="23"/>
      <c r="J1751" s="23"/>
      <c r="K1751" s="23"/>
      <c r="M1751" s="23"/>
      <c r="N1751" s="23"/>
      <c r="P1751" s="23"/>
    </row>
    <row r="1752" spans="2:16" x14ac:dyDescent="0.25">
      <c r="B1752" s="23"/>
      <c r="E1752" s="23"/>
      <c r="G1752" s="23"/>
      <c r="H1752" s="23"/>
      <c r="J1752" s="23"/>
      <c r="K1752" s="23"/>
      <c r="M1752" s="23"/>
      <c r="N1752" s="23"/>
      <c r="P1752" s="23"/>
    </row>
    <row r="1753" spans="2:16" x14ac:dyDescent="0.25">
      <c r="B1753" s="23"/>
      <c r="E1753" s="23"/>
      <c r="G1753" s="23"/>
      <c r="H1753" s="23"/>
      <c r="J1753" s="23"/>
      <c r="K1753" s="23"/>
      <c r="M1753" s="23"/>
      <c r="N1753" s="23"/>
      <c r="P1753" s="23"/>
    </row>
    <row r="1754" spans="2:16" x14ac:dyDescent="0.25">
      <c r="B1754" s="23"/>
      <c r="E1754" s="23"/>
      <c r="G1754" s="23"/>
      <c r="H1754" s="23"/>
      <c r="J1754" s="23"/>
      <c r="K1754" s="23"/>
      <c r="M1754" s="23"/>
      <c r="N1754" s="23"/>
      <c r="P1754" s="23"/>
    </row>
    <row r="1755" spans="2:16" x14ac:dyDescent="0.25">
      <c r="B1755" s="23"/>
      <c r="E1755" s="23"/>
      <c r="G1755" s="23"/>
      <c r="H1755" s="23"/>
      <c r="J1755" s="23"/>
      <c r="K1755" s="23"/>
      <c r="M1755" s="23"/>
      <c r="N1755" s="23"/>
      <c r="P1755" s="23"/>
    </row>
    <row r="1756" spans="2:16" x14ac:dyDescent="0.25">
      <c r="B1756" s="23"/>
      <c r="E1756" s="23"/>
      <c r="G1756" s="23"/>
      <c r="H1756" s="23"/>
      <c r="J1756" s="23"/>
      <c r="K1756" s="23"/>
      <c r="M1756" s="23"/>
      <c r="N1756" s="23"/>
      <c r="P1756" s="23"/>
    </row>
    <row r="1757" spans="2:16" x14ac:dyDescent="0.25">
      <c r="B1757" s="23"/>
      <c r="E1757" s="23"/>
      <c r="G1757" s="23"/>
      <c r="H1757" s="23"/>
      <c r="J1757" s="23"/>
      <c r="K1757" s="23"/>
      <c r="M1757" s="23"/>
      <c r="N1757" s="23"/>
      <c r="P1757" s="23"/>
    </row>
    <row r="1758" spans="2:16" x14ac:dyDescent="0.25">
      <c r="B1758" s="23"/>
      <c r="E1758" s="23"/>
      <c r="G1758" s="23"/>
      <c r="H1758" s="23"/>
      <c r="J1758" s="23"/>
      <c r="K1758" s="23"/>
      <c r="M1758" s="23"/>
      <c r="N1758" s="23"/>
      <c r="P1758" s="23"/>
    </row>
    <row r="1759" spans="2:16" x14ac:dyDescent="0.25">
      <c r="B1759" s="23"/>
      <c r="E1759" s="23"/>
      <c r="G1759" s="23"/>
      <c r="H1759" s="23"/>
      <c r="J1759" s="23"/>
      <c r="K1759" s="23"/>
      <c r="M1759" s="23"/>
      <c r="N1759" s="23"/>
      <c r="P1759" s="23"/>
    </row>
    <row r="1760" spans="2:16" x14ac:dyDescent="0.25">
      <c r="B1760" s="23"/>
      <c r="E1760" s="23"/>
      <c r="G1760" s="23"/>
      <c r="H1760" s="23"/>
      <c r="J1760" s="23"/>
      <c r="K1760" s="23"/>
      <c r="M1760" s="23"/>
      <c r="N1760" s="23"/>
      <c r="P1760" s="23"/>
    </row>
    <row r="1761" spans="2:16" x14ac:dyDescent="0.25">
      <c r="B1761" s="23"/>
      <c r="E1761" s="23"/>
      <c r="G1761" s="23"/>
      <c r="H1761" s="23"/>
      <c r="J1761" s="23"/>
      <c r="K1761" s="23"/>
      <c r="M1761" s="23"/>
      <c r="N1761" s="23"/>
      <c r="P1761" s="23"/>
    </row>
    <row r="1762" spans="2:16" x14ac:dyDescent="0.25">
      <c r="B1762" s="23"/>
      <c r="E1762" s="23"/>
      <c r="G1762" s="23"/>
      <c r="H1762" s="23"/>
      <c r="J1762" s="23"/>
      <c r="K1762" s="23"/>
      <c r="M1762" s="23"/>
      <c r="N1762" s="23"/>
      <c r="P1762" s="23"/>
    </row>
    <row r="1763" spans="2:16" x14ac:dyDescent="0.25">
      <c r="B1763" s="23"/>
      <c r="E1763" s="23"/>
      <c r="G1763" s="23"/>
      <c r="H1763" s="23"/>
      <c r="J1763" s="23"/>
      <c r="K1763" s="23"/>
      <c r="M1763" s="23"/>
      <c r="N1763" s="23"/>
      <c r="P1763" s="23"/>
    </row>
    <row r="1764" spans="2:16" x14ac:dyDescent="0.25">
      <c r="B1764" s="23"/>
      <c r="E1764" s="23"/>
      <c r="G1764" s="23"/>
      <c r="H1764" s="23"/>
      <c r="J1764" s="23"/>
      <c r="K1764" s="23"/>
      <c r="M1764" s="23"/>
      <c r="N1764" s="23"/>
      <c r="P1764" s="23"/>
    </row>
    <row r="1765" spans="2:16" x14ac:dyDescent="0.25">
      <c r="B1765" s="23"/>
      <c r="E1765" s="23"/>
      <c r="G1765" s="23"/>
      <c r="H1765" s="23"/>
      <c r="J1765" s="23"/>
      <c r="K1765" s="23"/>
      <c r="M1765" s="23"/>
      <c r="N1765" s="23"/>
      <c r="P1765" s="23"/>
    </row>
    <row r="1766" spans="2:16" x14ac:dyDescent="0.25">
      <c r="B1766" s="23"/>
      <c r="E1766" s="23"/>
      <c r="G1766" s="23"/>
      <c r="H1766" s="23"/>
      <c r="J1766" s="23"/>
      <c r="K1766" s="23"/>
      <c r="M1766" s="23"/>
      <c r="N1766" s="23"/>
      <c r="P1766" s="23"/>
    </row>
    <row r="1767" spans="2:16" x14ac:dyDescent="0.25">
      <c r="B1767" s="23"/>
      <c r="E1767" s="23"/>
      <c r="G1767" s="23"/>
      <c r="H1767" s="23"/>
      <c r="J1767" s="23"/>
      <c r="K1767" s="23"/>
      <c r="M1767" s="23"/>
      <c r="N1767" s="23"/>
      <c r="P1767" s="23"/>
    </row>
    <row r="1768" spans="2:16" x14ac:dyDescent="0.25">
      <c r="B1768" s="23"/>
      <c r="E1768" s="23"/>
      <c r="G1768" s="23"/>
      <c r="H1768" s="23"/>
      <c r="J1768" s="23"/>
      <c r="K1768" s="23"/>
      <c r="M1768" s="23"/>
      <c r="N1768" s="23"/>
      <c r="P1768" s="23"/>
    </row>
    <row r="1769" spans="2:16" x14ac:dyDescent="0.25">
      <c r="B1769" s="23"/>
      <c r="E1769" s="23"/>
      <c r="G1769" s="23"/>
      <c r="H1769" s="23"/>
      <c r="J1769" s="23"/>
      <c r="K1769" s="23"/>
      <c r="M1769" s="23"/>
      <c r="N1769" s="23"/>
      <c r="P1769" s="23"/>
    </row>
    <row r="1770" spans="2:16" x14ac:dyDescent="0.25">
      <c r="B1770" s="23"/>
      <c r="E1770" s="23"/>
      <c r="G1770" s="23"/>
      <c r="H1770" s="23"/>
      <c r="J1770" s="23"/>
      <c r="K1770" s="23"/>
      <c r="M1770" s="23"/>
      <c r="N1770" s="23"/>
      <c r="P1770" s="23"/>
    </row>
    <row r="1771" spans="2:16" x14ac:dyDescent="0.25">
      <c r="B1771" s="23"/>
      <c r="E1771" s="23"/>
      <c r="G1771" s="23"/>
      <c r="H1771" s="23"/>
      <c r="J1771" s="23"/>
      <c r="K1771" s="23"/>
      <c r="M1771" s="23"/>
      <c r="N1771" s="23"/>
      <c r="P1771" s="23"/>
    </row>
    <row r="1772" spans="2:16" x14ac:dyDescent="0.25">
      <c r="B1772" s="23"/>
      <c r="E1772" s="23"/>
      <c r="G1772" s="23"/>
      <c r="H1772" s="23"/>
      <c r="J1772" s="23"/>
      <c r="K1772" s="23"/>
      <c r="M1772" s="23"/>
      <c r="N1772" s="23"/>
      <c r="P1772" s="23"/>
    </row>
    <row r="1773" spans="2:16" x14ac:dyDescent="0.25">
      <c r="B1773" s="23"/>
      <c r="E1773" s="23"/>
      <c r="G1773" s="23"/>
      <c r="H1773" s="23"/>
      <c r="J1773" s="23"/>
      <c r="K1773" s="23"/>
      <c r="M1773" s="23"/>
      <c r="N1773" s="23"/>
      <c r="P1773" s="23"/>
    </row>
    <row r="1774" spans="2:16" x14ac:dyDescent="0.25">
      <c r="B1774" s="23"/>
      <c r="E1774" s="23"/>
      <c r="G1774" s="23"/>
      <c r="H1774" s="23"/>
      <c r="J1774" s="23"/>
      <c r="K1774" s="23"/>
      <c r="M1774" s="23"/>
      <c r="N1774" s="23"/>
      <c r="P1774" s="23"/>
    </row>
    <row r="1775" spans="2:16" x14ac:dyDescent="0.25">
      <c r="B1775" s="23"/>
      <c r="E1775" s="23"/>
      <c r="G1775" s="23"/>
      <c r="H1775" s="23"/>
      <c r="J1775" s="23"/>
      <c r="K1775" s="23"/>
      <c r="M1775" s="23"/>
      <c r="N1775" s="23"/>
      <c r="P1775" s="23"/>
    </row>
    <row r="1776" spans="2:16" x14ac:dyDescent="0.25">
      <c r="B1776" s="23"/>
      <c r="E1776" s="23"/>
      <c r="G1776" s="23"/>
      <c r="H1776" s="23"/>
      <c r="J1776" s="23"/>
      <c r="K1776" s="23"/>
      <c r="M1776" s="23"/>
      <c r="N1776" s="23"/>
      <c r="P1776" s="23"/>
    </row>
    <row r="1777" spans="2:16" x14ac:dyDescent="0.25">
      <c r="B1777" s="23"/>
      <c r="E1777" s="23"/>
      <c r="G1777" s="23"/>
      <c r="H1777" s="23"/>
      <c r="J1777" s="23"/>
      <c r="K1777" s="23"/>
      <c r="M1777" s="23"/>
      <c r="N1777" s="23"/>
      <c r="P1777" s="23"/>
    </row>
    <row r="1778" spans="2:16" x14ac:dyDescent="0.25">
      <c r="B1778" s="23"/>
      <c r="E1778" s="23"/>
      <c r="G1778" s="23"/>
      <c r="H1778" s="23"/>
      <c r="J1778" s="23"/>
      <c r="K1778" s="23"/>
      <c r="M1778" s="23"/>
      <c r="N1778" s="23"/>
      <c r="P1778" s="23"/>
    </row>
    <row r="1779" spans="2:16" x14ac:dyDescent="0.25">
      <c r="B1779" s="23"/>
      <c r="E1779" s="23"/>
      <c r="G1779" s="23"/>
      <c r="H1779" s="23"/>
      <c r="J1779" s="23"/>
      <c r="K1779" s="23"/>
      <c r="M1779" s="23"/>
      <c r="N1779" s="23"/>
      <c r="P1779" s="23"/>
    </row>
    <row r="1780" spans="2:16" x14ac:dyDescent="0.25">
      <c r="B1780" s="23"/>
      <c r="E1780" s="23"/>
      <c r="G1780" s="23"/>
      <c r="H1780" s="23"/>
      <c r="J1780" s="23"/>
      <c r="K1780" s="23"/>
      <c r="M1780" s="23"/>
      <c r="N1780" s="23"/>
      <c r="P1780" s="23"/>
    </row>
    <row r="1781" spans="2:16" x14ac:dyDescent="0.25">
      <c r="B1781" s="23"/>
      <c r="E1781" s="23"/>
      <c r="G1781" s="23"/>
      <c r="H1781" s="23"/>
      <c r="J1781" s="23"/>
      <c r="K1781" s="23"/>
      <c r="M1781" s="23"/>
      <c r="N1781" s="23"/>
      <c r="P1781" s="23"/>
    </row>
    <row r="1782" spans="2:16" x14ac:dyDescent="0.25">
      <c r="B1782" s="23"/>
      <c r="E1782" s="23"/>
      <c r="G1782" s="23"/>
      <c r="H1782" s="23"/>
      <c r="J1782" s="23"/>
      <c r="K1782" s="23"/>
      <c r="M1782" s="23"/>
      <c r="N1782" s="23"/>
      <c r="P1782" s="23"/>
    </row>
    <row r="1783" spans="2:16" x14ac:dyDescent="0.25">
      <c r="B1783" s="23"/>
      <c r="E1783" s="23"/>
      <c r="G1783" s="23"/>
      <c r="H1783" s="23"/>
      <c r="J1783" s="23"/>
      <c r="K1783" s="23"/>
      <c r="M1783" s="23"/>
      <c r="N1783" s="23"/>
      <c r="P1783" s="23"/>
    </row>
    <row r="1784" spans="2:16" x14ac:dyDescent="0.25">
      <c r="B1784" s="23"/>
      <c r="E1784" s="23"/>
      <c r="G1784" s="23"/>
      <c r="H1784" s="23"/>
      <c r="J1784" s="23"/>
      <c r="K1784" s="23"/>
      <c r="M1784" s="23"/>
      <c r="N1784" s="23"/>
      <c r="P1784" s="23"/>
    </row>
    <row r="1785" spans="2:16" x14ac:dyDescent="0.25">
      <c r="B1785" s="23"/>
      <c r="E1785" s="23"/>
      <c r="G1785" s="23"/>
      <c r="H1785" s="23"/>
      <c r="J1785" s="23"/>
      <c r="K1785" s="23"/>
      <c r="M1785" s="23"/>
      <c r="N1785" s="23"/>
      <c r="P1785" s="23"/>
    </row>
    <row r="1786" spans="2:16" x14ac:dyDescent="0.25">
      <c r="B1786" s="23"/>
      <c r="E1786" s="23"/>
      <c r="G1786" s="23"/>
      <c r="H1786" s="23"/>
      <c r="J1786" s="23"/>
      <c r="K1786" s="23"/>
      <c r="M1786" s="23"/>
      <c r="N1786" s="23"/>
      <c r="P1786" s="23"/>
    </row>
    <row r="1787" spans="2:16" x14ac:dyDescent="0.25">
      <c r="B1787" s="23"/>
      <c r="E1787" s="23"/>
      <c r="G1787" s="23"/>
      <c r="H1787" s="23"/>
      <c r="J1787" s="23"/>
      <c r="K1787" s="23"/>
      <c r="M1787" s="23"/>
      <c r="N1787" s="23"/>
      <c r="P1787" s="23"/>
    </row>
    <row r="1788" spans="2:16" x14ac:dyDescent="0.25">
      <c r="B1788" s="23"/>
      <c r="E1788" s="23"/>
      <c r="G1788" s="23"/>
      <c r="H1788" s="23"/>
      <c r="J1788" s="23"/>
      <c r="K1788" s="23"/>
      <c r="M1788" s="23"/>
      <c r="N1788" s="23"/>
      <c r="P1788" s="23"/>
    </row>
    <row r="1789" spans="2:16" x14ac:dyDescent="0.25">
      <c r="B1789" s="23"/>
      <c r="E1789" s="23"/>
      <c r="G1789" s="23"/>
      <c r="H1789" s="23"/>
      <c r="J1789" s="23"/>
      <c r="K1789" s="23"/>
      <c r="M1789" s="23"/>
      <c r="N1789" s="23"/>
      <c r="P1789" s="23"/>
    </row>
    <row r="1790" spans="2:16" x14ac:dyDescent="0.25">
      <c r="B1790" s="23"/>
      <c r="E1790" s="23"/>
      <c r="G1790" s="23"/>
      <c r="H1790" s="23"/>
      <c r="J1790" s="23"/>
      <c r="K1790" s="23"/>
      <c r="M1790" s="23"/>
      <c r="N1790" s="23"/>
      <c r="P1790" s="23"/>
    </row>
    <row r="1791" spans="2:16" x14ac:dyDescent="0.25">
      <c r="B1791" s="23"/>
      <c r="E1791" s="23"/>
      <c r="G1791" s="23"/>
      <c r="H1791" s="23"/>
      <c r="J1791" s="23"/>
      <c r="K1791" s="23"/>
      <c r="M1791" s="23"/>
      <c r="N1791" s="23"/>
      <c r="P1791" s="23"/>
    </row>
    <row r="1792" spans="2:16" x14ac:dyDescent="0.25">
      <c r="B1792" s="23"/>
      <c r="E1792" s="23"/>
      <c r="G1792" s="23"/>
      <c r="H1792" s="23"/>
      <c r="J1792" s="23"/>
      <c r="K1792" s="23"/>
      <c r="M1792" s="23"/>
      <c r="N1792" s="23"/>
      <c r="P1792" s="23"/>
    </row>
    <row r="1793" spans="2:16" x14ac:dyDescent="0.25">
      <c r="B1793" s="23"/>
      <c r="E1793" s="23"/>
      <c r="G1793" s="23"/>
      <c r="H1793" s="23"/>
      <c r="J1793" s="23"/>
      <c r="K1793" s="23"/>
      <c r="M1793" s="23"/>
      <c r="N1793" s="23"/>
      <c r="P1793" s="23"/>
    </row>
    <row r="1794" spans="2:16" x14ac:dyDescent="0.25">
      <c r="B1794" s="23"/>
      <c r="E1794" s="23"/>
      <c r="G1794" s="23"/>
      <c r="H1794" s="23"/>
      <c r="J1794" s="23"/>
      <c r="K1794" s="23"/>
      <c r="M1794" s="23"/>
      <c r="N1794" s="23"/>
      <c r="P1794" s="23"/>
    </row>
    <row r="1795" spans="2:16" x14ac:dyDescent="0.25">
      <c r="B1795" s="23"/>
      <c r="E1795" s="23"/>
      <c r="G1795" s="23"/>
      <c r="H1795" s="23"/>
      <c r="J1795" s="23"/>
      <c r="K1795" s="23"/>
      <c r="M1795" s="23"/>
      <c r="N1795" s="23"/>
      <c r="P1795" s="23"/>
    </row>
    <row r="1796" spans="2:16" x14ac:dyDescent="0.25">
      <c r="B1796" s="23"/>
      <c r="E1796" s="23"/>
      <c r="G1796" s="23"/>
      <c r="H1796" s="23"/>
      <c r="J1796" s="23"/>
      <c r="K1796" s="23"/>
      <c r="M1796" s="23"/>
      <c r="N1796" s="23"/>
      <c r="P1796" s="23"/>
    </row>
    <row r="1797" spans="2:16" x14ac:dyDescent="0.25">
      <c r="B1797" s="23"/>
      <c r="E1797" s="23"/>
      <c r="G1797" s="23"/>
      <c r="H1797" s="23"/>
      <c r="J1797" s="23"/>
      <c r="K1797" s="23"/>
      <c r="M1797" s="23"/>
      <c r="N1797" s="23"/>
      <c r="P1797" s="23"/>
    </row>
    <row r="1798" spans="2:16" x14ac:dyDescent="0.25">
      <c r="B1798" s="23"/>
      <c r="E1798" s="23"/>
      <c r="G1798" s="23"/>
      <c r="H1798" s="23"/>
      <c r="J1798" s="23"/>
      <c r="K1798" s="23"/>
      <c r="M1798" s="23"/>
      <c r="N1798" s="23"/>
      <c r="P1798" s="23"/>
    </row>
    <row r="1799" spans="2:16" x14ac:dyDescent="0.25">
      <c r="B1799" s="23"/>
      <c r="E1799" s="23"/>
      <c r="G1799" s="23"/>
      <c r="H1799" s="23"/>
      <c r="J1799" s="23"/>
      <c r="K1799" s="23"/>
      <c r="M1799" s="23"/>
      <c r="N1799" s="23"/>
      <c r="P1799" s="23"/>
    </row>
    <row r="1800" spans="2:16" x14ac:dyDescent="0.25">
      <c r="B1800" s="23"/>
      <c r="E1800" s="23"/>
      <c r="G1800" s="23"/>
      <c r="H1800" s="23"/>
      <c r="J1800" s="23"/>
      <c r="K1800" s="23"/>
      <c r="M1800" s="23"/>
      <c r="N1800" s="23"/>
      <c r="P1800" s="23"/>
    </row>
    <row r="1801" spans="2:16" x14ac:dyDescent="0.25">
      <c r="B1801" s="23"/>
      <c r="E1801" s="23"/>
      <c r="G1801" s="23"/>
      <c r="H1801" s="23"/>
      <c r="J1801" s="23"/>
      <c r="K1801" s="23"/>
      <c r="M1801" s="23"/>
      <c r="N1801" s="23"/>
      <c r="P1801" s="23"/>
    </row>
    <row r="1802" spans="2:16" x14ac:dyDescent="0.25">
      <c r="B1802" s="23"/>
      <c r="E1802" s="23"/>
      <c r="G1802" s="23"/>
      <c r="H1802" s="23"/>
      <c r="J1802" s="23"/>
      <c r="K1802" s="23"/>
      <c r="M1802" s="23"/>
      <c r="N1802" s="23"/>
      <c r="P1802" s="23"/>
    </row>
    <row r="1803" spans="2:16" x14ac:dyDescent="0.25">
      <c r="B1803" s="23"/>
      <c r="E1803" s="23"/>
      <c r="G1803" s="23"/>
      <c r="H1803" s="23"/>
      <c r="J1803" s="23"/>
      <c r="K1803" s="23"/>
      <c r="M1803" s="23"/>
      <c r="N1803" s="23"/>
      <c r="P1803" s="23"/>
    </row>
    <row r="1804" spans="2:16" x14ac:dyDescent="0.25">
      <c r="B1804" s="23"/>
      <c r="E1804" s="23"/>
      <c r="G1804" s="23"/>
      <c r="H1804" s="23"/>
      <c r="J1804" s="23"/>
      <c r="K1804" s="23"/>
      <c r="M1804" s="23"/>
      <c r="N1804" s="23"/>
      <c r="P1804" s="23"/>
    </row>
    <row r="1805" spans="2:16" x14ac:dyDescent="0.25">
      <c r="B1805" s="23"/>
      <c r="E1805" s="23"/>
      <c r="G1805" s="23"/>
      <c r="H1805" s="23"/>
      <c r="J1805" s="23"/>
      <c r="K1805" s="23"/>
      <c r="M1805" s="23"/>
      <c r="N1805" s="23"/>
      <c r="P1805" s="23"/>
    </row>
    <row r="1806" spans="2:16" x14ac:dyDescent="0.25">
      <c r="B1806" s="23"/>
      <c r="E1806" s="23"/>
      <c r="G1806" s="23"/>
      <c r="H1806" s="23"/>
      <c r="J1806" s="23"/>
      <c r="K1806" s="23"/>
      <c r="M1806" s="23"/>
      <c r="N1806" s="23"/>
      <c r="P1806" s="23"/>
    </row>
    <row r="1807" spans="2:16" x14ac:dyDescent="0.25">
      <c r="B1807" s="23"/>
      <c r="E1807" s="23"/>
      <c r="G1807" s="23"/>
      <c r="H1807" s="23"/>
      <c r="J1807" s="23"/>
      <c r="K1807" s="23"/>
      <c r="M1807" s="23"/>
      <c r="N1807" s="23"/>
      <c r="P1807" s="23"/>
    </row>
    <row r="1808" spans="2:16" x14ac:dyDescent="0.25">
      <c r="B1808" s="23"/>
      <c r="E1808" s="23"/>
      <c r="G1808" s="23"/>
      <c r="H1808" s="23"/>
      <c r="J1808" s="23"/>
      <c r="K1808" s="23"/>
      <c r="M1808" s="23"/>
      <c r="N1808" s="23"/>
      <c r="P1808" s="23"/>
    </row>
    <row r="1809" spans="2:16" x14ac:dyDescent="0.25">
      <c r="B1809" s="23"/>
      <c r="E1809" s="23"/>
      <c r="G1809" s="23"/>
      <c r="H1809" s="23"/>
      <c r="J1809" s="23"/>
      <c r="K1809" s="23"/>
      <c r="M1809" s="23"/>
      <c r="N1809" s="23"/>
      <c r="P1809" s="23"/>
    </row>
    <row r="1810" spans="2:16" x14ac:dyDescent="0.25">
      <c r="B1810" s="23"/>
      <c r="E1810" s="23"/>
      <c r="G1810" s="23"/>
      <c r="H1810" s="23"/>
      <c r="J1810" s="23"/>
      <c r="K1810" s="23"/>
      <c r="M1810" s="23"/>
      <c r="N1810" s="23"/>
      <c r="P1810" s="23"/>
    </row>
    <row r="1811" spans="2:16" x14ac:dyDescent="0.25">
      <c r="B1811" s="23"/>
      <c r="E1811" s="23"/>
      <c r="G1811" s="23"/>
      <c r="H1811" s="23"/>
      <c r="J1811" s="23"/>
      <c r="K1811" s="23"/>
      <c r="M1811" s="23"/>
      <c r="N1811" s="23"/>
      <c r="P1811" s="23"/>
    </row>
    <row r="1812" spans="2:16" x14ac:dyDescent="0.25">
      <c r="B1812" s="23"/>
      <c r="E1812" s="23"/>
      <c r="G1812" s="23"/>
      <c r="H1812" s="23"/>
      <c r="J1812" s="23"/>
      <c r="K1812" s="23"/>
      <c r="M1812" s="23"/>
      <c r="N1812" s="23"/>
      <c r="P1812" s="23"/>
    </row>
    <row r="1813" spans="2:16" x14ac:dyDescent="0.25">
      <c r="B1813" s="23"/>
      <c r="E1813" s="23"/>
      <c r="G1813" s="23"/>
      <c r="H1813" s="23"/>
      <c r="J1813" s="23"/>
      <c r="K1813" s="23"/>
      <c r="M1813" s="23"/>
      <c r="N1813" s="23"/>
      <c r="P1813" s="23"/>
    </row>
    <row r="1814" spans="2:16" x14ac:dyDescent="0.25">
      <c r="B1814" s="23"/>
      <c r="E1814" s="23"/>
      <c r="G1814" s="23"/>
      <c r="H1814" s="23"/>
      <c r="J1814" s="23"/>
      <c r="K1814" s="23"/>
      <c r="M1814" s="23"/>
      <c r="N1814" s="23"/>
      <c r="P1814" s="23"/>
    </row>
    <row r="1815" spans="2:16" x14ac:dyDescent="0.25">
      <c r="B1815" s="23"/>
      <c r="E1815" s="23"/>
      <c r="G1815" s="23"/>
      <c r="H1815" s="23"/>
      <c r="J1815" s="23"/>
      <c r="K1815" s="23"/>
      <c r="M1815" s="23"/>
      <c r="N1815" s="23"/>
      <c r="P1815" s="23"/>
    </row>
    <row r="1816" spans="2:16" x14ac:dyDescent="0.25">
      <c r="B1816" s="23"/>
      <c r="E1816" s="23"/>
      <c r="G1816" s="23"/>
      <c r="H1816" s="23"/>
      <c r="J1816" s="23"/>
      <c r="K1816" s="23"/>
      <c r="M1816" s="23"/>
      <c r="N1816" s="23"/>
      <c r="P1816" s="23"/>
    </row>
    <row r="1817" spans="2:16" x14ac:dyDescent="0.25">
      <c r="B1817" s="23"/>
      <c r="E1817" s="23"/>
      <c r="G1817" s="23"/>
      <c r="H1817" s="23"/>
      <c r="J1817" s="23"/>
      <c r="K1817" s="23"/>
      <c r="M1817" s="23"/>
      <c r="N1817" s="23"/>
      <c r="P1817" s="23"/>
    </row>
    <row r="1818" spans="2:16" x14ac:dyDescent="0.25">
      <c r="B1818" s="23"/>
      <c r="E1818" s="23"/>
      <c r="G1818" s="23"/>
      <c r="H1818" s="23"/>
      <c r="J1818" s="23"/>
      <c r="K1818" s="23"/>
      <c r="M1818" s="23"/>
      <c r="N1818" s="23"/>
      <c r="P1818" s="23"/>
    </row>
    <row r="1819" spans="2:16" x14ac:dyDescent="0.25">
      <c r="B1819" s="23"/>
      <c r="E1819" s="23"/>
      <c r="G1819" s="23"/>
      <c r="H1819" s="23"/>
      <c r="J1819" s="23"/>
      <c r="K1819" s="23"/>
      <c r="M1819" s="23"/>
      <c r="N1819" s="23"/>
      <c r="P1819" s="23"/>
    </row>
    <row r="1820" spans="2:16" x14ac:dyDescent="0.25">
      <c r="B1820" s="23"/>
      <c r="E1820" s="23"/>
      <c r="G1820" s="23"/>
      <c r="H1820" s="23"/>
      <c r="J1820" s="23"/>
      <c r="K1820" s="23"/>
      <c r="M1820" s="23"/>
      <c r="N1820" s="23"/>
      <c r="P1820" s="23"/>
    </row>
    <row r="1821" spans="2:16" x14ac:dyDescent="0.25">
      <c r="B1821" s="23"/>
      <c r="E1821" s="23"/>
      <c r="G1821" s="23"/>
      <c r="H1821" s="23"/>
      <c r="J1821" s="23"/>
      <c r="K1821" s="23"/>
      <c r="M1821" s="23"/>
      <c r="N1821" s="23"/>
      <c r="P1821" s="23"/>
    </row>
    <row r="1822" spans="2:16" x14ac:dyDescent="0.25">
      <c r="B1822" s="23"/>
      <c r="E1822" s="23"/>
      <c r="G1822" s="23"/>
      <c r="H1822" s="23"/>
      <c r="J1822" s="23"/>
      <c r="K1822" s="23"/>
      <c r="M1822" s="23"/>
      <c r="N1822" s="23"/>
      <c r="P1822" s="23"/>
    </row>
    <row r="1823" spans="2:16" x14ac:dyDescent="0.25">
      <c r="B1823" s="23"/>
      <c r="E1823" s="23"/>
      <c r="G1823" s="23"/>
      <c r="H1823" s="23"/>
      <c r="J1823" s="23"/>
      <c r="K1823" s="23"/>
      <c r="M1823" s="23"/>
      <c r="N1823" s="23"/>
      <c r="P1823" s="23"/>
    </row>
    <row r="1824" spans="2:16" x14ac:dyDescent="0.25">
      <c r="B1824" s="23"/>
      <c r="E1824" s="23"/>
      <c r="G1824" s="23"/>
      <c r="H1824" s="23"/>
      <c r="J1824" s="23"/>
      <c r="K1824" s="23"/>
      <c r="M1824" s="23"/>
      <c r="N1824" s="23"/>
      <c r="P1824" s="23"/>
    </row>
    <row r="1825" spans="2:16" x14ac:dyDescent="0.25">
      <c r="B1825" s="23"/>
      <c r="E1825" s="23"/>
      <c r="G1825" s="23"/>
      <c r="H1825" s="23"/>
      <c r="J1825" s="23"/>
      <c r="K1825" s="23"/>
      <c r="M1825" s="23"/>
      <c r="N1825" s="23"/>
      <c r="P1825" s="23"/>
    </row>
    <row r="1826" spans="2:16" x14ac:dyDescent="0.25">
      <c r="B1826" s="23"/>
      <c r="E1826" s="23"/>
      <c r="G1826" s="23"/>
      <c r="H1826" s="23"/>
      <c r="J1826" s="23"/>
      <c r="K1826" s="23"/>
      <c r="M1826" s="23"/>
      <c r="N1826" s="23"/>
      <c r="P1826" s="23"/>
    </row>
    <row r="1827" spans="2:16" x14ac:dyDescent="0.25">
      <c r="B1827" s="23"/>
      <c r="E1827" s="23"/>
      <c r="G1827" s="23"/>
      <c r="H1827" s="23"/>
      <c r="J1827" s="23"/>
      <c r="K1827" s="23"/>
      <c r="M1827" s="23"/>
      <c r="N1827" s="23"/>
      <c r="P1827" s="23"/>
    </row>
    <row r="1828" spans="2:16" x14ac:dyDescent="0.25">
      <c r="B1828" s="23"/>
      <c r="E1828" s="23"/>
      <c r="G1828" s="23"/>
      <c r="H1828" s="23"/>
      <c r="J1828" s="23"/>
      <c r="K1828" s="23"/>
      <c r="M1828" s="23"/>
      <c r="N1828" s="23"/>
      <c r="P1828" s="23"/>
    </row>
    <row r="1829" spans="2:16" x14ac:dyDescent="0.25">
      <c r="B1829" s="23"/>
      <c r="E1829" s="23"/>
      <c r="G1829" s="23"/>
      <c r="H1829" s="23"/>
      <c r="J1829" s="23"/>
      <c r="K1829" s="23"/>
      <c r="M1829" s="23"/>
      <c r="N1829" s="23"/>
      <c r="P1829" s="23"/>
    </row>
    <row r="1830" spans="2:16" x14ac:dyDescent="0.25">
      <c r="B1830" s="23"/>
      <c r="E1830" s="23"/>
      <c r="G1830" s="23"/>
      <c r="H1830" s="23"/>
      <c r="J1830" s="23"/>
      <c r="K1830" s="23"/>
      <c r="M1830" s="23"/>
      <c r="N1830" s="23"/>
      <c r="P1830" s="23"/>
    </row>
    <row r="1831" spans="2:16" x14ac:dyDescent="0.25">
      <c r="B1831" s="23"/>
      <c r="E1831" s="23"/>
      <c r="G1831" s="23"/>
      <c r="H1831" s="23"/>
      <c r="J1831" s="23"/>
      <c r="K1831" s="23"/>
      <c r="M1831" s="23"/>
      <c r="N1831" s="23"/>
      <c r="P1831" s="23"/>
    </row>
    <row r="1832" spans="2:16" x14ac:dyDescent="0.25">
      <c r="B1832" s="23"/>
      <c r="E1832" s="23"/>
      <c r="G1832" s="23"/>
      <c r="H1832" s="23"/>
      <c r="J1832" s="23"/>
      <c r="K1832" s="23"/>
      <c r="M1832" s="23"/>
      <c r="N1832" s="23"/>
      <c r="P1832" s="23"/>
    </row>
    <row r="1833" spans="2:16" x14ac:dyDescent="0.25">
      <c r="B1833" s="23"/>
      <c r="E1833" s="23"/>
      <c r="G1833" s="23"/>
      <c r="H1833" s="23"/>
      <c r="J1833" s="23"/>
      <c r="K1833" s="23"/>
      <c r="M1833" s="23"/>
      <c r="N1833" s="23"/>
      <c r="P1833" s="23"/>
    </row>
    <row r="1834" spans="2:16" x14ac:dyDescent="0.25">
      <c r="B1834" s="23"/>
      <c r="E1834" s="23"/>
      <c r="G1834" s="23"/>
      <c r="H1834" s="23"/>
      <c r="J1834" s="23"/>
      <c r="K1834" s="23"/>
      <c r="M1834" s="23"/>
      <c r="N1834" s="23"/>
      <c r="P1834" s="23"/>
    </row>
    <row r="1835" spans="2:16" x14ac:dyDescent="0.25">
      <c r="B1835" s="23"/>
      <c r="E1835" s="23"/>
      <c r="G1835" s="23"/>
      <c r="H1835" s="23"/>
      <c r="J1835" s="23"/>
      <c r="K1835" s="23"/>
      <c r="M1835" s="23"/>
      <c r="N1835" s="23"/>
      <c r="P1835" s="23"/>
    </row>
    <row r="1836" spans="2:16" x14ac:dyDescent="0.25">
      <c r="B1836" s="23"/>
      <c r="E1836" s="23"/>
      <c r="G1836" s="23"/>
      <c r="H1836" s="23"/>
      <c r="J1836" s="23"/>
      <c r="K1836" s="23"/>
      <c r="M1836" s="23"/>
      <c r="N1836" s="23"/>
      <c r="P1836" s="23"/>
    </row>
    <row r="1837" spans="2:16" x14ac:dyDescent="0.25">
      <c r="B1837" s="23"/>
      <c r="E1837" s="23"/>
      <c r="G1837" s="23"/>
      <c r="H1837" s="23"/>
      <c r="J1837" s="23"/>
      <c r="K1837" s="23"/>
      <c r="M1837" s="23"/>
      <c r="N1837" s="23"/>
      <c r="P1837" s="23"/>
    </row>
    <row r="1838" spans="2:16" x14ac:dyDescent="0.25">
      <c r="B1838" s="23"/>
      <c r="E1838" s="23"/>
      <c r="G1838" s="23"/>
      <c r="H1838" s="23"/>
      <c r="J1838" s="23"/>
      <c r="K1838" s="23"/>
      <c r="M1838" s="23"/>
      <c r="N1838" s="23"/>
      <c r="P1838" s="23"/>
    </row>
    <row r="1839" spans="2:16" x14ac:dyDescent="0.25">
      <c r="B1839" s="23"/>
      <c r="E1839" s="23"/>
      <c r="G1839" s="23"/>
      <c r="H1839" s="23"/>
      <c r="J1839" s="23"/>
      <c r="K1839" s="23"/>
      <c r="M1839" s="23"/>
      <c r="N1839" s="23"/>
      <c r="P1839" s="23"/>
    </row>
    <row r="1840" spans="2:16" x14ac:dyDescent="0.25">
      <c r="B1840" s="23"/>
      <c r="E1840" s="23"/>
      <c r="G1840" s="23"/>
      <c r="H1840" s="23"/>
      <c r="J1840" s="23"/>
      <c r="K1840" s="23"/>
      <c r="M1840" s="23"/>
      <c r="N1840" s="23"/>
      <c r="P1840" s="23"/>
    </row>
    <row r="1841" spans="2:16" x14ac:dyDescent="0.25">
      <c r="B1841" s="23"/>
      <c r="E1841" s="23"/>
      <c r="G1841" s="23"/>
      <c r="H1841" s="23"/>
      <c r="J1841" s="23"/>
      <c r="K1841" s="23"/>
      <c r="M1841" s="23"/>
      <c r="N1841" s="23"/>
      <c r="P1841" s="23"/>
    </row>
    <row r="1842" spans="2:16" x14ac:dyDescent="0.25">
      <c r="B1842" s="23"/>
      <c r="E1842" s="23"/>
      <c r="G1842" s="23"/>
      <c r="H1842" s="23"/>
      <c r="J1842" s="23"/>
      <c r="K1842" s="23"/>
      <c r="M1842" s="23"/>
      <c r="N1842" s="23"/>
      <c r="P1842" s="23"/>
    </row>
    <row r="1843" spans="2:16" x14ac:dyDescent="0.25">
      <c r="B1843" s="23"/>
      <c r="E1843" s="23"/>
      <c r="G1843" s="23"/>
      <c r="H1843" s="23"/>
      <c r="J1843" s="23"/>
      <c r="K1843" s="23"/>
      <c r="M1843" s="23"/>
      <c r="N1843" s="23"/>
      <c r="P1843" s="23"/>
    </row>
    <row r="1844" spans="2:16" x14ac:dyDescent="0.25">
      <c r="B1844" s="23"/>
      <c r="E1844" s="23"/>
      <c r="G1844" s="23"/>
      <c r="H1844" s="23"/>
      <c r="J1844" s="23"/>
      <c r="K1844" s="23"/>
      <c r="M1844" s="23"/>
      <c r="N1844" s="23"/>
      <c r="P1844" s="23"/>
    </row>
    <row r="1845" spans="2:16" x14ac:dyDescent="0.25">
      <c r="B1845" s="23"/>
      <c r="E1845" s="23"/>
      <c r="G1845" s="23"/>
      <c r="H1845" s="23"/>
      <c r="J1845" s="23"/>
      <c r="K1845" s="23"/>
      <c r="M1845" s="23"/>
      <c r="N1845" s="23"/>
      <c r="P1845" s="23"/>
    </row>
    <row r="1846" spans="2:16" x14ac:dyDescent="0.25">
      <c r="B1846" s="23"/>
      <c r="E1846" s="23"/>
      <c r="G1846" s="23"/>
      <c r="H1846" s="23"/>
      <c r="J1846" s="23"/>
      <c r="K1846" s="23"/>
      <c r="M1846" s="23"/>
      <c r="N1846" s="23"/>
      <c r="P1846" s="23"/>
    </row>
    <row r="1847" spans="2:16" x14ac:dyDescent="0.25">
      <c r="B1847" s="23"/>
      <c r="E1847" s="23"/>
      <c r="G1847" s="23"/>
      <c r="H1847" s="23"/>
      <c r="J1847" s="23"/>
      <c r="K1847" s="23"/>
      <c r="M1847" s="23"/>
      <c r="N1847" s="23"/>
      <c r="P1847" s="23"/>
    </row>
    <row r="1848" spans="2:16" x14ac:dyDescent="0.25">
      <c r="B1848" s="23"/>
      <c r="E1848" s="23"/>
      <c r="G1848" s="23"/>
      <c r="H1848" s="23"/>
      <c r="J1848" s="23"/>
      <c r="K1848" s="23"/>
      <c r="M1848" s="23"/>
      <c r="N1848" s="23"/>
      <c r="P1848" s="23"/>
    </row>
    <row r="1849" spans="2:16" x14ac:dyDescent="0.25">
      <c r="B1849" s="23"/>
      <c r="E1849" s="23"/>
      <c r="G1849" s="23"/>
      <c r="H1849" s="23"/>
      <c r="J1849" s="23"/>
      <c r="K1849" s="23"/>
      <c r="M1849" s="23"/>
      <c r="N1849" s="23"/>
      <c r="P1849" s="23"/>
    </row>
    <row r="1850" spans="2:16" x14ac:dyDescent="0.25">
      <c r="B1850" s="23"/>
      <c r="E1850" s="23"/>
      <c r="G1850" s="23"/>
      <c r="H1850" s="23"/>
      <c r="J1850" s="23"/>
      <c r="K1850" s="23"/>
      <c r="M1850" s="23"/>
      <c r="N1850" s="23"/>
      <c r="P1850" s="23"/>
    </row>
    <row r="1851" spans="2:16" x14ac:dyDescent="0.25">
      <c r="B1851" s="23"/>
      <c r="E1851" s="23"/>
      <c r="G1851" s="23"/>
      <c r="H1851" s="23"/>
      <c r="J1851" s="23"/>
      <c r="K1851" s="23"/>
      <c r="M1851" s="23"/>
      <c r="N1851" s="23"/>
      <c r="P1851" s="23"/>
    </row>
    <row r="1852" spans="2:16" x14ac:dyDescent="0.25">
      <c r="B1852" s="23"/>
      <c r="E1852" s="23"/>
      <c r="G1852" s="23"/>
      <c r="H1852" s="23"/>
      <c r="J1852" s="23"/>
      <c r="K1852" s="23"/>
      <c r="M1852" s="23"/>
      <c r="N1852" s="23"/>
      <c r="P1852" s="23"/>
    </row>
    <row r="1853" spans="2:16" x14ac:dyDescent="0.25">
      <c r="B1853" s="23"/>
      <c r="E1853" s="23"/>
      <c r="G1853" s="23"/>
      <c r="H1853" s="23"/>
      <c r="J1853" s="23"/>
      <c r="K1853" s="23"/>
      <c r="M1853" s="23"/>
      <c r="N1853" s="23"/>
      <c r="P1853" s="23"/>
    </row>
    <row r="1854" spans="2:16" x14ac:dyDescent="0.25">
      <c r="B1854" s="23"/>
      <c r="E1854" s="23"/>
      <c r="G1854" s="23"/>
      <c r="H1854" s="23"/>
      <c r="J1854" s="23"/>
      <c r="K1854" s="23"/>
      <c r="M1854" s="23"/>
      <c r="N1854" s="23"/>
      <c r="P1854" s="23"/>
    </row>
    <row r="1855" spans="2:16" x14ac:dyDescent="0.25">
      <c r="B1855" s="23"/>
      <c r="E1855" s="23"/>
      <c r="G1855" s="23"/>
      <c r="H1855" s="23"/>
      <c r="J1855" s="23"/>
      <c r="K1855" s="23"/>
      <c r="M1855" s="23"/>
      <c r="N1855" s="23"/>
      <c r="P1855" s="23"/>
    </row>
    <row r="1856" spans="2:16" x14ac:dyDescent="0.25">
      <c r="B1856" s="23"/>
      <c r="E1856" s="23"/>
      <c r="G1856" s="23"/>
      <c r="H1856" s="23"/>
      <c r="J1856" s="23"/>
      <c r="K1856" s="23"/>
      <c r="M1856" s="23"/>
      <c r="N1856" s="23"/>
      <c r="P1856" s="23"/>
    </row>
    <row r="1857" spans="2:16" x14ac:dyDescent="0.25">
      <c r="B1857" s="23"/>
      <c r="E1857" s="23"/>
      <c r="G1857" s="23"/>
      <c r="H1857" s="23"/>
      <c r="J1857" s="23"/>
      <c r="K1857" s="23"/>
      <c r="M1857" s="23"/>
      <c r="N1857" s="23"/>
      <c r="P1857" s="23"/>
    </row>
    <row r="1858" spans="2:16" x14ac:dyDescent="0.25">
      <c r="B1858" s="23"/>
      <c r="E1858" s="23"/>
      <c r="G1858" s="23"/>
      <c r="H1858" s="23"/>
      <c r="J1858" s="23"/>
      <c r="K1858" s="23"/>
      <c r="M1858" s="23"/>
      <c r="N1858" s="23"/>
      <c r="P1858" s="23"/>
    </row>
    <row r="1859" spans="2:16" x14ac:dyDescent="0.25">
      <c r="B1859" s="23"/>
      <c r="E1859" s="23"/>
      <c r="G1859" s="23"/>
      <c r="H1859" s="23"/>
      <c r="J1859" s="23"/>
      <c r="K1859" s="23"/>
      <c r="M1859" s="23"/>
      <c r="N1859" s="23"/>
      <c r="P1859" s="23"/>
    </row>
    <row r="1860" spans="2:16" x14ac:dyDescent="0.25">
      <c r="B1860" s="23"/>
      <c r="E1860" s="23"/>
      <c r="G1860" s="23"/>
      <c r="H1860" s="23"/>
      <c r="J1860" s="23"/>
      <c r="K1860" s="23"/>
      <c r="M1860" s="23"/>
      <c r="N1860" s="23"/>
      <c r="P1860" s="23"/>
    </row>
    <row r="1861" spans="2:16" x14ac:dyDescent="0.25">
      <c r="B1861" s="23"/>
      <c r="E1861" s="23"/>
      <c r="G1861" s="23"/>
      <c r="H1861" s="23"/>
      <c r="J1861" s="23"/>
      <c r="K1861" s="23"/>
      <c r="M1861" s="23"/>
      <c r="N1861" s="23"/>
      <c r="P1861" s="23"/>
    </row>
    <row r="1862" spans="2:16" x14ac:dyDescent="0.25">
      <c r="B1862" s="23"/>
      <c r="E1862" s="23"/>
      <c r="G1862" s="23"/>
      <c r="H1862" s="23"/>
      <c r="J1862" s="23"/>
      <c r="K1862" s="23"/>
      <c r="M1862" s="23"/>
      <c r="N1862" s="23"/>
      <c r="P1862" s="23"/>
    </row>
    <row r="1863" spans="2:16" x14ac:dyDescent="0.25">
      <c r="B1863" s="23"/>
      <c r="E1863" s="23"/>
      <c r="G1863" s="23"/>
      <c r="H1863" s="23"/>
      <c r="J1863" s="23"/>
      <c r="K1863" s="23"/>
      <c r="M1863" s="23"/>
      <c r="N1863" s="23"/>
      <c r="P1863" s="23"/>
    </row>
    <row r="1864" spans="2:16" x14ac:dyDescent="0.25">
      <c r="B1864" s="23"/>
      <c r="E1864" s="23"/>
      <c r="G1864" s="23"/>
      <c r="H1864" s="23"/>
      <c r="J1864" s="23"/>
      <c r="K1864" s="23"/>
      <c r="M1864" s="23"/>
      <c r="N1864" s="23"/>
      <c r="P1864" s="23"/>
    </row>
    <row r="1865" spans="2:16" x14ac:dyDescent="0.25">
      <c r="B1865" s="23"/>
      <c r="E1865" s="23"/>
      <c r="G1865" s="23"/>
      <c r="H1865" s="23"/>
      <c r="J1865" s="23"/>
      <c r="K1865" s="23"/>
      <c r="M1865" s="23"/>
      <c r="N1865" s="23"/>
      <c r="P1865" s="23"/>
    </row>
    <row r="1866" spans="2:16" x14ac:dyDescent="0.25">
      <c r="B1866" s="23"/>
      <c r="E1866" s="23"/>
      <c r="G1866" s="23"/>
      <c r="H1866" s="23"/>
      <c r="J1866" s="23"/>
      <c r="K1866" s="23"/>
      <c r="M1866" s="23"/>
      <c r="N1866" s="23"/>
      <c r="P1866" s="23"/>
    </row>
    <row r="1867" spans="2:16" x14ac:dyDescent="0.25">
      <c r="B1867" s="23"/>
      <c r="E1867" s="23"/>
      <c r="G1867" s="23"/>
      <c r="H1867" s="23"/>
      <c r="J1867" s="23"/>
      <c r="K1867" s="23"/>
      <c r="M1867" s="23"/>
      <c r="N1867" s="23"/>
      <c r="P1867" s="23"/>
    </row>
    <row r="1868" spans="2:16" x14ac:dyDescent="0.25">
      <c r="B1868" s="23"/>
      <c r="E1868" s="23"/>
      <c r="G1868" s="23"/>
      <c r="H1868" s="23"/>
      <c r="J1868" s="23"/>
      <c r="K1868" s="23"/>
      <c r="M1868" s="23"/>
      <c r="N1868" s="23"/>
      <c r="P1868" s="23"/>
    </row>
    <row r="1869" spans="2:16" x14ac:dyDescent="0.25">
      <c r="B1869" s="23"/>
      <c r="E1869" s="23"/>
      <c r="G1869" s="23"/>
      <c r="H1869" s="23"/>
      <c r="J1869" s="23"/>
      <c r="K1869" s="23"/>
      <c r="M1869" s="23"/>
      <c r="N1869" s="23"/>
      <c r="P1869" s="23"/>
    </row>
    <row r="1870" spans="2:16" x14ac:dyDescent="0.25">
      <c r="B1870" s="23"/>
      <c r="E1870" s="23"/>
      <c r="G1870" s="23"/>
      <c r="H1870" s="23"/>
      <c r="J1870" s="23"/>
      <c r="K1870" s="23"/>
      <c r="M1870" s="23"/>
      <c r="N1870" s="23"/>
      <c r="P1870" s="23"/>
    </row>
    <row r="1871" spans="2:16" x14ac:dyDescent="0.25">
      <c r="B1871" s="23"/>
      <c r="E1871" s="23"/>
      <c r="G1871" s="23"/>
      <c r="H1871" s="23"/>
      <c r="J1871" s="23"/>
      <c r="K1871" s="23"/>
      <c r="M1871" s="23"/>
      <c r="N1871" s="23"/>
      <c r="P1871" s="23"/>
    </row>
    <row r="1872" spans="2:16" x14ac:dyDescent="0.25">
      <c r="B1872" s="23"/>
      <c r="E1872" s="23"/>
      <c r="G1872" s="23"/>
      <c r="H1872" s="23"/>
      <c r="J1872" s="23"/>
      <c r="K1872" s="23"/>
      <c r="M1872" s="23"/>
      <c r="N1872" s="23"/>
      <c r="P1872" s="23"/>
    </row>
    <row r="1873" spans="2:16" x14ac:dyDescent="0.25">
      <c r="B1873" s="23"/>
      <c r="E1873" s="23"/>
      <c r="G1873" s="23"/>
      <c r="H1873" s="23"/>
      <c r="J1873" s="23"/>
      <c r="K1873" s="23"/>
      <c r="M1873" s="23"/>
      <c r="N1873" s="23"/>
      <c r="P1873" s="23"/>
    </row>
    <row r="1874" spans="2:16" x14ac:dyDescent="0.25">
      <c r="B1874" s="23"/>
      <c r="E1874" s="23"/>
      <c r="G1874" s="23"/>
      <c r="H1874" s="23"/>
      <c r="J1874" s="23"/>
      <c r="K1874" s="23"/>
      <c r="M1874" s="23"/>
      <c r="N1874" s="23"/>
      <c r="P1874" s="23"/>
    </row>
    <row r="1875" spans="2:16" x14ac:dyDescent="0.25">
      <c r="B1875" s="23"/>
      <c r="E1875" s="23"/>
      <c r="G1875" s="23"/>
      <c r="H1875" s="23"/>
      <c r="J1875" s="23"/>
      <c r="K1875" s="23"/>
      <c r="M1875" s="23"/>
      <c r="N1875" s="23"/>
      <c r="P1875" s="23"/>
    </row>
    <row r="1876" spans="2:16" x14ac:dyDescent="0.25">
      <c r="B1876" s="23"/>
      <c r="E1876" s="23"/>
      <c r="G1876" s="23"/>
      <c r="H1876" s="23"/>
      <c r="J1876" s="23"/>
      <c r="K1876" s="23"/>
      <c r="M1876" s="23"/>
      <c r="N1876" s="23"/>
      <c r="P1876" s="23"/>
    </row>
    <row r="1877" spans="2:16" x14ac:dyDescent="0.25">
      <c r="B1877" s="23"/>
      <c r="E1877" s="23"/>
      <c r="G1877" s="23"/>
      <c r="H1877" s="23"/>
      <c r="J1877" s="23"/>
      <c r="K1877" s="23"/>
      <c r="M1877" s="23"/>
      <c r="N1877" s="23"/>
      <c r="P1877" s="23"/>
    </row>
    <row r="1878" spans="2:16" x14ac:dyDescent="0.25">
      <c r="B1878" s="23"/>
      <c r="E1878" s="23"/>
      <c r="G1878" s="23"/>
      <c r="H1878" s="23"/>
      <c r="J1878" s="23"/>
      <c r="K1878" s="23"/>
      <c r="M1878" s="23"/>
      <c r="N1878" s="23"/>
      <c r="P1878" s="23"/>
    </row>
    <row r="1879" spans="2:16" x14ac:dyDescent="0.25">
      <c r="B1879" s="23"/>
      <c r="E1879" s="23"/>
      <c r="G1879" s="23"/>
      <c r="H1879" s="23"/>
      <c r="J1879" s="23"/>
      <c r="K1879" s="23"/>
      <c r="M1879" s="23"/>
      <c r="N1879" s="23"/>
      <c r="P1879" s="23"/>
    </row>
    <row r="1880" spans="2:16" x14ac:dyDescent="0.25">
      <c r="B1880" s="23"/>
      <c r="E1880" s="23"/>
      <c r="G1880" s="23"/>
      <c r="H1880" s="23"/>
      <c r="J1880" s="23"/>
      <c r="K1880" s="23"/>
      <c r="M1880" s="23"/>
      <c r="N1880" s="23"/>
      <c r="P1880" s="23"/>
    </row>
    <row r="1881" spans="2:16" x14ac:dyDescent="0.25">
      <c r="B1881" s="23"/>
      <c r="E1881" s="23"/>
      <c r="G1881" s="23"/>
      <c r="H1881" s="23"/>
      <c r="J1881" s="23"/>
      <c r="K1881" s="23"/>
      <c r="M1881" s="23"/>
      <c r="N1881" s="23"/>
      <c r="P1881" s="23"/>
    </row>
    <row r="1882" spans="2:16" x14ac:dyDescent="0.25">
      <c r="B1882" s="23"/>
      <c r="E1882" s="23"/>
      <c r="G1882" s="23"/>
      <c r="H1882" s="23"/>
      <c r="J1882" s="23"/>
      <c r="K1882" s="23"/>
      <c r="M1882" s="23"/>
      <c r="N1882" s="23"/>
      <c r="P1882" s="23"/>
    </row>
    <row r="1883" spans="2:16" x14ac:dyDescent="0.25">
      <c r="B1883" s="23"/>
      <c r="E1883" s="23"/>
      <c r="G1883" s="23"/>
      <c r="H1883" s="23"/>
      <c r="J1883" s="23"/>
      <c r="K1883" s="23"/>
      <c r="M1883" s="23"/>
      <c r="N1883" s="23"/>
      <c r="P1883" s="23"/>
    </row>
    <row r="1884" spans="2:16" x14ac:dyDescent="0.25">
      <c r="B1884" s="23"/>
      <c r="E1884" s="23"/>
      <c r="G1884" s="23"/>
      <c r="H1884" s="23"/>
      <c r="J1884" s="23"/>
      <c r="K1884" s="23"/>
      <c r="M1884" s="23"/>
      <c r="N1884" s="23"/>
      <c r="P1884" s="23"/>
    </row>
    <row r="1885" spans="2:16" x14ac:dyDescent="0.25">
      <c r="B1885" s="23"/>
      <c r="E1885" s="23"/>
      <c r="G1885" s="23"/>
      <c r="H1885" s="23"/>
      <c r="J1885" s="23"/>
      <c r="K1885" s="23"/>
      <c r="M1885" s="23"/>
      <c r="N1885" s="23"/>
      <c r="P1885" s="23"/>
    </row>
    <row r="1886" spans="2:16" x14ac:dyDescent="0.25">
      <c r="B1886" s="23"/>
      <c r="E1886" s="23"/>
      <c r="G1886" s="23"/>
      <c r="H1886" s="23"/>
      <c r="J1886" s="23"/>
      <c r="K1886" s="23"/>
      <c r="M1886" s="23"/>
      <c r="N1886" s="23"/>
      <c r="P1886" s="23"/>
    </row>
    <row r="1887" spans="2:16" x14ac:dyDescent="0.25">
      <c r="B1887" s="23"/>
      <c r="E1887" s="23"/>
      <c r="G1887" s="23"/>
      <c r="H1887" s="23"/>
      <c r="J1887" s="23"/>
      <c r="K1887" s="23"/>
      <c r="M1887" s="23"/>
      <c r="N1887" s="23"/>
      <c r="P1887" s="23"/>
    </row>
    <row r="1888" spans="2:16" x14ac:dyDescent="0.25">
      <c r="B1888" s="23"/>
      <c r="E1888" s="23"/>
      <c r="G1888" s="23"/>
      <c r="H1888" s="23"/>
      <c r="J1888" s="23"/>
      <c r="K1888" s="23"/>
      <c r="M1888" s="23"/>
      <c r="N1888" s="23"/>
      <c r="P1888" s="23"/>
    </row>
    <row r="1889" spans="2:16" x14ac:dyDescent="0.25">
      <c r="B1889" s="23"/>
      <c r="E1889" s="23"/>
      <c r="G1889" s="23"/>
      <c r="H1889" s="23"/>
      <c r="J1889" s="23"/>
      <c r="K1889" s="23"/>
      <c r="M1889" s="23"/>
      <c r="N1889" s="23"/>
      <c r="P1889" s="23"/>
    </row>
    <row r="1890" spans="2:16" x14ac:dyDescent="0.25">
      <c r="B1890" s="23"/>
      <c r="E1890" s="23"/>
      <c r="G1890" s="23"/>
      <c r="H1890" s="23"/>
      <c r="J1890" s="23"/>
      <c r="K1890" s="23"/>
      <c r="M1890" s="23"/>
      <c r="N1890" s="23"/>
      <c r="P1890" s="23"/>
    </row>
    <row r="1891" spans="2:16" x14ac:dyDescent="0.25">
      <c r="B1891" s="23"/>
      <c r="E1891" s="23"/>
      <c r="G1891" s="23"/>
      <c r="H1891" s="23"/>
      <c r="J1891" s="23"/>
      <c r="K1891" s="23"/>
      <c r="M1891" s="23"/>
      <c r="N1891" s="23"/>
      <c r="P1891" s="23"/>
    </row>
    <row r="1892" spans="2:16" x14ac:dyDescent="0.25">
      <c r="B1892" s="23"/>
      <c r="E1892" s="23"/>
      <c r="G1892" s="23"/>
      <c r="H1892" s="23"/>
      <c r="J1892" s="23"/>
      <c r="K1892" s="23"/>
      <c r="M1892" s="23"/>
      <c r="N1892" s="23"/>
      <c r="P1892" s="23"/>
    </row>
    <row r="1893" spans="2:16" x14ac:dyDescent="0.25">
      <c r="B1893" s="23"/>
      <c r="E1893" s="23"/>
      <c r="G1893" s="23"/>
      <c r="H1893" s="23"/>
      <c r="J1893" s="23"/>
      <c r="K1893" s="23"/>
      <c r="M1893" s="23"/>
      <c r="N1893" s="23"/>
      <c r="P1893" s="23"/>
    </row>
    <row r="1894" spans="2:16" x14ac:dyDescent="0.25">
      <c r="B1894" s="23"/>
      <c r="E1894" s="23"/>
      <c r="G1894" s="23"/>
      <c r="H1894" s="23"/>
      <c r="J1894" s="23"/>
      <c r="K1894" s="23"/>
      <c r="M1894" s="23"/>
      <c r="N1894" s="23"/>
      <c r="P1894" s="23"/>
    </row>
    <row r="1895" spans="2:16" x14ac:dyDescent="0.25">
      <c r="B1895" s="23"/>
      <c r="E1895" s="23"/>
      <c r="G1895" s="23"/>
      <c r="H1895" s="23"/>
      <c r="J1895" s="23"/>
      <c r="K1895" s="23"/>
      <c r="M1895" s="23"/>
      <c r="N1895" s="23"/>
      <c r="P1895" s="23"/>
    </row>
    <row r="1896" spans="2:16" x14ac:dyDescent="0.25">
      <c r="B1896" s="23"/>
      <c r="E1896" s="23"/>
      <c r="G1896" s="23"/>
      <c r="H1896" s="23"/>
      <c r="J1896" s="23"/>
      <c r="K1896" s="23"/>
      <c r="M1896" s="23"/>
      <c r="N1896" s="23"/>
      <c r="P1896" s="23"/>
    </row>
    <row r="1897" spans="2:16" x14ac:dyDescent="0.25">
      <c r="B1897" s="23"/>
      <c r="E1897" s="23"/>
      <c r="G1897" s="23"/>
      <c r="H1897" s="23"/>
      <c r="J1897" s="23"/>
      <c r="K1897" s="23"/>
      <c r="M1897" s="23"/>
      <c r="N1897" s="23"/>
      <c r="P1897" s="23"/>
    </row>
    <row r="1898" spans="2:16" x14ac:dyDescent="0.25">
      <c r="B1898" s="23"/>
      <c r="E1898" s="23"/>
      <c r="G1898" s="23"/>
      <c r="H1898" s="23"/>
      <c r="J1898" s="23"/>
      <c r="K1898" s="23"/>
      <c r="M1898" s="23"/>
      <c r="N1898" s="23"/>
      <c r="P1898" s="23"/>
    </row>
    <row r="1899" spans="2:16" x14ac:dyDescent="0.25">
      <c r="B1899" s="23"/>
      <c r="E1899" s="23"/>
      <c r="G1899" s="23"/>
      <c r="H1899" s="23"/>
      <c r="J1899" s="23"/>
      <c r="K1899" s="23"/>
      <c r="M1899" s="23"/>
      <c r="N1899" s="23"/>
      <c r="P1899" s="23"/>
    </row>
    <row r="1900" spans="2:16" x14ac:dyDescent="0.25">
      <c r="B1900" s="23"/>
      <c r="E1900" s="23"/>
      <c r="G1900" s="23"/>
      <c r="H1900" s="23"/>
      <c r="J1900" s="23"/>
      <c r="K1900" s="23"/>
      <c r="M1900" s="23"/>
      <c r="N1900" s="23"/>
      <c r="P1900" s="23"/>
    </row>
    <row r="1901" spans="2:16" x14ac:dyDescent="0.25">
      <c r="B1901" s="23"/>
      <c r="E1901" s="23"/>
      <c r="G1901" s="23"/>
      <c r="H1901" s="23"/>
      <c r="J1901" s="23"/>
      <c r="K1901" s="23"/>
      <c r="M1901" s="23"/>
      <c r="N1901" s="23"/>
      <c r="P1901" s="23"/>
    </row>
    <row r="1902" spans="2:16" x14ac:dyDescent="0.25">
      <c r="B1902" s="23"/>
      <c r="E1902" s="23"/>
      <c r="G1902" s="23"/>
      <c r="H1902" s="23"/>
      <c r="J1902" s="23"/>
      <c r="K1902" s="23"/>
      <c r="M1902" s="23"/>
      <c r="N1902" s="23"/>
      <c r="P1902" s="23"/>
    </row>
    <row r="1903" spans="2:16" x14ac:dyDescent="0.25">
      <c r="B1903" s="23"/>
      <c r="E1903" s="23"/>
      <c r="G1903" s="23"/>
      <c r="H1903" s="23"/>
      <c r="J1903" s="23"/>
      <c r="K1903" s="23"/>
      <c r="M1903" s="23"/>
      <c r="N1903" s="23"/>
      <c r="P1903" s="23"/>
    </row>
    <row r="1904" spans="2:16" x14ac:dyDescent="0.25">
      <c r="B1904" s="23"/>
      <c r="E1904" s="23"/>
      <c r="G1904" s="23"/>
      <c r="H1904" s="23"/>
      <c r="J1904" s="23"/>
      <c r="K1904" s="23"/>
      <c r="M1904" s="23"/>
      <c r="N1904" s="23"/>
      <c r="P1904" s="23"/>
    </row>
    <row r="1905" spans="2:16" x14ac:dyDescent="0.25">
      <c r="B1905" s="23"/>
      <c r="E1905" s="23"/>
      <c r="G1905" s="23"/>
      <c r="H1905" s="23"/>
      <c r="J1905" s="23"/>
      <c r="K1905" s="23"/>
      <c r="M1905" s="23"/>
      <c r="N1905" s="23"/>
      <c r="P1905" s="23"/>
    </row>
    <row r="1906" spans="2:16" x14ac:dyDescent="0.25">
      <c r="B1906" s="23"/>
      <c r="E1906" s="23"/>
      <c r="G1906" s="23"/>
      <c r="H1906" s="23"/>
      <c r="J1906" s="23"/>
      <c r="K1906" s="23"/>
      <c r="M1906" s="23"/>
      <c r="N1906" s="23"/>
      <c r="P1906" s="23"/>
    </row>
    <row r="1907" spans="2:16" x14ac:dyDescent="0.25">
      <c r="B1907" s="23"/>
      <c r="E1907" s="23"/>
      <c r="G1907" s="23"/>
      <c r="H1907" s="23"/>
      <c r="J1907" s="23"/>
      <c r="K1907" s="23"/>
      <c r="M1907" s="23"/>
      <c r="N1907" s="23"/>
      <c r="P1907" s="23"/>
    </row>
    <row r="1908" spans="2:16" x14ac:dyDescent="0.25">
      <c r="B1908" s="23"/>
      <c r="E1908" s="23"/>
      <c r="G1908" s="23"/>
      <c r="H1908" s="23"/>
      <c r="J1908" s="23"/>
      <c r="K1908" s="23"/>
      <c r="M1908" s="23"/>
      <c r="N1908" s="23"/>
      <c r="P1908" s="23"/>
    </row>
    <row r="1909" spans="2:16" x14ac:dyDescent="0.25">
      <c r="B1909" s="23"/>
      <c r="E1909" s="23"/>
      <c r="G1909" s="23"/>
      <c r="H1909" s="23"/>
      <c r="J1909" s="23"/>
      <c r="K1909" s="23"/>
      <c r="M1909" s="23"/>
      <c r="N1909" s="23"/>
      <c r="P1909" s="23"/>
    </row>
    <row r="1910" spans="2:16" x14ac:dyDescent="0.25">
      <c r="B1910" s="23"/>
      <c r="E1910" s="23"/>
      <c r="G1910" s="23"/>
      <c r="H1910" s="23"/>
      <c r="J1910" s="23"/>
      <c r="K1910" s="23"/>
      <c r="M1910" s="23"/>
      <c r="N1910" s="23"/>
      <c r="P1910" s="23"/>
    </row>
    <row r="1911" spans="2:16" x14ac:dyDescent="0.25">
      <c r="B1911" s="23"/>
      <c r="E1911" s="23"/>
      <c r="G1911" s="23"/>
      <c r="H1911" s="23"/>
      <c r="J1911" s="23"/>
      <c r="K1911" s="23"/>
      <c r="M1911" s="23"/>
      <c r="N1911" s="23"/>
      <c r="P1911" s="23"/>
    </row>
    <row r="1912" spans="2:16" x14ac:dyDescent="0.25">
      <c r="B1912" s="23"/>
      <c r="E1912" s="23"/>
      <c r="G1912" s="23"/>
      <c r="H1912" s="23"/>
      <c r="J1912" s="23"/>
      <c r="K1912" s="23"/>
      <c r="M1912" s="23"/>
      <c r="N1912" s="23"/>
      <c r="P1912" s="23"/>
    </row>
    <row r="1913" spans="2:16" x14ac:dyDescent="0.25">
      <c r="B1913" s="23"/>
      <c r="E1913" s="23"/>
      <c r="G1913" s="23"/>
      <c r="H1913" s="23"/>
      <c r="J1913" s="23"/>
      <c r="K1913" s="23"/>
      <c r="M1913" s="23"/>
      <c r="N1913" s="23"/>
      <c r="P1913" s="23"/>
    </row>
    <row r="1914" spans="2:16" x14ac:dyDescent="0.25">
      <c r="B1914" s="23"/>
      <c r="E1914" s="23"/>
      <c r="G1914" s="23"/>
      <c r="H1914" s="23"/>
      <c r="J1914" s="23"/>
      <c r="K1914" s="23"/>
      <c r="M1914" s="23"/>
      <c r="N1914" s="23"/>
      <c r="P1914" s="23"/>
    </row>
    <row r="1915" spans="2:16" x14ac:dyDescent="0.25">
      <c r="B1915" s="23"/>
      <c r="E1915" s="23"/>
      <c r="G1915" s="23"/>
      <c r="H1915" s="23"/>
      <c r="J1915" s="23"/>
      <c r="K1915" s="23"/>
      <c r="M1915" s="23"/>
      <c r="N1915" s="23"/>
      <c r="P1915" s="23"/>
    </row>
    <row r="1916" spans="2:16" x14ac:dyDescent="0.25">
      <c r="B1916" s="23"/>
      <c r="E1916" s="23"/>
      <c r="G1916" s="23"/>
      <c r="H1916" s="23"/>
      <c r="J1916" s="23"/>
      <c r="K1916" s="23"/>
      <c r="M1916" s="23"/>
      <c r="N1916" s="23"/>
      <c r="P1916" s="23"/>
    </row>
    <row r="1917" spans="2:16" x14ac:dyDescent="0.25">
      <c r="B1917" s="23"/>
      <c r="E1917" s="23"/>
      <c r="G1917" s="23"/>
      <c r="H1917" s="23"/>
      <c r="J1917" s="23"/>
      <c r="K1917" s="23"/>
      <c r="M1917" s="23"/>
      <c r="N1917" s="23"/>
      <c r="P1917" s="23"/>
    </row>
    <row r="1918" spans="2:16" x14ac:dyDescent="0.25">
      <c r="B1918" s="23"/>
      <c r="E1918" s="23"/>
      <c r="G1918" s="23"/>
      <c r="H1918" s="23"/>
      <c r="J1918" s="23"/>
      <c r="K1918" s="23"/>
      <c r="M1918" s="23"/>
      <c r="N1918" s="23"/>
      <c r="P1918" s="23"/>
    </row>
    <row r="1919" spans="2:16" x14ac:dyDescent="0.25">
      <c r="B1919" s="23"/>
      <c r="E1919" s="23"/>
      <c r="G1919" s="23"/>
      <c r="H1919" s="23"/>
      <c r="J1919" s="23"/>
      <c r="K1919" s="23"/>
      <c r="M1919" s="23"/>
      <c r="N1919" s="23"/>
      <c r="P1919" s="23"/>
    </row>
    <row r="1920" spans="2:16" x14ac:dyDescent="0.25">
      <c r="B1920" s="23"/>
      <c r="E1920" s="23"/>
      <c r="G1920" s="23"/>
      <c r="H1920" s="23"/>
      <c r="J1920" s="23"/>
      <c r="K1920" s="23"/>
      <c r="M1920" s="23"/>
      <c r="N1920" s="23"/>
      <c r="P1920" s="23"/>
    </row>
    <row r="1921" spans="2:16" x14ac:dyDescent="0.25">
      <c r="B1921" s="23"/>
      <c r="E1921" s="23"/>
      <c r="G1921" s="23"/>
      <c r="H1921" s="23"/>
      <c r="J1921" s="23"/>
      <c r="K1921" s="23"/>
      <c r="M1921" s="23"/>
      <c r="N1921" s="23"/>
      <c r="P1921" s="23"/>
    </row>
    <row r="1922" spans="2:16" x14ac:dyDescent="0.25">
      <c r="B1922" s="23"/>
      <c r="E1922" s="23"/>
      <c r="G1922" s="23"/>
      <c r="H1922" s="23"/>
      <c r="J1922" s="23"/>
      <c r="K1922" s="23"/>
      <c r="M1922" s="23"/>
      <c r="N1922" s="23"/>
      <c r="P1922" s="23"/>
    </row>
    <row r="1923" spans="2:16" x14ac:dyDescent="0.25">
      <c r="B1923" s="23"/>
      <c r="E1923" s="23"/>
      <c r="G1923" s="23"/>
      <c r="H1923" s="23"/>
      <c r="J1923" s="23"/>
      <c r="K1923" s="23"/>
      <c r="M1923" s="23"/>
      <c r="N1923" s="23"/>
      <c r="P1923" s="23"/>
    </row>
    <row r="1924" spans="2:16" x14ac:dyDescent="0.25">
      <c r="B1924" s="23"/>
      <c r="E1924" s="23"/>
      <c r="G1924" s="23"/>
      <c r="H1924" s="23"/>
      <c r="J1924" s="23"/>
      <c r="K1924" s="23"/>
      <c r="M1924" s="23"/>
      <c r="N1924" s="23"/>
      <c r="P1924" s="23"/>
    </row>
    <row r="1925" spans="2:16" x14ac:dyDescent="0.25">
      <c r="B1925" s="23"/>
      <c r="E1925" s="23"/>
      <c r="G1925" s="23"/>
      <c r="H1925" s="23"/>
      <c r="J1925" s="23"/>
      <c r="K1925" s="23"/>
      <c r="M1925" s="23"/>
      <c r="N1925" s="23"/>
      <c r="P1925" s="23"/>
    </row>
    <row r="1926" spans="2:16" x14ac:dyDescent="0.25">
      <c r="B1926" s="23"/>
      <c r="E1926" s="23"/>
      <c r="G1926" s="23"/>
      <c r="H1926" s="23"/>
      <c r="J1926" s="23"/>
      <c r="K1926" s="23"/>
      <c r="M1926" s="23"/>
      <c r="N1926" s="23"/>
      <c r="P1926" s="23"/>
    </row>
    <row r="1927" spans="2:16" x14ac:dyDescent="0.25">
      <c r="B1927" s="23"/>
      <c r="E1927" s="23"/>
      <c r="G1927" s="23"/>
      <c r="H1927" s="23"/>
      <c r="J1927" s="23"/>
      <c r="K1927" s="23"/>
      <c r="M1927" s="23"/>
      <c r="N1927" s="23"/>
      <c r="P1927" s="23"/>
    </row>
    <row r="1928" spans="2:16" x14ac:dyDescent="0.25">
      <c r="B1928" s="23"/>
      <c r="E1928" s="23"/>
      <c r="G1928" s="23"/>
      <c r="H1928" s="23"/>
      <c r="J1928" s="23"/>
      <c r="K1928" s="23"/>
      <c r="M1928" s="23"/>
      <c r="N1928" s="23"/>
      <c r="P1928" s="23"/>
    </row>
    <row r="1929" spans="2:16" x14ac:dyDescent="0.25">
      <c r="B1929" s="23"/>
      <c r="E1929" s="23"/>
      <c r="G1929" s="23"/>
      <c r="H1929" s="23"/>
      <c r="J1929" s="23"/>
      <c r="K1929" s="23"/>
      <c r="M1929" s="23"/>
      <c r="N1929" s="23"/>
      <c r="P1929" s="23"/>
    </row>
    <row r="1930" spans="2:16" x14ac:dyDescent="0.25">
      <c r="B1930" s="23"/>
      <c r="E1930" s="23"/>
      <c r="G1930" s="23"/>
      <c r="H1930" s="23"/>
      <c r="J1930" s="23"/>
      <c r="K1930" s="23"/>
      <c r="M1930" s="23"/>
      <c r="N1930" s="23"/>
      <c r="P1930" s="23"/>
    </row>
    <row r="1931" spans="2:16" x14ac:dyDescent="0.25">
      <c r="B1931" s="23"/>
      <c r="E1931" s="23"/>
      <c r="G1931" s="23"/>
      <c r="H1931" s="23"/>
      <c r="J1931" s="23"/>
      <c r="K1931" s="23"/>
      <c r="M1931" s="23"/>
      <c r="N1931" s="23"/>
      <c r="P1931" s="23"/>
    </row>
    <row r="1932" spans="2:16" x14ac:dyDescent="0.25">
      <c r="B1932" s="23"/>
      <c r="E1932" s="23"/>
      <c r="G1932" s="23"/>
      <c r="H1932" s="23"/>
      <c r="J1932" s="23"/>
      <c r="K1932" s="23"/>
      <c r="M1932" s="23"/>
      <c r="N1932" s="23"/>
      <c r="P1932" s="23"/>
    </row>
    <row r="1933" spans="2:16" x14ac:dyDescent="0.25">
      <c r="B1933" s="23"/>
      <c r="E1933" s="23"/>
      <c r="G1933" s="23"/>
      <c r="H1933" s="23"/>
      <c r="J1933" s="23"/>
      <c r="K1933" s="23"/>
      <c r="M1933" s="23"/>
      <c r="N1933" s="23"/>
      <c r="P1933" s="23"/>
    </row>
    <row r="1934" spans="2:16" x14ac:dyDescent="0.25">
      <c r="B1934" s="23"/>
      <c r="E1934" s="23"/>
      <c r="G1934" s="23"/>
      <c r="H1934" s="23"/>
      <c r="J1934" s="23"/>
      <c r="K1934" s="23"/>
      <c r="M1934" s="23"/>
      <c r="N1934" s="23"/>
      <c r="P1934" s="23"/>
    </row>
    <row r="1935" spans="2:16" x14ac:dyDescent="0.25">
      <c r="B1935" s="23"/>
      <c r="E1935" s="23"/>
      <c r="G1935" s="23"/>
      <c r="H1935" s="23"/>
      <c r="J1935" s="23"/>
      <c r="K1935" s="23"/>
      <c r="M1935" s="23"/>
      <c r="N1935" s="23"/>
      <c r="P1935" s="23"/>
    </row>
    <row r="1936" spans="2:16" x14ac:dyDescent="0.25">
      <c r="B1936" s="23"/>
      <c r="E1936" s="23"/>
      <c r="G1936" s="23"/>
      <c r="H1936" s="23"/>
      <c r="J1936" s="23"/>
      <c r="K1936" s="23"/>
      <c r="M1936" s="23"/>
      <c r="N1936" s="23"/>
      <c r="P1936" s="23"/>
    </row>
    <row r="1937" spans="2:16" x14ac:dyDescent="0.25">
      <c r="B1937" s="23"/>
      <c r="E1937" s="23"/>
      <c r="G1937" s="23"/>
      <c r="H1937" s="23"/>
      <c r="J1937" s="23"/>
      <c r="K1937" s="23"/>
      <c r="M1937" s="23"/>
      <c r="N1937" s="23"/>
      <c r="P1937" s="23"/>
    </row>
    <row r="1938" spans="2:16" x14ac:dyDescent="0.25">
      <c r="B1938" s="23"/>
      <c r="E1938" s="23"/>
      <c r="G1938" s="23"/>
      <c r="H1938" s="23"/>
      <c r="J1938" s="23"/>
      <c r="K1938" s="23"/>
      <c r="M1938" s="23"/>
      <c r="N1938" s="23"/>
      <c r="P1938" s="23"/>
    </row>
    <row r="1939" spans="2:16" x14ac:dyDescent="0.25">
      <c r="B1939" s="23"/>
      <c r="E1939" s="23"/>
      <c r="G1939" s="23"/>
      <c r="H1939" s="23"/>
      <c r="J1939" s="23"/>
      <c r="K1939" s="23"/>
      <c r="M1939" s="23"/>
      <c r="N1939" s="23"/>
      <c r="P1939" s="23"/>
    </row>
    <row r="1940" spans="2:16" x14ac:dyDescent="0.25">
      <c r="B1940" s="23"/>
      <c r="E1940" s="23"/>
      <c r="G1940" s="23"/>
      <c r="H1940" s="23"/>
      <c r="J1940" s="23"/>
      <c r="K1940" s="23"/>
      <c r="M1940" s="23"/>
      <c r="N1940" s="23"/>
      <c r="P1940" s="23"/>
    </row>
    <row r="1941" spans="2:16" x14ac:dyDescent="0.25">
      <c r="B1941" s="23"/>
      <c r="E1941" s="23"/>
      <c r="G1941" s="23"/>
      <c r="H1941" s="23"/>
      <c r="J1941" s="23"/>
      <c r="K1941" s="23"/>
      <c r="M1941" s="23"/>
      <c r="N1941" s="23"/>
      <c r="P1941" s="23"/>
    </row>
    <row r="1942" spans="2:16" x14ac:dyDescent="0.25">
      <c r="B1942" s="23"/>
      <c r="E1942" s="23"/>
      <c r="G1942" s="23"/>
      <c r="H1942" s="23"/>
      <c r="J1942" s="23"/>
      <c r="K1942" s="23"/>
      <c r="M1942" s="23"/>
      <c r="N1942" s="23"/>
      <c r="P1942" s="23"/>
    </row>
    <row r="1943" spans="2:16" x14ac:dyDescent="0.25">
      <c r="B1943" s="23"/>
      <c r="E1943" s="23"/>
      <c r="G1943" s="23"/>
      <c r="H1943" s="23"/>
      <c r="J1943" s="23"/>
      <c r="K1943" s="23"/>
      <c r="M1943" s="23"/>
      <c r="N1943" s="23"/>
      <c r="P1943" s="23"/>
    </row>
    <row r="1944" spans="2:16" x14ac:dyDescent="0.25">
      <c r="B1944" s="23"/>
      <c r="E1944" s="23"/>
      <c r="G1944" s="23"/>
      <c r="H1944" s="23"/>
      <c r="J1944" s="23"/>
      <c r="K1944" s="23"/>
      <c r="M1944" s="23"/>
      <c r="N1944" s="23"/>
      <c r="P1944" s="23"/>
    </row>
    <row r="1945" spans="2:16" x14ac:dyDescent="0.25">
      <c r="B1945" s="23"/>
      <c r="E1945" s="23"/>
      <c r="G1945" s="23"/>
      <c r="H1945" s="23"/>
      <c r="J1945" s="23"/>
      <c r="K1945" s="23"/>
      <c r="M1945" s="23"/>
      <c r="N1945" s="23"/>
      <c r="P1945" s="23"/>
    </row>
    <row r="1946" spans="2:16" x14ac:dyDescent="0.25">
      <c r="B1946" s="23"/>
      <c r="E1946" s="23"/>
      <c r="G1946" s="23"/>
      <c r="H1946" s="23"/>
      <c r="J1946" s="23"/>
      <c r="K1946" s="23"/>
      <c r="M1946" s="23"/>
      <c r="N1946" s="23"/>
      <c r="P1946" s="23"/>
    </row>
    <row r="1947" spans="2:16" x14ac:dyDescent="0.25">
      <c r="B1947" s="23"/>
      <c r="E1947" s="23"/>
      <c r="G1947" s="23"/>
      <c r="H1947" s="23"/>
      <c r="J1947" s="23"/>
      <c r="K1947" s="23"/>
      <c r="M1947" s="23"/>
      <c r="N1947" s="23"/>
      <c r="P1947" s="23"/>
    </row>
    <row r="1948" spans="2:16" x14ac:dyDescent="0.25">
      <c r="B1948" s="23"/>
      <c r="E1948" s="23"/>
      <c r="G1948" s="23"/>
      <c r="H1948" s="23"/>
      <c r="J1948" s="23"/>
      <c r="K1948" s="23"/>
      <c r="M1948" s="23"/>
      <c r="N1948" s="23"/>
      <c r="P1948" s="23"/>
    </row>
    <row r="1949" spans="2:16" x14ac:dyDescent="0.25">
      <c r="B1949" s="23"/>
      <c r="E1949" s="23"/>
      <c r="G1949" s="23"/>
      <c r="H1949" s="23"/>
      <c r="J1949" s="23"/>
      <c r="K1949" s="23"/>
      <c r="M1949" s="23"/>
      <c r="N1949" s="23"/>
      <c r="P1949" s="23"/>
    </row>
    <row r="1950" spans="2:16" x14ac:dyDescent="0.25">
      <c r="B1950" s="23"/>
      <c r="E1950" s="23"/>
      <c r="G1950" s="23"/>
      <c r="H1950" s="23"/>
      <c r="J1950" s="23"/>
      <c r="K1950" s="23"/>
      <c r="M1950" s="23"/>
      <c r="N1950" s="23"/>
      <c r="P1950" s="23"/>
    </row>
    <row r="1951" spans="2:16" x14ac:dyDescent="0.25">
      <c r="B1951" s="23"/>
      <c r="E1951" s="23"/>
      <c r="G1951" s="23"/>
      <c r="H1951" s="23"/>
      <c r="J1951" s="23"/>
      <c r="K1951" s="23"/>
      <c r="M1951" s="23"/>
      <c r="N1951" s="23"/>
      <c r="P1951" s="23"/>
    </row>
    <row r="1952" spans="2:16" x14ac:dyDescent="0.25">
      <c r="B1952" s="23"/>
      <c r="E1952" s="23"/>
      <c r="G1952" s="23"/>
      <c r="H1952" s="23"/>
      <c r="J1952" s="23"/>
      <c r="K1952" s="23"/>
      <c r="M1952" s="23"/>
      <c r="N1952" s="23"/>
      <c r="P1952" s="23"/>
    </row>
    <row r="1953" spans="2:16" x14ac:dyDescent="0.25">
      <c r="B1953" s="23"/>
      <c r="E1953" s="23"/>
      <c r="G1953" s="23"/>
      <c r="H1953" s="23"/>
      <c r="J1953" s="23"/>
      <c r="K1953" s="23"/>
      <c r="M1953" s="23"/>
      <c r="N1953" s="23"/>
      <c r="P1953" s="23"/>
    </row>
    <row r="1954" spans="2:16" x14ac:dyDescent="0.25">
      <c r="B1954" s="23"/>
      <c r="E1954" s="23"/>
      <c r="G1954" s="23"/>
      <c r="H1954" s="23"/>
      <c r="J1954" s="23"/>
      <c r="K1954" s="23"/>
      <c r="M1954" s="23"/>
      <c r="N1954" s="23"/>
      <c r="P1954" s="23"/>
    </row>
    <row r="1955" spans="2:16" x14ac:dyDescent="0.25">
      <c r="B1955" s="23"/>
      <c r="E1955" s="23"/>
      <c r="G1955" s="23"/>
      <c r="H1955" s="23"/>
      <c r="J1955" s="23"/>
      <c r="K1955" s="23"/>
      <c r="M1955" s="23"/>
      <c r="N1955" s="23"/>
      <c r="P1955" s="23"/>
    </row>
    <row r="1956" spans="2:16" x14ac:dyDescent="0.25">
      <c r="B1956" s="23"/>
      <c r="E1956" s="23"/>
      <c r="G1956" s="23"/>
      <c r="H1956" s="23"/>
      <c r="J1956" s="23"/>
      <c r="K1956" s="23"/>
      <c r="M1956" s="23"/>
      <c r="N1956" s="23"/>
      <c r="P1956" s="23"/>
    </row>
    <row r="1957" spans="2:16" x14ac:dyDescent="0.25">
      <c r="B1957" s="23"/>
      <c r="E1957" s="23"/>
      <c r="G1957" s="23"/>
      <c r="H1957" s="23"/>
      <c r="J1957" s="23"/>
      <c r="K1957" s="23"/>
      <c r="M1957" s="23"/>
      <c r="N1957" s="23"/>
      <c r="P1957" s="23"/>
    </row>
    <row r="1958" spans="2:16" x14ac:dyDescent="0.25">
      <c r="B1958" s="23"/>
      <c r="E1958" s="23"/>
      <c r="G1958" s="23"/>
      <c r="H1958" s="23"/>
      <c r="J1958" s="23"/>
      <c r="K1958" s="23"/>
      <c r="M1958" s="23"/>
      <c r="N1958" s="23"/>
      <c r="P1958" s="23"/>
    </row>
    <row r="1959" spans="2:16" x14ac:dyDescent="0.25">
      <c r="B1959" s="23"/>
      <c r="E1959" s="23"/>
      <c r="G1959" s="23"/>
      <c r="H1959" s="23"/>
      <c r="J1959" s="23"/>
      <c r="K1959" s="23"/>
      <c r="M1959" s="23"/>
      <c r="N1959" s="23"/>
      <c r="P1959" s="23"/>
    </row>
    <row r="1960" spans="2:16" x14ac:dyDescent="0.25">
      <c r="B1960" s="23"/>
      <c r="E1960" s="23"/>
      <c r="G1960" s="23"/>
      <c r="H1960" s="23"/>
      <c r="J1960" s="23"/>
      <c r="K1960" s="23"/>
      <c r="M1960" s="23"/>
      <c r="N1960" s="23"/>
      <c r="P1960" s="23"/>
    </row>
    <row r="1961" spans="2:16" x14ac:dyDescent="0.25">
      <c r="B1961" s="23"/>
      <c r="E1961" s="23"/>
      <c r="G1961" s="23"/>
      <c r="H1961" s="23"/>
      <c r="J1961" s="23"/>
      <c r="K1961" s="23"/>
      <c r="M1961" s="23"/>
      <c r="N1961" s="23"/>
      <c r="P1961" s="23"/>
    </row>
    <row r="1962" spans="2:16" x14ac:dyDescent="0.25">
      <c r="B1962" s="23"/>
      <c r="E1962" s="23"/>
      <c r="G1962" s="23"/>
      <c r="H1962" s="23"/>
      <c r="J1962" s="23"/>
      <c r="K1962" s="23"/>
      <c r="M1962" s="23"/>
      <c r="N1962" s="23"/>
      <c r="P1962" s="23"/>
    </row>
    <row r="1963" spans="2:16" x14ac:dyDescent="0.25">
      <c r="B1963" s="23"/>
      <c r="E1963" s="23"/>
      <c r="G1963" s="23"/>
      <c r="H1963" s="23"/>
      <c r="J1963" s="23"/>
      <c r="K1963" s="23"/>
      <c r="M1963" s="23"/>
      <c r="N1963" s="23"/>
      <c r="P1963" s="23"/>
    </row>
    <row r="1964" spans="2:16" x14ac:dyDescent="0.25">
      <c r="B1964" s="23"/>
      <c r="E1964" s="23"/>
      <c r="G1964" s="23"/>
      <c r="H1964" s="23"/>
      <c r="J1964" s="23"/>
      <c r="K1964" s="23"/>
      <c r="M1964" s="23"/>
      <c r="N1964" s="23"/>
      <c r="P1964" s="23"/>
    </row>
    <row r="1965" spans="2:16" x14ac:dyDescent="0.25">
      <c r="B1965" s="23"/>
      <c r="E1965" s="23"/>
      <c r="G1965" s="23"/>
      <c r="H1965" s="23"/>
      <c r="J1965" s="23"/>
      <c r="K1965" s="23"/>
      <c r="M1965" s="23"/>
      <c r="N1965" s="23"/>
      <c r="P1965" s="23"/>
    </row>
    <row r="1966" spans="2:16" x14ac:dyDescent="0.25">
      <c r="B1966" s="23"/>
      <c r="E1966" s="23"/>
      <c r="G1966" s="23"/>
      <c r="H1966" s="23"/>
      <c r="J1966" s="23"/>
      <c r="K1966" s="23"/>
      <c r="M1966" s="23"/>
      <c r="N1966" s="23"/>
      <c r="P1966" s="23"/>
    </row>
    <row r="1967" spans="2:16" x14ac:dyDescent="0.25">
      <c r="B1967" s="23"/>
      <c r="E1967" s="23"/>
      <c r="G1967" s="23"/>
      <c r="H1967" s="23"/>
      <c r="J1967" s="23"/>
      <c r="K1967" s="23"/>
      <c r="M1967" s="23"/>
      <c r="N1967" s="23"/>
      <c r="P1967" s="23"/>
    </row>
    <row r="1968" spans="2:16" x14ac:dyDescent="0.25">
      <c r="B1968" s="23"/>
      <c r="E1968" s="23"/>
      <c r="G1968" s="23"/>
      <c r="H1968" s="23"/>
      <c r="J1968" s="23"/>
      <c r="K1968" s="23"/>
      <c r="M1968" s="23"/>
      <c r="N1968" s="23"/>
      <c r="P1968" s="23"/>
    </row>
    <row r="1969" spans="2:16" x14ac:dyDescent="0.25">
      <c r="B1969" s="23"/>
      <c r="E1969" s="23"/>
      <c r="G1969" s="23"/>
      <c r="H1969" s="23"/>
      <c r="J1969" s="23"/>
      <c r="K1969" s="23"/>
      <c r="M1969" s="23"/>
      <c r="N1969" s="23"/>
      <c r="P1969" s="23"/>
    </row>
    <row r="1970" spans="2:16" x14ac:dyDescent="0.25">
      <c r="B1970" s="23"/>
      <c r="E1970" s="23"/>
      <c r="G1970" s="23"/>
      <c r="H1970" s="23"/>
      <c r="J1970" s="23"/>
      <c r="K1970" s="23"/>
      <c r="M1970" s="23"/>
      <c r="N1970" s="23"/>
      <c r="P1970" s="23"/>
    </row>
    <row r="1971" spans="2:16" x14ac:dyDescent="0.25">
      <c r="B1971" s="23"/>
      <c r="E1971" s="23"/>
      <c r="G1971" s="23"/>
      <c r="H1971" s="23"/>
      <c r="J1971" s="23"/>
      <c r="K1971" s="23"/>
      <c r="M1971" s="23"/>
      <c r="N1971" s="23"/>
      <c r="P1971" s="23"/>
    </row>
    <row r="1972" spans="2:16" x14ac:dyDescent="0.25">
      <c r="B1972" s="23"/>
      <c r="E1972" s="23"/>
      <c r="G1972" s="23"/>
      <c r="H1972" s="23"/>
      <c r="J1972" s="23"/>
      <c r="K1972" s="23"/>
      <c r="M1972" s="23"/>
      <c r="N1972" s="23"/>
      <c r="P1972" s="23"/>
    </row>
    <row r="1973" spans="2:16" x14ac:dyDescent="0.25">
      <c r="B1973" s="23"/>
      <c r="E1973" s="23"/>
      <c r="G1973" s="23"/>
      <c r="H1973" s="23"/>
      <c r="J1973" s="23"/>
      <c r="K1973" s="23"/>
      <c r="M1973" s="23"/>
      <c r="N1973" s="23"/>
      <c r="P1973" s="23"/>
    </row>
    <row r="1974" spans="2:16" x14ac:dyDescent="0.25">
      <c r="B1974" s="23"/>
      <c r="E1974" s="23"/>
      <c r="G1974" s="23"/>
      <c r="H1974" s="23"/>
      <c r="J1974" s="23"/>
      <c r="K1974" s="23"/>
      <c r="M1974" s="23"/>
      <c r="N1974" s="23"/>
      <c r="P1974" s="23"/>
    </row>
    <row r="1975" spans="2:16" x14ac:dyDescent="0.25">
      <c r="B1975" s="23"/>
      <c r="E1975" s="23"/>
      <c r="G1975" s="23"/>
      <c r="H1975" s="23"/>
      <c r="J1975" s="23"/>
      <c r="K1975" s="23"/>
      <c r="M1975" s="23"/>
      <c r="N1975" s="23"/>
      <c r="P1975" s="23"/>
    </row>
    <row r="1976" spans="2:16" x14ac:dyDescent="0.25">
      <c r="B1976" s="23"/>
      <c r="E1976" s="23"/>
      <c r="G1976" s="23"/>
      <c r="H1976" s="23"/>
      <c r="J1976" s="23"/>
      <c r="K1976" s="23"/>
      <c r="M1976" s="23"/>
      <c r="N1976" s="23"/>
      <c r="P1976" s="23"/>
    </row>
    <row r="1977" spans="2:16" x14ac:dyDescent="0.25">
      <c r="B1977" s="23"/>
      <c r="E1977" s="23"/>
      <c r="G1977" s="23"/>
      <c r="H1977" s="23"/>
      <c r="J1977" s="23"/>
      <c r="K1977" s="23"/>
      <c r="M1977" s="23"/>
      <c r="N1977" s="23"/>
      <c r="P1977" s="23"/>
    </row>
    <row r="1978" spans="2:16" x14ac:dyDescent="0.25">
      <c r="B1978" s="23"/>
      <c r="E1978" s="23"/>
      <c r="G1978" s="23"/>
      <c r="H1978" s="23"/>
      <c r="J1978" s="23"/>
      <c r="K1978" s="23"/>
      <c r="M1978" s="23"/>
      <c r="N1978" s="23"/>
      <c r="P1978" s="23"/>
    </row>
    <row r="1979" spans="2:16" x14ac:dyDescent="0.25">
      <c r="B1979" s="23"/>
      <c r="E1979" s="23"/>
      <c r="G1979" s="23"/>
      <c r="H1979" s="23"/>
      <c r="J1979" s="23"/>
      <c r="K1979" s="23"/>
      <c r="M1979" s="23"/>
      <c r="N1979" s="23"/>
      <c r="P1979" s="23"/>
    </row>
    <row r="1980" spans="2:16" x14ac:dyDescent="0.25">
      <c r="B1980" s="23"/>
      <c r="E1980" s="23"/>
      <c r="G1980" s="23"/>
      <c r="H1980" s="23"/>
      <c r="J1980" s="23"/>
      <c r="K1980" s="23"/>
      <c r="M1980" s="23"/>
      <c r="N1980" s="23"/>
      <c r="P1980" s="23"/>
    </row>
    <row r="1981" spans="2:16" x14ac:dyDescent="0.25">
      <c r="B1981" s="23"/>
      <c r="E1981" s="23"/>
      <c r="G1981" s="23"/>
      <c r="H1981" s="23"/>
      <c r="J1981" s="23"/>
      <c r="K1981" s="23"/>
      <c r="M1981" s="23"/>
      <c r="N1981" s="23"/>
      <c r="P1981" s="23"/>
    </row>
    <row r="1982" spans="2:16" x14ac:dyDescent="0.25">
      <c r="B1982" s="23"/>
      <c r="E1982" s="23"/>
      <c r="G1982" s="23"/>
      <c r="H1982" s="23"/>
      <c r="J1982" s="23"/>
      <c r="K1982" s="23"/>
      <c r="M1982" s="23"/>
      <c r="N1982" s="23"/>
      <c r="P1982" s="23"/>
    </row>
    <row r="1983" spans="2:16" x14ac:dyDescent="0.25">
      <c r="B1983" s="23"/>
      <c r="E1983" s="23"/>
      <c r="G1983" s="23"/>
      <c r="H1983" s="23"/>
      <c r="J1983" s="23"/>
      <c r="K1983" s="23"/>
      <c r="M1983" s="23"/>
      <c r="N1983" s="23"/>
      <c r="P1983" s="23"/>
    </row>
    <row r="1984" spans="2:16" x14ac:dyDescent="0.25">
      <c r="B1984" s="23"/>
      <c r="E1984" s="23"/>
      <c r="G1984" s="23"/>
      <c r="H1984" s="23"/>
      <c r="J1984" s="23"/>
      <c r="K1984" s="23"/>
      <c r="M1984" s="23"/>
      <c r="N1984" s="23"/>
      <c r="P1984" s="23"/>
    </row>
    <row r="1985" spans="2:16" x14ac:dyDescent="0.25">
      <c r="B1985" s="23"/>
      <c r="E1985" s="23"/>
      <c r="G1985" s="23"/>
      <c r="H1985" s="23"/>
      <c r="J1985" s="23"/>
      <c r="K1985" s="23"/>
      <c r="M1985" s="23"/>
      <c r="N1985" s="23"/>
      <c r="P1985" s="23"/>
    </row>
    <row r="1986" spans="2:16" x14ac:dyDescent="0.25">
      <c r="B1986" s="23"/>
      <c r="E1986" s="23"/>
      <c r="G1986" s="23"/>
      <c r="H1986" s="23"/>
      <c r="J1986" s="23"/>
      <c r="K1986" s="23"/>
      <c r="M1986" s="23"/>
      <c r="N1986" s="23"/>
      <c r="P1986" s="23"/>
    </row>
    <row r="1987" spans="2:16" x14ac:dyDescent="0.25">
      <c r="B1987" s="23"/>
      <c r="E1987" s="23"/>
      <c r="G1987" s="23"/>
      <c r="H1987" s="23"/>
      <c r="J1987" s="23"/>
      <c r="K1987" s="23"/>
      <c r="M1987" s="23"/>
      <c r="N1987" s="23"/>
      <c r="P1987" s="23"/>
    </row>
    <row r="1988" spans="2:16" x14ac:dyDescent="0.25">
      <c r="B1988" s="23"/>
      <c r="E1988" s="23"/>
      <c r="G1988" s="23"/>
      <c r="H1988" s="23"/>
      <c r="J1988" s="23"/>
      <c r="K1988" s="23"/>
      <c r="M1988" s="23"/>
      <c r="N1988" s="23"/>
      <c r="P1988" s="23"/>
    </row>
    <row r="1989" spans="2:16" x14ac:dyDescent="0.25">
      <c r="B1989" s="23"/>
      <c r="E1989" s="23"/>
      <c r="G1989" s="23"/>
      <c r="H1989" s="23"/>
      <c r="J1989" s="23"/>
      <c r="K1989" s="23"/>
      <c r="M1989" s="23"/>
      <c r="N1989" s="23"/>
      <c r="P1989" s="23"/>
    </row>
    <row r="1990" spans="2:16" x14ac:dyDescent="0.25">
      <c r="B1990" s="23"/>
      <c r="E1990" s="23"/>
      <c r="G1990" s="23"/>
      <c r="H1990" s="23"/>
      <c r="J1990" s="23"/>
      <c r="K1990" s="23"/>
      <c r="M1990" s="23"/>
      <c r="N1990" s="23"/>
      <c r="P1990" s="23"/>
    </row>
    <row r="1991" spans="2:16" x14ac:dyDescent="0.25">
      <c r="B1991" s="23"/>
      <c r="E1991" s="23"/>
      <c r="G1991" s="23"/>
      <c r="H1991" s="23"/>
      <c r="J1991" s="23"/>
      <c r="K1991" s="23"/>
      <c r="M1991" s="23"/>
      <c r="N1991" s="23"/>
      <c r="P1991" s="23"/>
    </row>
    <row r="1992" spans="2:16" x14ac:dyDescent="0.25">
      <c r="B1992" s="23"/>
      <c r="E1992" s="23"/>
      <c r="G1992" s="23"/>
      <c r="H1992" s="23"/>
      <c r="J1992" s="23"/>
      <c r="K1992" s="23"/>
      <c r="M1992" s="23"/>
      <c r="N1992" s="23"/>
      <c r="P1992" s="23"/>
    </row>
    <row r="1993" spans="2:16" x14ac:dyDescent="0.25">
      <c r="B1993" s="23"/>
      <c r="E1993" s="23"/>
      <c r="G1993" s="23"/>
      <c r="H1993" s="23"/>
      <c r="J1993" s="23"/>
      <c r="K1993" s="23"/>
      <c r="M1993" s="23"/>
      <c r="N1993" s="23"/>
      <c r="P1993" s="23"/>
    </row>
    <row r="1994" spans="2:16" x14ac:dyDescent="0.25">
      <c r="B1994" s="23"/>
      <c r="E1994" s="23"/>
      <c r="G1994" s="23"/>
      <c r="H1994" s="23"/>
      <c r="J1994" s="23"/>
      <c r="K1994" s="23"/>
      <c r="M1994" s="23"/>
      <c r="N1994" s="23"/>
      <c r="P1994" s="23"/>
    </row>
    <row r="1995" spans="2:16" x14ac:dyDescent="0.25">
      <c r="B1995" s="23"/>
      <c r="E1995" s="23"/>
      <c r="G1995" s="23"/>
      <c r="H1995" s="23"/>
      <c r="J1995" s="23"/>
      <c r="K1995" s="23"/>
      <c r="M1995" s="23"/>
      <c r="N1995" s="23"/>
      <c r="P1995" s="23"/>
    </row>
    <row r="1996" spans="2:16" x14ac:dyDescent="0.25">
      <c r="B1996" s="23"/>
      <c r="E1996" s="23"/>
      <c r="G1996" s="23"/>
      <c r="H1996" s="23"/>
      <c r="J1996" s="23"/>
      <c r="K1996" s="23"/>
      <c r="M1996" s="23"/>
      <c r="N1996" s="23"/>
      <c r="P1996" s="23"/>
    </row>
    <row r="1997" spans="2:16" x14ac:dyDescent="0.25">
      <c r="B1997" s="23"/>
      <c r="E1997" s="23"/>
      <c r="G1997" s="23"/>
      <c r="H1997" s="23"/>
      <c r="J1997" s="23"/>
      <c r="K1997" s="23"/>
      <c r="M1997" s="23"/>
      <c r="N1997" s="23"/>
      <c r="P1997" s="23"/>
    </row>
    <row r="1998" spans="2:16" x14ac:dyDescent="0.25">
      <c r="B1998" s="23"/>
      <c r="E1998" s="23"/>
      <c r="G1998" s="23"/>
      <c r="H1998" s="23"/>
      <c r="J1998" s="23"/>
      <c r="K1998" s="23"/>
      <c r="M1998" s="23"/>
      <c r="N1998" s="23"/>
      <c r="P1998" s="23"/>
    </row>
    <row r="1999" spans="2:16" x14ac:dyDescent="0.25">
      <c r="B1999" s="23"/>
      <c r="E1999" s="23"/>
      <c r="G1999" s="23"/>
      <c r="H1999" s="23"/>
      <c r="J1999" s="23"/>
      <c r="K1999" s="23"/>
      <c r="M1999" s="23"/>
      <c r="N1999" s="23"/>
      <c r="P1999" s="23"/>
    </row>
    <row r="2000" spans="2:16" x14ac:dyDescent="0.25">
      <c r="B2000" s="23"/>
      <c r="E2000" s="23"/>
      <c r="G2000" s="23"/>
      <c r="H2000" s="23"/>
      <c r="J2000" s="23"/>
      <c r="K2000" s="23"/>
      <c r="M2000" s="23"/>
      <c r="N2000" s="23"/>
      <c r="P2000" s="23"/>
    </row>
    <row r="2001" spans="2:16" x14ac:dyDescent="0.25">
      <c r="B2001" s="23"/>
      <c r="E2001" s="23"/>
      <c r="G2001" s="23"/>
      <c r="H2001" s="23"/>
      <c r="J2001" s="23"/>
      <c r="K2001" s="23"/>
      <c r="M2001" s="23"/>
      <c r="N2001" s="23"/>
      <c r="P2001" s="23"/>
    </row>
    <row r="2002" spans="2:16" x14ac:dyDescent="0.25">
      <c r="B2002" s="23"/>
      <c r="E2002" s="23"/>
      <c r="G2002" s="23"/>
      <c r="H2002" s="23"/>
      <c r="J2002" s="23"/>
      <c r="K2002" s="23"/>
      <c r="M2002" s="23"/>
      <c r="N2002" s="23"/>
      <c r="P2002" s="23"/>
    </row>
    <row r="2003" spans="2:16" x14ac:dyDescent="0.25">
      <c r="B2003" s="23"/>
      <c r="E2003" s="23"/>
      <c r="G2003" s="23"/>
      <c r="H2003" s="23"/>
      <c r="J2003" s="23"/>
      <c r="K2003" s="23"/>
      <c r="M2003" s="23"/>
      <c r="N2003" s="23"/>
      <c r="P2003" s="23"/>
    </row>
    <row r="2004" spans="2:16" x14ac:dyDescent="0.25">
      <c r="B2004" s="23"/>
      <c r="E2004" s="23"/>
      <c r="G2004" s="23"/>
      <c r="H2004" s="23"/>
      <c r="J2004" s="23"/>
      <c r="K2004" s="23"/>
      <c r="M2004" s="23"/>
      <c r="N2004" s="23"/>
      <c r="P2004" s="23"/>
    </row>
    <row r="2005" spans="2:16" x14ac:dyDescent="0.25">
      <c r="B2005" s="23"/>
      <c r="E2005" s="23"/>
      <c r="G2005" s="23"/>
      <c r="H2005" s="23"/>
      <c r="J2005" s="23"/>
      <c r="K2005" s="23"/>
      <c r="M2005" s="23"/>
      <c r="N2005" s="23"/>
      <c r="P2005" s="23"/>
    </row>
    <row r="2006" spans="2:16" x14ac:dyDescent="0.25">
      <c r="B2006" s="23"/>
      <c r="E2006" s="23"/>
      <c r="G2006" s="23"/>
      <c r="H2006" s="23"/>
      <c r="J2006" s="23"/>
      <c r="K2006" s="23"/>
      <c r="M2006" s="23"/>
      <c r="N2006" s="23"/>
      <c r="P2006" s="23"/>
    </row>
    <row r="2007" spans="2:16" x14ac:dyDescent="0.25">
      <c r="B2007" s="23"/>
      <c r="E2007" s="23"/>
      <c r="G2007" s="23"/>
      <c r="H2007" s="23"/>
      <c r="J2007" s="23"/>
      <c r="K2007" s="23"/>
      <c r="M2007" s="23"/>
      <c r="N2007" s="23"/>
      <c r="P2007" s="23"/>
    </row>
    <row r="2008" spans="2:16" x14ac:dyDescent="0.25">
      <c r="B2008" s="23"/>
      <c r="E2008" s="23"/>
      <c r="G2008" s="23"/>
      <c r="H2008" s="23"/>
      <c r="J2008" s="23"/>
      <c r="K2008" s="23"/>
      <c r="M2008" s="23"/>
      <c r="N2008" s="23"/>
      <c r="P2008" s="23"/>
    </row>
    <row r="2009" spans="2:16" x14ac:dyDescent="0.25">
      <c r="B2009" s="23"/>
      <c r="E2009" s="23"/>
      <c r="G2009" s="23"/>
      <c r="H2009" s="23"/>
      <c r="J2009" s="23"/>
      <c r="K2009" s="23"/>
      <c r="M2009" s="23"/>
      <c r="N2009" s="23"/>
      <c r="P2009" s="23"/>
    </row>
    <row r="2010" spans="2:16" x14ac:dyDescent="0.25">
      <c r="B2010" s="23"/>
      <c r="E2010" s="23"/>
      <c r="G2010" s="23"/>
      <c r="H2010" s="23"/>
      <c r="J2010" s="23"/>
      <c r="K2010" s="23"/>
      <c r="M2010" s="23"/>
      <c r="N2010" s="23"/>
      <c r="P2010" s="23"/>
    </row>
    <row r="2011" spans="2:16" x14ac:dyDescent="0.25">
      <c r="B2011" s="23"/>
      <c r="E2011" s="23"/>
      <c r="G2011" s="23"/>
      <c r="H2011" s="23"/>
      <c r="J2011" s="23"/>
      <c r="K2011" s="23"/>
      <c r="M2011" s="23"/>
      <c r="N2011" s="23"/>
      <c r="P2011" s="23"/>
    </row>
    <row r="2012" spans="2:16" x14ac:dyDescent="0.25">
      <c r="B2012" s="23"/>
      <c r="E2012" s="23"/>
      <c r="G2012" s="23"/>
      <c r="H2012" s="23"/>
      <c r="J2012" s="23"/>
      <c r="K2012" s="23"/>
      <c r="M2012" s="23"/>
      <c r="N2012" s="23"/>
      <c r="P2012" s="23"/>
    </row>
    <row r="2013" spans="2:16" x14ac:dyDescent="0.25">
      <c r="B2013" s="23"/>
      <c r="E2013" s="23"/>
      <c r="G2013" s="23"/>
      <c r="H2013" s="23"/>
      <c r="J2013" s="23"/>
      <c r="K2013" s="23"/>
      <c r="M2013" s="23"/>
      <c r="N2013" s="23"/>
      <c r="P2013" s="23"/>
    </row>
    <row r="2014" spans="2:16" x14ac:dyDescent="0.25">
      <c r="B2014" s="23"/>
      <c r="E2014" s="23"/>
      <c r="G2014" s="23"/>
      <c r="H2014" s="23"/>
      <c r="J2014" s="23"/>
      <c r="K2014" s="23"/>
      <c r="M2014" s="23"/>
      <c r="N2014" s="23"/>
      <c r="P2014" s="23"/>
    </row>
    <row r="2015" spans="2:16" x14ac:dyDescent="0.25">
      <c r="B2015" s="23"/>
      <c r="E2015" s="23"/>
      <c r="G2015" s="23"/>
      <c r="H2015" s="23"/>
      <c r="J2015" s="23"/>
      <c r="K2015" s="23"/>
      <c r="M2015" s="23"/>
      <c r="N2015" s="23"/>
      <c r="P2015" s="23"/>
    </row>
    <row r="2016" spans="2:16" x14ac:dyDescent="0.25">
      <c r="B2016" s="23"/>
      <c r="E2016" s="23"/>
      <c r="G2016" s="23"/>
      <c r="H2016" s="23"/>
      <c r="J2016" s="23"/>
      <c r="K2016" s="23"/>
      <c r="M2016" s="23"/>
      <c r="N2016" s="23"/>
      <c r="P2016" s="23"/>
    </row>
    <row r="2017" spans="2:16" x14ac:dyDescent="0.25">
      <c r="B2017" s="23"/>
      <c r="E2017" s="23"/>
      <c r="G2017" s="23"/>
      <c r="H2017" s="23"/>
      <c r="J2017" s="23"/>
      <c r="K2017" s="23"/>
      <c r="M2017" s="23"/>
      <c r="N2017" s="23"/>
      <c r="P2017" s="23"/>
    </row>
    <row r="2018" spans="2:16" x14ac:dyDescent="0.25">
      <c r="B2018" s="23"/>
      <c r="E2018" s="23"/>
      <c r="G2018" s="23"/>
      <c r="H2018" s="23"/>
      <c r="J2018" s="23"/>
      <c r="K2018" s="23"/>
      <c r="M2018" s="23"/>
      <c r="N2018" s="23"/>
      <c r="P2018" s="23"/>
    </row>
    <row r="2019" spans="2:16" x14ac:dyDescent="0.25">
      <c r="B2019" s="23"/>
      <c r="E2019" s="23"/>
      <c r="G2019" s="23"/>
      <c r="H2019" s="23"/>
      <c r="J2019" s="23"/>
      <c r="K2019" s="23"/>
      <c r="M2019" s="23"/>
      <c r="N2019" s="23"/>
      <c r="P2019" s="23"/>
    </row>
    <row r="2020" spans="2:16" x14ac:dyDescent="0.25">
      <c r="B2020" s="23"/>
      <c r="E2020" s="23"/>
      <c r="G2020" s="23"/>
      <c r="H2020" s="23"/>
      <c r="J2020" s="23"/>
      <c r="K2020" s="23"/>
      <c r="M2020" s="23"/>
      <c r="N2020" s="23"/>
      <c r="P2020" s="23"/>
    </row>
    <row r="2021" spans="2:16" x14ac:dyDescent="0.25">
      <c r="B2021" s="23"/>
      <c r="E2021" s="23"/>
      <c r="G2021" s="23"/>
      <c r="H2021" s="23"/>
      <c r="J2021" s="23"/>
      <c r="K2021" s="23"/>
      <c r="M2021" s="23"/>
      <c r="N2021" s="23"/>
      <c r="P2021" s="23"/>
    </row>
    <row r="2022" spans="2:16" x14ac:dyDescent="0.25">
      <c r="B2022" s="23"/>
      <c r="E2022" s="23"/>
      <c r="G2022" s="23"/>
      <c r="H2022" s="23"/>
      <c r="J2022" s="23"/>
      <c r="K2022" s="23"/>
      <c r="M2022" s="23"/>
      <c r="N2022" s="23"/>
      <c r="P2022" s="23"/>
    </row>
    <row r="2023" spans="2:16" x14ac:dyDescent="0.25">
      <c r="B2023" s="23"/>
      <c r="E2023" s="23"/>
      <c r="G2023" s="23"/>
      <c r="H2023" s="23"/>
      <c r="J2023" s="23"/>
      <c r="K2023" s="23"/>
      <c r="M2023" s="23"/>
      <c r="N2023" s="23"/>
      <c r="P2023" s="23"/>
    </row>
    <row r="2024" spans="2:16" x14ac:dyDescent="0.25">
      <c r="B2024" s="23"/>
      <c r="E2024" s="23"/>
      <c r="G2024" s="23"/>
      <c r="H2024" s="23"/>
      <c r="J2024" s="23"/>
      <c r="K2024" s="23"/>
      <c r="M2024" s="23"/>
      <c r="N2024" s="23"/>
      <c r="P2024" s="23"/>
    </row>
    <row r="2025" spans="2:16" x14ac:dyDescent="0.25">
      <c r="B2025" s="23"/>
      <c r="E2025" s="23"/>
      <c r="G2025" s="23"/>
      <c r="H2025" s="23"/>
      <c r="J2025" s="23"/>
      <c r="K2025" s="23"/>
      <c r="M2025" s="23"/>
      <c r="N2025" s="23"/>
      <c r="P2025" s="23"/>
    </row>
    <row r="2026" spans="2:16" x14ac:dyDescent="0.25">
      <c r="B2026" s="23"/>
      <c r="E2026" s="23"/>
      <c r="G2026" s="23"/>
      <c r="H2026" s="23"/>
      <c r="J2026" s="23"/>
      <c r="K2026" s="23"/>
      <c r="M2026" s="23"/>
      <c r="N2026" s="23"/>
      <c r="P2026" s="23"/>
    </row>
    <row r="2027" spans="2:16" x14ac:dyDescent="0.25">
      <c r="B2027" s="23"/>
      <c r="E2027" s="23"/>
      <c r="G2027" s="23"/>
      <c r="H2027" s="23"/>
      <c r="J2027" s="23"/>
      <c r="K2027" s="23"/>
      <c r="M2027" s="23"/>
      <c r="N2027" s="23"/>
      <c r="P2027" s="23"/>
    </row>
    <row r="2028" spans="2:16" x14ac:dyDescent="0.25">
      <c r="B2028" s="23"/>
      <c r="E2028" s="23"/>
      <c r="G2028" s="23"/>
      <c r="H2028" s="23"/>
      <c r="J2028" s="23"/>
      <c r="K2028" s="23"/>
      <c r="M2028" s="23"/>
      <c r="N2028" s="23"/>
      <c r="P2028" s="23"/>
    </row>
    <row r="2029" spans="2:16" x14ac:dyDescent="0.25">
      <c r="B2029" s="23"/>
      <c r="E2029" s="23"/>
      <c r="G2029" s="23"/>
      <c r="H2029" s="23"/>
      <c r="J2029" s="23"/>
      <c r="K2029" s="23"/>
      <c r="M2029" s="23"/>
      <c r="N2029" s="23"/>
      <c r="P2029" s="23"/>
    </row>
    <row r="2030" spans="2:16" x14ac:dyDescent="0.25">
      <c r="B2030" s="23"/>
      <c r="E2030" s="23"/>
      <c r="G2030" s="23"/>
      <c r="H2030" s="23"/>
      <c r="J2030" s="23"/>
      <c r="K2030" s="23"/>
      <c r="M2030" s="23"/>
      <c r="N2030" s="23"/>
      <c r="P2030" s="23"/>
    </row>
    <row r="2031" spans="2:16" x14ac:dyDescent="0.25">
      <c r="B2031" s="23"/>
      <c r="E2031" s="23"/>
      <c r="G2031" s="23"/>
      <c r="H2031" s="23"/>
      <c r="J2031" s="23"/>
      <c r="K2031" s="23"/>
      <c r="M2031" s="23"/>
      <c r="N2031" s="23"/>
      <c r="P2031" s="23"/>
    </row>
    <row r="2032" spans="2:16" x14ac:dyDescent="0.25">
      <c r="B2032" s="23"/>
      <c r="E2032" s="23"/>
      <c r="G2032" s="23"/>
      <c r="H2032" s="23"/>
      <c r="J2032" s="23"/>
      <c r="K2032" s="23"/>
      <c r="M2032" s="23"/>
      <c r="N2032" s="23"/>
      <c r="P2032" s="23"/>
    </row>
    <row r="2033" spans="2:16" x14ac:dyDescent="0.25">
      <c r="B2033" s="23"/>
      <c r="E2033" s="23"/>
      <c r="G2033" s="23"/>
      <c r="H2033" s="23"/>
      <c r="J2033" s="23"/>
      <c r="K2033" s="23"/>
      <c r="M2033" s="23"/>
      <c r="N2033" s="23"/>
      <c r="P2033" s="23"/>
    </row>
    <row r="2034" spans="2:16" x14ac:dyDescent="0.25">
      <c r="B2034" s="23"/>
      <c r="E2034" s="23"/>
      <c r="G2034" s="23"/>
      <c r="H2034" s="23"/>
      <c r="J2034" s="23"/>
      <c r="K2034" s="23"/>
      <c r="M2034" s="23"/>
      <c r="N2034" s="23"/>
      <c r="P2034" s="23"/>
    </row>
    <row r="2035" spans="2:16" x14ac:dyDescent="0.25">
      <c r="B2035" s="23"/>
      <c r="E2035" s="23"/>
      <c r="G2035" s="23"/>
      <c r="H2035" s="23"/>
      <c r="J2035" s="23"/>
      <c r="K2035" s="23"/>
      <c r="M2035" s="23"/>
      <c r="N2035" s="23"/>
      <c r="P2035" s="23"/>
    </row>
    <row r="2036" spans="2:16" x14ac:dyDescent="0.25">
      <c r="B2036" s="23"/>
      <c r="E2036" s="23"/>
      <c r="G2036" s="23"/>
      <c r="H2036" s="23"/>
      <c r="J2036" s="23"/>
      <c r="K2036" s="23"/>
      <c r="M2036" s="23"/>
      <c r="N2036" s="23"/>
      <c r="P2036" s="23"/>
    </row>
    <row r="2037" spans="2:16" x14ac:dyDescent="0.25">
      <c r="B2037" s="23"/>
      <c r="E2037" s="23"/>
      <c r="G2037" s="23"/>
      <c r="H2037" s="23"/>
      <c r="J2037" s="23"/>
      <c r="K2037" s="23"/>
      <c r="M2037" s="23"/>
      <c r="N2037" s="23"/>
      <c r="P2037" s="23"/>
    </row>
    <row r="2038" spans="2:16" x14ac:dyDescent="0.25">
      <c r="B2038" s="23"/>
      <c r="E2038" s="23"/>
      <c r="G2038" s="23"/>
      <c r="H2038" s="23"/>
      <c r="J2038" s="23"/>
      <c r="K2038" s="23"/>
      <c r="M2038" s="23"/>
      <c r="N2038" s="23"/>
      <c r="P2038" s="23"/>
    </row>
    <row r="2039" spans="2:16" x14ac:dyDescent="0.25">
      <c r="B2039" s="23"/>
      <c r="E2039" s="23"/>
      <c r="G2039" s="23"/>
      <c r="H2039" s="23"/>
      <c r="J2039" s="23"/>
      <c r="K2039" s="23"/>
      <c r="M2039" s="23"/>
      <c r="N2039" s="23"/>
      <c r="P2039" s="23"/>
    </row>
    <row r="2040" spans="2:16" x14ac:dyDescent="0.25">
      <c r="B2040" s="23"/>
      <c r="E2040" s="23"/>
      <c r="G2040" s="23"/>
      <c r="H2040" s="23"/>
      <c r="J2040" s="23"/>
      <c r="K2040" s="23"/>
      <c r="M2040" s="23"/>
      <c r="N2040" s="23"/>
      <c r="P2040" s="23"/>
    </row>
    <row r="2041" spans="2:16" x14ac:dyDescent="0.25">
      <c r="B2041" s="23"/>
      <c r="E2041" s="23"/>
      <c r="G2041" s="23"/>
      <c r="H2041" s="23"/>
      <c r="J2041" s="23"/>
      <c r="K2041" s="23"/>
      <c r="M2041" s="23"/>
      <c r="N2041" s="23"/>
      <c r="P2041" s="23"/>
    </row>
    <row r="2042" spans="2:16" x14ac:dyDescent="0.25">
      <c r="B2042" s="23"/>
      <c r="E2042" s="23"/>
      <c r="G2042" s="23"/>
      <c r="H2042" s="23"/>
      <c r="J2042" s="23"/>
      <c r="K2042" s="23"/>
      <c r="M2042" s="23"/>
      <c r="N2042" s="23"/>
      <c r="P2042" s="23"/>
    </row>
    <row r="2043" spans="2:16" x14ac:dyDescent="0.25">
      <c r="B2043" s="23"/>
      <c r="E2043" s="23"/>
      <c r="G2043" s="23"/>
      <c r="H2043" s="23"/>
      <c r="J2043" s="23"/>
      <c r="K2043" s="23"/>
      <c r="M2043" s="23"/>
      <c r="N2043" s="23"/>
      <c r="P2043" s="23"/>
    </row>
    <row r="2044" spans="2:16" x14ac:dyDescent="0.25">
      <c r="B2044" s="23"/>
      <c r="E2044" s="23"/>
      <c r="G2044" s="23"/>
      <c r="H2044" s="23"/>
      <c r="J2044" s="23"/>
      <c r="K2044" s="23"/>
      <c r="M2044" s="23"/>
      <c r="N2044" s="23"/>
      <c r="P2044" s="23"/>
    </row>
    <row r="2045" spans="2:16" x14ac:dyDescent="0.25">
      <c r="B2045" s="23"/>
      <c r="E2045" s="23"/>
      <c r="G2045" s="23"/>
      <c r="H2045" s="23"/>
      <c r="J2045" s="23"/>
      <c r="K2045" s="23"/>
      <c r="M2045" s="23"/>
      <c r="N2045" s="23"/>
      <c r="P2045" s="23"/>
    </row>
    <row r="2046" spans="2:16" x14ac:dyDescent="0.25">
      <c r="B2046" s="23"/>
      <c r="E2046" s="23"/>
      <c r="G2046" s="23"/>
      <c r="H2046" s="23"/>
      <c r="J2046" s="23"/>
      <c r="K2046" s="23"/>
      <c r="M2046" s="23"/>
      <c r="N2046" s="23"/>
      <c r="P2046" s="23"/>
    </row>
    <row r="2047" spans="2:16" x14ac:dyDescent="0.25">
      <c r="B2047" s="23"/>
      <c r="E2047" s="23"/>
      <c r="G2047" s="23"/>
      <c r="H2047" s="23"/>
      <c r="J2047" s="23"/>
      <c r="K2047" s="23"/>
      <c r="M2047" s="23"/>
      <c r="N2047" s="23"/>
      <c r="P2047" s="23"/>
    </row>
    <row r="2048" spans="2:16" x14ac:dyDescent="0.25">
      <c r="B2048" s="23"/>
      <c r="E2048" s="23"/>
      <c r="G2048" s="23"/>
      <c r="H2048" s="23"/>
      <c r="J2048" s="23"/>
      <c r="K2048" s="23"/>
      <c r="M2048" s="23"/>
      <c r="N2048" s="23"/>
      <c r="P2048" s="23"/>
    </row>
    <row r="2049" spans="2:16" x14ac:dyDescent="0.25">
      <c r="B2049" s="23"/>
      <c r="E2049" s="23"/>
      <c r="G2049" s="23"/>
      <c r="H2049" s="23"/>
      <c r="J2049" s="23"/>
      <c r="K2049" s="23"/>
      <c r="M2049" s="23"/>
      <c r="N2049" s="23"/>
      <c r="P2049" s="23"/>
    </row>
    <row r="2050" spans="2:16" x14ac:dyDescent="0.25">
      <c r="B2050" s="23"/>
      <c r="E2050" s="23"/>
      <c r="G2050" s="23"/>
      <c r="H2050" s="23"/>
      <c r="J2050" s="23"/>
      <c r="K2050" s="23"/>
      <c r="M2050" s="23"/>
      <c r="N2050" s="23"/>
      <c r="P2050" s="23"/>
    </row>
    <row r="2051" spans="2:16" x14ac:dyDescent="0.25">
      <c r="B2051" s="23"/>
      <c r="E2051" s="23"/>
      <c r="G2051" s="23"/>
      <c r="H2051" s="23"/>
      <c r="J2051" s="23"/>
      <c r="K2051" s="23"/>
      <c r="M2051" s="23"/>
      <c r="N2051" s="23"/>
      <c r="P2051" s="23"/>
    </row>
    <row r="2052" spans="2:16" x14ac:dyDescent="0.25">
      <c r="B2052" s="23"/>
      <c r="E2052" s="23"/>
      <c r="G2052" s="23"/>
      <c r="H2052" s="23"/>
      <c r="J2052" s="23"/>
      <c r="K2052" s="23"/>
      <c r="M2052" s="23"/>
      <c r="N2052" s="23"/>
      <c r="P2052" s="23"/>
    </row>
    <row r="2053" spans="2:16" x14ac:dyDescent="0.25">
      <c r="B2053" s="23"/>
      <c r="E2053" s="23"/>
      <c r="G2053" s="23"/>
      <c r="H2053" s="23"/>
      <c r="J2053" s="23"/>
      <c r="K2053" s="23"/>
      <c r="M2053" s="23"/>
      <c r="N2053" s="23"/>
      <c r="P2053" s="23"/>
    </row>
    <row r="2054" spans="2:16" x14ac:dyDescent="0.25">
      <c r="B2054" s="23"/>
      <c r="E2054" s="23"/>
      <c r="G2054" s="23"/>
      <c r="H2054" s="23"/>
      <c r="J2054" s="23"/>
      <c r="K2054" s="23"/>
      <c r="M2054" s="23"/>
      <c r="N2054" s="23"/>
      <c r="P2054" s="23"/>
    </row>
    <row r="2055" spans="2:16" x14ac:dyDescent="0.25">
      <c r="B2055" s="23"/>
      <c r="E2055" s="23"/>
      <c r="G2055" s="23"/>
      <c r="H2055" s="23"/>
      <c r="J2055" s="23"/>
      <c r="K2055" s="23"/>
      <c r="M2055" s="23"/>
      <c r="N2055" s="23"/>
      <c r="P2055" s="23"/>
    </row>
    <row r="2056" spans="2:16" x14ac:dyDescent="0.25">
      <c r="B2056" s="23"/>
      <c r="E2056" s="23"/>
      <c r="G2056" s="23"/>
      <c r="H2056" s="23"/>
      <c r="J2056" s="23"/>
      <c r="K2056" s="23"/>
      <c r="M2056" s="23"/>
      <c r="N2056" s="23"/>
      <c r="P2056" s="23"/>
    </row>
    <row r="2057" spans="2:16" x14ac:dyDescent="0.25">
      <c r="B2057" s="23"/>
      <c r="E2057" s="23"/>
      <c r="G2057" s="23"/>
      <c r="H2057" s="23"/>
      <c r="J2057" s="23"/>
      <c r="K2057" s="23"/>
      <c r="M2057" s="23"/>
      <c r="N2057" s="23"/>
      <c r="P2057" s="23"/>
    </row>
    <row r="2058" spans="2:16" x14ac:dyDescent="0.25">
      <c r="B2058" s="23"/>
      <c r="E2058" s="23"/>
      <c r="G2058" s="23"/>
      <c r="H2058" s="23"/>
      <c r="J2058" s="23"/>
      <c r="K2058" s="23"/>
      <c r="M2058" s="23"/>
      <c r="N2058" s="23"/>
      <c r="P2058" s="23"/>
    </row>
    <row r="2059" spans="2:16" x14ac:dyDescent="0.25">
      <c r="B2059" s="23"/>
      <c r="E2059" s="23"/>
      <c r="G2059" s="23"/>
      <c r="H2059" s="23"/>
      <c r="J2059" s="23"/>
      <c r="K2059" s="23"/>
      <c r="M2059" s="23"/>
      <c r="N2059" s="23"/>
      <c r="P2059" s="23"/>
    </row>
    <row r="2060" spans="2:16" x14ac:dyDescent="0.25">
      <c r="B2060" s="23"/>
      <c r="E2060" s="23"/>
      <c r="G2060" s="23"/>
      <c r="H2060" s="23"/>
      <c r="J2060" s="23"/>
      <c r="K2060" s="23"/>
      <c r="M2060" s="23"/>
      <c r="N2060" s="23"/>
      <c r="P2060" s="23"/>
    </row>
    <row r="2061" spans="2:16" x14ac:dyDescent="0.25">
      <c r="B2061" s="23"/>
      <c r="E2061" s="23"/>
      <c r="G2061" s="23"/>
      <c r="H2061" s="23"/>
      <c r="J2061" s="23"/>
      <c r="K2061" s="23"/>
      <c r="M2061" s="23"/>
      <c r="N2061" s="23"/>
      <c r="P2061" s="23"/>
    </row>
    <row r="2062" spans="2:16" x14ac:dyDescent="0.25">
      <c r="B2062" s="23"/>
      <c r="E2062" s="23"/>
      <c r="G2062" s="23"/>
      <c r="H2062" s="23"/>
      <c r="J2062" s="23"/>
      <c r="K2062" s="23"/>
      <c r="M2062" s="23"/>
      <c r="N2062" s="23"/>
      <c r="P2062" s="23"/>
    </row>
    <row r="2063" spans="2:16" x14ac:dyDescent="0.25">
      <c r="B2063" s="23"/>
      <c r="E2063" s="23"/>
      <c r="G2063" s="23"/>
      <c r="H2063" s="23"/>
      <c r="J2063" s="23"/>
      <c r="K2063" s="23"/>
      <c r="M2063" s="23"/>
      <c r="N2063" s="23"/>
      <c r="P2063" s="23"/>
    </row>
    <row r="2064" spans="2:16" x14ac:dyDescent="0.25">
      <c r="B2064" s="23"/>
      <c r="E2064" s="23"/>
      <c r="G2064" s="23"/>
      <c r="H2064" s="23"/>
      <c r="J2064" s="23"/>
      <c r="K2064" s="23"/>
      <c r="M2064" s="23"/>
      <c r="N2064" s="23"/>
      <c r="P2064" s="23"/>
    </row>
    <row r="2065" spans="2:16" x14ac:dyDescent="0.25">
      <c r="B2065" s="23"/>
      <c r="E2065" s="23"/>
      <c r="G2065" s="23"/>
      <c r="H2065" s="23"/>
      <c r="J2065" s="23"/>
      <c r="K2065" s="23"/>
      <c r="M2065" s="23"/>
      <c r="N2065" s="23"/>
      <c r="P2065" s="23"/>
    </row>
    <row r="2066" spans="2:16" x14ac:dyDescent="0.25">
      <c r="B2066" s="23"/>
      <c r="E2066" s="23"/>
      <c r="G2066" s="23"/>
      <c r="H2066" s="23"/>
      <c r="J2066" s="23"/>
      <c r="K2066" s="23"/>
      <c r="M2066" s="23"/>
      <c r="N2066" s="23"/>
      <c r="P2066" s="23"/>
    </row>
    <row r="2067" spans="2:16" x14ac:dyDescent="0.25">
      <c r="B2067" s="23"/>
      <c r="E2067" s="23"/>
      <c r="G2067" s="23"/>
      <c r="H2067" s="23"/>
      <c r="J2067" s="23"/>
      <c r="K2067" s="23"/>
      <c r="M2067" s="23"/>
      <c r="N2067" s="23"/>
      <c r="P2067" s="23"/>
    </row>
    <row r="2068" spans="2:16" x14ac:dyDescent="0.25">
      <c r="B2068" s="23"/>
      <c r="E2068" s="23"/>
      <c r="G2068" s="23"/>
      <c r="H2068" s="23"/>
      <c r="J2068" s="23"/>
      <c r="K2068" s="23"/>
      <c r="M2068" s="23"/>
      <c r="N2068" s="23"/>
      <c r="P2068" s="23"/>
    </row>
    <row r="2069" spans="2:16" x14ac:dyDescent="0.25">
      <c r="B2069" s="23"/>
      <c r="E2069" s="23"/>
      <c r="G2069" s="23"/>
      <c r="H2069" s="23"/>
      <c r="J2069" s="23"/>
      <c r="K2069" s="23"/>
      <c r="M2069" s="23"/>
      <c r="N2069" s="23"/>
      <c r="P2069" s="23"/>
    </row>
    <row r="2070" spans="2:16" x14ac:dyDescent="0.25">
      <c r="B2070" s="23"/>
      <c r="E2070" s="23"/>
      <c r="G2070" s="23"/>
      <c r="H2070" s="23"/>
      <c r="J2070" s="23"/>
      <c r="K2070" s="23"/>
      <c r="M2070" s="23"/>
      <c r="N2070" s="23"/>
      <c r="P2070" s="23"/>
    </row>
    <row r="2071" spans="2:16" x14ac:dyDescent="0.25">
      <c r="B2071" s="23"/>
      <c r="E2071" s="23"/>
      <c r="G2071" s="23"/>
      <c r="H2071" s="23"/>
      <c r="J2071" s="23"/>
      <c r="K2071" s="23"/>
      <c r="M2071" s="23"/>
      <c r="N2071" s="23"/>
      <c r="P2071" s="23"/>
    </row>
    <row r="2072" spans="2:16" x14ac:dyDescent="0.25">
      <c r="B2072" s="23"/>
      <c r="E2072" s="23"/>
      <c r="G2072" s="23"/>
      <c r="H2072" s="23"/>
      <c r="J2072" s="23"/>
      <c r="K2072" s="23"/>
      <c r="M2072" s="23"/>
      <c r="N2072" s="23"/>
      <c r="P2072" s="23"/>
    </row>
    <row r="2073" spans="2:16" x14ac:dyDescent="0.25">
      <c r="B2073" s="23"/>
      <c r="E2073" s="23"/>
      <c r="G2073" s="23"/>
      <c r="H2073" s="23"/>
      <c r="J2073" s="23"/>
      <c r="K2073" s="23"/>
      <c r="M2073" s="23"/>
      <c r="N2073" s="23"/>
      <c r="P2073" s="23"/>
    </row>
    <row r="2074" spans="2:16" x14ac:dyDescent="0.25">
      <c r="B2074" s="23"/>
      <c r="E2074" s="23"/>
      <c r="G2074" s="23"/>
      <c r="H2074" s="23"/>
      <c r="J2074" s="23"/>
      <c r="K2074" s="23"/>
      <c r="M2074" s="23"/>
      <c r="N2074" s="23"/>
      <c r="P2074" s="23"/>
    </row>
    <row r="2075" spans="2:16" x14ac:dyDescent="0.25">
      <c r="B2075" s="23"/>
      <c r="E2075" s="23"/>
      <c r="G2075" s="23"/>
      <c r="H2075" s="23"/>
      <c r="J2075" s="23"/>
      <c r="K2075" s="23"/>
      <c r="M2075" s="23"/>
      <c r="N2075" s="23"/>
      <c r="P2075" s="23"/>
    </row>
    <row r="2076" spans="2:16" x14ac:dyDescent="0.25">
      <c r="B2076" s="23"/>
      <c r="E2076" s="23"/>
      <c r="G2076" s="23"/>
      <c r="H2076" s="23"/>
      <c r="J2076" s="23"/>
      <c r="K2076" s="23"/>
      <c r="M2076" s="23"/>
      <c r="N2076" s="23"/>
      <c r="P2076" s="23"/>
    </row>
    <row r="2077" spans="2:16" x14ac:dyDescent="0.25">
      <c r="B2077" s="23"/>
      <c r="E2077" s="23"/>
      <c r="G2077" s="23"/>
      <c r="H2077" s="23"/>
      <c r="J2077" s="23"/>
      <c r="K2077" s="23"/>
      <c r="M2077" s="23"/>
      <c r="N2077" s="23"/>
      <c r="P2077" s="23"/>
    </row>
    <row r="2078" spans="2:16" x14ac:dyDescent="0.25">
      <c r="B2078" s="23"/>
      <c r="E2078" s="23"/>
      <c r="G2078" s="23"/>
      <c r="H2078" s="23"/>
      <c r="J2078" s="23"/>
      <c r="K2078" s="23"/>
      <c r="M2078" s="23"/>
      <c r="N2078" s="23"/>
      <c r="P2078" s="23"/>
    </row>
    <row r="2079" spans="2:16" x14ac:dyDescent="0.25">
      <c r="B2079" s="23"/>
      <c r="E2079" s="23"/>
      <c r="G2079" s="23"/>
      <c r="H2079" s="23"/>
      <c r="J2079" s="23"/>
      <c r="K2079" s="23"/>
      <c r="M2079" s="23"/>
      <c r="N2079" s="23"/>
      <c r="P2079" s="23"/>
    </row>
    <row r="2080" spans="2:16" x14ac:dyDescent="0.25">
      <c r="B2080" s="23"/>
      <c r="E2080" s="23"/>
      <c r="G2080" s="23"/>
      <c r="H2080" s="23"/>
      <c r="J2080" s="23"/>
      <c r="K2080" s="23"/>
      <c r="M2080" s="23"/>
      <c r="N2080" s="23"/>
      <c r="P2080" s="23"/>
    </row>
    <row r="2081" spans="2:16" x14ac:dyDescent="0.25">
      <c r="B2081" s="23"/>
      <c r="E2081" s="23"/>
      <c r="G2081" s="23"/>
      <c r="H2081" s="23"/>
      <c r="J2081" s="23"/>
      <c r="K2081" s="23"/>
      <c r="M2081" s="23"/>
      <c r="N2081" s="23"/>
      <c r="P2081" s="23"/>
    </row>
    <row r="2082" spans="2:16" x14ac:dyDescent="0.25">
      <c r="B2082" s="23"/>
      <c r="E2082" s="23"/>
      <c r="G2082" s="23"/>
      <c r="H2082" s="23"/>
      <c r="J2082" s="23"/>
      <c r="K2082" s="23"/>
      <c r="M2082" s="23"/>
      <c r="N2082" s="23"/>
      <c r="P2082" s="23"/>
    </row>
    <row r="2083" spans="2:16" x14ac:dyDescent="0.25">
      <c r="B2083" s="23"/>
      <c r="E2083" s="23"/>
      <c r="G2083" s="23"/>
      <c r="H2083" s="23"/>
      <c r="J2083" s="23"/>
      <c r="K2083" s="23"/>
      <c r="M2083" s="23"/>
      <c r="N2083" s="23"/>
      <c r="P2083" s="23"/>
    </row>
    <row r="2084" spans="2:16" x14ac:dyDescent="0.25">
      <c r="B2084" s="23"/>
      <c r="E2084" s="23"/>
      <c r="G2084" s="23"/>
      <c r="H2084" s="23"/>
      <c r="J2084" s="23"/>
      <c r="K2084" s="23"/>
      <c r="M2084" s="23"/>
      <c r="N2084" s="23"/>
      <c r="P2084" s="23"/>
    </row>
    <row r="2085" spans="2:16" x14ac:dyDescent="0.25">
      <c r="B2085" s="23"/>
      <c r="E2085" s="23"/>
      <c r="G2085" s="23"/>
      <c r="H2085" s="23"/>
      <c r="J2085" s="23"/>
      <c r="K2085" s="23"/>
      <c r="M2085" s="23"/>
      <c r="N2085" s="23"/>
      <c r="P2085" s="23"/>
    </row>
    <row r="2086" spans="2:16" x14ac:dyDescent="0.25">
      <c r="B2086" s="23"/>
      <c r="E2086" s="23"/>
      <c r="G2086" s="23"/>
      <c r="H2086" s="23"/>
      <c r="J2086" s="23"/>
      <c r="K2086" s="23"/>
      <c r="M2086" s="23"/>
      <c r="N2086" s="23"/>
      <c r="P2086" s="23"/>
    </row>
    <row r="2087" spans="2:16" x14ac:dyDescent="0.25">
      <c r="B2087" s="23"/>
      <c r="E2087" s="23"/>
      <c r="G2087" s="23"/>
      <c r="H2087" s="23"/>
      <c r="J2087" s="23"/>
      <c r="K2087" s="23"/>
      <c r="M2087" s="23"/>
      <c r="N2087" s="23"/>
      <c r="P2087" s="23"/>
    </row>
    <row r="2088" spans="2:16" x14ac:dyDescent="0.25">
      <c r="B2088" s="23"/>
      <c r="E2088" s="23"/>
      <c r="G2088" s="23"/>
      <c r="H2088" s="23"/>
      <c r="J2088" s="23"/>
      <c r="K2088" s="23"/>
      <c r="M2088" s="23"/>
      <c r="N2088" s="23"/>
      <c r="P2088" s="23"/>
    </row>
    <row r="2089" spans="2:16" x14ac:dyDescent="0.25">
      <c r="B2089" s="23"/>
      <c r="E2089" s="23"/>
      <c r="G2089" s="23"/>
      <c r="H2089" s="23"/>
      <c r="J2089" s="23"/>
      <c r="K2089" s="23"/>
      <c r="M2089" s="23"/>
      <c r="N2089" s="23"/>
      <c r="P2089" s="23"/>
    </row>
    <row r="2090" spans="2:16" x14ac:dyDescent="0.25">
      <c r="B2090" s="23"/>
      <c r="E2090" s="23"/>
      <c r="G2090" s="23"/>
      <c r="H2090" s="23"/>
      <c r="J2090" s="23"/>
      <c r="K2090" s="23"/>
      <c r="M2090" s="23"/>
      <c r="N2090" s="23"/>
      <c r="P2090" s="23"/>
    </row>
    <row r="2091" spans="2:16" x14ac:dyDescent="0.25">
      <c r="B2091" s="23"/>
      <c r="E2091" s="23"/>
      <c r="G2091" s="23"/>
      <c r="H2091" s="23"/>
      <c r="J2091" s="23"/>
      <c r="K2091" s="23"/>
      <c r="M2091" s="23"/>
      <c r="N2091" s="23"/>
      <c r="P2091" s="23"/>
    </row>
    <row r="2092" spans="2:16" x14ac:dyDescent="0.25">
      <c r="B2092" s="23"/>
      <c r="E2092" s="23"/>
      <c r="G2092" s="23"/>
      <c r="H2092" s="23"/>
      <c r="J2092" s="23"/>
      <c r="K2092" s="23"/>
      <c r="M2092" s="23"/>
      <c r="N2092" s="23"/>
      <c r="P2092" s="23"/>
    </row>
    <row r="2093" spans="2:16" x14ac:dyDescent="0.25">
      <c r="B2093" s="23"/>
      <c r="E2093" s="23"/>
      <c r="G2093" s="23"/>
      <c r="H2093" s="23"/>
      <c r="J2093" s="23"/>
      <c r="K2093" s="23"/>
      <c r="M2093" s="23"/>
      <c r="N2093" s="23"/>
      <c r="P2093" s="23"/>
    </row>
    <row r="2094" spans="2:16" x14ac:dyDescent="0.25">
      <c r="B2094" s="23"/>
      <c r="E2094" s="23"/>
      <c r="G2094" s="23"/>
      <c r="H2094" s="23"/>
      <c r="J2094" s="23"/>
      <c r="K2094" s="23"/>
      <c r="M2094" s="23"/>
      <c r="N2094" s="23"/>
      <c r="P2094" s="23"/>
    </row>
    <row r="2095" spans="2:16" x14ac:dyDescent="0.25">
      <c r="B2095" s="23"/>
      <c r="E2095" s="23"/>
      <c r="G2095" s="23"/>
      <c r="H2095" s="23"/>
      <c r="J2095" s="23"/>
      <c r="K2095" s="23"/>
      <c r="M2095" s="23"/>
      <c r="N2095" s="23"/>
      <c r="P2095" s="23"/>
    </row>
    <row r="2096" spans="2:16" x14ac:dyDescent="0.25">
      <c r="B2096" s="23"/>
      <c r="E2096" s="23"/>
      <c r="G2096" s="23"/>
      <c r="H2096" s="23"/>
      <c r="J2096" s="23"/>
      <c r="K2096" s="23"/>
      <c r="M2096" s="23"/>
      <c r="N2096" s="23"/>
      <c r="P2096" s="23"/>
    </row>
    <row r="2097" spans="2:16" x14ac:dyDescent="0.25">
      <c r="B2097" s="23"/>
      <c r="E2097" s="23"/>
      <c r="G2097" s="23"/>
      <c r="H2097" s="23"/>
      <c r="J2097" s="23"/>
      <c r="K2097" s="23"/>
      <c r="M2097" s="23"/>
      <c r="N2097" s="23"/>
      <c r="P2097" s="23"/>
    </row>
    <row r="2098" spans="2:16" x14ac:dyDescent="0.25">
      <c r="B2098" s="23"/>
      <c r="E2098" s="23"/>
      <c r="G2098" s="23"/>
      <c r="H2098" s="23"/>
      <c r="J2098" s="23"/>
      <c r="K2098" s="23"/>
      <c r="M2098" s="23"/>
      <c r="N2098" s="23"/>
      <c r="P2098" s="23"/>
    </row>
    <row r="2099" spans="2:16" x14ac:dyDescent="0.25">
      <c r="B2099" s="23"/>
      <c r="E2099" s="23"/>
      <c r="G2099" s="23"/>
      <c r="H2099" s="23"/>
      <c r="J2099" s="23"/>
      <c r="K2099" s="23"/>
      <c r="M2099" s="23"/>
      <c r="N2099" s="23"/>
      <c r="P2099" s="23"/>
    </row>
    <row r="2100" spans="2:16" x14ac:dyDescent="0.25">
      <c r="B2100" s="23"/>
      <c r="E2100" s="23"/>
      <c r="G2100" s="23"/>
      <c r="H2100" s="23"/>
      <c r="J2100" s="23"/>
      <c r="K2100" s="23"/>
      <c r="M2100" s="23"/>
      <c r="N2100" s="23"/>
      <c r="P2100" s="23"/>
    </row>
    <row r="2101" spans="2:16" x14ac:dyDescent="0.25">
      <c r="B2101" s="23"/>
      <c r="E2101" s="23"/>
      <c r="G2101" s="23"/>
      <c r="H2101" s="23"/>
      <c r="J2101" s="23"/>
      <c r="K2101" s="23"/>
      <c r="M2101" s="23"/>
      <c r="N2101" s="23"/>
      <c r="P2101" s="23"/>
    </row>
    <row r="2102" spans="2:16" x14ac:dyDescent="0.25">
      <c r="B2102" s="23"/>
      <c r="E2102" s="23"/>
      <c r="G2102" s="23"/>
      <c r="H2102" s="23"/>
      <c r="J2102" s="23"/>
      <c r="K2102" s="23"/>
      <c r="M2102" s="23"/>
      <c r="N2102" s="23"/>
      <c r="P2102" s="23"/>
    </row>
    <row r="2103" spans="2:16" x14ac:dyDescent="0.25">
      <c r="B2103" s="23"/>
      <c r="E2103" s="23"/>
      <c r="G2103" s="23"/>
      <c r="H2103" s="23"/>
      <c r="J2103" s="23"/>
      <c r="K2103" s="23"/>
      <c r="M2103" s="23"/>
      <c r="N2103" s="23"/>
      <c r="P2103" s="23"/>
    </row>
    <row r="2104" spans="2:16" x14ac:dyDescent="0.25">
      <c r="B2104" s="23"/>
      <c r="E2104" s="23"/>
      <c r="G2104" s="23"/>
      <c r="H2104" s="23"/>
      <c r="J2104" s="23"/>
      <c r="K2104" s="23"/>
      <c r="M2104" s="23"/>
      <c r="N2104" s="23"/>
      <c r="P2104" s="23"/>
    </row>
    <row r="2105" spans="2:16" x14ac:dyDescent="0.25">
      <c r="B2105" s="23"/>
      <c r="E2105" s="23"/>
      <c r="G2105" s="23"/>
      <c r="H2105" s="23"/>
      <c r="J2105" s="23"/>
      <c r="K2105" s="23"/>
      <c r="M2105" s="23"/>
      <c r="N2105" s="23"/>
      <c r="P2105" s="23"/>
    </row>
    <row r="2106" spans="2:16" x14ac:dyDescent="0.25">
      <c r="B2106" s="23"/>
      <c r="E2106" s="23"/>
      <c r="G2106" s="23"/>
      <c r="H2106" s="23"/>
      <c r="J2106" s="23"/>
      <c r="K2106" s="23"/>
      <c r="M2106" s="23"/>
      <c r="N2106" s="23"/>
      <c r="P2106" s="23"/>
    </row>
    <row r="2107" spans="2:16" x14ac:dyDescent="0.25">
      <c r="B2107" s="23"/>
      <c r="E2107" s="23"/>
      <c r="G2107" s="23"/>
      <c r="H2107" s="23"/>
      <c r="J2107" s="23"/>
      <c r="K2107" s="23"/>
      <c r="M2107" s="23"/>
      <c r="N2107" s="23"/>
      <c r="P2107" s="23"/>
    </row>
    <row r="2108" spans="2:16" x14ac:dyDescent="0.25">
      <c r="B2108" s="23"/>
      <c r="E2108" s="23"/>
      <c r="G2108" s="23"/>
      <c r="H2108" s="23"/>
      <c r="J2108" s="23"/>
      <c r="K2108" s="23"/>
      <c r="M2108" s="23"/>
      <c r="N2108" s="23"/>
      <c r="P2108" s="23"/>
    </row>
    <row r="2109" spans="2:16" x14ac:dyDescent="0.25">
      <c r="B2109" s="23"/>
      <c r="E2109" s="23"/>
      <c r="G2109" s="23"/>
      <c r="H2109" s="23"/>
      <c r="J2109" s="23"/>
      <c r="K2109" s="23"/>
      <c r="M2109" s="23"/>
      <c r="N2109" s="23"/>
      <c r="P2109" s="23"/>
    </row>
    <row r="2110" spans="2:16" x14ac:dyDescent="0.25">
      <c r="B2110" s="23"/>
      <c r="E2110" s="23"/>
      <c r="G2110" s="23"/>
      <c r="H2110" s="23"/>
      <c r="J2110" s="23"/>
      <c r="K2110" s="23"/>
      <c r="M2110" s="23"/>
      <c r="N2110" s="23"/>
      <c r="P2110" s="23"/>
    </row>
    <row r="2111" spans="2:16" x14ac:dyDescent="0.25">
      <c r="B2111" s="23"/>
      <c r="E2111" s="23"/>
      <c r="G2111" s="23"/>
      <c r="H2111" s="23"/>
      <c r="J2111" s="23"/>
      <c r="K2111" s="23"/>
      <c r="M2111" s="23"/>
      <c r="N2111" s="23"/>
      <c r="P2111" s="23"/>
    </row>
    <row r="2112" spans="2:16" x14ac:dyDescent="0.25">
      <c r="B2112" s="23"/>
      <c r="E2112" s="23"/>
      <c r="G2112" s="23"/>
      <c r="H2112" s="23"/>
      <c r="J2112" s="23"/>
      <c r="K2112" s="23"/>
      <c r="M2112" s="23"/>
      <c r="N2112" s="23"/>
      <c r="P2112" s="23"/>
    </row>
    <row r="2113" spans="2:16" x14ac:dyDescent="0.25">
      <c r="B2113" s="23"/>
      <c r="E2113" s="23"/>
      <c r="G2113" s="23"/>
      <c r="H2113" s="23"/>
      <c r="J2113" s="23"/>
      <c r="K2113" s="23"/>
      <c r="M2113" s="23"/>
      <c r="N2113" s="23"/>
      <c r="P2113" s="23"/>
    </row>
    <row r="2114" spans="2:16" x14ac:dyDescent="0.25">
      <c r="B2114" s="23"/>
      <c r="E2114" s="23"/>
      <c r="G2114" s="23"/>
      <c r="H2114" s="23"/>
      <c r="J2114" s="23"/>
      <c r="K2114" s="23"/>
      <c r="M2114" s="23"/>
      <c r="N2114" s="23"/>
      <c r="P2114" s="23"/>
    </row>
    <row r="2115" spans="2:16" x14ac:dyDescent="0.25">
      <c r="B2115" s="23"/>
      <c r="E2115" s="23"/>
      <c r="G2115" s="23"/>
      <c r="H2115" s="23"/>
      <c r="J2115" s="23"/>
      <c r="K2115" s="23"/>
      <c r="M2115" s="23"/>
      <c r="N2115" s="23"/>
      <c r="P2115" s="23"/>
    </row>
    <row r="2116" spans="2:16" x14ac:dyDescent="0.25">
      <c r="B2116" s="23"/>
      <c r="E2116" s="23"/>
      <c r="G2116" s="23"/>
      <c r="H2116" s="23"/>
      <c r="J2116" s="23"/>
      <c r="K2116" s="23"/>
      <c r="M2116" s="23"/>
      <c r="N2116" s="23"/>
      <c r="P2116" s="23"/>
    </row>
    <row r="2117" spans="2:16" x14ac:dyDescent="0.25">
      <c r="B2117" s="23"/>
      <c r="E2117" s="23"/>
      <c r="G2117" s="23"/>
      <c r="H2117" s="23"/>
      <c r="J2117" s="23"/>
      <c r="K2117" s="23"/>
      <c r="M2117" s="23"/>
      <c r="N2117" s="23"/>
      <c r="P2117" s="23"/>
    </row>
    <row r="2118" spans="2:16" x14ac:dyDescent="0.25">
      <c r="B2118" s="23"/>
      <c r="E2118" s="23"/>
      <c r="G2118" s="23"/>
      <c r="H2118" s="23"/>
      <c r="J2118" s="23"/>
      <c r="K2118" s="23"/>
      <c r="M2118" s="23"/>
      <c r="N2118" s="23"/>
      <c r="P2118" s="23"/>
    </row>
    <row r="2119" spans="2:16" x14ac:dyDescent="0.25">
      <c r="B2119" s="23"/>
      <c r="E2119" s="23"/>
      <c r="G2119" s="23"/>
      <c r="H2119" s="23"/>
      <c r="J2119" s="23"/>
      <c r="K2119" s="23"/>
      <c r="M2119" s="23"/>
      <c r="N2119" s="23"/>
      <c r="P2119" s="23"/>
    </row>
    <row r="2120" spans="2:16" x14ac:dyDescent="0.25">
      <c r="B2120" s="23"/>
      <c r="E2120" s="23"/>
      <c r="G2120" s="23"/>
      <c r="H2120" s="23"/>
      <c r="J2120" s="23"/>
      <c r="K2120" s="23"/>
      <c r="M2120" s="23"/>
      <c r="N2120" s="23"/>
      <c r="P2120" s="23"/>
    </row>
    <row r="2121" spans="2:16" x14ac:dyDescent="0.25">
      <c r="B2121" s="23"/>
      <c r="E2121" s="23"/>
      <c r="G2121" s="23"/>
      <c r="H2121" s="23"/>
      <c r="J2121" s="23"/>
      <c r="K2121" s="23"/>
      <c r="M2121" s="23"/>
      <c r="N2121" s="23"/>
      <c r="P2121" s="23"/>
    </row>
    <row r="2122" spans="2:16" x14ac:dyDescent="0.25">
      <c r="B2122" s="23"/>
      <c r="E2122" s="23"/>
      <c r="G2122" s="23"/>
      <c r="H2122" s="23"/>
      <c r="J2122" s="23"/>
      <c r="K2122" s="23"/>
      <c r="M2122" s="23"/>
      <c r="N2122" s="23"/>
      <c r="P2122" s="23"/>
    </row>
    <row r="2123" spans="2:16" x14ac:dyDescent="0.25">
      <c r="B2123" s="23"/>
      <c r="E2123" s="23"/>
      <c r="G2123" s="23"/>
      <c r="H2123" s="23"/>
      <c r="J2123" s="23"/>
      <c r="K2123" s="23"/>
      <c r="M2123" s="23"/>
      <c r="N2123" s="23"/>
      <c r="P2123" s="23"/>
    </row>
    <row r="2124" spans="2:16" x14ac:dyDescent="0.25">
      <c r="B2124" s="23"/>
      <c r="E2124" s="23"/>
      <c r="G2124" s="23"/>
      <c r="H2124" s="23"/>
      <c r="J2124" s="23"/>
      <c r="K2124" s="23"/>
      <c r="M2124" s="23"/>
      <c r="N2124" s="23"/>
      <c r="P2124" s="23"/>
    </row>
    <row r="2125" spans="2:16" x14ac:dyDescent="0.25">
      <c r="B2125" s="23"/>
      <c r="E2125" s="23"/>
      <c r="G2125" s="23"/>
      <c r="H2125" s="23"/>
      <c r="J2125" s="23"/>
      <c r="K2125" s="23"/>
      <c r="M2125" s="23"/>
      <c r="N2125" s="23"/>
      <c r="P2125" s="23"/>
    </row>
    <row r="2126" spans="2:16" x14ac:dyDescent="0.25">
      <c r="B2126" s="23"/>
      <c r="E2126" s="23"/>
      <c r="G2126" s="23"/>
      <c r="H2126" s="23"/>
      <c r="J2126" s="23"/>
      <c r="K2126" s="23"/>
      <c r="M2126" s="23"/>
      <c r="N2126" s="23"/>
      <c r="P2126" s="23"/>
    </row>
    <row r="2127" spans="2:16" x14ac:dyDescent="0.25">
      <c r="B2127" s="23"/>
      <c r="E2127" s="23"/>
      <c r="G2127" s="23"/>
      <c r="H2127" s="23"/>
      <c r="J2127" s="23"/>
      <c r="K2127" s="23"/>
      <c r="M2127" s="23"/>
      <c r="N2127" s="23"/>
      <c r="P2127" s="23"/>
    </row>
    <row r="2128" spans="2:16" x14ac:dyDescent="0.25">
      <c r="B2128" s="23"/>
      <c r="E2128" s="23"/>
      <c r="G2128" s="23"/>
      <c r="H2128" s="23"/>
      <c r="J2128" s="23"/>
      <c r="K2128" s="23"/>
      <c r="M2128" s="23"/>
      <c r="N2128" s="23"/>
      <c r="P2128" s="23"/>
    </row>
    <row r="2129" spans="2:16" x14ac:dyDescent="0.25">
      <c r="B2129" s="23"/>
      <c r="E2129" s="23"/>
      <c r="G2129" s="23"/>
      <c r="H2129" s="23"/>
      <c r="J2129" s="23"/>
      <c r="K2129" s="23"/>
      <c r="M2129" s="23"/>
      <c r="N2129" s="23"/>
      <c r="P2129" s="23"/>
    </row>
    <row r="2130" spans="2:16" x14ac:dyDescent="0.25">
      <c r="B2130" s="23"/>
      <c r="E2130" s="23"/>
      <c r="G2130" s="23"/>
      <c r="H2130" s="23"/>
      <c r="J2130" s="23"/>
      <c r="K2130" s="23"/>
      <c r="M2130" s="23"/>
      <c r="N2130" s="23"/>
      <c r="P2130" s="23"/>
    </row>
    <row r="2131" spans="2:16" x14ac:dyDescent="0.25">
      <c r="B2131" s="23"/>
      <c r="E2131" s="23"/>
      <c r="G2131" s="23"/>
      <c r="H2131" s="23"/>
      <c r="J2131" s="23"/>
      <c r="K2131" s="23"/>
      <c r="M2131" s="23"/>
      <c r="N2131" s="23"/>
      <c r="P2131" s="23"/>
    </row>
    <row r="2132" spans="2:16" x14ac:dyDescent="0.25">
      <c r="B2132" s="23"/>
      <c r="E2132" s="23"/>
      <c r="G2132" s="23"/>
      <c r="H2132" s="23"/>
      <c r="J2132" s="23"/>
      <c r="K2132" s="23"/>
      <c r="M2132" s="23"/>
      <c r="N2132" s="23"/>
      <c r="P2132" s="23"/>
    </row>
    <row r="2133" spans="2:16" x14ac:dyDescent="0.25">
      <c r="B2133" s="23"/>
      <c r="E2133" s="23"/>
      <c r="G2133" s="23"/>
      <c r="H2133" s="23"/>
      <c r="J2133" s="23"/>
      <c r="K2133" s="23"/>
      <c r="M2133" s="23"/>
      <c r="N2133" s="23"/>
      <c r="P2133" s="23"/>
    </row>
    <row r="2134" spans="2:16" x14ac:dyDescent="0.25">
      <c r="B2134" s="23"/>
      <c r="E2134" s="23"/>
      <c r="G2134" s="23"/>
      <c r="H2134" s="23"/>
      <c r="J2134" s="23"/>
      <c r="K2134" s="23"/>
      <c r="M2134" s="23"/>
      <c r="N2134" s="23"/>
      <c r="P2134" s="23"/>
    </row>
    <row r="2135" spans="2:16" x14ac:dyDescent="0.25">
      <c r="B2135" s="23"/>
      <c r="E2135" s="23"/>
      <c r="G2135" s="23"/>
      <c r="H2135" s="23"/>
      <c r="J2135" s="23"/>
      <c r="K2135" s="23"/>
      <c r="M2135" s="23"/>
      <c r="N2135" s="23"/>
      <c r="P2135" s="23"/>
    </row>
    <row r="2136" spans="2:16" x14ac:dyDescent="0.25">
      <c r="B2136" s="23"/>
      <c r="E2136" s="23"/>
      <c r="G2136" s="23"/>
      <c r="H2136" s="23"/>
      <c r="J2136" s="23"/>
      <c r="K2136" s="23"/>
      <c r="M2136" s="23"/>
      <c r="N2136" s="23"/>
      <c r="P2136" s="23"/>
    </row>
    <row r="2137" spans="2:16" x14ac:dyDescent="0.25">
      <c r="B2137" s="23"/>
      <c r="E2137" s="23"/>
      <c r="G2137" s="23"/>
      <c r="H2137" s="23"/>
      <c r="J2137" s="23"/>
      <c r="K2137" s="23"/>
      <c r="M2137" s="23"/>
      <c r="N2137" s="23"/>
      <c r="P2137" s="23"/>
    </row>
    <row r="2138" spans="2:16" x14ac:dyDescent="0.25">
      <c r="B2138" s="23"/>
      <c r="E2138" s="23"/>
      <c r="G2138" s="23"/>
      <c r="H2138" s="23"/>
      <c r="J2138" s="23"/>
      <c r="K2138" s="23"/>
      <c r="M2138" s="23"/>
      <c r="N2138" s="23"/>
      <c r="P2138" s="23"/>
    </row>
    <row r="2139" spans="2:16" x14ac:dyDescent="0.25">
      <c r="B2139" s="23"/>
      <c r="E2139" s="23"/>
      <c r="G2139" s="23"/>
      <c r="H2139" s="23"/>
      <c r="J2139" s="23"/>
      <c r="K2139" s="23"/>
      <c r="M2139" s="23"/>
      <c r="N2139" s="23"/>
      <c r="P2139" s="23"/>
    </row>
    <row r="2140" spans="2:16" x14ac:dyDescent="0.25">
      <c r="B2140" s="23"/>
      <c r="E2140" s="23"/>
      <c r="G2140" s="23"/>
      <c r="H2140" s="23"/>
      <c r="J2140" s="23"/>
      <c r="K2140" s="23"/>
      <c r="M2140" s="23"/>
      <c r="N2140" s="23"/>
      <c r="P2140" s="23"/>
    </row>
    <row r="2141" spans="2:16" x14ac:dyDescent="0.25">
      <c r="B2141" s="23"/>
      <c r="E2141" s="23"/>
      <c r="G2141" s="23"/>
      <c r="H2141" s="23"/>
      <c r="J2141" s="23"/>
      <c r="K2141" s="23"/>
      <c r="M2141" s="23"/>
      <c r="N2141" s="23"/>
      <c r="P2141" s="23"/>
    </row>
    <row r="2142" spans="2:16" x14ac:dyDescent="0.25">
      <c r="B2142" s="23"/>
      <c r="E2142" s="23"/>
      <c r="G2142" s="23"/>
      <c r="H2142" s="23"/>
      <c r="J2142" s="23"/>
      <c r="K2142" s="23"/>
      <c r="M2142" s="23"/>
      <c r="N2142" s="23"/>
      <c r="P2142" s="23"/>
    </row>
    <row r="2143" spans="2:16" x14ac:dyDescent="0.25">
      <c r="B2143" s="23"/>
      <c r="E2143" s="23"/>
      <c r="G2143" s="23"/>
      <c r="H2143" s="23"/>
      <c r="J2143" s="23"/>
      <c r="K2143" s="23"/>
      <c r="M2143" s="23"/>
      <c r="N2143" s="23"/>
      <c r="P2143" s="23"/>
    </row>
    <row r="2144" spans="2:16" x14ac:dyDescent="0.25">
      <c r="B2144" s="23"/>
      <c r="E2144" s="23"/>
      <c r="G2144" s="23"/>
      <c r="H2144" s="23"/>
      <c r="J2144" s="23"/>
      <c r="K2144" s="23"/>
      <c r="M2144" s="23"/>
      <c r="N2144" s="23"/>
      <c r="P2144" s="23"/>
    </row>
    <row r="2145" spans="2:16" x14ac:dyDescent="0.25">
      <c r="B2145" s="23"/>
      <c r="E2145" s="23"/>
      <c r="G2145" s="23"/>
      <c r="H2145" s="23"/>
      <c r="J2145" s="23"/>
      <c r="K2145" s="23"/>
      <c r="M2145" s="23"/>
      <c r="N2145" s="23"/>
      <c r="P2145" s="23"/>
    </row>
    <row r="2146" spans="2:16" x14ac:dyDescent="0.25">
      <c r="B2146" s="23"/>
      <c r="E2146" s="23"/>
      <c r="G2146" s="23"/>
      <c r="H2146" s="23"/>
      <c r="J2146" s="23"/>
      <c r="K2146" s="23"/>
      <c r="M2146" s="23"/>
      <c r="N2146" s="23"/>
      <c r="P2146" s="23"/>
    </row>
    <row r="2147" spans="2:16" x14ac:dyDescent="0.25">
      <c r="B2147" s="23"/>
      <c r="E2147" s="23"/>
      <c r="G2147" s="23"/>
      <c r="H2147" s="23"/>
      <c r="J2147" s="23"/>
      <c r="K2147" s="23"/>
      <c r="M2147" s="23"/>
      <c r="N2147" s="23"/>
      <c r="P2147" s="23"/>
    </row>
    <row r="2148" spans="2:16" x14ac:dyDescent="0.25">
      <c r="B2148" s="23"/>
      <c r="E2148" s="23"/>
      <c r="G2148" s="23"/>
      <c r="H2148" s="23"/>
      <c r="J2148" s="23"/>
      <c r="K2148" s="23"/>
      <c r="M2148" s="23"/>
      <c r="N2148" s="23"/>
      <c r="P2148" s="23"/>
    </row>
    <row r="2149" spans="2:16" x14ac:dyDescent="0.25">
      <c r="B2149" s="23"/>
      <c r="E2149" s="23"/>
      <c r="G2149" s="23"/>
      <c r="H2149" s="23"/>
      <c r="J2149" s="23"/>
      <c r="K2149" s="23"/>
      <c r="M2149" s="23"/>
      <c r="N2149" s="23"/>
      <c r="P2149" s="23"/>
    </row>
    <row r="2150" spans="2:16" x14ac:dyDescent="0.25">
      <c r="B2150" s="23"/>
      <c r="E2150" s="23"/>
      <c r="G2150" s="23"/>
      <c r="H2150" s="23"/>
      <c r="J2150" s="23"/>
      <c r="K2150" s="23"/>
      <c r="M2150" s="23"/>
      <c r="N2150" s="23"/>
      <c r="P2150" s="23"/>
    </row>
    <row r="2151" spans="2:16" x14ac:dyDescent="0.25">
      <c r="B2151" s="23"/>
      <c r="E2151" s="23"/>
      <c r="G2151" s="23"/>
      <c r="H2151" s="23"/>
      <c r="J2151" s="23"/>
      <c r="K2151" s="23"/>
      <c r="M2151" s="23"/>
      <c r="N2151" s="23"/>
      <c r="P2151" s="23"/>
    </row>
    <row r="2152" spans="2:16" x14ac:dyDescent="0.25">
      <c r="B2152" s="23"/>
      <c r="E2152" s="23"/>
      <c r="G2152" s="23"/>
      <c r="H2152" s="23"/>
      <c r="J2152" s="23"/>
      <c r="K2152" s="23"/>
      <c r="M2152" s="23"/>
      <c r="N2152" s="23"/>
      <c r="P2152" s="23"/>
    </row>
    <row r="2153" spans="2:16" x14ac:dyDescent="0.25">
      <c r="B2153" s="23"/>
      <c r="E2153" s="23"/>
      <c r="G2153" s="23"/>
      <c r="H2153" s="23"/>
      <c r="J2153" s="23"/>
      <c r="K2153" s="23"/>
      <c r="M2153" s="23"/>
      <c r="N2153" s="23"/>
      <c r="P2153" s="23"/>
    </row>
    <row r="2154" spans="2:16" x14ac:dyDescent="0.25">
      <c r="B2154" s="23"/>
      <c r="E2154" s="23"/>
      <c r="G2154" s="23"/>
      <c r="H2154" s="23"/>
      <c r="J2154" s="23"/>
      <c r="K2154" s="23"/>
      <c r="M2154" s="23"/>
      <c r="N2154" s="23"/>
      <c r="P2154" s="23"/>
    </row>
    <row r="2155" spans="2:16" x14ac:dyDescent="0.25">
      <c r="B2155" s="23"/>
      <c r="E2155" s="23"/>
      <c r="G2155" s="23"/>
      <c r="H2155" s="23"/>
      <c r="J2155" s="23"/>
      <c r="K2155" s="23"/>
      <c r="M2155" s="23"/>
      <c r="N2155" s="23"/>
      <c r="P2155" s="23"/>
    </row>
    <row r="2156" spans="2:16" x14ac:dyDescent="0.25">
      <c r="B2156" s="23"/>
      <c r="E2156" s="23"/>
      <c r="G2156" s="23"/>
      <c r="H2156" s="23"/>
      <c r="J2156" s="23"/>
      <c r="K2156" s="23"/>
      <c r="M2156" s="23"/>
      <c r="N2156" s="23"/>
      <c r="P2156" s="23"/>
    </row>
    <row r="2157" spans="2:16" x14ac:dyDescent="0.25">
      <c r="B2157" s="23"/>
      <c r="E2157" s="23"/>
      <c r="G2157" s="23"/>
      <c r="H2157" s="23"/>
      <c r="J2157" s="23"/>
      <c r="K2157" s="23"/>
      <c r="M2157" s="23"/>
      <c r="N2157" s="23"/>
      <c r="P2157" s="23"/>
    </row>
    <row r="2158" spans="2:16" x14ac:dyDescent="0.25">
      <c r="B2158" s="23"/>
      <c r="E2158" s="23"/>
      <c r="G2158" s="23"/>
      <c r="H2158" s="23"/>
      <c r="J2158" s="23"/>
      <c r="K2158" s="23"/>
      <c r="M2158" s="23"/>
      <c r="N2158" s="23"/>
      <c r="P2158" s="23"/>
    </row>
    <row r="2159" spans="2:16" x14ac:dyDescent="0.25">
      <c r="B2159" s="23"/>
      <c r="E2159" s="23"/>
      <c r="G2159" s="23"/>
      <c r="H2159" s="23"/>
      <c r="J2159" s="23"/>
      <c r="K2159" s="23"/>
      <c r="M2159" s="23"/>
      <c r="N2159" s="23"/>
      <c r="P2159" s="23"/>
    </row>
    <row r="2160" spans="2:16" x14ac:dyDescent="0.25">
      <c r="B2160" s="23"/>
      <c r="E2160" s="23"/>
      <c r="G2160" s="23"/>
      <c r="H2160" s="23"/>
      <c r="J2160" s="23"/>
      <c r="K2160" s="23"/>
      <c r="M2160" s="23"/>
      <c r="N2160" s="23"/>
      <c r="P2160" s="23"/>
    </row>
    <row r="2161" spans="2:16" x14ac:dyDescent="0.25">
      <c r="B2161" s="23"/>
      <c r="E2161" s="23"/>
      <c r="G2161" s="23"/>
      <c r="H2161" s="23"/>
      <c r="J2161" s="23"/>
      <c r="K2161" s="23"/>
      <c r="M2161" s="23"/>
      <c r="N2161" s="23"/>
      <c r="P2161" s="23"/>
    </row>
    <row r="2162" spans="2:16" x14ac:dyDescent="0.25">
      <c r="B2162" s="23"/>
      <c r="E2162" s="23"/>
      <c r="G2162" s="23"/>
      <c r="H2162" s="23"/>
      <c r="J2162" s="23"/>
      <c r="K2162" s="23"/>
      <c r="M2162" s="23"/>
      <c r="N2162" s="23"/>
      <c r="P2162" s="23"/>
    </row>
    <row r="2163" spans="2:16" x14ac:dyDescent="0.25">
      <c r="B2163" s="23"/>
      <c r="E2163" s="23"/>
      <c r="G2163" s="23"/>
      <c r="H2163" s="23"/>
      <c r="J2163" s="23"/>
      <c r="K2163" s="23"/>
      <c r="M2163" s="23"/>
      <c r="N2163" s="23"/>
      <c r="P2163" s="23"/>
    </row>
    <row r="2164" spans="2:16" x14ac:dyDescent="0.25">
      <c r="B2164" s="23"/>
      <c r="E2164" s="23"/>
      <c r="G2164" s="23"/>
      <c r="H2164" s="23"/>
      <c r="J2164" s="23"/>
      <c r="K2164" s="23"/>
      <c r="M2164" s="23"/>
      <c r="N2164" s="23"/>
      <c r="P2164" s="23"/>
    </row>
    <row r="2165" spans="2:16" x14ac:dyDescent="0.25">
      <c r="B2165" s="23"/>
      <c r="E2165" s="23"/>
      <c r="G2165" s="23"/>
      <c r="H2165" s="23"/>
      <c r="J2165" s="23"/>
      <c r="K2165" s="23"/>
      <c r="M2165" s="23"/>
      <c r="N2165" s="23"/>
      <c r="P2165" s="23"/>
    </row>
    <row r="2166" spans="2:16" x14ac:dyDescent="0.25">
      <c r="B2166" s="23"/>
      <c r="E2166" s="23"/>
      <c r="G2166" s="23"/>
      <c r="H2166" s="23"/>
      <c r="J2166" s="23"/>
      <c r="K2166" s="23"/>
      <c r="M2166" s="23"/>
      <c r="N2166" s="23"/>
      <c r="P2166" s="23"/>
    </row>
    <row r="2167" spans="2:16" x14ac:dyDescent="0.25">
      <c r="B2167" s="23"/>
      <c r="E2167" s="23"/>
      <c r="G2167" s="23"/>
      <c r="H2167" s="23"/>
      <c r="J2167" s="23"/>
      <c r="K2167" s="23"/>
      <c r="M2167" s="23"/>
      <c r="N2167" s="23"/>
      <c r="P2167" s="23"/>
    </row>
    <row r="2168" spans="2:16" x14ac:dyDescent="0.25">
      <c r="B2168" s="23"/>
      <c r="E2168" s="23"/>
      <c r="G2168" s="23"/>
      <c r="H2168" s="23"/>
      <c r="J2168" s="23"/>
      <c r="K2168" s="23"/>
      <c r="M2168" s="23"/>
      <c r="N2168" s="23"/>
      <c r="P2168" s="23"/>
    </row>
    <row r="2169" spans="2:16" x14ac:dyDescent="0.25">
      <c r="B2169" s="23"/>
      <c r="E2169" s="23"/>
      <c r="G2169" s="23"/>
      <c r="H2169" s="23"/>
      <c r="J2169" s="23"/>
      <c r="K2169" s="23"/>
      <c r="M2169" s="23"/>
      <c r="N2169" s="23"/>
      <c r="P2169" s="23"/>
    </row>
    <row r="2170" spans="2:16" x14ac:dyDescent="0.25">
      <c r="B2170" s="23"/>
      <c r="E2170" s="23"/>
      <c r="G2170" s="23"/>
      <c r="H2170" s="23"/>
      <c r="J2170" s="23"/>
      <c r="K2170" s="23"/>
      <c r="M2170" s="23"/>
      <c r="N2170" s="23"/>
      <c r="P2170" s="23"/>
    </row>
    <row r="2171" spans="2:16" x14ac:dyDescent="0.25">
      <c r="B2171" s="23"/>
      <c r="E2171" s="23"/>
      <c r="G2171" s="23"/>
      <c r="H2171" s="23"/>
      <c r="J2171" s="23"/>
      <c r="K2171" s="23"/>
      <c r="M2171" s="23"/>
      <c r="N2171" s="23"/>
      <c r="P2171" s="23"/>
    </row>
    <row r="2172" spans="2:16" x14ac:dyDescent="0.25">
      <c r="B2172" s="23"/>
      <c r="E2172" s="23"/>
      <c r="G2172" s="23"/>
      <c r="H2172" s="23"/>
      <c r="J2172" s="23"/>
      <c r="K2172" s="23"/>
      <c r="M2172" s="23"/>
      <c r="N2172" s="23"/>
      <c r="P2172" s="23"/>
    </row>
    <row r="2173" spans="2:16" x14ac:dyDescent="0.25">
      <c r="B2173" s="23"/>
      <c r="E2173" s="23"/>
      <c r="G2173" s="23"/>
      <c r="H2173" s="23"/>
      <c r="J2173" s="23"/>
      <c r="K2173" s="23"/>
      <c r="M2173" s="23"/>
      <c r="N2173" s="23"/>
      <c r="P2173" s="23"/>
    </row>
    <row r="2174" spans="2:16" x14ac:dyDescent="0.25">
      <c r="B2174" s="23"/>
      <c r="E2174" s="23"/>
      <c r="G2174" s="23"/>
      <c r="H2174" s="23"/>
      <c r="J2174" s="23"/>
      <c r="K2174" s="23"/>
      <c r="M2174" s="23"/>
      <c r="N2174" s="23"/>
      <c r="P2174" s="23"/>
    </row>
    <row r="2175" spans="2:16" x14ac:dyDescent="0.25">
      <c r="B2175" s="23"/>
      <c r="E2175" s="23"/>
      <c r="G2175" s="23"/>
      <c r="H2175" s="23"/>
      <c r="J2175" s="23"/>
      <c r="K2175" s="23"/>
      <c r="M2175" s="23"/>
      <c r="N2175" s="23"/>
      <c r="P2175" s="23"/>
    </row>
    <row r="2176" spans="2:16" x14ac:dyDescent="0.25">
      <c r="B2176" s="23"/>
      <c r="E2176" s="23"/>
      <c r="G2176" s="23"/>
      <c r="H2176" s="23"/>
      <c r="J2176" s="23"/>
      <c r="K2176" s="23"/>
      <c r="M2176" s="23"/>
      <c r="N2176" s="23"/>
      <c r="P2176" s="23"/>
    </row>
    <row r="2177" spans="2:16" x14ac:dyDescent="0.25">
      <c r="B2177" s="23"/>
      <c r="E2177" s="23"/>
      <c r="G2177" s="23"/>
      <c r="H2177" s="23"/>
      <c r="J2177" s="23"/>
      <c r="K2177" s="23"/>
      <c r="M2177" s="23"/>
      <c r="N2177" s="23"/>
      <c r="P2177" s="23"/>
    </row>
    <row r="2178" spans="2:16" x14ac:dyDescent="0.25">
      <c r="B2178" s="23"/>
      <c r="E2178" s="23"/>
      <c r="G2178" s="23"/>
      <c r="H2178" s="23"/>
      <c r="J2178" s="23"/>
      <c r="K2178" s="23"/>
      <c r="M2178" s="23"/>
      <c r="N2178" s="23"/>
      <c r="P2178" s="23"/>
    </row>
    <row r="2179" spans="2:16" x14ac:dyDescent="0.25">
      <c r="B2179" s="23"/>
      <c r="E2179" s="23"/>
      <c r="G2179" s="23"/>
      <c r="H2179" s="23"/>
      <c r="J2179" s="23"/>
      <c r="K2179" s="23"/>
      <c r="M2179" s="23"/>
      <c r="N2179" s="23"/>
      <c r="P2179" s="23"/>
    </row>
    <row r="2180" spans="2:16" x14ac:dyDescent="0.25">
      <c r="B2180" s="23"/>
      <c r="E2180" s="23"/>
      <c r="G2180" s="23"/>
      <c r="H2180" s="23"/>
      <c r="J2180" s="23"/>
      <c r="K2180" s="23"/>
      <c r="M2180" s="23"/>
      <c r="N2180" s="23"/>
      <c r="P2180" s="23"/>
    </row>
    <row r="2181" spans="2:16" x14ac:dyDescent="0.25">
      <c r="B2181" s="23"/>
      <c r="E2181" s="23"/>
      <c r="G2181" s="23"/>
      <c r="H2181" s="23"/>
      <c r="J2181" s="23"/>
      <c r="K2181" s="23"/>
      <c r="M2181" s="23"/>
      <c r="N2181" s="23"/>
      <c r="P2181" s="23"/>
    </row>
    <row r="2182" spans="2:16" x14ac:dyDescent="0.25">
      <c r="B2182" s="23"/>
      <c r="E2182" s="23"/>
      <c r="G2182" s="23"/>
      <c r="H2182" s="23"/>
      <c r="J2182" s="23"/>
      <c r="K2182" s="23"/>
      <c r="M2182" s="23"/>
      <c r="N2182" s="23"/>
      <c r="P2182" s="23"/>
    </row>
    <row r="2183" spans="2:16" x14ac:dyDescent="0.25">
      <c r="B2183" s="23"/>
      <c r="E2183" s="23"/>
      <c r="G2183" s="23"/>
      <c r="H2183" s="23"/>
      <c r="J2183" s="23"/>
      <c r="K2183" s="23"/>
      <c r="M2183" s="23"/>
      <c r="N2183" s="23"/>
      <c r="P2183" s="23"/>
    </row>
    <row r="2184" spans="2:16" x14ac:dyDescent="0.25">
      <c r="B2184" s="23"/>
      <c r="E2184" s="23"/>
      <c r="G2184" s="23"/>
      <c r="H2184" s="23"/>
      <c r="J2184" s="23"/>
      <c r="K2184" s="23"/>
      <c r="M2184" s="23"/>
      <c r="N2184" s="23"/>
      <c r="P2184" s="23"/>
    </row>
    <row r="2185" spans="2:16" x14ac:dyDescent="0.25">
      <c r="B2185" s="23"/>
      <c r="E2185" s="23"/>
      <c r="G2185" s="23"/>
      <c r="H2185" s="23"/>
      <c r="J2185" s="23"/>
      <c r="K2185" s="23"/>
      <c r="M2185" s="23"/>
      <c r="N2185" s="23"/>
      <c r="P2185" s="23"/>
    </row>
    <row r="2186" spans="2:16" x14ac:dyDescent="0.25">
      <c r="B2186" s="23"/>
      <c r="E2186" s="23"/>
      <c r="G2186" s="23"/>
      <c r="H2186" s="23"/>
      <c r="J2186" s="23"/>
      <c r="K2186" s="23"/>
      <c r="M2186" s="23"/>
      <c r="N2186" s="23"/>
      <c r="P2186" s="23"/>
    </row>
    <row r="2187" spans="2:16" x14ac:dyDescent="0.25">
      <c r="B2187" s="23"/>
      <c r="E2187" s="23"/>
      <c r="G2187" s="23"/>
      <c r="H2187" s="23"/>
      <c r="J2187" s="23"/>
      <c r="K2187" s="23"/>
      <c r="M2187" s="23"/>
      <c r="N2187" s="23"/>
      <c r="P2187" s="23"/>
    </row>
    <row r="2188" spans="2:16" x14ac:dyDescent="0.25">
      <c r="B2188" s="23"/>
      <c r="E2188" s="23"/>
      <c r="G2188" s="23"/>
      <c r="H2188" s="23"/>
      <c r="J2188" s="23"/>
      <c r="K2188" s="23"/>
      <c r="M2188" s="23"/>
      <c r="N2188" s="23"/>
      <c r="P2188" s="23"/>
    </row>
    <row r="2189" spans="2:16" x14ac:dyDescent="0.25">
      <c r="B2189" s="23"/>
      <c r="E2189" s="23"/>
      <c r="G2189" s="23"/>
      <c r="H2189" s="23"/>
      <c r="J2189" s="23"/>
      <c r="K2189" s="23"/>
      <c r="M2189" s="23"/>
      <c r="N2189" s="23"/>
      <c r="P2189" s="23"/>
    </row>
    <row r="2190" spans="2:16" x14ac:dyDescent="0.25">
      <c r="B2190" s="23"/>
      <c r="E2190" s="23"/>
      <c r="G2190" s="23"/>
      <c r="H2190" s="23"/>
      <c r="J2190" s="23"/>
      <c r="K2190" s="23"/>
      <c r="M2190" s="23"/>
      <c r="N2190" s="23"/>
      <c r="P2190" s="23"/>
    </row>
    <row r="2191" spans="2:16" x14ac:dyDescent="0.25">
      <c r="B2191" s="23"/>
      <c r="E2191" s="23"/>
      <c r="G2191" s="23"/>
      <c r="H2191" s="23"/>
      <c r="J2191" s="23"/>
      <c r="K2191" s="23"/>
      <c r="M2191" s="23"/>
      <c r="N2191" s="23"/>
      <c r="P2191" s="23"/>
    </row>
    <row r="2192" spans="2:16" x14ac:dyDescent="0.25">
      <c r="B2192" s="23"/>
      <c r="E2192" s="23"/>
      <c r="G2192" s="23"/>
      <c r="H2192" s="23"/>
      <c r="J2192" s="23"/>
      <c r="K2192" s="23"/>
      <c r="M2192" s="23"/>
      <c r="N2192" s="23"/>
      <c r="P2192" s="23"/>
    </row>
    <row r="2193" spans="2:16" x14ac:dyDescent="0.25">
      <c r="B2193" s="23"/>
      <c r="E2193" s="23"/>
      <c r="G2193" s="23"/>
      <c r="H2193" s="23"/>
      <c r="J2193" s="23"/>
      <c r="K2193" s="23"/>
      <c r="M2193" s="23"/>
      <c r="N2193" s="23"/>
      <c r="P2193" s="23"/>
    </row>
    <row r="2194" spans="2:16" x14ac:dyDescent="0.25">
      <c r="B2194" s="23"/>
      <c r="E2194" s="23"/>
      <c r="G2194" s="23"/>
      <c r="H2194" s="23"/>
      <c r="J2194" s="23"/>
      <c r="K2194" s="23"/>
      <c r="M2194" s="23"/>
      <c r="N2194" s="23"/>
      <c r="P2194" s="23"/>
    </row>
    <row r="2195" spans="2:16" x14ac:dyDescent="0.25">
      <c r="B2195" s="23"/>
      <c r="E2195" s="23"/>
      <c r="G2195" s="23"/>
      <c r="H2195" s="23"/>
      <c r="J2195" s="23"/>
      <c r="K2195" s="23"/>
      <c r="M2195" s="23"/>
      <c r="N2195" s="23"/>
      <c r="P2195" s="23"/>
    </row>
    <row r="2196" spans="2:16" x14ac:dyDescent="0.25">
      <c r="B2196" s="23"/>
      <c r="E2196" s="23"/>
      <c r="G2196" s="23"/>
      <c r="H2196" s="23"/>
      <c r="J2196" s="23"/>
      <c r="K2196" s="23"/>
      <c r="M2196" s="23"/>
      <c r="N2196" s="23"/>
      <c r="P2196" s="23"/>
    </row>
    <row r="2197" spans="2:16" x14ac:dyDescent="0.25">
      <c r="B2197" s="23"/>
      <c r="E2197" s="23"/>
      <c r="G2197" s="23"/>
      <c r="H2197" s="23"/>
      <c r="J2197" s="23"/>
      <c r="K2197" s="23"/>
      <c r="M2197" s="23"/>
      <c r="N2197" s="23"/>
      <c r="P2197" s="23"/>
    </row>
    <row r="2198" spans="2:16" x14ac:dyDescent="0.25">
      <c r="B2198" s="23"/>
      <c r="E2198" s="23"/>
      <c r="G2198" s="23"/>
      <c r="H2198" s="23"/>
      <c r="J2198" s="23"/>
      <c r="K2198" s="23"/>
      <c r="M2198" s="23"/>
      <c r="N2198" s="23"/>
      <c r="P2198" s="23"/>
    </row>
    <row r="2199" spans="2:16" x14ac:dyDescent="0.25">
      <c r="B2199" s="23"/>
      <c r="E2199" s="23"/>
      <c r="G2199" s="23"/>
      <c r="H2199" s="23"/>
      <c r="J2199" s="23"/>
      <c r="K2199" s="23"/>
      <c r="M2199" s="23"/>
      <c r="N2199" s="23"/>
      <c r="P2199" s="23"/>
    </row>
    <row r="2200" spans="2:16" x14ac:dyDescent="0.25">
      <c r="B2200" s="23"/>
      <c r="E2200" s="23"/>
      <c r="G2200" s="23"/>
      <c r="H2200" s="23"/>
      <c r="J2200" s="23"/>
      <c r="K2200" s="23"/>
      <c r="M2200" s="23"/>
      <c r="N2200" s="23"/>
      <c r="P2200" s="23"/>
    </row>
    <row r="2201" spans="2:16" x14ac:dyDescent="0.25">
      <c r="B2201" s="23"/>
      <c r="E2201" s="23"/>
      <c r="G2201" s="23"/>
      <c r="H2201" s="23"/>
      <c r="J2201" s="23"/>
      <c r="K2201" s="23"/>
      <c r="M2201" s="23"/>
      <c r="N2201" s="23"/>
      <c r="P2201" s="23"/>
    </row>
    <row r="2202" spans="2:16" x14ac:dyDescent="0.25">
      <c r="B2202" s="23"/>
      <c r="E2202" s="23"/>
      <c r="G2202" s="23"/>
      <c r="H2202" s="23"/>
      <c r="J2202" s="23"/>
      <c r="K2202" s="23"/>
      <c r="M2202" s="23"/>
      <c r="N2202" s="23"/>
      <c r="P2202" s="23"/>
    </row>
    <row r="2203" spans="2:16" x14ac:dyDescent="0.25">
      <c r="B2203" s="23"/>
      <c r="E2203" s="23"/>
      <c r="G2203" s="23"/>
      <c r="H2203" s="23"/>
      <c r="J2203" s="23"/>
      <c r="K2203" s="23"/>
      <c r="M2203" s="23"/>
      <c r="N2203" s="23"/>
      <c r="P2203" s="23"/>
    </row>
    <row r="2204" spans="2:16" x14ac:dyDescent="0.25">
      <c r="B2204" s="23"/>
      <c r="E2204" s="23"/>
      <c r="G2204" s="23"/>
      <c r="H2204" s="23"/>
      <c r="J2204" s="23"/>
      <c r="K2204" s="23"/>
      <c r="M2204" s="23"/>
      <c r="N2204" s="23"/>
      <c r="P2204" s="23"/>
    </row>
    <row r="2205" spans="2:16" x14ac:dyDescent="0.25">
      <c r="B2205" s="23"/>
      <c r="E2205" s="23"/>
      <c r="G2205" s="23"/>
      <c r="H2205" s="23"/>
      <c r="J2205" s="23"/>
      <c r="K2205" s="23"/>
      <c r="M2205" s="23"/>
      <c r="N2205" s="23"/>
      <c r="P2205" s="23"/>
    </row>
    <row r="2206" spans="2:16" x14ac:dyDescent="0.25">
      <c r="B2206" s="23"/>
      <c r="E2206" s="23"/>
      <c r="G2206" s="23"/>
      <c r="H2206" s="23"/>
      <c r="J2206" s="23"/>
      <c r="K2206" s="23"/>
      <c r="M2206" s="23"/>
      <c r="N2206" s="23"/>
      <c r="P2206" s="23"/>
    </row>
    <row r="2207" spans="2:16" x14ac:dyDescent="0.25">
      <c r="B2207" s="23"/>
      <c r="E2207" s="23"/>
      <c r="G2207" s="23"/>
      <c r="H2207" s="23"/>
      <c r="J2207" s="23"/>
      <c r="K2207" s="23"/>
      <c r="M2207" s="23"/>
      <c r="N2207" s="23"/>
      <c r="P2207" s="23"/>
    </row>
    <row r="2208" spans="2:16" x14ac:dyDescent="0.25">
      <c r="B2208" s="23"/>
      <c r="E2208" s="23"/>
      <c r="G2208" s="23"/>
      <c r="H2208" s="23"/>
      <c r="J2208" s="23"/>
      <c r="K2208" s="23"/>
      <c r="M2208" s="23"/>
      <c r="N2208" s="23"/>
      <c r="P2208" s="23"/>
    </row>
    <row r="2209" spans="2:16" x14ac:dyDescent="0.25">
      <c r="B2209" s="23"/>
      <c r="E2209" s="23"/>
      <c r="G2209" s="23"/>
      <c r="H2209" s="23"/>
      <c r="J2209" s="23"/>
      <c r="K2209" s="23"/>
      <c r="M2209" s="23"/>
      <c r="N2209" s="23"/>
      <c r="P2209" s="23"/>
    </row>
    <row r="2210" spans="2:16" x14ac:dyDescent="0.25">
      <c r="B2210" s="23"/>
      <c r="E2210" s="23"/>
      <c r="G2210" s="23"/>
      <c r="H2210" s="23"/>
      <c r="J2210" s="23"/>
      <c r="K2210" s="23"/>
      <c r="M2210" s="23"/>
      <c r="N2210" s="23"/>
      <c r="P2210" s="23"/>
    </row>
    <row r="2211" spans="2:16" x14ac:dyDescent="0.25">
      <c r="B2211" s="23"/>
      <c r="E2211" s="23"/>
      <c r="G2211" s="23"/>
      <c r="H2211" s="23"/>
      <c r="J2211" s="23"/>
      <c r="K2211" s="23"/>
      <c r="M2211" s="23"/>
      <c r="N2211" s="23"/>
      <c r="P2211" s="23"/>
    </row>
    <row r="2212" spans="2:16" x14ac:dyDescent="0.25">
      <c r="B2212" s="23"/>
      <c r="E2212" s="23"/>
      <c r="G2212" s="23"/>
      <c r="H2212" s="23"/>
      <c r="J2212" s="23"/>
      <c r="K2212" s="23"/>
      <c r="M2212" s="23"/>
      <c r="N2212" s="23"/>
      <c r="P2212" s="23"/>
    </row>
    <row r="2213" spans="2:16" x14ac:dyDescent="0.25">
      <c r="B2213" s="23"/>
      <c r="E2213" s="23"/>
      <c r="G2213" s="23"/>
      <c r="H2213" s="23"/>
      <c r="J2213" s="23"/>
      <c r="K2213" s="23"/>
      <c r="M2213" s="23"/>
      <c r="N2213" s="23"/>
      <c r="P2213" s="23"/>
    </row>
    <row r="2214" spans="2:16" x14ac:dyDescent="0.25">
      <c r="B2214" s="23"/>
      <c r="E2214" s="23"/>
      <c r="G2214" s="23"/>
      <c r="H2214" s="23"/>
      <c r="J2214" s="23"/>
      <c r="K2214" s="23"/>
      <c r="M2214" s="23"/>
      <c r="N2214" s="23"/>
      <c r="P2214" s="23"/>
    </row>
    <row r="2215" spans="2:16" x14ac:dyDescent="0.25">
      <c r="B2215" s="23"/>
      <c r="E2215" s="23"/>
      <c r="G2215" s="23"/>
      <c r="H2215" s="23"/>
      <c r="J2215" s="23"/>
      <c r="K2215" s="23"/>
      <c r="M2215" s="23"/>
      <c r="N2215" s="23"/>
      <c r="P2215" s="23"/>
    </row>
    <row r="2216" spans="2:16" x14ac:dyDescent="0.25">
      <c r="B2216" s="23"/>
      <c r="E2216" s="23"/>
      <c r="G2216" s="23"/>
      <c r="H2216" s="23"/>
      <c r="J2216" s="23"/>
      <c r="K2216" s="23"/>
      <c r="M2216" s="23"/>
      <c r="N2216" s="23"/>
      <c r="P2216" s="23"/>
    </row>
    <row r="2217" spans="2:16" x14ac:dyDescent="0.25">
      <c r="B2217" s="23"/>
      <c r="E2217" s="23"/>
      <c r="G2217" s="23"/>
      <c r="H2217" s="23"/>
      <c r="J2217" s="23"/>
      <c r="K2217" s="23"/>
      <c r="M2217" s="23"/>
      <c r="N2217" s="23"/>
      <c r="P2217" s="23"/>
    </row>
    <row r="2218" spans="2:16" x14ac:dyDescent="0.25">
      <c r="B2218" s="23"/>
      <c r="E2218" s="23"/>
      <c r="G2218" s="23"/>
      <c r="H2218" s="23"/>
      <c r="J2218" s="23"/>
      <c r="K2218" s="23"/>
      <c r="M2218" s="23"/>
      <c r="N2218" s="23"/>
      <c r="P2218" s="23"/>
    </row>
    <row r="2219" spans="2:16" x14ac:dyDescent="0.25">
      <c r="B2219" s="23"/>
      <c r="E2219" s="23"/>
      <c r="G2219" s="23"/>
      <c r="H2219" s="23"/>
      <c r="J2219" s="23"/>
      <c r="K2219" s="23"/>
      <c r="M2219" s="23"/>
      <c r="N2219" s="23"/>
      <c r="P2219" s="23"/>
    </row>
    <row r="2220" spans="2:16" x14ac:dyDescent="0.25">
      <c r="B2220" s="23"/>
      <c r="E2220" s="23"/>
      <c r="G2220" s="23"/>
      <c r="H2220" s="23"/>
      <c r="J2220" s="23"/>
      <c r="K2220" s="23"/>
      <c r="M2220" s="23"/>
      <c r="N2220" s="23"/>
      <c r="P2220" s="23"/>
    </row>
    <row r="2221" spans="2:16" x14ac:dyDescent="0.25">
      <c r="B2221" s="23"/>
      <c r="E2221" s="23"/>
      <c r="G2221" s="23"/>
      <c r="H2221" s="23"/>
      <c r="J2221" s="23"/>
      <c r="K2221" s="23"/>
      <c r="M2221" s="23"/>
      <c r="N2221" s="23"/>
      <c r="P2221" s="23"/>
    </row>
    <row r="2222" spans="2:16" x14ac:dyDescent="0.25">
      <c r="B2222" s="23"/>
      <c r="E2222" s="23"/>
      <c r="G2222" s="23"/>
      <c r="H2222" s="23"/>
      <c r="J2222" s="23"/>
      <c r="K2222" s="23"/>
      <c r="M2222" s="23"/>
      <c r="N2222" s="23"/>
      <c r="P2222" s="23"/>
    </row>
    <row r="2223" spans="2:16" x14ac:dyDescent="0.25">
      <c r="B2223" s="23"/>
      <c r="E2223" s="23"/>
      <c r="G2223" s="23"/>
      <c r="H2223" s="23"/>
      <c r="J2223" s="23"/>
      <c r="K2223" s="23"/>
      <c r="M2223" s="23"/>
      <c r="N2223" s="23"/>
      <c r="P2223" s="23"/>
    </row>
    <row r="2224" spans="2:16" x14ac:dyDescent="0.25">
      <c r="B2224" s="23"/>
      <c r="E2224" s="23"/>
      <c r="G2224" s="23"/>
      <c r="H2224" s="23"/>
      <c r="J2224" s="23"/>
      <c r="K2224" s="23"/>
      <c r="M2224" s="23"/>
      <c r="N2224" s="23"/>
      <c r="P2224" s="23"/>
    </row>
    <row r="2225" spans="2:16" x14ac:dyDescent="0.25">
      <c r="B2225" s="23"/>
      <c r="E2225" s="23"/>
      <c r="G2225" s="23"/>
      <c r="H2225" s="23"/>
      <c r="J2225" s="23"/>
      <c r="K2225" s="23"/>
      <c r="M2225" s="23"/>
      <c r="N2225" s="23"/>
      <c r="P2225" s="23"/>
    </row>
    <row r="2226" spans="2:16" x14ac:dyDescent="0.25">
      <c r="B2226" s="23"/>
      <c r="E2226" s="23"/>
      <c r="G2226" s="23"/>
      <c r="H2226" s="23"/>
      <c r="J2226" s="23"/>
      <c r="K2226" s="23"/>
      <c r="M2226" s="23"/>
      <c r="N2226" s="23"/>
      <c r="P2226" s="23"/>
    </row>
    <row r="2227" spans="2:16" x14ac:dyDescent="0.25">
      <c r="B2227" s="23"/>
      <c r="E2227" s="23"/>
      <c r="G2227" s="23"/>
      <c r="H2227" s="23"/>
      <c r="J2227" s="23"/>
      <c r="K2227" s="23"/>
      <c r="M2227" s="23"/>
      <c r="N2227" s="23"/>
      <c r="P2227" s="23"/>
    </row>
    <row r="2228" spans="2:16" x14ac:dyDescent="0.25">
      <c r="B2228" s="23"/>
      <c r="E2228" s="23"/>
      <c r="G2228" s="23"/>
      <c r="H2228" s="23"/>
      <c r="J2228" s="23"/>
      <c r="K2228" s="23"/>
      <c r="M2228" s="23"/>
      <c r="N2228" s="23"/>
      <c r="P2228" s="23"/>
    </row>
    <row r="2229" spans="2:16" x14ac:dyDescent="0.25">
      <c r="B2229" s="23"/>
      <c r="E2229" s="23"/>
      <c r="G2229" s="23"/>
      <c r="H2229" s="23"/>
      <c r="J2229" s="23"/>
      <c r="K2229" s="23"/>
      <c r="M2229" s="23"/>
      <c r="N2229" s="23"/>
      <c r="P2229" s="23"/>
    </row>
    <row r="2230" spans="2:16" x14ac:dyDescent="0.25">
      <c r="B2230" s="23"/>
      <c r="E2230" s="23"/>
      <c r="G2230" s="23"/>
      <c r="H2230" s="23"/>
      <c r="J2230" s="23"/>
      <c r="K2230" s="23"/>
      <c r="M2230" s="23"/>
      <c r="N2230" s="23"/>
      <c r="P2230" s="23"/>
    </row>
    <row r="2231" spans="2:16" x14ac:dyDescent="0.25">
      <c r="B2231" s="23"/>
      <c r="E2231" s="23"/>
      <c r="G2231" s="23"/>
      <c r="H2231" s="23"/>
      <c r="J2231" s="23"/>
      <c r="K2231" s="23"/>
      <c r="M2231" s="23"/>
      <c r="N2231" s="23"/>
      <c r="P2231" s="23"/>
    </row>
    <row r="2232" spans="2:16" x14ac:dyDescent="0.25">
      <c r="B2232" s="23"/>
      <c r="E2232" s="23"/>
      <c r="G2232" s="23"/>
      <c r="H2232" s="23"/>
      <c r="J2232" s="23"/>
      <c r="K2232" s="23"/>
      <c r="M2232" s="23"/>
      <c r="N2232" s="23"/>
      <c r="P2232" s="23"/>
    </row>
    <row r="2233" spans="2:16" x14ac:dyDescent="0.25">
      <c r="B2233" s="23"/>
      <c r="E2233" s="23"/>
      <c r="G2233" s="23"/>
      <c r="H2233" s="23"/>
      <c r="J2233" s="23"/>
      <c r="K2233" s="23"/>
      <c r="M2233" s="23"/>
      <c r="N2233" s="23"/>
      <c r="P2233" s="23"/>
    </row>
    <row r="2234" spans="2:16" x14ac:dyDescent="0.25">
      <c r="B2234" s="23"/>
      <c r="E2234" s="23"/>
      <c r="G2234" s="23"/>
      <c r="H2234" s="23"/>
      <c r="J2234" s="23"/>
      <c r="K2234" s="23"/>
      <c r="M2234" s="23"/>
      <c r="N2234" s="23"/>
      <c r="P2234" s="23"/>
    </row>
    <row r="2235" spans="2:16" x14ac:dyDescent="0.25">
      <c r="B2235" s="23"/>
      <c r="E2235" s="23"/>
      <c r="G2235" s="23"/>
      <c r="H2235" s="23"/>
      <c r="J2235" s="23"/>
      <c r="K2235" s="23"/>
      <c r="M2235" s="23"/>
      <c r="N2235" s="23"/>
      <c r="P2235" s="23"/>
    </row>
    <row r="2236" spans="2:16" x14ac:dyDescent="0.25">
      <c r="B2236" s="23"/>
      <c r="E2236" s="23"/>
      <c r="G2236" s="23"/>
      <c r="H2236" s="23"/>
      <c r="J2236" s="23"/>
      <c r="K2236" s="23"/>
      <c r="M2236" s="23"/>
      <c r="N2236" s="23"/>
      <c r="P2236" s="23"/>
    </row>
    <row r="2237" spans="2:16" x14ac:dyDescent="0.25">
      <c r="B2237" s="23"/>
      <c r="E2237" s="23"/>
      <c r="G2237" s="23"/>
      <c r="H2237" s="23"/>
      <c r="J2237" s="23"/>
      <c r="K2237" s="23"/>
      <c r="M2237" s="23"/>
      <c r="N2237" s="23"/>
      <c r="P2237" s="23"/>
    </row>
    <row r="2238" spans="2:16" x14ac:dyDescent="0.25">
      <c r="B2238" s="23"/>
      <c r="E2238" s="23"/>
      <c r="G2238" s="23"/>
      <c r="H2238" s="23"/>
      <c r="J2238" s="23"/>
      <c r="K2238" s="23"/>
      <c r="M2238" s="23"/>
      <c r="N2238" s="23"/>
      <c r="P2238" s="23"/>
    </row>
    <row r="2239" spans="2:16" x14ac:dyDescent="0.25">
      <c r="B2239" s="23"/>
      <c r="E2239" s="23"/>
      <c r="G2239" s="23"/>
      <c r="H2239" s="23"/>
      <c r="J2239" s="23"/>
      <c r="K2239" s="23"/>
      <c r="M2239" s="23"/>
      <c r="N2239" s="23"/>
      <c r="P2239" s="23"/>
    </row>
    <row r="2240" spans="2:16" x14ac:dyDescent="0.25">
      <c r="B2240" s="23"/>
      <c r="E2240" s="23"/>
      <c r="G2240" s="23"/>
      <c r="H2240" s="23"/>
      <c r="J2240" s="23"/>
      <c r="K2240" s="23"/>
      <c r="M2240" s="23"/>
      <c r="N2240" s="23"/>
      <c r="P2240" s="23"/>
    </row>
    <row r="2241" spans="2:16" x14ac:dyDescent="0.25">
      <c r="B2241" s="23"/>
      <c r="E2241" s="23"/>
      <c r="G2241" s="23"/>
      <c r="H2241" s="23"/>
      <c r="J2241" s="23"/>
      <c r="K2241" s="23"/>
      <c r="M2241" s="23"/>
      <c r="N2241" s="23"/>
      <c r="P2241" s="23"/>
    </row>
    <row r="2242" spans="2:16" x14ac:dyDescent="0.25">
      <c r="B2242" s="23"/>
      <c r="E2242" s="23"/>
      <c r="G2242" s="23"/>
      <c r="H2242" s="23"/>
      <c r="J2242" s="23"/>
      <c r="K2242" s="23"/>
      <c r="M2242" s="23"/>
      <c r="N2242" s="23"/>
      <c r="P2242" s="23"/>
    </row>
    <row r="2243" spans="2:16" x14ac:dyDescent="0.25">
      <c r="B2243" s="23"/>
      <c r="E2243" s="23"/>
      <c r="G2243" s="23"/>
      <c r="H2243" s="23"/>
      <c r="J2243" s="23"/>
      <c r="K2243" s="23"/>
      <c r="M2243" s="23"/>
      <c r="N2243" s="23"/>
      <c r="P2243" s="23"/>
    </row>
    <row r="2244" spans="2:16" x14ac:dyDescent="0.25">
      <c r="B2244" s="23"/>
      <c r="E2244" s="23"/>
      <c r="G2244" s="23"/>
      <c r="H2244" s="23"/>
      <c r="J2244" s="23"/>
      <c r="K2244" s="23"/>
      <c r="M2244" s="23"/>
      <c r="N2244" s="23"/>
      <c r="P2244" s="23"/>
    </row>
    <row r="2245" spans="2:16" x14ac:dyDescent="0.25">
      <c r="B2245" s="23"/>
      <c r="E2245" s="23"/>
      <c r="G2245" s="23"/>
      <c r="H2245" s="23"/>
      <c r="J2245" s="23"/>
      <c r="K2245" s="23"/>
      <c r="M2245" s="23"/>
      <c r="N2245" s="23"/>
      <c r="P2245" s="23"/>
    </row>
    <row r="2246" spans="2:16" x14ac:dyDescent="0.25">
      <c r="B2246" s="23"/>
      <c r="E2246" s="23"/>
      <c r="G2246" s="23"/>
      <c r="H2246" s="23"/>
      <c r="J2246" s="23"/>
      <c r="K2246" s="23"/>
      <c r="M2246" s="23"/>
      <c r="N2246" s="23"/>
      <c r="P2246" s="23"/>
    </row>
    <row r="2247" spans="2:16" x14ac:dyDescent="0.25">
      <c r="B2247" s="23"/>
      <c r="E2247" s="23"/>
      <c r="G2247" s="23"/>
      <c r="H2247" s="23"/>
      <c r="J2247" s="23"/>
      <c r="K2247" s="23"/>
      <c r="M2247" s="23"/>
      <c r="N2247" s="23"/>
      <c r="P2247" s="23"/>
    </row>
    <row r="2248" spans="2:16" x14ac:dyDescent="0.25">
      <c r="B2248" s="23"/>
      <c r="E2248" s="23"/>
      <c r="G2248" s="23"/>
      <c r="H2248" s="23"/>
      <c r="J2248" s="23"/>
      <c r="K2248" s="23"/>
      <c r="M2248" s="23"/>
      <c r="N2248" s="23"/>
      <c r="P2248" s="23"/>
    </row>
    <row r="2249" spans="2:16" x14ac:dyDescent="0.25">
      <c r="B2249" s="23"/>
      <c r="E2249" s="23"/>
      <c r="G2249" s="23"/>
      <c r="H2249" s="23"/>
      <c r="J2249" s="23"/>
      <c r="K2249" s="23"/>
      <c r="M2249" s="23"/>
      <c r="N2249" s="23"/>
      <c r="P2249" s="23"/>
    </row>
    <row r="2250" spans="2:16" x14ac:dyDescent="0.25">
      <c r="B2250" s="23"/>
      <c r="E2250" s="23"/>
      <c r="G2250" s="23"/>
      <c r="H2250" s="23"/>
      <c r="J2250" s="23"/>
      <c r="K2250" s="23"/>
      <c r="M2250" s="23"/>
      <c r="N2250" s="23"/>
      <c r="P2250" s="23"/>
    </row>
    <row r="2251" spans="2:16" x14ac:dyDescent="0.25">
      <c r="B2251" s="23"/>
      <c r="E2251" s="23"/>
      <c r="G2251" s="23"/>
      <c r="H2251" s="23"/>
      <c r="J2251" s="23"/>
      <c r="K2251" s="23"/>
      <c r="M2251" s="23"/>
      <c r="N2251" s="23"/>
      <c r="P2251" s="23"/>
    </row>
    <row r="2252" spans="2:16" x14ac:dyDescent="0.25">
      <c r="B2252" s="23"/>
      <c r="E2252" s="23"/>
      <c r="G2252" s="23"/>
      <c r="H2252" s="23"/>
      <c r="J2252" s="23"/>
      <c r="K2252" s="23"/>
      <c r="M2252" s="23"/>
      <c r="N2252" s="23"/>
      <c r="P2252" s="23"/>
    </row>
    <row r="2253" spans="2:16" x14ac:dyDescent="0.25">
      <c r="B2253" s="23"/>
      <c r="E2253" s="23"/>
      <c r="G2253" s="23"/>
      <c r="H2253" s="23"/>
      <c r="J2253" s="23"/>
      <c r="K2253" s="23"/>
      <c r="M2253" s="23"/>
      <c r="N2253" s="23"/>
      <c r="P2253" s="23"/>
    </row>
    <row r="2254" spans="2:16" x14ac:dyDescent="0.25">
      <c r="B2254" s="23"/>
      <c r="E2254" s="23"/>
      <c r="G2254" s="23"/>
      <c r="H2254" s="23"/>
      <c r="J2254" s="23"/>
      <c r="K2254" s="23"/>
      <c r="M2254" s="23"/>
      <c r="N2254" s="23"/>
      <c r="P2254" s="23"/>
    </row>
    <row r="2255" spans="2:16" x14ac:dyDescent="0.25">
      <c r="B2255" s="23"/>
      <c r="E2255" s="23"/>
      <c r="G2255" s="23"/>
      <c r="H2255" s="23"/>
      <c r="J2255" s="23"/>
      <c r="K2255" s="23"/>
      <c r="M2255" s="23"/>
      <c r="N2255" s="23"/>
      <c r="P2255" s="23"/>
    </row>
    <row r="2256" spans="2:16" x14ac:dyDescent="0.25">
      <c r="B2256" s="23"/>
      <c r="E2256" s="23"/>
      <c r="G2256" s="23"/>
      <c r="H2256" s="23"/>
      <c r="J2256" s="23"/>
      <c r="K2256" s="23"/>
      <c r="M2256" s="23"/>
      <c r="N2256" s="23"/>
      <c r="P2256" s="23"/>
    </row>
    <row r="2257" spans="2:16" x14ac:dyDescent="0.25">
      <c r="B2257" s="23"/>
      <c r="E2257" s="23"/>
      <c r="G2257" s="23"/>
      <c r="H2257" s="23"/>
      <c r="J2257" s="23"/>
      <c r="K2257" s="23"/>
      <c r="M2257" s="23"/>
      <c r="N2257" s="23"/>
      <c r="P2257" s="23"/>
    </row>
    <row r="2258" spans="2:16" x14ac:dyDescent="0.25">
      <c r="B2258" s="23"/>
      <c r="E2258" s="23"/>
      <c r="G2258" s="23"/>
      <c r="H2258" s="23"/>
      <c r="J2258" s="23"/>
      <c r="K2258" s="23"/>
      <c r="M2258" s="23"/>
      <c r="N2258" s="23"/>
      <c r="P2258" s="23"/>
    </row>
    <row r="2259" spans="2:16" x14ac:dyDescent="0.25">
      <c r="B2259" s="23"/>
      <c r="E2259" s="23"/>
      <c r="G2259" s="23"/>
      <c r="H2259" s="23"/>
      <c r="J2259" s="23"/>
      <c r="K2259" s="23"/>
      <c r="M2259" s="23"/>
      <c r="N2259" s="23"/>
      <c r="P2259" s="23"/>
    </row>
    <row r="2260" spans="2:16" x14ac:dyDescent="0.25">
      <c r="B2260" s="23"/>
      <c r="E2260" s="23"/>
      <c r="G2260" s="23"/>
      <c r="H2260" s="23"/>
      <c r="J2260" s="23"/>
      <c r="K2260" s="23"/>
      <c r="M2260" s="23"/>
      <c r="N2260" s="23"/>
      <c r="P2260" s="23"/>
    </row>
    <row r="2261" spans="2:16" x14ac:dyDescent="0.25">
      <c r="B2261" s="23"/>
      <c r="E2261" s="23"/>
      <c r="G2261" s="23"/>
      <c r="H2261" s="23"/>
      <c r="J2261" s="23"/>
      <c r="K2261" s="23"/>
      <c r="M2261" s="23"/>
      <c r="N2261" s="23"/>
      <c r="P2261" s="23"/>
    </row>
    <row r="2262" spans="2:16" x14ac:dyDescent="0.25">
      <c r="B2262" s="23"/>
      <c r="E2262" s="23"/>
      <c r="G2262" s="23"/>
      <c r="H2262" s="23"/>
      <c r="J2262" s="23"/>
      <c r="K2262" s="23"/>
      <c r="M2262" s="23"/>
      <c r="N2262" s="23"/>
      <c r="P2262" s="23"/>
    </row>
    <row r="2263" spans="2:16" x14ac:dyDescent="0.25">
      <c r="B2263" s="23"/>
      <c r="E2263" s="23"/>
      <c r="G2263" s="23"/>
      <c r="H2263" s="23"/>
      <c r="J2263" s="23"/>
      <c r="K2263" s="23"/>
      <c r="M2263" s="23"/>
      <c r="N2263" s="23"/>
      <c r="P2263" s="23"/>
    </row>
    <row r="2264" spans="2:16" x14ac:dyDescent="0.25">
      <c r="B2264" s="23"/>
      <c r="E2264" s="23"/>
      <c r="G2264" s="23"/>
      <c r="H2264" s="23"/>
      <c r="J2264" s="23"/>
      <c r="K2264" s="23"/>
      <c r="M2264" s="23"/>
      <c r="N2264" s="23"/>
      <c r="P2264" s="23"/>
    </row>
    <row r="2265" spans="2:16" x14ac:dyDescent="0.25">
      <c r="B2265" s="23"/>
      <c r="E2265" s="23"/>
      <c r="G2265" s="23"/>
      <c r="H2265" s="23"/>
      <c r="J2265" s="23"/>
      <c r="K2265" s="23"/>
      <c r="M2265" s="23"/>
      <c r="N2265" s="23"/>
      <c r="P2265" s="23"/>
    </row>
    <row r="2266" spans="2:16" x14ac:dyDescent="0.25">
      <c r="B2266" s="23"/>
      <c r="E2266" s="23"/>
      <c r="G2266" s="23"/>
      <c r="H2266" s="23"/>
      <c r="J2266" s="23"/>
      <c r="K2266" s="23"/>
      <c r="M2266" s="23"/>
      <c r="N2266" s="23"/>
      <c r="P2266" s="23"/>
    </row>
    <row r="2267" spans="2:16" x14ac:dyDescent="0.25">
      <c r="B2267" s="23"/>
      <c r="E2267" s="23"/>
      <c r="G2267" s="23"/>
      <c r="H2267" s="23"/>
      <c r="J2267" s="23"/>
      <c r="K2267" s="23"/>
      <c r="M2267" s="23"/>
      <c r="N2267" s="23"/>
      <c r="P2267" s="23"/>
    </row>
    <row r="2268" spans="2:16" x14ac:dyDescent="0.25">
      <c r="B2268" s="23"/>
      <c r="E2268" s="23"/>
      <c r="G2268" s="23"/>
      <c r="H2268" s="23"/>
      <c r="J2268" s="23"/>
      <c r="K2268" s="23"/>
      <c r="M2268" s="23"/>
      <c r="N2268" s="23"/>
      <c r="P2268" s="23"/>
    </row>
    <row r="2269" spans="2:16" x14ac:dyDescent="0.25">
      <c r="B2269" s="23"/>
      <c r="E2269" s="23"/>
      <c r="G2269" s="23"/>
      <c r="H2269" s="23"/>
      <c r="J2269" s="23"/>
      <c r="K2269" s="23"/>
      <c r="M2269" s="23"/>
      <c r="N2269" s="23"/>
      <c r="P2269" s="23"/>
    </row>
    <row r="2270" spans="2:16" x14ac:dyDescent="0.25">
      <c r="B2270" s="23"/>
      <c r="E2270" s="23"/>
      <c r="G2270" s="23"/>
      <c r="H2270" s="23"/>
      <c r="J2270" s="23"/>
      <c r="K2270" s="23"/>
      <c r="M2270" s="23"/>
      <c r="N2270" s="23"/>
      <c r="P2270" s="23"/>
    </row>
    <row r="2271" spans="2:16" x14ac:dyDescent="0.25">
      <c r="B2271" s="23"/>
      <c r="E2271" s="23"/>
      <c r="G2271" s="23"/>
      <c r="H2271" s="23"/>
      <c r="J2271" s="23"/>
      <c r="K2271" s="23"/>
      <c r="M2271" s="23"/>
      <c r="N2271" s="23"/>
      <c r="P2271" s="23"/>
    </row>
    <row r="2272" spans="2:16" x14ac:dyDescent="0.25">
      <c r="B2272" s="23"/>
      <c r="E2272" s="23"/>
      <c r="G2272" s="23"/>
      <c r="H2272" s="23"/>
      <c r="J2272" s="23"/>
      <c r="K2272" s="23"/>
      <c r="M2272" s="23"/>
      <c r="N2272" s="23"/>
      <c r="P2272" s="23"/>
    </row>
    <row r="2273" spans="2:16" x14ac:dyDescent="0.25">
      <c r="B2273" s="23"/>
      <c r="E2273" s="23"/>
      <c r="G2273" s="23"/>
      <c r="H2273" s="23"/>
      <c r="J2273" s="23"/>
      <c r="K2273" s="23"/>
      <c r="M2273" s="23"/>
      <c r="N2273" s="23"/>
      <c r="P2273" s="23"/>
    </row>
    <row r="2274" spans="2:16" x14ac:dyDescent="0.25">
      <c r="B2274" s="23"/>
      <c r="E2274" s="23"/>
      <c r="G2274" s="23"/>
      <c r="H2274" s="23"/>
      <c r="J2274" s="23"/>
      <c r="K2274" s="23"/>
      <c r="M2274" s="23"/>
      <c r="N2274" s="23"/>
      <c r="P2274" s="23"/>
    </row>
    <row r="2275" spans="2:16" x14ac:dyDescent="0.25">
      <c r="B2275" s="23"/>
      <c r="E2275" s="23"/>
      <c r="G2275" s="23"/>
      <c r="H2275" s="23"/>
      <c r="J2275" s="23"/>
      <c r="K2275" s="23"/>
      <c r="M2275" s="23"/>
      <c r="N2275" s="23"/>
      <c r="P2275" s="23"/>
    </row>
    <row r="2276" spans="2:16" x14ac:dyDescent="0.25">
      <c r="B2276" s="23"/>
      <c r="E2276" s="23"/>
      <c r="G2276" s="23"/>
      <c r="H2276" s="23"/>
      <c r="J2276" s="23"/>
      <c r="K2276" s="23"/>
      <c r="M2276" s="23"/>
      <c r="N2276" s="23"/>
      <c r="P2276" s="23"/>
    </row>
    <row r="2277" spans="2:16" x14ac:dyDescent="0.25">
      <c r="B2277" s="23"/>
      <c r="E2277" s="23"/>
      <c r="G2277" s="23"/>
      <c r="H2277" s="23"/>
      <c r="J2277" s="23"/>
      <c r="K2277" s="23"/>
      <c r="M2277" s="23"/>
      <c r="N2277" s="23"/>
      <c r="P2277" s="23"/>
    </row>
    <row r="2278" spans="2:16" x14ac:dyDescent="0.25">
      <c r="B2278" s="23"/>
      <c r="E2278" s="23"/>
      <c r="G2278" s="23"/>
      <c r="H2278" s="23"/>
      <c r="J2278" s="23"/>
      <c r="K2278" s="23"/>
      <c r="M2278" s="23"/>
      <c r="N2278" s="23"/>
      <c r="P2278" s="23"/>
    </row>
    <row r="2279" spans="2:16" x14ac:dyDescent="0.25">
      <c r="B2279" s="23"/>
      <c r="E2279" s="23"/>
      <c r="G2279" s="23"/>
      <c r="H2279" s="23"/>
      <c r="J2279" s="23"/>
      <c r="K2279" s="23"/>
      <c r="M2279" s="23"/>
      <c r="N2279" s="23"/>
      <c r="P2279" s="23"/>
    </row>
    <row r="2280" spans="2:16" x14ac:dyDescent="0.25">
      <c r="B2280" s="23"/>
      <c r="E2280" s="23"/>
      <c r="G2280" s="23"/>
      <c r="H2280" s="23"/>
      <c r="J2280" s="23"/>
      <c r="K2280" s="23"/>
      <c r="M2280" s="23"/>
      <c r="N2280" s="23"/>
      <c r="P2280" s="23"/>
    </row>
    <row r="2281" spans="2:16" x14ac:dyDescent="0.25">
      <c r="B2281" s="23"/>
      <c r="E2281" s="23"/>
      <c r="G2281" s="23"/>
      <c r="H2281" s="23"/>
      <c r="J2281" s="23"/>
      <c r="K2281" s="23"/>
      <c r="M2281" s="23"/>
      <c r="N2281" s="23"/>
      <c r="P2281" s="23"/>
    </row>
    <row r="2282" spans="2:16" x14ac:dyDescent="0.25">
      <c r="B2282" s="23"/>
      <c r="E2282" s="23"/>
      <c r="G2282" s="23"/>
      <c r="H2282" s="23"/>
      <c r="J2282" s="23"/>
      <c r="K2282" s="23"/>
      <c r="M2282" s="23"/>
      <c r="N2282" s="23"/>
      <c r="P2282" s="23"/>
    </row>
    <row r="2283" spans="2:16" x14ac:dyDescent="0.25">
      <c r="B2283" s="23"/>
      <c r="E2283" s="23"/>
      <c r="G2283" s="23"/>
      <c r="H2283" s="23"/>
      <c r="J2283" s="23"/>
      <c r="K2283" s="23"/>
      <c r="M2283" s="23"/>
      <c r="N2283" s="23"/>
      <c r="P2283" s="23"/>
    </row>
    <row r="2284" spans="2:16" x14ac:dyDescent="0.25">
      <c r="B2284" s="23"/>
      <c r="E2284" s="23"/>
      <c r="G2284" s="23"/>
      <c r="H2284" s="23"/>
      <c r="J2284" s="23"/>
      <c r="K2284" s="23"/>
      <c r="M2284" s="23"/>
      <c r="N2284" s="23"/>
      <c r="P2284" s="23"/>
    </row>
    <row r="2285" spans="2:16" x14ac:dyDescent="0.25">
      <c r="B2285" s="23"/>
      <c r="E2285" s="23"/>
      <c r="G2285" s="23"/>
      <c r="H2285" s="23"/>
      <c r="J2285" s="23"/>
      <c r="K2285" s="23"/>
      <c r="M2285" s="23"/>
      <c r="N2285" s="23"/>
      <c r="P2285" s="23"/>
    </row>
    <row r="2286" spans="2:16" x14ac:dyDescent="0.25">
      <c r="B2286" s="23"/>
      <c r="E2286" s="23"/>
      <c r="G2286" s="23"/>
      <c r="H2286" s="23"/>
      <c r="J2286" s="23"/>
      <c r="K2286" s="23"/>
      <c r="M2286" s="23"/>
      <c r="N2286" s="23"/>
      <c r="P2286" s="23"/>
    </row>
    <row r="2287" spans="2:16" x14ac:dyDescent="0.25">
      <c r="B2287" s="23"/>
      <c r="E2287" s="23"/>
      <c r="G2287" s="23"/>
      <c r="H2287" s="23"/>
      <c r="J2287" s="23"/>
      <c r="K2287" s="23"/>
      <c r="M2287" s="23"/>
      <c r="N2287" s="23"/>
      <c r="P2287" s="23"/>
    </row>
    <row r="2288" spans="2:16" x14ac:dyDescent="0.25">
      <c r="B2288" s="23"/>
      <c r="E2288" s="23"/>
      <c r="G2288" s="23"/>
      <c r="H2288" s="23"/>
      <c r="J2288" s="23"/>
      <c r="K2288" s="23"/>
      <c r="M2288" s="23"/>
      <c r="N2288" s="23"/>
      <c r="P2288" s="23"/>
    </row>
    <row r="2289" spans="2:16" x14ac:dyDescent="0.25">
      <c r="B2289" s="23"/>
      <c r="E2289" s="23"/>
      <c r="G2289" s="23"/>
      <c r="H2289" s="23"/>
      <c r="J2289" s="23"/>
      <c r="K2289" s="23"/>
      <c r="M2289" s="23"/>
      <c r="N2289" s="23"/>
      <c r="P2289" s="23"/>
    </row>
    <row r="2290" spans="2:16" x14ac:dyDescent="0.25">
      <c r="B2290" s="23"/>
      <c r="E2290" s="23"/>
      <c r="G2290" s="23"/>
      <c r="H2290" s="23"/>
      <c r="J2290" s="23"/>
      <c r="K2290" s="23"/>
      <c r="M2290" s="23"/>
      <c r="N2290" s="23"/>
      <c r="P2290" s="23"/>
    </row>
    <row r="2291" spans="2:16" x14ac:dyDescent="0.25">
      <c r="B2291" s="23"/>
      <c r="E2291" s="23"/>
      <c r="G2291" s="23"/>
      <c r="H2291" s="23"/>
      <c r="J2291" s="23"/>
      <c r="K2291" s="23"/>
      <c r="M2291" s="23"/>
      <c r="N2291" s="23"/>
      <c r="P2291" s="23"/>
    </row>
    <row r="2292" spans="2:16" x14ac:dyDescent="0.25">
      <c r="B2292" s="23"/>
      <c r="E2292" s="23"/>
      <c r="G2292" s="23"/>
      <c r="H2292" s="23"/>
      <c r="J2292" s="23"/>
      <c r="K2292" s="23"/>
      <c r="M2292" s="23"/>
      <c r="N2292" s="23"/>
      <c r="P2292" s="23"/>
    </row>
    <row r="2293" spans="2:16" x14ac:dyDescent="0.25">
      <c r="B2293" s="23"/>
      <c r="E2293" s="23"/>
      <c r="G2293" s="23"/>
      <c r="H2293" s="23"/>
      <c r="J2293" s="23"/>
      <c r="K2293" s="23"/>
      <c r="M2293" s="23"/>
      <c r="N2293" s="23"/>
      <c r="P2293" s="23"/>
    </row>
    <row r="2294" spans="2:16" x14ac:dyDescent="0.25">
      <c r="B2294" s="23"/>
      <c r="E2294" s="23"/>
      <c r="G2294" s="23"/>
      <c r="H2294" s="23"/>
      <c r="J2294" s="23"/>
      <c r="K2294" s="23"/>
      <c r="M2294" s="23"/>
      <c r="N2294" s="23"/>
      <c r="P2294" s="23"/>
    </row>
    <row r="2295" spans="2:16" x14ac:dyDescent="0.25">
      <c r="B2295" s="23"/>
      <c r="E2295" s="23"/>
      <c r="G2295" s="23"/>
      <c r="H2295" s="23"/>
      <c r="J2295" s="23"/>
      <c r="K2295" s="23"/>
      <c r="M2295" s="23"/>
      <c r="N2295" s="23"/>
      <c r="P2295" s="23"/>
    </row>
    <row r="2296" spans="2:16" x14ac:dyDescent="0.25">
      <c r="B2296" s="23"/>
      <c r="E2296" s="23"/>
      <c r="G2296" s="23"/>
      <c r="H2296" s="23"/>
      <c r="J2296" s="23"/>
      <c r="K2296" s="23"/>
      <c r="M2296" s="23"/>
      <c r="N2296" s="23"/>
      <c r="P2296" s="23"/>
    </row>
    <row r="2297" spans="2:16" x14ac:dyDescent="0.25">
      <c r="B2297" s="23"/>
      <c r="E2297" s="23"/>
      <c r="G2297" s="23"/>
      <c r="H2297" s="23"/>
      <c r="J2297" s="23"/>
      <c r="K2297" s="23"/>
      <c r="M2297" s="23"/>
      <c r="N2297" s="23"/>
      <c r="P2297" s="23"/>
    </row>
    <row r="2298" spans="2:16" x14ac:dyDescent="0.25">
      <c r="B2298" s="23"/>
      <c r="E2298" s="23"/>
      <c r="G2298" s="23"/>
      <c r="H2298" s="23"/>
      <c r="J2298" s="23"/>
      <c r="K2298" s="23"/>
      <c r="M2298" s="23"/>
      <c r="N2298" s="23"/>
      <c r="P2298" s="23"/>
    </row>
    <row r="2299" spans="2:16" x14ac:dyDescent="0.25">
      <c r="B2299" s="23"/>
      <c r="E2299" s="23"/>
      <c r="G2299" s="23"/>
      <c r="H2299" s="23"/>
      <c r="J2299" s="23"/>
      <c r="K2299" s="23"/>
      <c r="M2299" s="23"/>
      <c r="N2299" s="23"/>
      <c r="P2299" s="23"/>
    </row>
    <row r="2300" spans="2:16" x14ac:dyDescent="0.25">
      <c r="B2300" s="23"/>
      <c r="E2300" s="23"/>
      <c r="G2300" s="23"/>
      <c r="H2300" s="23"/>
      <c r="J2300" s="23"/>
      <c r="K2300" s="23"/>
      <c r="M2300" s="23"/>
      <c r="N2300" s="23"/>
      <c r="P2300" s="23"/>
    </row>
    <row r="2301" spans="2:16" x14ac:dyDescent="0.25">
      <c r="B2301" s="23"/>
      <c r="E2301" s="23"/>
      <c r="G2301" s="23"/>
      <c r="H2301" s="23"/>
      <c r="J2301" s="23"/>
      <c r="K2301" s="23"/>
      <c r="M2301" s="23"/>
      <c r="N2301" s="23"/>
      <c r="P2301" s="23"/>
    </row>
    <row r="2302" spans="2:16" x14ac:dyDescent="0.25">
      <c r="B2302" s="23"/>
      <c r="E2302" s="23"/>
      <c r="G2302" s="23"/>
      <c r="H2302" s="23"/>
      <c r="J2302" s="23"/>
      <c r="K2302" s="23"/>
      <c r="M2302" s="23"/>
      <c r="N2302" s="23"/>
      <c r="P2302" s="23"/>
    </row>
    <row r="2303" spans="2:16" x14ac:dyDescent="0.25">
      <c r="B2303" s="23"/>
      <c r="E2303" s="23"/>
      <c r="G2303" s="23"/>
      <c r="H2303" s="23"/>
      <c r="J2303" s="23"/>
      <c r="K2303" s="23"/>
      <c r="M2303" s="23"/>
      <c r="N2303" s="23"/>
      <c r="P2303" s="23"/>
    </row>
    <row r="2304" spans="2:16" x14ac:dyDescent="0.25">
      <c r="B2304" s="23"/>
      <c r="E2304" s="23"/>
      <c r="G2304" s="23"/>
      <c r="H2304" s="23"/>
      <c r="J2304" s="23"/>
      <c r="K2304" s="23"/>
      <c r="M2304" s="23"/>
      <c r="N2304" s="23"/>
      <c r="P2304" s="23"/>
    </row>
    <row r="2305" spans="2:16" x14ac:dyDescent="0.25">
      <c r="B2305" s="23"/>
      <c r="E2305" s="23"/>
      <c r="G2305" s="23"/>
      <c r="H2305" s="23"/>
      <c r="J2305" s="23"/>
      <c r="K2305" s="23"/>
      <c r="M2305" s="23"/>
      <c r="N2305" s="23"/>
      <c r="P2305" s="23"/>
    </row>
    <row r="2306" spans="2:16" x14ac:dyDescent="0.25">
      <c r="B2306" s="23"/>
      <c r="E2306" s="23"/>
      <c r="G2306" s="23"/>
      <c r="H2306" s="23"/>
      <c r="J2306" s="23"/>
      <c r="K2306" s="23"/>
      <c r="M2306" s="23"/>
      <c r="N2306" s="23"/>
      <c r="P2306" s="23"/>
    </row>
    <row r="2307" spans="2:16" x14ac:dyDescent="0.25">
      <c r="B2307" s="23"/>
      <c r="E2307" s="23"/>
      <c r="G2307" s="23"/>
      <c r="H2307" s="23"/>
      <c r="J2307" s="23"/>
      <c r="K2307" s="23"/>
      <c r="M2307" s="23"/>
      <c r="N2307" s="23"/>
      <c r="P2307" s="23"/>
    </row>
    <row r="2308" spans="2:16" x14ac:dyDescent="0.25">
      <c r="B2308" s="23"/>
      <c r="E2308" s="23"/>
      <c r="G2308" s="23"/>
      <c r="H2308" s="23"/>
      <c r="J2308" s="23"/>
      <c r="K2308" s="23"/>
      <c r="M2308" s="23"/>
      <c r="N2308" s="23"/>
      <c r="P2308" s="23"/>
    </row>
    <row r="2309" spans="2:16" x14ac:dyDescent="0.25">
      <c r="B2309" s="23"/>
      <c r="E2309" s="23"/>
      <c r="G2309" s="23"/>
      <c r="H2309" s="23"/>
      <c r="J2309" s="23"/>
      <c r="K2309" s="23"/>
      <c r="M2309" s="23"/>
      <c r="N2309" s="23"/>
      <c r="P2309" s="23"/>
    </row>
    <row r="2310" spans="2:16" x14ac:dyDescent="0.25">
      <c r="B2310" s="23"/>
      <c r="E2310" s="23"/>
      <c r="G2310" s="23"/>
      <c r="H2310" s="23"/>
      <c r="J2310" s="23"/>
      <c r="K2310" s="23"/>
      <c r="M2310" s="23"/>
      <c r="N2310" s="23"/>
      <c r="P2310" s="23"/>
    </row>
    <row r="2311" spans="2:16" x14ac:dyDescent="0.25">
      <c r="B2311" s="23"/>
      <c r="E2311" s="23"/>
      <c r="G2311" s="23"/>
      <c r="H2311" s="23"/>
      <c r="J2311" s="23"/>
      <c r="K2311" s="23"/>
      <c r="M2311" s="23"/>
      <c r="N2311" s="23"/>
      <c r="P2311" s="23"/>
    </row>
    <row r="2312" spans="2:16" x14ac:dyDescent="0.25">
      <c r="B2312" s="23"/>
      <c r="E2312" s="23"/>
      <c r="G2312" s="23"/>
      <c r="H2312" s="23"/>
      <c r="J2312" s="23"/>
      <c r="K2312" s="23"/>
      <c r="M2312" s="23"/>
      <c r="N2312" s="23"/>
      <c r="P2312" s="23"/>
    </row>
    <row r="2313" spans="2:16" x14ac:dyDescent="0.25">
      <c r="B2313" s="23"/>
      <c r="E2313" s="23"/>
      <c r="G2313" s="23"/>
      <c r="H2313" s="23"/>
      <c r="J2313" s="23"/>
      <c r="K2313" s="23"/>
      <c r="M2313" s="23"/>
      <c r="N2313" s="23"/>
      <c r="P2313" s="23"/>
    </row>
    <row r="2314" spans="2:16" x14ac:dyDescent="0.25">
      <c r="B2314" s="23"/>
      <c r="E2314" s="23"/>
      <c r="G2314" s="23"/>
      <c r="H2314" s="23"/>
      <c r="J2314" s="23"/>
      <c r="K2314" s="23"/>
      <c r="M2314" s="23"/>
      <c r="N2314" s="23"/>
      <c r="P2314" s="23"/>
    </row>
    <row r="2315" spans="2:16" x14ac:dyDescent="0.25">
      <c r="B2315" s="23"/>
      <c r="E2315" s="23"/>
      <c r="G2315" s="23"/>
      <c r="H2315" s="23"/>
      <c r="J2315" s="23"/>
      <c r="K2315" s="23"/>
      <c r="M2315" s="23"/>
      <c r="N2315" s="23"/>
      <c r="P2315" s="23"/>
    </row>
    <row r="2316" spans="2:16" x14ac:dyDescent="0.25">
      <c r="B2316" s="23"/>
      <c r="E2316" s="23"/>
      <c r="G2316" s="23"/>
      <c r="H2316" s="23"/>
      <c r="J2316" s="23"/>
      <c r="K2316" s="23"/>
      <c r="M2316" s="23"/>
      <c r="N2316" s="23"/>
      <c r="P2316" s="23"/>
    </row>
    <row r="2317" spans="2:16" x14ac:dyDescent="0.25">
      <c r="B2317" s="23"/>
      <c r="E2317" s="23"/>
      <c r="G2317" s="23"/>
      <c r="H2317" s="23"/>
      <c r="J2317" s="23"/>
      <c r="K2317" s="23"/>
      <c r="M2317" s="23"/>
      <c r="N2317" s="23"/>
      <c r="P2317" s="23"/>
    </row>
    <row r="2318" spans="2:16" x14ac:dyDescent="0.25">
      <c r="B2318" s="23"/>
      <c r="E2318" s="23"/>
      <c r="G2318" s="23"/>
      <c r="H2318" s="23"/>
      <c r="J2318" s="23"/>
      <c r="K2318" s="23"/>
      <c r="M2318" s="23"/>
      <c r="N2318" s="23"/>
      <c r="P2318" s="23"/>
    </row>
    <row r="2319" spans="2:16" x14ac:dyDescent="0.25">
      <c r="B2319" s="23"/>
      <c r="E2319" s="23"/>
      <c r="G2319" s="23"/>
      <c r="H2319" s="23"/>
      <c r="J2319" s="23"/>
      <c r="K2319" s="23"/>
      <c r="M2319" s="23"/>
      <c r="N2319" s="23"/>
      <c r="P2319" s="23"/>
    </row>
    <row r="2320" spans="2:16" x14ac:dyDescent="0.25">
      <c r="B2320" s="23"/>
      <c r="E2320" s="23"/>
      <c r="G2320" s="23"/>
      <c r="H2320" s="23"/>
      <c r="J2320" s="23"/>
      <c r="K2320" s="23"/>
      <c r="M2320" s="23"/>
      <c r="N2320" s="23"/>
      <c r="P2320" s="23"/>
    </row>
    <row r="2321" spans="2:16" x14ac:dyDescent="0.25">
      <c r="B2321" s="23"/>
      <c r="E2321" s="23"/>
      <c r="G2321" s="23"/>
      <c r="H2321" s="23"/>
      <c r="J2321" s="23"/>
      <c r="K2321" s="23"/>
      <c r="M2321" s="23"/>
      <c r="N2321" s="23"/>
      <c r="P2321" s="23"/>
    </row>
    <row r="2322" spans="2:16" x14ac:dyDescent="0.25">
      <c r="B2322" s="23"/>
      <c r="E2322" s="23"/>
      <c r="G2322" s="23"/>
      <c r="H2322" s="23"/>
      <c r="J2322" s="23"/>
      <c r="K2322" s="23"/>
      <c r="M2322" s="23"/>
      <c r="N2322" s="23"/>
      <c r="P2322" s="23"/>
    </row>
    <row r="2323" spans="2:16" x14ac:dyDescent="0.25">
      <c r="B2323" s="23"/>
      <c r="E2323" s="23"/>
      <c r="G2323" s="23"/>
      <c r="H2323" s="23"/>
      <c r="J2323" s="23"/>
      <c r="K2323" s="23"/>
      <c r="M2323" s="23"/>
      <c r="N2323" s="23"/>
      <c r="P2323" s="23"/>
    </row>
    <row r="2324" spans="2:16" x14ac:dyDescent="0.25">
      <c r="B2324" s="23"/>
      <c r="E2324" s="23"/>
      <c r="G2324" s="23"/>
      <c r="H2324" s="23"/>
      <c r="J2324" s="23"/>
      <c r="K2324" s="23"/>
      <c r="M2324" s="23"/>
      <c r="N2324" s="23"/>
      <c r="P2324" s="23"/>
    </row>
    <row r="2325" spans="2:16" x14ac:dyDescent="0.25">
      <c r="B2325" s="23"/>
      <c r="E2325" s="23"/>
      <c r="G2325" s="23"/>
      <c r="H2325" s="23"/>
      <c r="J2325" s="23"/>
      <c r="K2325" s="23"/>
      <c r="M2325" s="23"/>
      <c r="N2325" s="23"/>
      <c r="P2325" s="23"/>
    </row>
    <row r="2326" spans="2:16" x14ac:dyDescent="0.25">
      <c r="B2326" s="23"/>
      <c r="E2326" s="23"/>
      <c r="G2326" s="23"/>
      <c r="H2326" s="23"/>
      <c r="J2326" s="23"/>
      <c r="K2326" s="23"/>
      <c r="M2326" s="23"/>
      <c r="N2326" s="23"/>
      <c r="P2326" s="23"/>
    </row>
    <row r="2327" spans="2:16" x14ac:dyDescent="0.25">
      <c r="B2327" s="23"/>
      <c r="E2327" s="23"/>
      <c r="G2327" s="23"/>
      <c r="H2327" s="23"/>
      <c r="J2327" s="23"/>
      <c r="K2327" s="23"/>
      <c r="M2327" s="23"/>
      <c r="N2327" s="23"/>
      <c r="P2327" s="23"/>
    </row>
    <row r="2328" spans="2:16" x14ac:dyDescent="0.25">
      <c r="B2328" s="23"/>
      <c r="E2328" s="23"/>
      <c r="G2328" s="23"/>
      <c r="H2328" s="23"/>
      <c r="J2328" s="23"/>
      <c r="K2328" s="23"/>
      <c r="M2328" s="23"/>
      <c r="N2328" s="23"/>
      <c r="P2328" s="23"/>
    </row>
    <row r="2329" spans="2:16" x14ac:dyDescent="0.25">
      <c r="B2329" s="23"/>
      <c r="E2329" s="23"/>
      <c r="G2329" s="23"/>
      <c r="H2329" s="23"/>
      <c r="J2329" s="23"/>
      <c r="K2329" s="23"/>
      <c r="M2329" s="23"/>
      <c r="N2329" s="23"/>
      <c r="P2329" s="23"/>
    </row>
    <row r="2330" spans="2:16" x14ac:dyDescent="0.25">
      <c r="B2330" s="23"/>
      <c r="E2330" s="23"/>
      <c r="G2330" s="23"/>
      <c r="H2330" s="23"/>
      <c r="J2330" s="23"/>
      <c r="K2330" s="23"/>
      <c r="M2330" s="23"/>
      <c r="N2330" s="23"/>
      <c r="P2330" s="23"/>
    </row>
    <row r="2331" spans="2:16" x14ac:dyDescent="0.25">
      <c r="B2331" s="23"/>
      <c r="E2331" s="23"/>
      <c r="G2331" s="23"/>
      <c r="H2331" s="23"/>
      <c r="J2331" s="23"/>
      <c r="K2331" s="23"/>
      <c r="M2331" s="23"/>
      <c r="N2331" s="23"/>
      <c r="P2331" s="23"/>
    </row>
    <row r="2332" spans="2:16" x14ac:dyDescent="0.25">
      <c r="B2332" s="23"/>
      <c r="E2332" s="23"/>
      <c r="G2332" s="23"/>
      <c r="H2332" s="23"/>
      <c r="J2332" s="23"/>
      <c r="K2332" s="23"/>
      <c r="M2332" s="23"/>
      <c r="N2332" s="23"/>
      <c r="P2332" s="23"/>
    </row>
    <row r="2333" spans="2:16" x14ac:dyDescent="0.25">
      <c r="B2333" s="23"/>
      <c r="E2333" s="23"/>
      <c r="G2333" s="23"/>
      <c r="H2333" s="23"/>
      <c r="J2333" s="23"/>
      <c r="K2333" s="23"/>
      <c r="M2333" s="23"/>
      <c r="N2333" s="23"/>
      <c r="P2333" s="23"/>
    </row>
    <row r="2334" spans="2:16" x14ac:dyDescent="0.25">
      <c r="B2334" s="23"/>
      <c r="E2334" s="23"/>
      <c r="G2334" s="23"/>
      <c r="H2334" s="23"/>
      <c r="J2334" s="23"/>
      <c r="K2334" s="23"/>
      <c r="M2334" s="23"/>
      <c r="N2334" s="23"/>
      <c r="P2334" s="23"/>
    </row>
    <row r="2335" spans="2:16" x14ac:dyDescent="0.25">
      <c r="B2335" s="23"/>
      <c r="E2335" s="23"/>
      <c r="G2335" s="23"/>
      <c r="H2335" s="23"/>
      <c r="J2335" s="23"/>
      <c r="K2335" s="23"/>
      <c r="M2335" s="23"/>
      <c r="N2335" s="23"/>
      <c r="P2335" s="23"/>
    </row>
    <row r="2336" spans="2:16" x14ac:dyDescent="0.25">
      <c r="B2336" s="23"/>
      <c r="E2336" s="23"/>
      <c r="G2336" s="23"/>
      <c r="H2336" s="23"/>
      <c r="J2336" s="23"/>
      <c r="K2336" s="23"/>
      <c r="M2336" s="23"/>
      <c r="N2336" s="23"/>
      <c r="P2336" s="23"/>
    </row>
    <row r="2337" spans="2:16" x14ac:dyDescent="0.25">
      <c r="B2337" s="23"/>
      <c r="E2337" s="23"/>
      <c r="G2337" s="23"/>
      <c r="H2337" s="23"/>
      <c r="J2337" s="23"/>
      <c r="K2337" s="23"/>
      <c r="M2337" s="23"/>
      <c r="N2337" s="23"/>
      <c r="P2337" s="23"/>
    </row>
    <row r="2338" spans="2:16" x14ac:dyDescent="0.25">
      <c r="B2338" s="23"/>
      <c r="E2338" s="23"/>
      <c r="G2338" s="23"/>
      <c r="H2338" s="23"/>
      <c r="J2338" s="23"/>
      <c r="K2338" s="23"/>
      <c r="M2338" s="23"/>
      <c r="N2338" s="23"/>
      <c r="P2338" s="23"/>
    </row>
    <row r="2339" spans="2:16" x14ac:dyDescent="0.25">
      <c r="B2339" s="23"/>
      <c r="E2339" s="23"/>
      <c r="G2339" s="23"/>
      <c r="H2339" s="23"/>
      <c r="J2339" s="23"/>
      <c r="K2339" s="23"/>
      <c r="M2339" s="23"/>
      <c r="N2339" s="23"/>
      <c r="P2339" s="23"/>
    </row>
    <row r="2340" spans="2:16" x14ac:dyDescent="0.25">
      <c r="B2340" s="23"/>
      <c r="E2340" s="23"/>
      <c r="G2340" s="23"/>
      <c r="H2340" s="23"/>
      <c r="J2340" s="23"/>
      <c r="K2340" s="23"/>
      <c r="M2340" s="23"/>
      <c r="N2340" s="23"/>
      <c r="P2340" s="23"/>
    </row>
    <row r="2341" spans="2:16" x14ac:dyDescent="0.25">
      <c r="B2341" s="23"/>
      <c r="E2341" s="23"/>
      <c r="G2341" s="23"/>
      <c r="H2341" s="23"/>
      <c r="J2341" s="23"/>
      <c r="K2341" s="23"/>
      <c r="M2341" s="23"/>
      <c r="N2341" s="23"/>
      <c r="P2341" s="23"/>
    </row>
    <row r="2342" spans="2:16" x14ac:dyDescent="0.25">
      <c r="B2342" s="23"/>
      <c r="E2342" s="23"/>
      <c r="G2342" s="23"/>
      <c r="H2342" s="23"/>
      <c r="J2342" s="23"/>
      <c r="K2342" s="23"/>
      <c r="M2342" s="23"/>
      <c r="N2342" s="23"/>
      <c r="P2342" s="23"/>
    </row>
    <row r="2343" spans="2:16" x14ac:dyDescent="0.25">
      <c r="B2343" s="23"/>
      <c r="E2343" s="23"/>
      <c r="G2343" s="23"/>
      <c r="H2343" s="23"/>
      <c r="J2343" s="23"/>
      <c r="K2343" s="23"/>
      <c r="M2343" s="23"/>
      <c r="N2343" s="23"/>
      <c r="P2343" s="23"/>
    </row>
    <row r="2344" spans="2:16" x14ac:dyDescent="0.25">
      <c r="B2344" s="23"/>
      <c r="E2344" s="23"/>
      <c r="G2344" s="23"/>
      <c r="H2344" s="23"/>
      <c r="J2344" s="23"/>
      <c r="K2344" s="23"/>
      <c r="M2344" s="23"/>
      <c r="N2344" s="23"/>
      <c r="P2344" s="23"/>
    </row>
    <row r="2345" spans="2:16" x14ac:dyDescent="0.25">
      <c r="B2345" s="23"/>
      <c r="E2345" s="23"/>
      <c r="G2345" s="23"/>
      <c r="H2345" s="23"/>
      <c r="J2345" s="23"/>
      <c r="K2345" s="23"/>
      <c r="M2345" s="23"/>
      <c r="N2345" s="23"/>
      <c r="P2345" s="23"/>
    </row>
    <row r="2346" spans="2:16" x14ac:dyDescent="0.25">
      <c r="B2346" s="23"/>
      <c r="E2346" s="23"/>
      <c r="G2346" s="23"/>
      <c r="H2346" s="23"/>
      <c r="J2346" s="23"/>
      <c r="K2346" s="23"/>
      <c r="M2346" s="23"/>
      <c r="N2346" s="23"/>
      <c r="P2346" s="23"/>
    </row>
    <row r="2347" spans="2:16" x14ac:dyDescent="0.25">
      <c r="B2347" s="23"/>
      <c r="E2347" s="23"/>
      <c r="G2347" s="23"/>
      <c r="H2347" s="23"/>
      <c r="J2347" s="23"/>
      <c r="K2347" s="23"/>
      <c r="M2347" s="23"/>
      <c r="N2347" s="23"/>
      <c r="P2347" s="23"/>
    </row>
    <row r="2348" spans="2:16" x14ac:dyDescent="0.25">
      <c r="B2348" s="23"/>
      <c r="E2348" s="23"/>
      <c r="G2348" s="23"/>
      <c r="H2348" s="23"/>
      <c r="J2348" s="23"/>
      <c r="K2348" s="23"/>
      <c r="M2348" s="23"/>
      <c r="N2348" s="23"/>
      <c r="P2348" s="23"/>
    </row>
    <row r="2349" spans="2:16" x14ac:dyDescent="0.25">
      <c r="B2349" s="23"/>
      <c r="E2349" s="23"/>
      <c r="G2349" s="23"/>
      <c r="H2349" s="23"/>
      <c r="J2349" s="23"/>
      <c r="K2349" s="23"/>
      <c r="M2349" s="23"/>
      <c r="N2349" s="23"/>
      <c r="P2349" s="23"/>
    </row>
    <row r="2350" spans="2:16" x14ac:dyDescent="0.25">
      <c r="B2350" s="23"/>
      <c r="E2350" s="23"/>
      <c r="G2350" s="23"/>
      <c r="H2350" s="23"/>
      <c r="J2350" s="23"/>
      <c r="K2350" s="23"/>
      <c r="M2350" s="23"/>
      <c r="N2350" s="23"/>
      <c r="P2350" s="23"/>
    </row>
    <row r="2351" spans="2:16" x14ac:dyDescent="0.25">
      <c r="B2351" s="23"/>
      <c r="E2351" s="23"/>
      <c r="G2351" s="23"/>
      <c r="H2351" s="23"/>
      <c r="J2351" s="23"/>
      <c r="K2351" s="23"/>
      <c r="M2351" s="23"/>
      <c r="N2351" s="23"/>
      <c r="P2351" s="23"/>
    </row>
    <row r="2352" spans="2:16" x14ac:dyDescent="0.25">
      <c r="B2352" s="23"/>
      <c r="E2352" s="23"/>
      <c r="G2352" s="23"/>
      <c r="H2352" s="23"/>
      <c r="J2352" s="23"/>
      <c r="K2352" s="23"/>
      <c r="M2352" s="23"/>
      <c r="N2352" s="23"/>
      <c r="P2352" s="23"/>
    </row>
    <row r="2353" spans="2:16" x14ac:dyDescent="0.25">
      <c r="B2353" s="23"/>
      <c r="E2353" s="23"/>
      <c r="G2353" s="23"/>
      <c r="H2353" s="23"/>
      <c r="J2353" s="23"/>
      <c r="K2353" s="23"/>
      <c r="M2353" s="23"/>
      <c r="N2353" s="23"/>
      <c r="P2353" s="23"/>
    </row>
    <row r="2354" spans="2:16" x14ac:dyDescent="0.25">
      <c r="B2354" s="23"/>
      <c r="E2354" s="23"/>
      <c r="G2354" s="23"/>
      <c r="H2354" s="23"/>
      <c r="J2354" s="23"/>
      <c r="K2354" s="23"/>
      <c r="M2354" s="23"/>
      <c r="N2354" s="23"/>
      <c r="P2354" s="23"/>
    </row>
    <row r="2355" spans="2:16" x14ac:dyDescent="0.25">
      <c r="B2355" s="23"/>
      <c r="E2355" s="23"/>
      <c r="G2355" s="23"/>
      <c r="H2355" s="23"/>
      <c r="J2355" s="23"/>
      <c r="K2355" s="23"/>
      <c r="M2355" s="23"/>
      <c r="N2355" s="23"/>
      <c r="P2355" s="23"/>
    </row>
    <row r="2356" spans="2:16" x14ac:dyDescent="0.25">
      <c r="B2356" s="23"/>
      <c r="E2356" s="23"/>
      <c r="G2356" s="23"/>
      <c r="H2356" s="23"/>
      <c r="J2356" s="23"/>
      <c r="K2356" s="23"/>
      <c r="M2356" s="23"/>
      <c r="N2356" s="23"/>
      <c r="P2356" s="23"/>
    </row>
    <row r="2357" spans="2:16" x14ac:dyDescent="0.25">
      <c r="B2357" s="23"/>
      <c r="E2357" s="23"/>
      <c r="G2357" s="23"/>
      <c r="H2357" s="23"/>
      <c r="J2357" s="23"/>
      <c r="K2357" s="23"/>
      <c r="M2357" s="23"/>
      <c r="N2357" s="23"/>
      <c r="P2357" s="23"/>
    </row>
    <row r="2358" spans="2:16" x14ac:dyDescent="0.25">
      <c r="B2358" s="23"/>
      <c r="E2358" s="23"/>
      <c r="G2358" s="23"/>
      <c r="H2358" s="23"/>
      <c r="J2358" s="23"/>
      <c r="K2358" s="23"/>
      <c r="M2358" s="23"/>
      <c r="N2358" s="23"/>
      <c r="P2358" s="23"/>
    </row>
    <row r="2359" spans="2:16" x14ac:dyDescent="0.25">
      <c r="B2359" s="23"/>
      <c r="E2359" s="23"/>
      <c r="G2359" s="23"/>
      <c r="H2359" s="23"/>
      <c r="J2359" s="23"/>
      <c r="K2359" s="23"/>
      <c r="M2359" s="23"/>
      <c r="N2359" s="23"/>
      <c r="P2359" s="23"/>
    </row>
    <row r="2360" spans="2:16" x14ac:dyDescent="0.25">
      <c r="B2360" s="23"/>
      <c r="E2360" s="23"/>
      <c r="G2360" s="23"/>
      <c r="H2360" s="23"/>
      <c r="J2360" s="23"/>
      <c r="K2360" s="23"/>
      <c r="M2360" s="23"/>
      <c r="N2360" s="23"/>
      <c r="P2360" s="23"/>
    </row>
    <row r="2361" spans="2:16" x14ac:dyDescent="0.25">
      <c r="B2361" s="23"/>
      <c r="E2361" s="23"/>
      <c r="G2361" s="23"/>
      <c r="H2361" s="23"/>
      <c r="J2361" s="23"/>
      <c r="K2361" s="23"/>
      <c r="M2361" s="23"/>
      <c r="N2361" s="23"/>
      <c r="P2361" s="23"/>
    </row>
    <row r="2362" spans="2:16" x14ac:dyDescent="0.25">
      <c r="B2362" s="23"/>
      <c r="E2362" s="23"/>
      <c r="G2362" s="23"/>
      <c r="H2362" s="23"/>
      <c r="J2362" s="23"/>
      <c r="K2362" s="23"/>
      <c r="M2362" s="23"/>
      <c r="N2362" s="23"/>
      <c r="P2362" s="23"/>
    </row>
    <row r="2363" spans="2:16" x14ac:dyDescent="0.25">
      <c r="B2363" s="23"/>
      <c r="E2363" s="23"/>
      <c r="G2363" s="23"/>
      <c r="H2363" s="23"/>
      <c r="J2363" s="23"/>
      <c r="K2363" s="23"/>
      <c r="M2363" s="23"/>
      <c r="N2363" s="23"/>
      <c r="P2363" s="23"/>
    </row>
    <row r="2364" spans="2:16" x14ac:dyDescent="0.25">
      <c r="B2364" s="23"/>
      <c r="E2364" s="23"/>
      <c r="G2364" s="23"/>
      <c r="H2364" s="23"/>
      <c r="J2364" s="23"/>
      <c r="K2364" s="23"/>
      <c r="M2364" s="23"/>
      <c r="N2364" s="23"/>
      <c r="P2364" s="23"/>
    </row>
    <row r="2365" spans="2:16" x14ac:dyDescent="0.25">
      <c r="B2365" s="23"/>
      <c r="E2365" s="23"/>
      <c r="G2365" s="23"/>
      <c r="H2365" s="23"/>
      <c r="J2365" s="23"/>
      <c r="K2365" s="23"/>
      <c r="M2365" s="23"/>
      <c r="N2365" s="23"/>
      <c r="P2365" s="23"/>
    </row>
    <row r="2366" spans="2:16" x14ac:dyDescent="0.25">
      <c r="B2366" s="23"/>
      <c r="E2366" s="23"/>
      <c r="G2366" s="23"/>
      <c r="H2366" s="23"/>
      <c r="J2366" s="23"/>
      <c r="K2366" s="23"/>
      <c r="M2366" s="23"/>
      <c r="N2366" s="23"/>
      <c r="P2366" s="23"/>
    </row>
    <row r="2367" spans="2:16" x14ac:dyDescent="0.25">
      <c r="B2367" s="23"/>
      <c r="E2367" s="23"/>
      <c r="G2367" s="23"/>
      <c r="H2367" s="23"/>
      <c r="J2367" s="23"/>
      <c r="K2367" s="23"/>
      <c r="M2367" s="23"/>
      <c r="N2367" s="23"/>
      <c r="P2367" s="23"/>
    </row>
    <row r="2368" spans="2:16" x14ac:dyDescent="0.25">
      <c r="B2368" s="23"/>
      <c r="E2368" s="23"/>
      <c r="G2368" s="23"/>
      <c r="H2368" s="23"/>
      <c r="J2368" s="23"/>
      <c r="K2368" s="23"/>
      <c r="M2368" s="23"/>
      <c r="N2368" s="23"/>
      <c r="P2368" s="23"/>
    </row>
    <row r="2369" spans="2:16" x14ac:dyDescent="0.25">
      <c r="B2369" s="23"/>
      <c r="E2369" s="23"/>
      <c r="G2369" s="23"/>
      <c r="H2369" s="23"/>
      <c r="J2369" s="23"/>
      <c r="K2369" s="23"/>
      <c r="M2369" s="23"/>
      <c r="N2369" s="23"/>
      <c r="P2369" s="23"/>
    </row>
    <row r="2370" spans="2:16" x14ac:dyDescent="0.25">
      <c r="B2370" s="23"/>
      <c r="E2370" s="23"/>
      <c r="G2370" s="23"/>
      <c r="H2370" s="23"/>
      <c r="J2370" s="23"/>
      <c r="K2370" s="23"/>
      <c r="M2370" s="23"/>
      <c r="N2370" s="23"/>
      <c r="P2370" s="23"/>
    </row>
    <row r="2371" spans="2:16" x14ac:dyDescent="0.25">
      <c r="B2371" s="23"/>
      <c r="E2371" s="23"/>
      <c r="G2371" s="23"/>
      <c r="H2371" s="23"/>
      <c r="J2371" s="23"/>
      <c r="K2371" s="23"/>
      <c r="M2371" s="23"/>
      <c r="N2371" s="23"/>
      <c r="P2371" s="23"/>
    </row>
    <row r="2372" spans="2:16" x14ac:dyDescent="0.25">
      <c r="B2372" s="23"/>
      <c r="E2372" s="23"/>
      <c r="G2372" s="23"/>
      <c r="H2372" s="23"/>
      <c r="J2372" s="23"/>
      <c r="K2372" s="23"/>
      <c r="M2372" s="23"/>
      <c r="N2372" s="23"/>
      <c r="P2372" s="23"/>
    </row>
    <row r="2373" spans="2:16" x14ac:dyDescent="0.25">
      <c r="B2373" s="23"/>
      <c r="E2373" s="23"/>
      <c r="G2373" s="23"/>
      <c r="H2373" s="23"/>
      <c r="J2373" s="23"/>
      <c r="K2373" s="23"/>
      <c r="M2373" s="23"/>
      <c r="N2373" s="23"/>
      <c r="P2373" s="23"/>
    </row>
    <row r="2374" spans="2:16" x14ac:dyDescent="0.25">
      <c r="B2374" s="23"/>
      <c r="E2374" s="23"/>
      <c r="G2374" s="23"/>
      <c r="H2374" s="23"/>
      <c r="J2374" s="23"/>
      <c r="K2374" s="23"/>
      <c r="M2374" s="23"/>
      <c r="N2374" s="23"/>
      <c r="P2374" s="23"/>
    </row>
    <row r="2375" spans="2:16" x14ac:dyDescent="0.25">
      <c r="B2375" s="23"/>
      <c r="E2375" s="23"/>
      <c r="G2375" s="23"/>
      <c r="H2375" s="23"/>
      <c r="J2375" s="23"/>
      <c r="K2375" s="23"/>
      <c r="M2375" s="23"/>
      <c r="N2375" s="23"/>
      <c r="P2375" s="23"/>
    </row>
    <row r="2376" spans="2:16" x14ac:dyDescent="0.25">
      <c r="B2376" s="23"/>
      <c r="E2376" s="23"/>
      <c r="G2376" s="23"/>
      <c r="H2376" s="23"/>
      <c r="J2376" s="23"/>
      <c r="K2376" s="23"/>
      <c r="M2376" s="23"/>
      <c r="N2376" s="23"/>
      <c r="P2376" s="23"/>
    </row>
    <row r="2377" spans="2:16" x14ac:dyDescent="0.25">
      <c r="B2377" s="23"/>
      <c r="E2377" s="23"/>
      <c r="G2377" s="23"/>
      <c r="H2377" s="23"/>
      <c r="J2377" s="23"/>
      <c r="K2377" s="23"/>
      <c r="M2377" s="23"/>
      <c r="N2377" s="23"/>
      <c r="P2377" s="23"/>
    </row>
    <row r="2378" spans="2:16" x14ac:dyDescent="0.25">
      <c r="B2378" s="23"/>
      <c r="E2378" s="23"/>
      <c r="G2378" s="23"/>
      <c r="H2378" s="23"/>
      <c r="J2378" s="23"/>
      <c r="K2378" s="23"/>
      <c r="M2378" s="23"/>
      <c r="N2378" s="23"/>
      <c r="P2378" s="23"/>
    </row>
    <row r="2379" spans="2:16" x14ac:dyDescent="0.25">
      <c r="B2379" s="23"/>
      <c r="E2379" s="23"/>
      <c r="G2379" s="23"/>
      <c r="H2379" s="23"/>
      <c r="J2379" s="23"/>
      <c r="K2379" s="23"/>
      <c r="M2379" s="23"/>
      <c r="N2379" s="23"/>
      <c r="P2379" s="23"/>
    </row>
    <row r="2380" spans="2:16" x14ac:dyDescent="0.25">
      <c r="B2380" s="23"/>
      <c r="E2380" s="23"/>
      <c r="G2380" s="23"/>
      <c r="H2380" s="23"/>
      <c r="J2380" s="23"/>
      <c r="K2380" s="23"/>
      <c r="M2380" s="23"/>
      <c r="N2380" s="23"/>
      <c r="P2380" s="23"/>
    </row>
    <row r="2381" spans="2:16" x14ac:dyDescent="0.25">
      <c r="B2381" s="23"/>
      <c r="E2381" s="23"/>
      <c r="G2381" s="23"/>
      <c r="H2381" s="23"/>
      <c r="J2381" s="23"/>
      <c r="K2381" s="23"/>
      <c r="M2381" s="23"/>
      <c r="N2381" s="23"/>
      <c r="P2381" s="23"/>
    </row>
    <row r="2382" spans="2:16" x14ac:dyDescent="0.25">
      <c r="B2382" s="23"/>
      <c r="E2382" s="23"/>
      <c r="G2382" s="23"/>
      <c r="H2382" s="23"/>
      <c r="J2382" s="23"/>
      <c r="K2382" s="23"/>
      <c r="M2382" s="23"/>
      <c r="N2382" s="23"/>
      <c r="P2382" s="23"/>
    </row>
    <row r="2383" spans="2:16" x14ac:dyDescent="0.25">
      <c r="B2383" s="23"/>
      <c r="E2383" s="23"/>
      <c r="G2383" s="23"/>
      <c r="H2383" s="23"/>
      <c r="J2383" s="23"/>
      <c r="K2383" s="23"/>
      <c r="M2383" s="23"/>
      <c r="N2383" s="23"/>
      <c r="P2383" s="23"/>
    </row>
    <row r="2384" spans="2:16" x14ac:dyDescent="0.25">
      <c r="B2384" s="23"/>
      <c r="E2384" s="23"/>
      <c r="G2384" s="23"/>
      <c r="H2384" s="23"/>
      <c r="J2384" s="23"/>
      <c r="K2384" s="23"/>
      <c r="M2384" s="23"/>
      <c r="N2384" s="23"/>
      <c r="P2384" s="23"/>
    </row>
    <row r="2385" spans="2:16" x14ac:dyDescent="0.25">
      <c r="B2385" s="23"/>
      <c r="E2385" s="23"/>
      <c r="G2385" s="23"/>
      <c r="H2385" s="23"/>
      <c r="J2385" s="23"/>
      <c r="K2385" s="23"/>
      <c r="M2385" s="23"/>
      <c r="N2385" s="23"/>
      <c r="P2385" s="23"/>
    </row>
    <row r="2386" spans="2:16" x14ac:dyDescent="0.25">
      <c r="B2386" s="23"/>
      <c r="E2386" s="23"/>
      <c r="G2386" s="23"/>
      <c r="H2386" s="23"/>
      <c r="J2386" s="23"/>
      <c r="K2386" s="23"/>
      <c r="M2386" s="23"/>
      <c r="N2386" s="23"/>
      <c r="P2386" s="23"/>
    </row>
    <row r="2387" spans="2:16" x14ac:dyDescent="0.25">
      <c r="B2387" s="23"/>
      <c r="E2387" s="23"/>
      <c r="G2387" s="23"/>
      <c r="H2387" s="23"/>
      <c r="J2387" s="23"/>
      <c r="K2387" s="23"/>
      <c r="M2387" s="23"/>
      <c r="N2387" s="23"/>
      <c r="P2387" s="23"/>
    </row>
    <row r="2388" spans="2:16" x14ac:dyDescent="0.25">
      <c r="B2388" s="23"/>
      <c r="E2388" s="23"/>
      <c r="G2388" s="23"/>
      <c r="H2388" s="23"/>
      <c r="J2388" s="23"/>
      <c r="K2388" s="23"/>
      <c r="M2388" s="23"/>
      <c r="N2388" s="23"/>
      <c r="P2388" s="23"/>
    </row>
    <row r="2389" spans="2:16" x14ac:dyDescent="0.25">
      <c r="B2389" s="23"/>
      <c r="E2389" s="23"/>
      <c r="G2389" s="23"/>
      <c r="H2389" s="23"/>
      <c r="J2389" s="23"/>
      <c r="K2389" s="23"/>
      <c r="M2389" s="23"/>
      <c r="N2389" s="23"/>
      <c r="P2389" s="23"/>
    </row>
    <row r="2390" spans="2:16" x14ac:dyDescent="0.25">
      <c r="B2390" s="23"/>
      <c r="E2390" s="23"/>
      <c r="G2390" s="23"/>
      <c r="H2390" s="23"/>
      <c r="J2390" s="23"/>
      <c r="K2390" s="23"/>
      <c r="M2390" s="23"/>
      <c r="N2390" s="23"/>
      <c r="P2390" s="23"/>
    </row>
    <row r="2391" spans="2:16" x14ac:dyDescent="0.25">
      <c r="B2391" s="23"/>
      <c r="E2391" s="23"/>
      <c r="G2391" s="23"/>
      <c r="H2391" s="23"/>
      <c r="J2391" s="23"/>
      <c r="K2391" s="23"/>
      <c r="M2391" s="23"/>
      <c r="N2391" s="23"/>
      <c r="P2391" s="23"/>
    </row>
    <row r="2392" spans="2:16" x14ac:dyDescent="0.25">
      <c r="B2392" s="23"/>
      <c r="E2392" s="23"/>
      <c r="G2392" s="23"/>
      <c r="H2392" s="23"/>
      <c r="J2392" s="23"/>
      <c r="K2392" s="23"/>
      <c r="M2392" s="23"/>
      <c r="N2392" s="23"/>
      <c r="P2392" s="23"/>
    </row>
    <row r="2393" spans="2:16" x14ac:dyDescent="0.25">
      <c r="B2393" s="23"/>
      <c r="E2393" s="23"/>
      <c r="G2393" s="23"/>
      <c r="H2393" s="23"/>
      <c r="J2393" s="23"/>
      <c r="K2393" s="23"/>
      <c r="M2393" s="23"/>
      <c r="N2393" s="23"/>
      <c r="P2393" s="23"/>
    </row>
    <row r="2394" spans="2:16" x14ac:dyDescent="0.25">
      <c r="B2394" s="23"/>
      <c r="E2394" s="23"/>
      <c r="G2394" s="23"/>
      <c r="H2394" s="23"/>
      <c r="J2394" s="23"/>
      <c r="K2394" s="23"/>
      <c r="M2394" s="23"/>
      <c r="N2394" s="23"/>
      <c r="P2394" s="23"/>
    </row>
    <row r="2395" spans="2:16" x14ac:dyDescent="0.25">
      <c r="B2395" s="23"/>
      <c r="E2395" s="23"/>
      <c r="G2395" s="23"/>
      <c r="H2395" s="23"/>
      <c r="J2395" s="23"/>
      <c r="K2395" s="23"/>
      <c r="M2395" s="23"/>
      <c r="N2395" s="23"/>
      <c r="P2395" s="23"/>
    </row>
    <row r="2396" spans="2:16" x14ac:dyDescent="0.25">
      <c r="B2396" s="23"/>
      <c r="E2396" s="23"/>
      <c r="G2396" s="23"/>
      <c r="H2396" s="23"/>
      <c r="J2396" s="23"/>
      <c r="K2396" s="23"/>
      <c r="M2396" s="23"/>
      <c r="N2396" s="23"/>
      <c r="P2396" s="23"/>
    </row>
    <row r="2397" spans="2:16" x14ac:dyDescent="0.25">
      <c r="B2397" s="23"/>
      <c r="E2397" s="23"/>
      <c r="G2397" s="23"/>
      <c r="H2397" s="23"/>
      <c r="J2397" s="23"/>
      <c r="K2397" s="23"/>
      <c r="M2397" s="23"/>
      <c r="N2397" s="23"/>
      <c r="P2397" s="23"/>
    </row>
    <row r="2398" spans="2:16" x14ac:dyDescent="0.25">
      <c r="B2398" s="23"/>
      <c r="E2398" s="23"/>
      <c r="G2398" s="23"/>
      <c r="H2398" s="23"/>
      <c r="J2398" s="23"/>
      <c r="K2398" s="23"/>
      <c r="M2398" s="23"/>
      <c r="N2398" s="23"/>
      <c r="P2398" s="23"/>
    </row>
    <row r="2399" spans="2:16" x14ac:dyDescent="0.25">
      <c r="B2399" s="23"/>
      <c r="E2399" s="23"/>
      <c r="G2399" s="23"/>
      <c r="H2399" s="23"/>
      <c r="J2399" s="23"/>
      <c r="K2399" s="23"/>
      <c r="M2399" s="23"/>
      <c r="N2399" s="23"/>
      <c r="P2399" s="23"/>
    </row>
    <row r="2400" spans="2:16" x14ac:dyDescent="0.25">
      <c r="B2400" s="23"/>
      <c r="E2400" s="23"/>
      <c r="G2400" s="23"/>
      <c r="H2400" s="23"/>
      <c r="J2400" s="23"/>
      <c r="K2400" s="23"/>
      <c r="M2400" s="23"/>
      <c r="N2400" s="23"/>
      <c r="P2400" s="23"/>
    </row>
    <row r="2401" spans="2:16" x14ac:dyDescent="0.25">
      <c r="B2401" s="23"/>
      <c r="E2401" s="23"/>
      <c r="G2401" s="23"/>
      <c r="H2401" s="23"/>
      <c r="J2401" s="23"/>
      <c r="K2401" s="23"/>
      <c r="M2401" s="23"/>
      <c r="N2401" s="23"/>
      <c r="P2401" s="23"/>
    </row>
    <row r="2402" spans="2:16" x14ac:dyDescent="0.25">
      <c r="B2402" s="23"/>
      <c r="E2402" s="23"/>
      <c r="G2402" s="23"/>
      <c r="H2402" s="23"/>
      <c r="J2402" s="23"/>
      <c r="K2402" s="23"/>
      <c r="M2402" s="23"/>
      <c r="N2402" s="23"/>
      <c r="P2402" s="23"/>
    </row>
    <row r="2403" spans="2:16" x14ac:dyDescent="0.25">
      <c r="B2403" s="23"/>
      <c r="E2403" s="23"/>
      <c r="G2403" s="23"/>
      <c r="H2403" s="23"/>
      <c r="J2403" s="23"/>
      <c r="K2403" s="23"/>
      <c r="M2403" s="23"/>
      <c r="N2403" s="23"/>
      <c r="P2403" s="23"/>
    </row>
    <row r="2404" spans="2:16" x14ac:dyDescent="0.25">
      <c r="B2404" s="23"/>
      <c r="E2404" s="23"/>
      <c r="G2404" s="23"/>
      <c r="H2404" s="23"/>
      <c r="J2404" s="23"/>
      <c r="K2404" s="23"/>
      <c r="M2404" s="23"/>
      <c r="N2404" s="23"/>
      <c r="P2404" s="23"/>
    </row>
    <row r="2405" spans="2:16" x14ac:dyDescent="0.25">
      <c r="B2405" s="23"/>
      <c r="E2405" s="23"/>
      <c r="G2405" s="23"/>
      <c r="H2405" s="23"/>
      <c r="J2405" s="23"/>
      <c r="K2405" s="23"/>
      <c r="M2405" s="23"/>
      <c r="N2405" s="23"/>
      <c r="P2405" s="23"/>
    </row>
    <row r="2406" spans="2:16" x14ac:dyDescent="0.25">
      <c r="B2406" s="23"/>
      <c r="E2406" s="23"/>
      <c r="G2406" s="23"/>
      <c r="H2406" s="23"/>
      <c r="J2406" s="23"/>
      <c r="K2406" s="23"/>
      <c r="M2406" s="23"/>
      <c r="N2406" s="23"/>
      <c r="P2406" s="23"/>
    </row>
    <row r="2407" spans="2:16" x14ac:dyDescent="0.25">
      <c r="B2407" s="23"/>
      <c r="E2407" s="23"/>
      <c r="G2407" s="23"/>
      <c r="H2407" s="23"/>
      <c r="J2407" s="23"/>
      <c r="K2407" s="23"/>
      <c r="M2407" s="23"/>
      <c r="N2407" s="23"/>
      <c r="P2407" s="23"/>
    </row>
    <row r="2408" spans="2:16" x14ac:dyDescent="0.25">
      <c r="B2408" s="23"/>
      <c r="E2408" s="23"/>
      <c r="G2408" s="23"/>
      <c r="H2408" s="23"/>
      <c r="J2408" s="23"/>
      <c r="K2408" s="23"/>
      <c r="M2408" s="23"/>
      <c r="N2408" s="23"/>
      <c r="P2408" s="23"/>
    </row>
    <row r="2409" spans="2:16" x14ac:dyDescent="0.25">
      <c r="B2409" s="23"/>
      <c r="E2409" s="23"/>
      <c r="G2409" s="23"/>
      <c r="H2409" s="23"/>
      <c r="J2409" s="23"/>
      <c r="K2409" s="23"/>
      <c r="M2409" s="23"/>
      <c r="N2409" s="23"/>
      <c r="P2409" s="23"/>
    </row>
    <row r="2410" spans="2:16" x14ac:dyDescent="0.25">
      <c r="B2410" s="23"/>
      <c r="E2410" s="23"/>
      <c r="G2410" s="23"/>
      <c r="H2410" s="23"/>
      <c r="J2410" s="23"/>
      <c r="K2410" s="23"/>
      <c r="M2410" s="23"/>
      <c r="N2410" s="23"/>
      <c r="P2410" s="23"/>
    </row>
    <row r="2411" spans="2:16" x14ac:dyDescent="0.25">
      <c r="B2411" s="23"/>
      <c r="E2411" s="23"/>
      <c r="G2411" s="23"/>
      <c r="H2411" s="23"/>
      <c r="J2411" s="23"/>
      <c r="K2411" s="23"/>
      <c r="M2411" s="23"/>
      <c r="N2411" s="23"/>
      <c r="P2411" s="23"/>
    </row>
    <row r="2412" spans="2:16" x14ac:dyDescent="0.25">
      <c r="B2412" s="23"/>
      <c r="E2412" s="23"/>
      <c r="G2412" s="23"/>
      <c r="H2412" s="23"/>
      <c r="J2412" s="23"/>
      <c r="K2412" s="23"/>
      <c r="M2412" s="23"/>
      <c r="N2412" s="23"/>
      <c r="P2412" s="23"/>
    </row>
    <row r="2413" spans="2:16" x14ac:dyDescent="0.25">
      <c r="B2413" s="23"/>
      <c r="E2413" s="23"/>
      <c r="G2413" s="23"/>
      <c r="H2413" s="23"/>
      <c r="J2413" s="23"/>
      <c r="K2413" s="23"/>
      <c r="M2413" s="23"/>
      <c r="N2413" s="23"/>
      <c r="P2413" s="23"/>
    </row>
    <row r="2414" spans="2:16" x14ac:dyDescent="0.25">
      <c r="B2414" s="23"/>
      <c r="E2414" s="23"/>
      <c r="G2414" s="23"/>
      <c r="H2414" s="23"/>
      <c r="J2414" s="23"/>
      <c r="K2414" s="23"/>
      <c r="M2414" s="23"/>
      <c r="N2414" s="23"/>
      <c r="P2414" s="23"/>
    </row>
    <row r="2415" spans="2:16" x14ac:dyDescent="0.25">
      <c r="B2415" s="23"/>
      <c r="E2415" s="23"/>
      <c r="G2415" s="23"/>
      <c r="H2415" s="23"/>
      <c r="J2415" s="23"/>
      <c r="K2415" s="23"/>
      <c r="M2415" s="23"/>
      <c r="N2415" s="23"/>
      <c r="P2415" s="23"/>
    </row>
    <row r="2416" spans="2:16" x14ac:dyDescent="0.25">
      <c r="B2416" s="23"/>
      <c r="E2416" s="23"/>
      <c r="G2416" s="23"/>
      <c r="H2416" s="23"/>
      <c r="J2416" s="23"/>
      <c r="K2416" s="23"/>
      <c r="M2416" s="23"/>
      <c r="N2416" s="23"/>
      <c r="P2416" s="23"/>
    </row>
    <row r="2417" spans="2:16" x14ac:dyDescent="0.25">
      <c r="B2417" s="23"/>
      <c r="E2417" s="23"/>
      <c r="G2417" s="23"/>
      <c r="H2417" s="23"/>
      <c r="J2417" s="23"/>
      <c r="K2417" s="23"/>
      <c r="M2417" s="23"/>
      <c r="N2417" s="23"/>
      <c r="P2417" s="23"/>
    </row>
    <row r="2418" spans="2:16" x14ac:dyDescent="0.25">
      <c r="B2418" s="23"/>
      <c r="E2418" s="23"/>
      <c r="G2418" s="23"/>
      <c r="H2418" s="23"/>
      <c r="J2418" s="23"/>
      <c r="K2418" s="23"/>
      <c r="M2418" s="23"/>
      <c r="N2418" s="23"/>
      <c r="P2418" s="23"/>
    </row>
    <row r="2419" spans="2:16" x14ac:dyDescent="0.25">
      <c r="B2419" s="23"/>
      <c r="E2419" s="23"/>
      <c r="G2419" s="23"/>
      <c r="H2419" s="23"/>
      <c r="J2419" s="23"/>
      <c r="K2419" s="23"/>
      <c r="M2419" s="23"/>
      <c r="N2419" s="23"/>
      <c r="P2419" s="23"/>
    </row>
    <row r="2420" spans="2:16" x14ac:dyDescent="0.25">
      <c r="B2420" s="23"/>
      <c r="E2420" s="23"/>
      <c r="G2420" s="23"/>
      <c r="H2420" s="23"/>
      <c r="J2420" s="23"/>
      <c r="K2420" s="23"/>
      <c r="M2420" s="23"/>
      <c r="N2420" s="23"/>
      <c r="P2420" s="23"/>
    </row>
    <row r="2421" spans="2:16" x14ac:dyDescent="0.25">
      <c r="B2421" s="23"/>
      <c r="E2421" s="23"/>
      <c r="G2421" s="23"/>
      <c r="H2421" s="23"/>
      <c r="J2421" s="23"/>
      <c r="K2421" s="23"/>
      <c r="M2421" s="23"/>
      <c r="N2421" s="23"/>
      <c r="P2421" s="23"/>
    </row>
    <row r="2422" spans="2:16" x14ac:dyDescent="0.25">
      <c r="B2422" s="23"/>
      <c r="E2422" s="23"/>
      <c r="G2422" s="23"/>
      <c r="H2422" s="23"/>
      <c r="J2422" s="23"/>
      <c r="K2422" s="23"/>
      <c r="M2422" s="23"/>
      <c r="N2422" s="23"/>
      <c r="P2422" s="23"/>
    </row>
    <row r="2423" spans="2:16" x14ac:dyDescent="0.25">
      <c r="B2423" s="23"/>
      <c r="E2423" s="23"/>
      <c r="G2423" s="23"/>
      <c r="H2423" s="23"/>
      <c r="J2423" s="23"/>
      <c r="K2423" s="23"/>
      <c r="M2423" s="23"/>
      <c r="N2423" s="23"/>
      <c r="P2423" s="23"/>
    </row>
    <row r="2424" spans="2:16" x14ac:dyDescent="0.25">
      <c r="B2424" s="23"/>
      <c r="E2424" s="23"/>
      <c r="G2424" s="23"/>
      <c r="H2424" s="23"/>
      <c r="J2424" s="23"/>
      <c r="K2424" s="23"/>
      <c r="M2424" s="23"/>
      <c r="N2424" s="23"/>
      <c r="P2424" s="23"/>
    </row>
    <row r="2425" spans="2:16" x14ac:dyDescent="0.25">
      <c r="B2425" s="23"/>
      <c r="E2425" s="23"/>
      <c r="G2425" s="23"/>
      <c r="H2425" s="23"/>
      <c r="J2425" s="23"/>
      <c r="K2425" s="23"/>
      <c r="M2425" s="23"/>
      <c r="N2425" s="23"/>
      <c r="P2425" s="23"/>
    </row>
    <row r="2426" spans="2:16" x14ac:dyDescent="0.25">
      <c r="B2426" s="23"/>
      <c r="E2426" s="23"/>
      <c r="G2426" s="23"/>
      <c r="H2426" s="23"/>
      <c r="J2426" s="23"/>
      <c r="K2426" s="23"/>
      <c r="M2426" s="23"/>
      <c r="N2426" s="23"/>
      <c r="P2426" s="23"/>
    </row>
    <row r="2427" spans="2:16" x14ac:dyDescent="0.25">
      <c r="B2427" s="23"/>
      <c r="E2427" s="23"/>
      <c r="G2427" s="23"/>
      <c r="H2427" s="23"/>
      <c r="J2427" s="23"/>
      <c r="K2427" s="23"/>
      <c r="M2427" s="23"/>
      <c r="N2427" s="23"/>
      <c r="P2427" s="23"/>
    </row>
    <row r="2428" spans="2:16" x14ac:dyDescent="0.25">
      <c r="B2428" s="23"/>
      <c r="E2428" s="23"/>
      <c r="G2428" s="23"/>
      <c r="H2428" s="23"/>
      <c r="J2428" s="23"/>
      <c r="K2428" s="23"/>
      <c r="M2428" s="23"/>
      <c r="N2428" s="23"/>
      <c r="P2428" s="23"/>
    </row>
    <row r="2429" spans="2:16" x14ac:dyDescent="0.25">
      <c r="B2429" s="23"/>
      <c r="E2429" s="23"/>
      <c r="G2429" s="23"/>
      <c r="H2429" s="23"/>
      <c r="J2429" s="23"/>
      <c r="K2429" s="23"/>
      <c r="M2429" s="23"/>
      <c r="N2429" s="23"/>
      <c r="P2429" s="23"/>
    </row>
    <row r="2430" spans="2:16" x14ac:dyDescent="0.25">
      <c r="B2430" s="23"/>
      <c r="E2430" s="23"/>
      <c r="G2430" s="23"/>
      <c r="H2430" s="23"/>
      <c r="J2430" s="23"/>
      <c r="K2430" s="23"/>
      <c r="M2430" s="23"/>
      <c r="N2430" s="23"/>
      <c r="P2430" s="23"/>
    </row>
    <row r="2431" spans="2:16" x14ac:dyDescent="0.25">
      <c r="B2431" s="23"/>
      <c r="E2431" s="23"/>
      <c r="G2431" s="23"/>
      <c r="H2431" s="23"/>
      <c r="J2431" s="23"/>
      <c r="K2431" s="23"/>
      <c r="M2431" s="23"/>
      <c r="N2431" s="23"/>
      <c r="P2431" s="23"/>
    </row>
    <row r="2432" spans="2:16" x14ac:dyDescent="0.25">
      <c r="B2432" s="23"/>
      <c r="E2432" s="23"/>
      <c r="G2432" s="23"/>
      <c r="H2432" s="23"/>
      <c r="J2432" s="23"/>
      <c r="K2432" s="23"/>
      <c r="M2432" s="23"/>
      <c r="N2432" s="23"/>
      <c r="P2432" s="23"/>
    </row>
    <row r="2433" spans="2:16" x14ac:dyDescent="0.25">
      <c r="B2433" s="23"/>
      <c r="E2433" s="23"/>
      <c r="G2433" s="23"/>
      <c r="H2433" s="23"/>
      <c r="J2433" s="23"/>
      <c r="K2433" s="23"/>
      <c r="M2433" s="23"/>
      <c r="N2433" s="23"/>
      <c r="P2433" s="23"/>
    </row>
    <row r="2434" spans="2:16" x14ac:dyDescent="0.25">
      <c r="B2434" s="23"/>
      <c r="E2434" s="23"/>
      <c r="G2434" s="23"/>
      <c r="H2434" s="23"/>
      <c r="J2434" s="23"/>
      <c r="K2434" s="23"/>
      <c r="M2434" s="23"/>
      <c r="N2434" s="23"/>
      <c r="P2434" s="23"/>
    </row>
    <row r="2435" spans="2:16" x14ac:dyDescent="0.25">
      <c r="B2435" s="23"/>
      <c r="E2435" s="23"/>
      <c r="G2435" s="23"/>
      <c r="H2435" s="23"/>
      <c r="J2435" s="23"/>
      <c r="K2435" s="23"/>
      <c r="M2435" s="23"/>
      <c r="N2435" s="23"/>
      <c r="P2435" s="23"/>
    </row>
    <row r="2436" spans="2:16" x14ac:dyDescent="0.25">
      <c r="B2436" s="23"/>
      <c r="E2436" s="23"/>
      <c r="G2436" s="23"/>
      <c r="H2436" s="23"/>
      <c r="J2436" s="23"/>
      <c r="K2436" s="23"/>
      <c r="M2436" s="23"/>
      <c r="N2436" s="23"/>
      <c r="P2436" s="23"/>
    </row>
    <row r="2437" spans="2:16" x14ac:dyDescent="0.25">
      <c r="B2437" s="23"/>
      <c r="E2437" s="23"/>
      <c r="G2437" s="23"/>
      <c r="H2437" s="23"/>
      <c r="J2437" s="23"/>
      <c r="K2437" s="23"/>
      <c r="M2437" s="23"/>
      <c r="N2437" s="23"/>
      <c r="P2437" s="23"/>
    </row>
    <row r="2438" spans="2:16" x14ac:dyDescent="0.25">
      <c r="B2438" s="23"/>
      <c r="E2438" s="23"/>
      <c r="G2438" s="23"/>
      <c r="H2438" s="23"/>
      <c r="J2438" s="23"/>
      <c r="K2438" s="23"/>
      <c r="M2438" s="23"/>
      <c r="N2438" s="23"/>
      <c r="P2438" s="23"/>
    </row>
    <row r="2439" spans="2:16" x14ac:dyDescent="0.25">
      <c r="B2439" s="23"/>
      <c r="E2439" s="23"/>
      <c r="G2439" s="23"/>
      <c r="H2439" s="23"/>
      <c r="J2439" s="23"/>
      <c r="K2439" s="23"/>
      <c r="M2439" s="23"/>
      <c r="N2439" s="23"/>
      <c r="P2439" s="23"/>
    </row>
    <row r="2440" spans="2:16" x14ac:dyDescent="0.25">
      <c r="B2440" s="23"/>
      <c r="E2440" s="23"/>
      <c r="G2440" s="23"/>
      <c r="H2440" s="23"/>
      <c r="J2440" s="23"/>
      <c r="K2440" s="23"/>
      <c r="M2440" s="23"/>
      <c r="N2440" s="23"/>
      <c r="P2440" s="23"/>
    </row>
    <row r="2441" spans="2:16" x14ac:dyDescent="0.25">
      <c r="B2441" s="23"/>
      <c r="E2441" s="23"/>
      <c r="G2441" s="23"/>
      <c r="H2441" s="23"/>
      <c r="J2441" s="23"/>
      <c r="K2441" s="23"/>
      <c r="M2441" s="23"/>
      <c r="N2441" s="23"/>
      <c r="P2441" s="23"/>
    </row>
    <row r="2442" spans="2:16" x14ac:dyDescent="0.25">
      <c r="B2442" s="23"/>
      <c r="E2442" s="23"/>
      <c r="G2442" s="23"/>
      <c r="H2442" s="23"/>
      <c r="J2442" s="23"/>
      <c r="K2442" s="23"/>
      <c r="M2442" s="23"/>
      <c r="N2442" s="23"/>
      <c r="P2442" s="23"/>
    </row>
    <row r="2443" spans="2:16" x14ac:dyDescent="0.25">
      <c r="B2443" s="23"/>
      <c r="E2443" s="23"/>
      <c r="G2443" s="23"/>
      <c r="H2443" s="23"/>
      <c r="J2443" s="23"/>
      <c r="K2443" s="23"/>
      <c r="M2443" s="23"/>
      <c r="N2443" s="23"/>
      <c r="P2443" s="23"/>
    </row>
    <row r="2444" spans="2:16" x14ac:dyDescent="0.25">
      <c r="B2444" s="23"/>
      <c r="E2444" s="23"/>
      <c r="G2444" s="23"/>
      <c r="H2444" s="23"/>
      <c r="J2444" s="23"/>
      <c r="K2444" s="23"/>
      <c r="M2444" s="23"/>
      <c r="N2444" s="23"/>
      <c r="P2444" s="23"/>
    </row>
    <row r="2445" spans="2:16" x14ac:dyDescent="0.25">
      <c r="B2445" s="23"/>
      <c r="E2445" s="23"/>
      <c r="G2445" s="23"/>
      <c r="H2445" s="23"/>
      <c r="J2445" s="23"/>
      <c r="K2445" s="23"/>
      <c r="M2445" s="23"/>
      <c r="N2445" s="23"/>
      <c r="P2445" s="23"/>
    </row>
    <row r="2446" spans="2:16" x14ac:dyDescent="0.25">
      <c r="B2446" s="23"/>
      <c r="E2446" s="23"/>
      <c r="G2446" s="23"/>
      <c r="H2446" s="23"/>
      <c r="J2446" s="23"/>
      <c r="K2446" s="23"/>
      <c r="M2446" s="23"/>
      <c r="N2446" s="23"/>
      <c r="P2446" s="23"/>
    </row>
    <row r="2447" spans="2:16" x14ac:dyDescent="0.25">
      <c r="B2447" s="23"/>
      <c r="E2447" s="23"/>
      <c r="G2447" s="23"/>
      <c r="H2447" s="23"/>
      <c r="J2447" s="23"/>
      <c r="K2447" s="23"/>
      <c r="M2447" s="23"/>
      <c r="N2447" s="23"/>
      <c r="P2447" s="23"/>
    </row>
    <row r="2448" spans="2:16" x14ac:dyDescent="0.25">
      <c r="B2448" s="23"/>
      <c r="E2448" s="23"/>
      <c r="G2448" s="23"/>
      <c r="H2448" s="23"/>
      <c r="J2448" s="23"/>
      <c r="K2448" s="23"/>
      <c r="M2448" s="23"/>
      <c r="N2448" s="23"/>
      <c r="P2448" s="23"/>
    </row>
    <row r="2449" spans="2:16" x14ac:dyDescent="0.25">
      <c r="B2449" s="23"/>
      <c r="E2449" s="23"/>
      <c r="G2449" s="23"/>
      <c r="H2449" s="23"/>
      <c r="J2449" s="23"/>
      <c r="K2449" s="23"/>
      <c r="M2449" s="23"/>
      <c r="N2449" s="23"/>
      <c r="P2449" s="23"/>
    </row>
    <row r="2450" spans="2:16" x14ac:dyDescent="0.25">
      <c r="B2450" s="23"/>
      <c r="E2450" s="23"/>
      <c r="G2450" s="23"/>
      <c r="H2450" s="23"/>
      <c r="J2450" s="23"/>
      <c r="K2450" s="23"/>
      <c r="M2450" s="23"/>
      <c r="N2450" s="23"/>
      <c r="P2450" s="23"/>
    </row>
    <row r="2451" spans="2:16" x14ac:dyDescent="0.25">
      <c r="B2451" s="23"/>
      <c r="E2451" s="23"/>
      <c r="G2451" s="23"/>
      <c r="H2451" s="23"/>
      <c r="J2451" s="23"/>
      <c r="K2451" s="23"/>
      <c r="M2451" s="23"/>
      <c r="N2451" s="23"/>
      <c r="P2451" s="23"/>
    </row>
    <row r="2452" spans="2:16" x14ac:dyDescent="0.25">
      <c r="B2452" s="23"/>
      <c r="E2452" s="23"/>
      <c r="G2452" s="23"/>
      <c r="H2452" s="23"/>
      <c r="J2452" s="23"/>
      <c r="K2452" s="23"/>
      <c r="M2452" s="23"/>
      <c r="N2452" s="23"/>
      <c r="P2452" s="23"/>
    </row>
    <row r="2453" spans="2:16" x14ac:dyDescent="0.25">
      <c r="B2453" s="23"/>
      <c r="E2453" s="23"/>
      <c r="G2453" s="23"/>
      <c r="H2453" s="23"/>
      <c r="J2453" s="23"/>
      <c r="K2453" s="23"/>
      <c r="M2453" s="23"/>
      <c r="N2453" s="23"/>
      <c r="P2453" s="23"/>
    </row>
    <row r="2454" spans="2:16" x14ac:dyDescent="0.25">
      <c r="B2454" s="23"/>
      <c r="E2454" s="23"/>
      <c r="G2454" s="23"/>
      <c r="H2454" s="23"/>
      <c r="J2454" s="23"/>
      <c r="K2454" s="23"/>
      <c r="M2454" s="23"/>
      <c r="N2454" s="23"/>
      <c r="P2454" s="23"/>
    </row>
    <row r="2455" spans="2:16" x14ac:dyDescent="0.25">
      <c r="B2455" s="23"/>
      <c r="E2455" s="23"/>
      <c r="G2455" s="23"/>
      <c r="H2455" s="23"/>
      <c r="J2455" s="23"/>
      <c r="K2455" s="23"/>
      <c r="M2455" s="23"/>
      <c r="N2455" s="23"/>
      <c r="P2455" s="23"/>
    </row>
    <row r="2456" spans="2:16" x14ac:dyDescent="0.25">
      <c r="B2456" s="23"/>
      <c r="E2456" s="23"/>
      <c r="G2456" s="23"/>
      <c r="H2456" s="23"/>
      <c r="J2456" s="23"/>
      <c r="K2456" s="23"/>
      <c r="M2456" s="23"/>
      <c r="N2456" s="23"/>
      <c r="P2456" s="23"/>
    </row>
    <row r="2457" spans="2:16" x14ac:dyDescent="0.25">
      <c r="B2457" s="23"/>
      <c r="E2457" s="23"/>
      <c r="G2457" s="23"/>
      <c r="H2457" s="23"/>
      <c r="J2457" s="23"/>
      <c r="K2457" s="23"/>
      <c r="M2457" s="23"/>
      <c r="N2457" s="23"/>
      <c r="P2457" s="23"/>
    </row>
    <row r="2458" spans="2:16" x14ac:dyDescent="0.25">
      <c r="B2458" s="23"/>
      <c r="E2458" s="23"/>
      <c r="G2458" s="23"/>
      <c r="H2458" s="23"/>
      <c r="J2458" s="23"/>
      <c r="K2458" s="23"/>
      <c r="M2458" s="23"/>
      <c r="N2458" s="23"/>
      <c r="P2458" s="23"/>
    </row>
    <row r="2459" spans="2:16" x14ac:dyDescent="0.25">
      <c r="B2459" s="23"/>
      <c r="E2459" s="23"/>
      <c r="G2459" s="23"/>
      <c r="H2459" s="23"/>
      <c r="J2459" s="23"/>
      <c r="K2459" s="23"/>
      <c r="M2459" s="23"/>
      <c r="N2459" s="23"/>
      <c r="P2459" s="23"/>
    </row>
    <row r="2460" spans="2:16" x14ac:dyDescent="0.25">
      <c r="B2460" s="23"/>
      <c r="E2460" s="23"/>
      <c r="G2460" s="23"/>
      <c r="H2460" s="23"/>
      <c r="J2460" s="23"/>
      <c r="K2460" s="23"/>
      <c r="M2460" s="23"/>
      <c r="N2460" s="23"/>
      <c r="P2460" s="23"/>
    </row>
    <row r="2461" spans="2:16" x14ac:dyDescent="0.25">
      <c r="B2461" s="23"/>
      <c r="E2461" s="23"/>
      <c r="G2461" s="23"/>
      <c r="H2461" s="23"/>
      <c r="J2461" s="23"/>
      <c r="K2461" s="23"/>
      <c r="M2461" s="23"/>
      <c r="N2461" s="23"/>
      <c r="P2461" s="23"/>
    </row>
    <row r="2462" spans="2:16" x14ac:dyDescent="0.25">
      <c r="B2462" s="23"/>
      <c r="E2462" s="23"/>
      <c r="G2462" s="23"/>
      <c r="H2462" s="23"/>
      <c r="J2462" s="23"/>
      <c r="K2462" s="23"/>
      <c r="M2462" s="23"/>
      <c r="N2462" s="23"/>
      <c r="P2462" s="23"/>
    </row>
    <row r="2463" spans="2:16" x14ac:dyDescent="0.25">
      <c r="B2463" s="23"/>
      <c r="E2463" s="23"/>
      <c r="G2463" s="23"/>
      <c r="H2463" s="23"/>
      <c r="J2463" s="23"/>
      <c r="K2463" s="23"/>
      <c r="M2463" s="23"/>
      <c r="N2463" s="23"/>
      <c r="P2463" s="23"/>
    </row>
    <row r="2464" spans="2:16" x14ac:dyDescent="0.25">
      <c r="B2464" s="23"/>
      <c r="E2464" s="23"/>
      <c r="G2464" s="23"/>
      <c r="H2464" s="23"/>
      <c r="J2464" s="23"/>
      <c r="K2464" s="23"/>
      <c r="M2464" s="23"/>
      <c r="N2464" s="23"/>
      <c r="P2464" s="23"/>
    </row>
    <row r="2465" spans="2:16" x14ac:dyDescent="0.25">
      <c r="B2465" s="23"/>
      <c r="E2465" s="23"/>
      <c r="G2465" s="23"/>
      <c r="H2465" s="23"/>
      <c r="J2465" s="23"/>
      <c r="K2465" s="23"/>
      <c r="M2465" s="23"/>
      <c r="N2465" s="23"/>
      <c r="P2465" s="23"/>
    </row>
    <row r="2466" spans="2:16" x14ac:dyDescent="0.25">
      <c r="B2466" s="23"/>
      <c r="E2466" s="23"/>
      <c r="G2466" s="23"/>
      <c r="H2466" s="23"/>
      <c r="J2466" s="23"/>
      <c r="K2466" s="23"/>
      <c r="M2466" s="23"/>
      <c r="N2466" s="23"/>
      <c r="P2466" s="23"/>
    </row>
    <row r="2467" spans="2:16" x14ac:dyDescent="0.25">
      <c r="B2467" s="23"/>
      <c r="E2467" s="23"/>
      <c r="G2467" s="23"/>
      <c r="H2467" s="23"/>
      <c r="J2467" s="23"/>
      <c r="K2467" s="23"/>
      <c r="M2467" s="23"/>
      <c r="N2467" s="23"/>
      <c r="P2467" s="23"/>
    </row>
    <row r="2468" spans="2:16" x14ac:dyDescent="0.25">
      <c r="B2468" s="23"/>
      <c r="E2468" s="23"/>
      <c r="G2468" s="23"/>
      <c r="H2468" s="23"/>
      <c r="J2468" s="23"/>
      <c r="K2468" s="23"/>
      <c r="M2468" s="23"/>
      <c r="N2468" s="23"/>
      <c r="P2468" s="23"/>
    </row>
    <row r="2469" spans="2:16" x14ac:dyDescent="0.25">
      <c r="B2469" s="23"/>
      <c r="E2469" s="23"/>
      <c r="G2469" s="23"/>
      <c r="H2469" s="23"/>
      <c r="J2469" s="23"/>
      <c r="K2469" s="23"/>
      <c r="M2469" s="23"/>
      <c r="N2469" s="23"/>
      <c r="P2469" s="23"/>
    </row>
    <row r="2470" spans="2:16" x14ac:dyDescent="0.25">
      <c r="B2470" s="23"/>
      <c r="E2470" s="23"/>
      <c r="G2470" s="23"/>
      <c r="H2470" s="23"/>
      <c r="J2470" s="23"/>
      <c r="K2470" s="23"/>
      <c r="M2470" s="23"/>
      <c r="N2470" s="23"/>
      <c r="P2470" s="23"/>
    </row>
    <row r="2471" spans="2:16" x14ac:dyDescent="0.25">
      <c r="B2471" s="23"/>
      <c r="E2471" s="23"/>
      <c r="G2471" s="23"/>
      <c r="H2471" s="23"/>
      <c r="J2471" s="23"/>
      <c r="K2471" s="23"/>
      <c r="M2471" s="23"/>
      <c r="N2471" s="23"/>
      <c r="P2471" s="23"/>
    </row>
    <row r="2472" spans="2:16" x14ac:dyDescent="0.25">
      <c r="B2472" s="23"/>
      <c r="E2472" s="23"/>
      <c r="G2472" s="23"/>
      <c r="H2472" s="23"/>
      <c r="J2472" s="23"/>
      <c r="K2472" s="23"/>
      <c r="M2472" s="23"/>
      <c r="N2472" s="23"/>
      <c r="P2472" s="23"/>
    </row>
    <row r="2473" spans="2:16" x14ac:dyDescent="0.25">
      <c r="B2473" s="23"/>
      <c r="E2473" s="23"/>
      <c r="G2473" s="23"/>
      <c r="H2473" s="23"/>
      <c r="J2473" s="23"/>
      <c r="K2473" s="23"/>
      <c r="M2473" s="23"/>
      <c r="N2473" s="23"/>
      <c r="P2473" s="23"/>
    </row>
    <row r="2474" spans="2:16" x14ac:dyDescent="0.25">
      <c r="B2474" s="23"/>
      <c r="E2474" s="23"/>
      <c r="G2474" s="23"/>
      <c r="H2474" s="23"/>
      <c r="J2474" s="23"/>
      <c r="K2474" s="23"/>
      <c r="M2474" s="23"/>
      <c r="N2474" s="23"/>
      <c r="P2474" s="23"/>
    </row>
    <row r="2475" spans="2:16" x14ac:dyDescent="0.25">
      <c r="B2475" s="23"/>
      <c r="E2475" s="23"/>
      <c r="G2475" s="23"/>
      <c r="H2475" s="23"/>
      <c r="J2475" s="23"/>
      <c r="K2475" s="23"/>
      <c r="M2475" s="23"/>
      <c r="N2475" s="23"/>
      <c r="P2475" s="23"/>
    </row>
    <row r="2476" spans="2:16" x14ac:dyDescent="0.25">
      <c r="B2476" s="23"/>
      <c r="E2476" s="23"/>
      <c r="G2476" s="23"/>
      <c r="H2476" s="23"/>
      <c r="J2476" s="23"/>
      <c r="K2476" s="23"/>
      <c r="M2476" s="23"/>
      <c r="N2476" s="23"/>
      <c r="P2476" s="23"/>
    </row>
    <row r="2477" spans="2:16" x14ac:dyDescent="0.25">
      <c r="B2477" s="23"/>
      <c r="E2477" s="23"/>
      <c r="G2477" s="23"/>
      <c r="H2477" s="23"/>
      <c r="J2477" s="23"/>
      <c r="K2477" s="23"/>
      <c r="M2477" s="23"/>
      <c r="N2477" s="23"/>
      <c r="P2477" s="23"/>
    </row>
    <row r="2478" spans="2:16" x14ac:dyDescent="0.25">
      <c r="B2478" s="23"/>
      <c r="E2478" s="23"/>
      <c r="G2478" s="23"/>
      <c r="H2478" s="23"/>
      <c r="J2478" s="23"/>
      <c r="K2478" s="23"/>
      <c r="M2478" s="23"/>
      <c r="N2478" s="23"/>
      <c r="P2478" s="23"/>
    </row>
    <row r="2479" spans="2:16" x14ac:dyDescent="0.25">
      <c r="B2479" s="23"/>
      <c r="E2479" s="23"/>
      <c r="G2479" s="23"/>
      <c r="H2479" s="23"/>
      <c r="J2479" s="23"/>
      <c r="K2479" s="23"/>
      <c r="M2479" s="23"/>
      <c r="N2479" s="23"/>
      <c r="P2479" s="23"/>
    </row>
    <row r="2480" spans="2:16" x14ac:dyDescent="0.25">
      <c r="B2480" s="23"/>
      <c r="E2480" s="23"/>
      <c r="G2480" s="23"/>
      <c r="H2480" s="23"/>
      <c r="J2480" s="23"/>
      <c r="K2480" s="23"/>
      <c r="M2480" s="23"/>
      <c r="N2480" s="23"/>
      <c r="P2480" s="23"/>
    </row>
    <row r="2481" spans="2:16" x14ac:dyDescent="0.25">
      <c r="B2481" s="23"/>
      <c r="E2481" s="23"/>
      <c r="G2481" s="23"/>
      <c r="H2481" s="23"/>
      <c r="J2481" s="23"/>
      <c r="K2481" s="23"/>
      <c r="M2481" s="23"/>
      <c r="N2481" s="23"/>
      <c r="P2481" s="23"/>
    </row>
    <row r="2482" spans="2:16" x14ac:dyDescent="0.25">
      <c r="B2482" s="23"/>
      <c r="E2482" s="23"/>
      <c r="G2482" s="23"/>
      <c r="H2482" s="23"/>
      <c r="J2482" s="23"/>
      <c r="K2482" s="23"/>
      <c r="M2482" s="23"/>
      <c r="N2482" s="23"/>
      <c r="P2482" s="23"/>
    </row>
    <row r="2483" spans="2:16" x14ac:dyDescent="0.25">
      <c r="B2483" s="23"/>
      <c r="E2483" s="23"/>
      <c r="G2483" s="23"/>
      <c r="H2483" s="23"/>
      <c r="J2483" s="23"/>
      <c r="K2483" s="23"/>
      <c r="M2483" s="23"/>
      <c r="N2483" s="23"/>
      <c r="P2483" s="23"/>
    </row>
    <row r="2484" spans="2:16" x14ac:dyDescent="0.25">
      <c r="B2484" s="23"/>
      <c r="E2484" s="23"/>
      <c r="G2484" s="23"/>
      <c r="H2484" s="23"/>
      <c r="J2484" s="23"/>
      <c r="K2484" s="23"/>
      <c r="M2484" s="23"/>
      <c r="N2484" s="23"/>
      <c r="P2484" s="23"/>
    </row>
    <row r="2485" spans="2:16" x14ac:dyDescent="0.25">
      <c r="B2485" s="23"/>
      <c r="E2485" s="23"/>
      <c r="G2485" s="23"/>
      <c r="H2485" s="23"/>
      <c r="J2485" s="23"/>
      <c r="K2485" s="23"/>
      <c r="M2485" s="23"/>
      <c r="N2485" s="23"/>
      <c r="P2485" s="23"/>
    </row>
    <row r="2486" spans="2:16" x14ac:dyDescent="0.25">
      <c r="B2486" s="23"/>
      <c r="E2486" s="23"/>
      <c r="G2486" s="23"/>
      <c r="H2486" s="23"/>
      <c r="J2486" s="23"/>
      <c r="K2486" s="23"/>
      <c r="M2486" s="23"/>
      <c r="N2486" s="23"/>
      <c r="P2486" s="23"/>
    </row>
    <row r="2487" spans="2:16" x14ac:dyDescent="0.25">
      <c r="B2487" s="23"/>
      <c r="E2487" s="23"/>
      <c r="G2487" s="23"/>
      <c r="H2487" s="23"/>
      <c r="J2487" s="23"/>
      <c r="K2487" s="23"/>
      <c r="M2487" s="23"/>
      <c r="N2487" s="23"/>
      <c r="P2487" s="23"/>
    </row>
    <row r="2488" spans="2:16" x14ac:dyDescent="0.25">
      <c r="B2488" s="23"/>
      <c r="E2488" s="23"/>
      <c r="G2488" s="23"/>
      <c r="H2488" s="23"/>
      <c r="J2488" s="23"/>
      <c r="K2488" s="23"/>
      <c r="M2488" s="23"/>
      <c r="N2488" s="23"/>
      <c r="P2488" s="23"/>
    </row>
    <row r="2489" spans="2:16" x14ac:dyDescent="0.25">
      <c r="B2489" s="23"/>
      <c r="E2489" s="23"/>
      <c r="G2489" s="23"/>
      <c r="H2489" s="23"/>
      <c r="J2489" s="23"/>
      <c r="K2489" s="23"/>
      <c r="M2489" s="23"/>
      <c r="N2489" s="23"/>
      <c r="P2489" s="23"/>
    </row>
    <row r="2490" spans="2:16" x14ac:dyDescent="0.25">
      <c r="B2490" s="23"/>
      <c r="E2490" s="23"/>
      <c r="G2490" s="23"/>
      <c r="H2490" s="23"/>
      <c r="J2490" s="23"/>
      <c r="K2490" s="23"/>
      <c r="M2490" s="23"/>
      <c r="N2490" s="23"/>
      <c r="P2490" s="23"/>
    </row>
    <row r="2491" spans="2:16" x14ac:dyDescent="0.25">
      <c r="B2491" s="23"/>
      <c r="E2491" s="23"/>
      <c r="G2491" s="23"/>
      <c r="H2491" s="23"/>
      <c r="J2491" s="23"/>
      <c r="K2491" s="23"/>
      <c r="M2491" s="23"/>
      <c r="N2491" s="23"/>
      <c r="P2491" s="23"/>
    </row>
    <row r="2492" spans="2:16" x14ac:dyDescent="0.25">
      <c r="B2492" s="23"/>
      <c r="E2492" s="23"/>
      <c r="G2492" s="23"/>
      <c r="H2492" s="23"/>
      <c r="J2492" s="23"/>
      <c r="K2492" s="23"/>
      <c r="M2492" s="23"/>
      <c r="N2492" s="23"/>
      <c r="P2492" s="23"/>
    </row>
    <row r="2493" spans="2:16" x14ac:dyDescent="0.25">
      <c r="B2493" s="23"/>
      <c r="E2493" s="23"/>
      <c r="G2493" s="23"/>
      <c r="H2493" s="23"/>
      <c r="J2493" s="23"/>
      <c r="K2493" s="23"/>
      <c r="M2493" s="23"/>
      <c r="N2493" s="23"/>
      <c r="P2493" s="23"/>
    </row>
    <row r="2494" spans="2:16" x14ac:dyDescent="0.25">
      <c r="B2494" s="23"/>
      <c r="E2494" s="23"/>
      <c r="G2494" s="23"/>
      <c r="H2494" s="23"/>
      <c r="J2494" s="23"/>
      <c r="K2494" s="23"/>
      <c r="M2494" s="23"/>
      <c r="N2494" s="23"/>
      <c r="P2494" s="23"/>
    </row>
    <row r="2495" spans="2:16" x14ac:dyDescent="0.25">
      <c r="B2495" s="23"/>
      <c r="E2495" s="23"/>
      <c r="G2495" s="23"/>
      <c r="H2495" s="23"/>
      <c r="J2495" s="23"/>
      <c r="K2495" s="23"/>
      <c r="M2495" s="23"/>
      <c r="N2495" s="23"/>
      <c r="P2495" s="23"/>
    </row>
    <row r="2496" spans="2:16" x14ac:dyDescent="0.25">
      <c r="B2496" s="23"/>
      <c r="E2496" s="23"/>
      <c r="G2496" s="23"/>
      <c r="H2496" s="23"/>
      <c r="J2496" s="23"/>
      <c r="K2496" s="23"/>
      <c r="M2496" s="23"/>
      <c r="N2496" s="23"/>
      <c r="P2496" s="23"/>
    </row>
    <row r="2497" spans="2:16" x14ac:dyDescent="0.25">
      <c r="B2497" s="23"/>
      <c r="E2497" s="23"/>
      <c r="G2497" s="23"/>
      <c r="H2497" s="23"/>
      <c r="J2497" s="23"/>
      <c r="K2497" s="23"/>
      <c r="M2497" s="23"/>
      <c r="N2497" s="23"/>
      <c r="P2497" s="23"/>
    </row>
    <row r="2498" spans="2:16" x14ac:dyDescent="0.25">
      <c r="B2498" s="23"/>
      <c r="E2498" s="23"/>
      <c r="G2498" s="23"/>
      <c r="H2498" s="23"/>
      <c r="J2498" s="23"/>
      <c r="K2498" s="23"/>
      <c r="M2498" s="23"/>
      <c r="N2498" s="23"/>
      <c r="P2498" s="23"/>
    </row>
    <row r="2499" spans="2:16" x14ac:dyDescent="0.25">
      <c r="B2499" s="23"/>
      <c r="E2499" s="23"/>
      <c r="G2499" s="23"/>
      <c r="H2499" s="23"/>
      <c r="J2499" s="23"/>
      <c r="K2499" s="23"/>
      <c r="M2499" s="23"/>
      <c r="N2499" s="23"/>
      <c r="P2499" s="23"/>
    </row>
    <row r="2500" spans="2:16" x14ac:dyDescent="0.25">
      <c r="B2500" s="23"/>
      <c r="E2500" s="23"/>
      <c r="G2500" s="23"/>
      <c r="H2500" s="23"/>
      <c r="J2500" s="23"/>
      <c r="K2500" s="23"/>
      <c r="M2500" s="23"/>
      <c r="N2500" s="23"/>
      <c r="P2500" s="23"/>
    </row>
    <row r="2501" spans="2:16" x14ac:dyDescent="0.25">
      <c r="B2501" s="23"/>
      <c r="E2501" s="23"/>
      <c r="G2501" s="23"/>
      <c r="H2501" s="23"/>
      <c r="J2501" s="23"/>
      <c r="K2501" s="23"/>
      <c r="M2501" s="23"/>
      <c r="N2501" s="23"/>
      <c r="P2501" s="23"/>
    </row>
    <row r="2502" spans="2:16" x14ac:dyDescent="0.25">
      <c r="B2502" s="23"/>
      <c r="E2502" s="23"/>
      <c r="G2502" s="23"/>
      <c r="H2502" s="23"/>
      <c r="J2502" s="23"/>
      <c r="K2502" s="23"/>
      <c r="M2502" s="23"/>
      <c r="N2502" s="23"/>
      <c r="P2502" s="23"/>
    </row>
    <row r="2503" spans="2:16" x14ac:dyDescent="0.25">
      <c r="B2503" s="23"/>
      <c r="E2503" s="23"/>
      <c r="G2503" s="23"/>
      <c r="H2503" s="23"/>
      <c r="J2503" s="23"/>
      <c r="K2503" s="23"/>
      <c r="M2503" s="23"/>
      <c r="N2503" s="23"/>
      <c r="P2503" s="23"/>
    </row>
    <row r="2504" spans="2:16" x14ac:dyDescent="0.25">
      <c r="B2504" s="23"/>
      <c r="E2504" s="23"/>
      <c r="G2504" s="23"/>
      <c r="H2504" s="23"/>
      <c r="J2504" s="23"/>
      <c r="K2504" s="23"/>
      <c r="M2504" s="23"/>
      <c r="N2504" s="23"/>
      <c r="P2504" s="23"/>
    </row>
    <row r="2505" spans="2:16" x14ac:dyDescent="0.25">
      <c r="B2505" s="23"/>
      <c r="E2505" s="23"/>
      <c r="G2505" s="23"/>
      <c r="H2505" s="23"/>
      <c r="J2505" s="23"/>
      <c r="K2505" s="23"/>
      <c r="M2505" s="23"/>
      <c r="N2505" s="23"/>
      <c r="P2505" s="23"/>
    </row>
    <row r="2506" spans="2:16" x14ac:dyDescent="0.25">
      <c r="B2506" s="23"/>
      <c r="E2506" s="23"/>
      <c r="G2506" s="23"/>
      <c r="H2506" s="23"/>
      <c r="J2506" s="23"/>
      <c r="K2506" s="23"/>
      <c r="M2506" s="23"/>
      <c r="N2506" s="23"/>
      <c r="P2506" s="23"/>
    </row>
    <row r="2507" spans="2:16" x14ac:dyDescent="0.25">
      <c r="B2507" s="23"/>
      <c r="E2507" s="23"/>
      <c r="G2507" s="23"/>
      <c r="H2507" s="23"/>
      <c r="J2507" s="23"/>
      <c r="K2507" s="23"/>
      <c r="M2507" s="23"/>
      <c r="N2507" s="23"/>
      <c r="P2507" s="23"/>
    </row>
    <row r="2508" spans="2:16" x14ac:dyDescent="0.25">
      <c r="B2508" s="23"/>
      <c r="E2508" s="23"/>
      <c r="G2508" s="23"/>
      <c r="H2508" s="23"/>
      <c r="J2508" s="23"/>
      <c r="K2508" s="23"/>
      <c r="M2508" s="23"/>
      <c r="N2508" s="23"/>
      <c r="P2508" s="23"/>
    </row>
    <row r="2509" spans="2:16" x14ac:dyDescent="0.25">
      <c r="B2509" s="23"/>
      <c r="E2509" s="23"/>
      <c r="G2509" s="23"/>
      <c r="H2509" s="23"/>
      <c r="J2509" s="23"/>
      <c r="K2509" s="23"/>
      <c r="M2509" s="23"/>
      <c r="N2509" s="23"/>
      <c r="P2509" s="23"/>
    </row>
    <row r="2510" spans="2:16" x14ac:dyDescent="0.25">
      <c r="B2510" s="23"/>
      <c r="E2510" s="23"/>
      <c r="G2510" s="23"/>
      <c r="H2510" s="23"/>
      <c r="J2510" s="23"/>
      <c r="K2510" s="23"/>
      <c r="M2510" s="23"/>
      <c r="N2510" s="23"/>
      <c r="P2510" s="23"/>
    </row>
    <row r="2511" spans="2:16" x14ac:dyDescent="0.25">
      <c r="B2511" s="23"/>
      <c r="E2511" s="23"/>
      <c r="G2511" s="23"/>
      <c r="H2511" s="23"/>
      <c r="J2511" s="23"/>
      <c r="K2511" s="23"/>
      <c r="M2511" s="23"/>
      <c r="N2511" s="23"/>
      <c r="P2511" s="23"/>
    </row>
    <row r="2512" spans="2:16" x14ac:dyDescent="0.25">
      <c r="B2512" s="23"/>
      <c r="E2512" s="23"/>
      <c r="G2512" s="23"/>
      <c r="H2512" s="23"/>
      <c r="J2512" s="23"/>
      <c r="K2512" s="23"/>
      <c r="M2512" s="23"/>
      <c r="N2512" s="23"/>
      <c r="P2512" s="23"/>
    </row>
    <row r="2513" spans="2:16" x14ac:dyDescent="0.25">
      <c r="B2513" s="23"/>
      <c r="E2513" s="23"/>
      <c r="G2513" s="23"/>
      <c r="H2513" s="23"/>
      <c r="J2513" s="23"/>
      <c r="K2513" s="23"/>
      <c r="M2513" s="23"/>
      <c r="N2513" s="23"/>
      <c r="P2513" s="23"/>
    </row>
    <row r="2514" spans="2:16" x14ac:dyDescent="0.25">
      <c r="B2514" s="23"/>
      <c r="E2514" s="23"/>
      <c r="G2514" s="23"/>
      <c r="H2514" s="23"/>
      <c r="J2514" s="23"/>
      <c r="K2514" s="23"/>
      <c r="M2514" s="23"/>
      <c r="N2514" s="23"/>
      <c r="P2514" s="23"/>
    </row>
    <row r="2515" spans="2:16" x14ac:dyDescent="0.25">
      <c r="B2515" s="23"/>
      <c r="E2515" s="23"/>
      <c r="G2515" s="23"/>
      <c r="H2515" s="23"/>
      <c r="J2515" s="23"/>
      <c r="K2515" s="23"/>
      <c r="M2515" s="23"/>
      <c r="N2515" s="23"/>
      <c r="P2515" s="23"/>
    </row>
    <row r="2516" spans="2:16" x14ac:dyDescent="0.25">
      <c r="B2516" s="23"/>
      <c r="E2516" s="23"/>
      <c r="G2516" s="23"/>
      <c r="H2516" s="23"/>
      <c r="J2516" s="23"/>
      <c r="K2516" s="23"/>
      <c r="M2516" s="23"/>
      <c r="N2516" s="23"/>
      <c r="P2516" s="23"/>
    </row>
    <row r="2517" spans="2:16" x14ac:dyDescent="0.25">
      <c r="B2517" s="23"/>
      <c r="E2517" s="23"/>
      <c r="G2517" s="23"/>
      <c r="H2517" s="23"/>
      <c r="J2517" s="23"/>
      <c r="K2517" s="23"/>
      <c r="M2517" s="23"/>
      <c r="N2517" s="23"/>
      <c r="P2517" s="23"/>
    </row>
    <row r="2518" spans="2:16" x14ac:dyDescent="0.25">
      <c r="B2518" s="23"/>
      <c r="E2518" s="23"/>
      <c r="G2518" s="23"/>
      <c r="H2518" s="23"/>
      <c r="J2518" s="23"/>
      <c r="K2518" s="23"/>
      <c r="M2518" s="23"/>
      <c r="N2518" s="23"/>
      <c r="P2518" s="23"/>
    </row>
    <row r="2519" spans="2:16" x14ac:dyDescent="0.25">
      <c r="B2519" s="23"/>
      <c r="E2519" s="23"/>
      <c r="G2519" s="23"/>
      <c r="H2519" s="23"/>
      <c r="J2519" s="23"/>
      <c r="K2519" s="23"/>
      <c r="M2519" s="23"/>
      <c r="N2519" s="23"/>
      <c r="P2519" s="23"/>
    </row>
    <row r="2520" spans="2:16" x14ac:dyDescent="0.25">
      <c r="B2520" s="23"/>
      <c r="E2520" s="23"/>
      <c r="G2520" s="23"/>
      <c r="H2520" s="23"/>
      <c r="J2520" s="23"/>
      <c r="K2520" s="23"/>
      <c r="M2520" s="23"/>
      <c r="N2520" s="23"/>
      <c r="P2520" s="23"/>
    </row>
    <row r="2521" spans="2:16" x14ac:dyDescent="0.25">
      <c r="B2521" s="23"/>
      <c r="E2521" s="23"/>
      <c r="G2521" s="23"/>
      <c r="H2521" s="23"/>
      <c r="J2521" s="23"/>
      <c r="K2521" s="23"/>
      <c r="M2521" s="23"/>
      <c r="N2521" s="23"/>
      <c r="P2521" s="23"/>
    </row>
    <row r="2522" spans="2:16" x14ac:dyDescent="0.25">
      <c r="B2522" s="23"/>
      <c r="E2522" s="23"/>
      <c r="G2522" s="23"/>
      <c r="H2522" s="23"/>
      <c r="J2522" s="23"/>
      <c r="K2522" s="23"/>
      <c r="M2522" s="23"/>
      <c r="N2522" s="23"/>
      <c r="P2522" s="23"/>
    </row>
    <row r="2523" spans="2:16" x14ac:dyDescent="0.25">
      <c r="B2523" s="23"/>
      <c r="E2523" s="23"/>
      <c r="G2523" s="23"/>
      <c r="H2523" s="23"/>
      <c r="J2523" s="23"/>
      <c r="K2523" s="23"/>
      <c r="M2523" s="23"/>
      <c r="N2523" s="23"/>
      <c r="P2523" s="23"/>
    </row>
    <row r="2524" spans="2:16" x14ac:dyDescent="0.25">
      <c r="B2524" s="23"/>
      <c r="E2524" s="23"/>
      <c r="G2524" s="23"/>
      <c r="H2524" s="23"/>
      <c r="J2524" s="23"/>
      <c r="K2524" s="23"/>
      <c r="M2524" s="23"/>
      <c r="N2524" s="23"/>
      <c r="P2524" s="23"/>
    </row>
    <row r="2525" spans="2:16" x14ac:dyDescent="0.25">
      <c r="B2525" s="23"/>
      <c r="E2525" s="23"/>
      <c r="G2525" s="23"/>
      <c r="H2525" s="23"/>
      <c r="J2525" s="23"/>
      <c r="K2525" s="23"/>
      <c r="M2525" s="23"/>
      <c r="N2525" s="23"/>
      <c r="P2525" s="23"/>
    </row>
    <row r="2526" spans="2:16" x14ac:dyDescent="0.25">
      <c r="B2526" s="23"/>
      <c r="E2526" s="23"/>
      <c r="G2526" s="23"/>
      <c r="H2526" s="23"/>
      <c r="J2526" s="23"/>
      <c r="K2526" s="23"/>
      <c r="M2526" s="23"/>
      <c r="N2526" s="23"/>
      <c r="P2526" s="23"/>
    </row>
    <row r="2527" spans="2:16" x14ac:dyDescent="0.25">
      <c r="B2527" s="23"/>
      <c r="E2527" s="23"/>
      <c r="G2527" s="23"/>
      <c r="H2527" s="23"/>
      <c r="J2527" s="23"/>
      <c r="K2527" s="23"/>
      <c r="M2527" s="23"/>
      <c r="N2527" s="23"/>
      <c r="P2527" s="23"/>
    </row>
    <row r="2528" spans="2:16" x14ac:dyDescent="0.25">
      <c r="B2528" s="23"/>
      <c r="E2528" s="23"/>
      <c r="G2528" s="23"/>
      <c r="H2528" s="23"/>
      <c r="J2528" s="23"/>
      <c r="K2528" s="23"/>
      <c r="M2528" s="23"/>
      <c r="N2528" s="23"/>
      <c r="P2528" s="23"/>
    </row>
    <row r="2529" spans="2:16" x14ac:dyDescent="0.25">
      <c r="B2529" s="23"/>
      <c r="E2529" s="23"/>
      <c r="G2529" s="23"/>
      <c r="H2529" s="23"/>
      <c r="J2529" s="23"/>
      <c r="K2529" s="23"/>
      <c r="M2529" s="23"/>
      <c r="N2529" s="23"/>
      <c r="P2529" s="23"/>
    </row>
    <row r="2530" spans="2:16" x14ac:dyDescent="0.25">
      <c r="B2530" s="23"/>
      <c r="E2530" s="23"/>
      <c r="G2530" s="23"/>
      <c r="H2530" s="23"/>
      <c r="J2530" s="23"/>
      <c r="K2530" s="23"/>
      <c r="M2530" s="23"/>
      <c r="N2530" s="23"/>
      <c r="P2530" s="23"/>
    </row>
    <row r="2531" spans="2:16" x14ac:dyDescent="0.25">
      <c r="B2531" s="23"/>
      <c r="E2531" s="23"/>
      <c r="G2531" s="23"/>
      <c r="H2531" s="23"/>
      <c r="J2531" s="23"/>
      <c r="K2531" s="23"/>
      <c r="M2531" s="23"/>
      <c r="N2531" s="23"/>
      <c r="P2531" s="23"/>
    </row>
    <row r="2532" spans="2:16" x14ac:dyDescent="0.25">
      <c r="B2532" s="23"/>
      <c r="E2532" s="23"/>
      <c r="G2532" s="23"/>
      <c r="H2532" s="23"/>
      <c r="J2532" s="23"/>
      <c r="K2532" s="23"/>
      <c r="M2532" s="23"/>
      <c r="N2532" s="23"/>
      <c r="P2532" s="23"/>
    </row>
    <row r="2533" spans="2:16" x14ac:dyDescent="0.25">
      <c r="B2533" s="23"/>
      <c r="E2533" s="23"/>
      <c r="G2533" s="23"/>
      <c r="H2533" s="23"/>
      <c r="J2533" s="23"/>
      <c r="K2533" s="23"/>
      <c r="M2533" s="23"/>
      <c r="N2533" s="23"/>
      <c r="P2533" s="23"/>
    </row>
    <row r="2534" spans="2:16" x14ac:dyDescent="0.25">
      <c r="B2534" s="23"/>
      <c r="E2534" s="23"/>
      <c r="G2534" s="23"/>
      <c r="H2534" s="23"/>
      <c r="J2534" s="23"/>
      <c r="K2534" s="23"/>
      <c r="M2534" s="23"/>
      <c r="N2534" s="23"/>
      <c r="P2534" s="23"/>
    </row>
    <row r="2535" spans="2:16" x14ac:dyDescent="0.25">
      <c r="B2535" s="23"/>
      <c r="E2535" s="23"/>
      <c r="G2535" s="23"/>
      <c r="H2535" s="23"/>
      <c r="J2535" s="23"/>
      <c r="K2535" s="23"/>
      <c r="M2535" s="23"/>
      <c r="N2535" s="23"/>
      <c r="P2535" s="23"/>
    </row>
    <row r="2536" spans="2:16" x14ac:dyDescent="0.25">
      <c r="B2536" s="23"/>
      <c r="E2536" s="23"/>
      <c r="G2536" s="23"/>
      <c r="H2536" s="23"/>
      <c r="J2536" s="23"/>
      <c r="K2536" s="23"/>
      <c r="M2536" s="23"/>
      <c r="N2536" s="23"/>
      <c r="P2536" s="23"/>
    </row>
    <row r="2537" spans="2:16" x14ac:dyDescent="0.25">
      <c r="B2537" s="23"/>
      <c r="E2537" s="23"/>
      <c r="G2537" s="23"/>
      <c r="H2537" s="23"/>
      <c r="J2537" s="23"/>
      <c r="K2537" s="23"/>
      <c r="M2537" s="23"/>
      <c r="N2537" s="23"/>
      <c r="P2537" s="23"/>
    </row>
    <row r="2538" spans="2:16" x14ac:dyDescent="0.25">
      <c r="B2538" s="23"/>
      <c r="E2538" s="23"/>
      <c r="G2538" s="23"/>
      <c r="H2538" s="23"/>
      <c r="J2538" s="23"/>
      <c r="K2538" s="23"/>
      <c r="M2538" s="23"/>
      <c r="N2538" s="23"/>
      <c r="P2538" s="23"/>
    </row>
    <row r="2539" spans="2:16" x14ac:dyDescent="0.25">
      <c r="B2539" s="23"/>
      <c r="E2539" s="23"/>
      <c r="G2539" s="23"/>
      <c r="H2539" s="23"/>
      <c r="J2539" s="23"/>
      <c r="K2539" s="23"/>
      <c r="M2539" s="23"/>
      <c r="N2539" s="23"/>
      <c r="P2539" s="23"/>
    </row>
    <row r="2540" spans="2:16" x14ac:dyDescent="0.25">
      <c r="B2540" s="23"/>
      <c r="E2540" s="23"/>
      <c r="G2540" s="23"/>
      <c r="H2540" s="23"/>
      <c r="J2540" s="23"/>
      <c r="K2540" s="23"/>
      <c r="M2540" s="23"/>
      <c r="N2540" s="23"/>
      <c r="P2540" s="23"/>
    </row>
    <row r="2541" spans="2:16" x14ac:dyDescent="0.25">
      <c r="B2541" s="23"/>
      <c r="E2541" s="23"/>
      <c r="G2541" s="23"/>
      <c r="H2541" s="23"/>
      <c r="J2541" s="23"/>
      <c r="K2541" s="23"/>
      <c r="M2541" s="23"/>
      <c r="N2541" s="23"/>
      <c r="P2541" s="23"/>
    </row>
    <row r="2542" spans="2:16" x14ac:dyDescent="0.25">
      <c r="B2542" s="23"/>
      <c r="E2542" s="23"/>
      <c r="G2542" s="23"/>
      <c r="H2542" s="23"/>
      <c r="J2542" s="23"/>
      <c r="K2542" s="23"/>
      <c r="M2542" s="23"/>
      <c r="N2542" s="23"/>
      <c r="P2542" s="23"/>
    </row>
    <row r="2543" spans="2:16" x14ac:dyDescent="0.25">
      <c r="B2543" s="23"/>
      <c r="E2543" s="23"/>
      <c r="G2543" s="23"/>
      <c r="H2543" s="23"/>
      <c r="J2543" s="23"/>
      <c r="K2543" s="23"/>
      <c r="M2543" s="23"/>
      <c r="N2543" s="23"/>
      <c r="P2543" s="23"/>
    </row>
    <row r="2544" spans="2:16" x14ac:dyDescent="0.25">
      <c r="B2544" s="23"/>
      <c r="E2544" s="23"/>
      <c r="G2544" s="23"/>
      <c r="H2544" s="23"/>
      <c r="J2544" s="23"/>
      <c r="K2544" s="23"/>
      <c r="M2544" s="23"/>
      <c r="N2544" s="23"/>
      <c r="P2544" s="23"/>
    </row>
    <row r="2545" spans="2:16" x14ac:dyDescent="0.25">
      <c r="B2545" s="23"/>
      <c r="E2545" s="23"/>
      <c r="G2545" s="23"/>
      <c r="H2545" s="23"/>
      <c r="J2545" s="23"/>
      <c r="K2545" s="23"/>
      <c r="M2545" s="23"/>
      <c r="N2545" s="23"/>
      <c r="P2545" s="23"/>
    </row>
    <row r="2546" spans="2:16" x14ac:dyDescent="0.25">
      <c r="B2546" s="23"/>
      <c r="E2546" s="23"/>
      <c r="G2546" s="23"/>
      <c r="H2546" s="23"/>
      <c r="J2546" s="23"/>
      <c r="K2546" s="23"/>
      <c r="M2546" s="23"/>
      <c r="N2546" s="23"/>
      <c r="P2546" s="23"/>
    </row>
    <row r="2547" spans="2:16" x14ac:dyDescent="0.25">
      <c r="B2547" s="23"/>
      <c r="E2547" s="23"/>
      <c r="G2547" s="23"/>
      <c r="H2547" s="23"/>
      <c r="J2547" s="23"/>
      <c r="K2547" s="23"/>
      <c r="M2547" s="23"/>
      <c r="N2547" s="23"/>
      <c r="P2547" s="23"/>
    </row>
    <row r="2548" spans="2:16" x14ac:dyDescent="0.25">
      <c r="B2548" s="23"/>
      <c r="E2548" s="23"/>
      <c r="G2548" s="23"/>
      <c r="H2548" s="23"/>
      <c r="J2548" s="23"/>
      <c r="K2548" s="23"/>
      <c r="M2548" s="23"/>
      <c r="N2548" s="23"/>
      <c r="P2548" s="23"/>
    </row>
    <row r="2549" spans="2:16" x14ac:dyDescent="0.25">
      <c r="B2549" s="23"/>
      <c r="E2549" s="23"/>
      <c r="G2549" s="23"/>
      <c r="H2549" s="23"/>
      <c r="J2549" s="23"/>
      <c r="K2549" s="23"/>
      <c r="M2549" s="23"/>
      <c r="N2549" s="23"/>
      <c r="P2549" s="23"/>
    </row>
    <row r="2550" spans="2:16" x14ac:dyDescent="0.25">
      <c r="B2550" s="23"/>
      <c r="E2550" s="23"/>
      <c r="G2550" s="23"/>
      <c r="H2550" s="23"/>
      <c r="J2550" s="23"/>
      <c r="K2550" s="23"/>
      <c r="M2550" s="23"/>
      <c r="N2550" s="23"/>
      <c r="P2550" s="23"/>
    </row>
    <row r="2551" spans="2:16" x14ac:dyDescent="0.25">
      <c r="B2551" s="23"/>
      <c r="E2551" s="23"/>
      <c r="G2551" s="23"/>
      <c r="H2551" s="23"/>
      <c r="J2551" s="23"/>
      <c r="K2551" s="23"/>
      <c r="M2551" s="23"/>
      <c r="N2551" s="23"/>
      <c r="P2551" s="23"/>
    </row>
    <row r="2552" spans="2:16" x14ac:dyDescent="0.25">
      <c r="B2552" s="23"/>
      <c r="E2552" s="23"/>
      <c r="G2552" s="23"/>
      <c r="H2552" s="23"/>
      <c r="J2552" s="23"/>
      <c r="K2552" s="23"/>
      <c r="M2552" s="23"/>
      <c r="N2552" s="23"/>
      <c r="P2552" s="23"/>
    </row>
    <row r="2553" spans="2:16" x14ac:dyDescent="0.25">
      <c r="B2553" s="23"/>
      <c r="E2553" s="23"/>
      <c r="G2553" s="23"/>
      <c r="H2553" s="23"/>
      <c r="J2553" s="23"/>
      <c r="K2553" s="23"/>
      <c r="M2553" s="23"/>
      <c r="N2553" s="23"/>
      <c r="P2553" s="23"/>
    </row>
    <row r="2554" spans="2:16" x14ac:dyDescent="0.25">
      <c r="B2554" s="23"/>
      <c r="E2554" s="23"/>
      <c r="G2554" s="23"/>
      <c r="H2554" s="23"/>
      <c r="J2554" s="23"/>
      <c r="K2554" s="23"/>
      <c r="M2554" s="23"/>
      <c r="N2554" s="23"/>
      <c r="P2554" s="23"/>
    </row>
    <row r="2555" spans="2:16" x14ac:dyDescent="0.25">
      <c r="B2555" s="23"/>
      <c r="E2555" s="23"/>
      <c r="G2555" s="23"/>
      <c r="H2555" s="23"/>
      <c r="J2555" s="23"/>
      <c r="K2555" s="23"/>
      <c r="M2555" s="23"/>
      <c r="N2555" s="23"/>
      <c r="P2555" s="23"/>
    </row>
    <row r="2556" spans="2:16" x14ac:dyDescent="0.25">
      <c r="B2556" s="23"/>
      <c r="E2556" s="23"/>
      <c r="G2556" s="23"/>
      <c r="H2556" s="23"/>
      <c r="J2556" s="23"/>
      <c r="K2556" s="23"/>
      <c r="M2556" s="23"/>
      <c r="N2556" s="23"/>
      <c r="P2556" s="23"/>
    </row>
    <row r="2557" spans="2:16" x14ac:dyDescent="0.25">
      <c r="B2557" s="23"/>
      <c r="E2557" s="23"/>
      <c r="G2557" s="23"/>
      <c r="H2557" s="23"/>
      <c r="J2557" s="23"/>
      <c r="K2557" s="23"/>
      <c r="M2557" s="23"/>
      <c r="N2557" s="23"/>
      <c r="P2557" s="23"/>
    </row>
    <row r="2558" spans="2:16" x14ac:dyDescent="0.25">
      <c r="B2558" s="23"/>
      <c r="E2558" s="23"/>
      <c r="G2558" s="23"/>
      <c r="H2558" s="23"/>
      <c r="J2558" s="23"/>
      <c r="K2558" s="23"/>
      <c r="M2558" s="23"/>
      <c r="N2558" s="23"/>
      <c r="P2558" s="23"/>
    </row>
    <row r="2559" spans="2:16" x14ac:dyDescent="0.25">
      <c r="B2559" s="23"/>
      <c r="E2559" s="23"/>
      <c r="G2559" s="23"/>
      <c r="H2559" s="23"/>
      <c r="J2559" s="23"/>
      <c r="K2559" s="23"/>
      <c r="M2559" s="23"/>
      <c r="N2559" s="23"/>
      <c r="P2559" s="23"/>
    </row>
    <row r="2560" spans="2:16" x14ac:dyDescent="0.25">
      <c r="B2560" s="23"/>
      <c r="E2560" s="23"/>
      <c r="G2560" s="23"/>
      <c r="H2560" s="23"/>
      <c r="J2560" s="23"/>
      <c r="K2560" s="23"/>
      <c r="M2560" s="23"/>
      <c r="N2560" s="23"/>
      <c r="P2560" s="23"/>
    </row>
    <row r="2561" spans="2:16" x14ac:dyDescent="0.25">
      <c r="B2561" s="23"/>
      <c r="E2561" s="23"/>
      <c r="G2561" s="23"/>
      <c r="H2561" s="23"/>
      <c r="J2561" s="23"/>
      <c r="K2561" s="23"/>
      <c r="M2561" s="23"/>
      <c r="N2561" s="23"/>
      <c r="P2561" s="23"/>
    </row>
    <row r="2562" spans="2:16" x14ac:dyDescent="0.25">
      <c r="B2562" s="23"/>
      <c r="E2562" s="23"/>
      <c r="G2562" s="23"/>
      <c r="H2562" s="23"/>
      <c r="J2562" s="23"/>
      <c r="K2562" s="23"/>
      <c r="M2562" s="23"/>
      <c r="N2562" s="23"/>
      <c r="P2562" s="23"/>
    </row>
    <row r="2563" spans="2:16" x14ac:dyDescent="0.25">
      <c r="B2563" s="23"/>
      <c r="E2563" s="23"/>
      <c r="G2563" s="23"/>
      <c r="H2563" s="23"/>
      <c r="J2563" s="23"/>
      <c r="K2563" s="23"/>
      <c r="M2563" s="23"/>
      <c r="N2563" s="23"/>
      <c r="P2563" s="23"/>
    </row>
    <row r="2564" spans="2:16" x14ac:dyDescent="0.25">
      <c r="B2564" s="23"/>
      <c r="E2564" s="23"/>
      <c r="G2564" s="23"/>
      <c r="H2564" s="23"/>
      <c r="J2564" s="23"/>
      <c r="K2564" s="23"/>
      <c r="M2564" s="23"/>
      <c r="N2564" s="23"/>
      <c r="P2564" s="23"/>
    </row>
    <row r="2565" spans="2:16" x14ac:dyDescent="0.25">
      <c r="B2565" s="23"/>
      <c r="E2565" s="23"/>
      <c r="G2565" s="23"/>
      <c r="H2565" s="23"/>
      <c r="J2565" s="23"/>
      <c r="K2565" s="23"/>
      <c r="M2565" s="23"/>
      <c r="N2565" s="23"/>
      <c r="P2565" s="23"/>
    </row>
    <row r="2566" spans="2:16" x14ac:dyDescent="0.25">
      <c r="B2566" s="23"/>
      <c r="E2566" s="23"/>
      <c r="G2566" s="23"/>
      <c r="H2566" s="23"/>
      <c r="J2566" s="23"/>
      <c r="K2566" s="23"/>
      <c r="M2566" s="23"/>
      <c r="N2566" s="23"/>
      <c r="P2566" s="23"/>
    </row>
    <row r="2567" spans="2:16" x14ac:dyDescent="0.25">
      <c r="B2567" s="23"/>
      <c r="E2567" s="23"/>
      <c r="G2567" s="23"/>
      <c r="H2567" s="23"/>
      <c r="J2567" s="23"/>
      <c r="K2567" s="23"/>
      <c r="M2567" s="23"/>
      <c r="N2567" s="23"/>
      <c r="P2567" s="23"/>
    </row>
    <row r="2568" spans="2:16" x14ac:dyDescent="0.25">
      <c r="B2568" s="23"/>
      <c r="E2568" s="23"/>
      <c r="G2568" s="23"/>
      <c r="H2568" s="23"/>
      <c r="J2568" s="23"/>
      <c r="K2568" s="23"/>
      <c r="M2568" s="23"/>
      <c r="N2568" s="23"/>
      <c r="P2568" s="23"/>
    </row>
    <row r="2569" spans="2:16" x14ac:dyDescent="0.25">
      <c r="B2569" s="23"/>
      <c r="E2569" s="23"/>
      <c r="G2569" s="23"/>
      <c r="H2569" s="23"/>
      <c r="J2569" s="23"/>
      <c r="K2569" s="23"/>
      <c r="M2569" s="23"/>
      <c r="N2569" s="23"/>
      <c r="P2569" s="23"/>
    </row>
    <row r="2570" spans="2:16" x14ac:dyDescent="0.25">
      <c r="B2570" s="23"/>
      <c r="E2570" s="23"/>
      <c r="G2570" s="23"/>
      <c r="H2570" s="23"/>
      <c r="J2570" s="23"/>
      <c r="K2570" s="23"/>
      <c r="M2570" s="23"/>
      <c r="N2570" s="23"/>
      <c r="P2570" s="23"/>
    </row>
    <row r="2571" spans="2:16" x14ac:dyDescent="0.25">
      <c r="B2571" s="23"/>
      <c r="E2571" s="23"/>
      <c r="G2571" s="23"/>
      <c r="H2571" s="23"/>
      <c r="J2571" s="23"/>
      <c r="K2571" s="23"/>
      <c r="M2571" s="23"/>
      <c r="N2571" s="23"/>
      <c r="P2571" s="23"/>
    </row>
    <row r="2572" spans="2:16" x14ac:dyDescent="0.25">
      <c r="B2572" s="23"/>
      <c r="E2572" s="23"/>
      <c r="G2572" s="23"/>
      <c r="H2572" s="23"/>
      <c r="J2572" s="23"/>
      <c r="K2572" s="23"/>
      <c r="M2572" s="23"/>
      <c r="N2572" s="23"/>
      <c r="P2572" s="23"/>
    </row>
    <row r="2573" spans="2:16" x14ac:dyDescent="0.25">
      <c r="B2573" s="23"/>
      <c r="E2573" s="23"/>
      <c r="G2573" s="23"/>
      <c r="H2573" s="23"/>
      <c r="J2573" s="23"/>
      <c r="K2573" s="23"/>
      <c r="M2573" s="23"/>
      <c r="N2573" s="23"/>
      <c r="P2573" s="23"/>
    </row>
    <row r="2574" spans="2:16" x14ac:dyDescent="0.25">
      <c r="B2574" s="23"/>
      <c r="E2574" s="23"/>
      <c r="G2574" s="23"/>
      <c r="H2574" s="23"/>
      <c r="J2574" s="23"/>
      <c r="K2574" s="23"/>
      <c r="M2574" s="23"/>
      <c r="N2574" s="23"/>
      <c r="P2574" s="23"/>
    </row>
    <row r="2575" spans="2:16" x14ac:dyDescent="0.25">
      <c r="B2575" s="23"/>
      <c r="E2575" s="23"/>
      <c r="G2575" s="23"/>
      <c r="H2575" s="23"/>
      <c r="J2575" s="23"/>
      <c r="K2575" s="23"/>
      <c r="M2575" s="23"/>
      <c r="N2575" s="23"/>
      <c r="P2575" s="23"/>
    </row>
    <row r="2576" spans="2:16" x14ac:dyDescent="0.25">
      <c r="B2576" s="23"/>
      <c r="E2576" s="23"/>
      <c r="G2576" s="23"/>
      <c r="H2576" s="23"/>
      <c r="J2576" s="23"/>
      <c r="K2576" s="23"/>
      <c r="M2576" s="23"/>
      <c r="N2576" s="23"/>
      <c r="P2576" s="23"/>
    </row>
    <row r="2577" spans="2:16" x14ac:dyDescent="0.25">
      <c r="B2577" s="23"/>
      <c r="E2577" s="23"/>
      <c r="G2577" s="23"/>
      <c r="H2577" s="23"/>
      <c r="J2577" s="23"/>
      <c r="K2577" s="23"/>
      <c r="M2577" s="23"/>
      <c r="N2577" s="23"/>
      <c r="P2577" s="23"/>
    </row>
    <row r="2578" spans="2:16" x14ac:dyDescent="0.25">
      <c r="B2578" s="23"/>
      <c r="E2578" s="23"/>
      <c r="G2578" s="23"/>
      <c r="H2578" s="23"/>
      <c r="J2578" s="23"/>
      <c r="K2578" s="23"/>
      <c r="M2578" s="23"/>
      <c r="N2578" s="23"/>
      <c r="P2578" s="23"/>
    </row>
    <row r="2579" spans="2:16" x14ac:dyDescent="0.25">
      <c r="B2579" s="23"/>
      <c r="E2579" s="23"/>
      <c r="G2579" s="23"/>
      <c r="H2579" s="23"/>
      <c r="J2579" s="23"/>
      <c r="K2579" s="23"/>
      <c r="M2579" s="23"/>
      <c r="N2579" s="23"/>
      <c r="P2579" s="23"/>
    </row>
    <row r="2580" spans="2:16" x14ac:dyDescent="0.25">
      <c r="B2580" s="23"/>
      <c r="E2580" s="23"/>
      <c r="G2580" s="23"/>
      <c r="H2580" s="23"/>
      <c r="J2580" s="23"/>
      <c r="K2580" s="23"/>
      <c r="M2580" s="23"/>
      <c r="N2580" s="23"/>
      <c r="P2580" s="23"/>
    </row>
    <row r="2581" spans="2:16" x14ac:dyDescent="0.25">
      <c r="B2581" s="23"/>
      <c r="E2581" s="23"/>
      <c r="G2581" s="23"/>
      <c r="H2581" s="23"/>
      <c r="J2581" s="23"/>
      <c r="K2581" s="23"/>
      <c r="M2581" s="23"/>
      <c r="N2581" s="23"/>
      <c r="P2581" s="23"/>
    </row>
    <row r="2582" spans="2:16" x14ac:dyDescent="0.25">
      <c r="B2582" s="23"/>
      <c r="E2582" s="23"/>
      <c r="G2582" s="23"/>
      <c r="H2582" s="23"/>
      <c r="J2582" s="23"/>
      <c r="K2582" s="23"/>
      <c r="M2582" s="23"/>
      <c r="N2582" s="23"/>
      <c r="P2582" s="23"/>
    </row>
    <row r="2583" spans="2:16" x14ac:dyDescent="0.25">
      <c r="B2583" s="23"/>
      <c r="E2583" s="23"/>
      <c r="G2583" s="23"/>
      <c r="H2583" s="23"/>
      <c r="J2583" s="23"/>
      <c r="K2583" s="23"/>
      <c r="M2583" s="23"/>
      <c r="N2583" s="23"/>
      <c r="P2583" s="23"/>
    </row>
    <row r="2584" spans="2:16" x14ac:dyDescent="0.25">
      <c r="B2584" s="23"/>
      <c r="E2584" s="23"/>
      <c r="G2584" s="23"/>
      <c r="H2584" s="23"/>
      <c r="J2584" s="23"/>
      <c r="K2584" s="23"/>
      <c r="M2584" s="23"/>
      <c r="N2584" s="23"/>
      <c r="P2584" s="23"/>
    </row>
    <row r="2585" spans="2:16" x14ac:dyDescent="0.25">
      <c r="B2585" s="23"/>
      <c r="E2585" s="23"/>
      <c r="G2585" s="23"/>
      <c r="H2585" s="23"/>
      <c r="J2585" s="23"/>
      <c r="K2585" s="23"/>
      <c r="M2585" s="23"/>
      <c r="N2585" s="23"/>
      <c r="P2585" s="23"/>
    </row>
    <row r="2586" spans="2:16" x14ac:dyDescent="0.25">
      <c r="B2586" s="23"/>
      <c r="E2586" s="23"/>
      <c r="G2586" s="23"/>
      <c r="H2586" s="23"/>
      <c r="J2586" s="23"/>
      <c r="K2586" s="23"/>
      <c r="M2586" s="23"/>
      <c r="N2586" s="23"/>
      <c r="P2586" s="23"/>
    </row>
    <row r="2587" spans="2:16" x14ac:dyDescent="0.25">
      <c r="B2587" s="23"/>
      <c r="E2587" s="23"/>
      <c r="G2587" s="23"/>
      <c r="H2587" s="23"/>
      <c r="J2587" s="23"/>
      <c r="K2587" s="23"/>
      <c r="M2587" s="23"/>
      <c r="N2587" s="23"/>
      <c r="P2587" s="23"/>
    </row>
    <row r="2588" spans="2:16" x14ac:dyDescent="0.25">
      <c r="B2588" s="23"/>
      <c r="E2588" s="23"/>
      <c r="G2588" s="23"/>
      <c r="H2588" s="23"/>
      <c r="J2588" s="23"/>
      <c r="K2588" s="23"/>
      <c r="M2588" s="23"/>
      <c r="N2588" s="23"/>
      <c r="P2588" s="23"/>
    </row>
    <row r="2589" spans="2:16" x14ac:dyDescent="0.25">
      <c r="B2589" s="23"/>
      <c r="E2589" s="23"/>
      <c r="G2589" s="23"/>
      <c r="H2589" s="23"/>
      <c r="J2589" s="23"/>
      <c r="K2589" s="23"/>
      <c r="M2589" s="23"/>
      <c r="N2589" s="23"/>
      <c r="P2589" s="23"/>
    </row>
    <row r="2590" spans="2:16" x14ac:dyDescent="0.25">
      <c r="B2590" s="23"/>
      <c r="E2590" s="23"/>
      <c r="G2590" s="23"/>
      <c r="H2590" s="23"/>
      <c r="J2590" s="23"/>
      <c r="K2590" s="23"/>
      <c r="M2590" s="23"/>
      <c r="N2590" s="23"/>
      <c r="P2590" s="23"/>
    </row>
    <row r="2591" spans="2:16" x14ac:dyDescent="0.25">
      <c r="B2591" s="23"/>
      <c r="E2591" s="23"/>
      <c r="G2591" s="23"/>
      <c r="H2591" s="23"/>
      <c r="J2591" s="23"/>
      <c r="K2591" s="23"/>
      <c r="M2591" s="23"/>
      <c r="N2591" s="23"/>
      <c r="P2591" s="23"/>
    </row>
    <row r="2592" spans="2:16" x14ac:dyDescent="0.25">
      <c r="B2592" s="23"/>
      <c r="E2592" s="23"/>
      <c r="G2592" s="23"/>
      <c r="H2592" s="23"/>
      <c r="J2592" s="23"/>
      <c r="K2592" s="23"/>
      <c r="M2592" s="23"/>
      <c r="N2592" s="23"/>
      <c r="P2592" s="23"/>
    </row>
    <row r="2593" spans="2:16" x14ac:dyDescent="0.25">
      <c r="B2593" s="23"/>
      <c r="E2593" s="23"/>
      <c r="G2593" s="23"/>
      <c r="H2593" s="23"/>
      <c r="J2593" s="23"/>
      <c r="K2593" s="23"/>
      <c r="M2593" s="23"/>
      <c r="N2593" s="23"/>
      <c r="P2593" s="23"/>
    </row>
    <row r="2594" spans="2:16" x14ac:dyDescent="0.25">
      <c r="B2594" s="23"/>
      <c r="E2594" s="23"/>
      <c r="G2594" s="23"/>
      <c r="H2594" s="23"/>
      <c r="J2594" s="23"/>
      <c r="K2594" s="23"/>
      <c r="M2594" s="23"/>
      <c r="N2594" s="23"/>
      <c r="P2594" s="23"/>
    </row>
    <row r="2595" spans="2:16" x14ac:dyDescent="0.25">
      <c r="B2595" s="23"/>
      <c r="E2595" s="23"/>
      <c r="G2595" s="23"/>
      <c r="H2595" s="23"/>
      <c r="J2595" s="23"/>
      <c r="K2595" s="23"/>
      <c r="M2595" s="23"/>
      <c r="N2595" s="23"/>
      <c r="P2595" s="23"/>
    </row>
    <row r="2596" spans="2:16" x14ac:dyDescent="0.25">
      <c r="B2596" s="23"/>
      <c r="E2596" s="23"/>
      <c r="G2596" s="23"/>
      <c r="H2596" s="23"/>
      <c r="J2596" s="23"/>
      <c r="K2596" s="23"/>
      <c r="M2596" s="23"/>
      <c r="N2596" s="23"/>
      <c r="P2596" s="23"/>
    </row>
    <row r="2597" spans="2:16" x14ac:dyDescent="0.25">
      <c r="B2597" s="23"/>
      <c r="E2597" s="23"/>
      <c r="G2597" s="23"/>
      <c r="H2597" s="23"/>
      <c r="J2597" s="23"/>
      <c r="K2597" s="23"/>
      <c r="M2597" s="23"/>
      <c r="N2597" s="23"/>
      <c r="P2597" s="23"/>
    </row>
    <row r="2598" spans="2:16" x14ac:dyDescent="0.25">
      <c r="B2598" s="23"/>
      <c r="E2598" s="23"/>
      <c r="G2598" s="23"/>
      <c r="H2598" s="23"/>
      <c r="J2598" s="23"/>
      <c r="K2598" s="23"/>
      <c r="M2598" s="23"/>
      <c r="N2598" s="23"/>
      <c r="P2598" s="23"/>
    </row>
    <row r="2599" spans="2:16" x14ac:dyDescent="0.25">
      <c r="B2599" s="23"/>
      <c r="E2599" s="23"/>
      <c r="G2599" s="23"/>
      <c r="H2599" s="23"/>
      <c r="J2599" s="23"/>
      <c r="K2599" s="23"/>
      <c r="M2599" s="23"/>
      <c r="N2599" s="23"/>
      <c r="P2599" s="23"/>
    </row>
    <row r="2600" spans="2:16" x14ac:dyDescent="0.25">
      <c r="B2600" s="23"/>
      <c r="E2600" s="23"/>
      <c r="G2600" s="23"/>
      <c r="H2600" s="23"/>
      <c r="J2600" s="23"/>
      <c r="K2600" s="23"/>
      <c r="M2600" s="23"/>
      <c r="N2600" s="23"/>
      <c r="P2600" s="23"/>
    </row>
    <row r="2601" spans="2:16" x14ac:dyDescent="0.25">
      <c r="B2601" s="23"/>
      <c r="E2601" s="23"/>
      <c r="G2601" s="23"/>
      <c r="H2601" s="23"/>
      <c r="J2601" s="23"/>
      <c r="K2601" s="23"/>
      <c r="M2601" s="23"/>
      <c r="N2601" s="23"/>
      <c r="P2601" s="23"/>
    </row>
    <row r="2602" spans="2:16" x14ac:dyDescent="0.25">
      <c r="B2602" s="23"/>
      <c r="E2602" s="23"/>
      <c r="G2602" s="23"/>
      <c r="H2602" s="23"/>
      <c r="J2602" s="23"/>
      <c r="K2602" s="23"/>
      <c r="M2602" s="23"/>
      <c r="N2602" s="23"/>
      <c r="P2602" s="23"/>
    </row>
    <row r="2603" spans="2:16" x14ac:dyDescent="0.25">
      <c r="B2603" s="23"/>
      <c r="E2603" s="23"/>
      <c r="G2603" s="23"/>
      <c r="H2603" s="23"/>
      <c r="J2603" s="23"/>
      <c r="K2603" s="23"/>
      <c r="M2603" s="23"/>
      <c r="N2603" s="23"/>
      <c r="P2603" s="23"/>
    </row>
    <row r="2604" spans="2:16" x14ac:dyDescent="0.25">
      <c r="B2604" s="23"/>
      <c r="E2604" s="23"/>
      <c r="G2604" s="23"/>
      <c r="H2604" s="23"/>
      <c r="J2604" s="23"/>
      <c r="K2604" s="23"/>
      <c r="M2604" s="23"/>
      <c r="N2604" s="23"/>
      <c r="P2604" s="23"/>
    </row>
    <row r="2605" spans="2:16" x14ac:dyDescent="0.25">
      <c r="B2605" s="23"/>
      <c r="E2605" s="23"/>
      <c r="G2605" s="23"/>
      <c r="H2605" s="23"/>
      <c r="J2605" s="23"/>
      <c r="K2605" s="23"/>
      <c r="M2605" s="23"/>
      <c r="N2605" s="23"/>
      <c r="P2605" s="23"/>
    </row>
    <row r="2606" spans="2:16" x14ac:dyDescent="0.25">
      <c r="B2606" s="23"/>
      <c r="E2606" s="23"/>
      <c r="G2606" s="23"/>
      <c r="H2606" s="23"/>
      <c r="J2606" s="23"/>
      <c r="K2606" s="23"/>
      <c r="M2606" s="23"/>
      <c r="N2606" s="23"/>
      <c r="P2606" s="23"/>
    </row>
    <row r="2607" spans="2:16" x14ac:dyDescent="0.25">
      <c r="B2607" s="23"/>
      <c r="E2607" s="23"/>
      <c r="G2607" s="23"/>
      <c r="H2607" s="23"/>
      <c r="J2607" s="23"/>
      <c r="K2607" s="23"/>
      <c r="M2607" s="23"/>
      <c r="N2607" s="23"/>
      <c r="P2607" s="23"/>
    </row>
    <row r="2608" spans="2:16" x14ac:dyDescent="0.25">
      <c r="B2608" s="23"/>
      <c r="E2608" s="23"/>
      <c r="G2608" s="23"/>
      <c r="H2608" s="23"/>
      <c r="J2608" s="23"/>
      <c r="K2608" s="23"/>
      <c r="M2608" s="23"/>
      <c r="N2608" s="23"/>
      <c r="P2608" s="23"/>
    </row>
    <row r="2609" spans="2:16" x14ac:dyDescent="0.25">
      <c r="B2609" s="23"/>
      <c r="E2609" s="23"/>
      <c r="G2609" s="23"/>
      <c r="H2609" s="23"/>
      <c r="J2609" s="23"/>
      <c r="K2609" s="23"/>
      <c r="M2609" s="23"/>
      <c r="N2609" s="23"/>
      <c r="P2609" s="23"/>
    </row>
    <row r="2610" spans="2:16" x14ac:dyDescent="0.25">
      <c r="B2610" s="23"/>
      <c r="E2610" s="23"/>
      <c r="G2610" s="23"/>
      <c r="H2610" s="23"/>
      <c r="J2610" s="23"/>
      <c r="K2610" s="23"/>
      <c r="M2610" s="23"/>
      <c r="N2610" s="23"/>
      <c r="P2610" s="23"/>
    </row>
    <row r="2611" spans="2:16" x14ac:dyDescent="0.25">
      <c r="B2611" s="23"/>
      <c r="E2611" s="23"/>
      <c r="G2611" s="23"/>
      <c r="H2611" s="23"/>
      <c r="J2611" s="23"/>
      <c r="K2611" s="23"/>
      <c r="M2611" s="23"/>
      <c r="N2611" s="23"/>
      <c r="P2611" s="23"/>
    </row>
    <row r="2612" spans="2:16" x14ac:dyDescent="0.25">
      <c r="B2612" s="23"/>
      <c r="E2612" s="23"/>
      <c r="G2612" s="23"/>
      <c r="H2612" s="23"/>
      <c r="J2612" s="23"/>
      <c r="K2612" s="23"/>
      <c r="M2612" s="23"/>
      <c r="N2612" s="23"/>
      <c r="P2612" s="23"/>
    </row>
    <row r="2613" spans="2:16" x14ac:dyDescent="0.25">
      <c r="B2613" s="23"/>
      <c r="E2613" s="23"/>
      <c r="G2613" s="23"/>
      <c r="H2613" s="23"/>
      <c r="J2613" s="23"/>
      <c r="K2613" s="23"/>
      <c r="M2613" s="23"/>
      <c r="N2613" s="23"/>
      <c r="P2613" s="23"/>
    </row>
    <row r="2614" spans="2:16" x14ac:dyDescent="0.25">
      <c r="B2614" s="23"/>
      <c r="E2614" s="23"/>
      <c r="G2614" s="23"/>
      <c r="H2614" s="23"/>
      <c r="J2614" s="23"/>
      <c r="K2614" s="23"/>
      <c r="M2614" s="23"/>
      <c r="N2614" s="23"/>
      <c r="P2614" s="23"/>
    </row>
    <row r="2615" spans="2:16" x14ac:dyDescent="0.25">
      <c r="B2615" s="23"/>
      <c r="E2615" s="23"/>
      <c r="G2615" s="23"/>
      <c r="H2615" s="23"/>
      <c r="J2615" s="23"/>
      <c r="K2615" s="23"/>
      <c r="M2615" s="23"/>
      <c r="N2615" s="23"/>
      <c r="P2615" s="23"/>
    </row>
    <row r="2616" spans="2:16" x14ac:dyDescent="0.25">
      <c r="B2616" s="23"/>
      <c r="E2616" s="23"/>
      <c r="G2616" s="23"/>
      <c r="H2616" s="23"/>
      <c r="J2616" s="23"/>
      <c r="K2616" s="23"/>
      <c r="M2616" s="23"/>
      <c r="N2616" s="23"/>
      <c r="P2616" s="23"/>
    </row>
    <row r="2617" spans="2:16" x14ac:dyDescent="0.25">
      <c r="B2617" s="23"/>
      <c r="E2617" s="23"/>
      <c r="G2617" s="23"/>
      <c r="H2617" s="23"/>
      <c r="J2617" s="23"/>
      <c r="K2617" s="23"/>
      <c r="M2617" s="23"/>
      <c r="N2617" s="23"/>
      <c r="P2617" s="23"/>
    </row>
    <row r="2618" spans="2:16" x14ac:dyDescent="0.25">
      <c r="B2618" s="23"/>
      <c r="E2618" s="23"/>
      <c r="G2618" s="23"/>
      <c r="H2618" s="23"/>
      <c r="J2618" s="23"/>
      <c r="K2618" s="23"/>
      <c r="M2618" s="23"/>
      <c r="N2618" s="23"/>
      <c r="P2618" s="23"/>
    </row>
    <row r="2619" spans="2:16" x14ac:dyDescent="0.25">
      <c r="B2619" s="23"/>
      <c r="E2619" s="23"/>
      <c r="G2619" s="23"/>
      <c r="H2619" s="23"/>
      <c r="J2619" s="23"/>
      <c r="K2619" s="23"/>
      <c r="M2619" s="23"/>
      <c r="N2619" s="23"/>
      <c r="P2619" s="23"/>
    </row>
    <row r="2620" spans="2:16" x14ac:dyDescent="0.25">
      <c r="B2620" s="23"/>
      <c r="E2620" s="23"/>
      <c r="G2620" s="23"/>
      <c r="H2620" s="23"/>
      <c r="J2620" s="23"/>
      <c r="K2620" s="23"/>
      <c r="M2620" s="23"/>
      <c r="N2620" s="23"/>
      <c r="P2620" s="23"/>
    </row>
    <row r="2621" spans="2:16" x14ac:dyDescent="0.25">
      <c r="B2621" s="23"/>
      <c r="E2621" s="23"/>
      <c r="G2621" s="23"/>
      <c r="H2621" s="23"/>
      <c r="J2621" s="23"/>
      <c r="K2621" s="23"/>
      <c r="M2621" s="23"/>
      <c r="N2621" s="23"/>
      <c r="P2621" s="23"/>
    </row>
    <row r="2622" spans="2:16" x14ac:dyDescent="0.25">
      <c r="B2622" s="23"/>
      <c r="E2622" s="23"/>
      <c r="G2622" s="23"/>
      <c r="H2622" s="23"/>
      <c r="J2622" s="23"/>
      <c r="K2622" s="23"/>
      <c r="M2622" s="23"/>
      <c r="N2622" s="23"/>
      <c r="P2622" s="23"/>
    </row>
    <row r="2623" spans="2:16" x14ac:dyDescent="0.25">
      <c r="B2623" s="23"/>
      <c r="E2623" s="23"/>
      <c r="G2623" s="23"/>
      <c r="H2623" s="23"/>
      <c r="J2623" s="23"/>
      <c r="K2623" s="23"/>
      <c r="M2623" s="23"/>
      <c r="N2623" s="23"/>
      <c r="P2623" s="23"/>
    </row>
    <row r="2624" spans="2:16" x14ac:dyDescent="0.25">
      <c r="B2624" s="23"/>
      <c r="E2624" s="23"/>
      <c r="G2624" s="23"/>
      <c r="H2624" s="23"/>
      <c r="J2624" s="23"/>
      <c r="K2624" s="23"/>
      <c r="M2624" s="23"/>
      <c r="N2624" s="23"/>
      <c r="P2624" s="23"/>
    </row>
    <row r="2625" spans="2:16" x14ac:dyDescent="0.25">
      <c r="B2625" s="23"/>
      <c r="E2625" s="23"/>
      <c r="G2625" s="23"/>
      <c r="H2625" s="23"/>
      <c r="J2625" s="23"/>
      <c r="K2625" s="23"/>
      <c r="M2625" s="23"/>
      <c r="N2625" s="23"/>
      <c r="P2625" s="23"/>
    </row>
    <row r="2626" spans="2:16" x14ac:dyDescent="0.25">
      <c r="B2626" s="23"/>
      <c r="E2626" s="23"/>
      <c r="G2626" s="23"/>
      <c r="H2626" s="23"/>
      <c r="J2626" s="23"/>
      <c r="K2626" s="23"/>
      <c r="M2626" s="23"/>
      <c r="N2626" s="23"/>
      <c r="P2626" s="23"/>
    </row>
    <row r="2627" spans="2:16" x14ac:dyDescent="0.25">
      <c r="B2627" s="23"/>
      <c r="E2627" s="23"/>
      <c r="G2627" s="23"/>
      <c r="H2627" s="23"/>
      <c r="J2627" s="23"/>
      <c r="K2627" s="23"/>
      <c r="M2627" s="23"/>
      <c r="N2627" s="23"/>
      <c r="P2627" s="23"/>
    </row>
    <row r="2628" spans="2:16" x14ac:dyDescent="0.25">
      <c r="B2628" s="23"/>
      <c r="E2628" s="23"/>
      <c r="G2628" s="23"/>
      <c r="H2628" s="23"/>
      <c r="J2628" s="23"/>
      <c r="K2628" s="23"/>
      <c r="M2628" s="23"/>
      <c r="N2628" s="23"/>
      <c r="P2628" s="23"/>
    </row>
    <row r="2629" spans="2:16" x14ac:dyDescent="0.25">
      <c r="B2629" s="23"/>
      <c r="E2629" s="23"/>
      <c r="G2629" s="23"/>
      <c r="H2629" s="23"/>
      <c r="J2629" s="23"/>
      <c r="K2629" s="23"/>
      <c r="M2629" s="23"/>
      <c r="N2629" s="23"/>
      <c r="P2629" s="23"/>
    </row>
    <row r="2630" spans="2:16" x14ac:dyDescent="0.25">
      <c r="B2630" s="23"/>
      <c r="E2630" s="23"/>
      <c r="G2630" s="23"/>
      <c r="H2630" s="23"/>
      <c r="J2630" s="23"/>
      <c r="K2630" s="23"/>
      <c r="M2630" s="23"/>
      <c r="N2630" s="23"/>
      <c r="P2630" s="23"/>
    </row>
    <row r="2631" spans="2:16" x14ac:dyDescent="0.25">
      <c r="B2631" s="23"/>
      <c r="E2631" s="23"/>
      <c r="G2631" s="23"/>
      <c r="H2631" s="23"/>
      <c r="J2631" s="23"/>
      <c r="K2631" s="23"/>
      <c r="M2631" s="23"/>
      <c r="N2631" s="23"/>
      <c r="P2631" s="23"/>
    </row>
    <row r="2632" spans="2:16" x14ac:dyDescent="0.25">
      <c r="B2632" s="23"/>
      <c r="E2632" s="23"/>
      <c r="G2632" s="23"/>
      <c r="H2632" s="23"/>
      <c r="J2632" s="23"/>
      <c r="K2632" s="23"/>
      <c r="M2632" s="23"/>
      <c r="N2632" s="23"/>
      <c r="P2632" s="23"/>
    </row>
    <row r="2633" spans="2:16" x14ac:dyDescent="0.25">
      <c r="B2633" s="23"/>
      <c r="E2633" s="23"/>
      <c r="G2633" s="23"/>
      <c r="H2633" s="23"/>
      <c r="J2633" s="23"/>
      <c r="K2633" s="23"/>
      <c r="M2633" s="23"/>
      <c r="N2633" s="23"/>
      <c r="P2633" s="23"/>
    </row>
    <row r="2634" spans="2:16" x14ac:dyDescent="0.25">
      <c r="B2634" s="23"/>
      <c r="E2634" s="23"/>
      <c r="G2634" s="23"/>
      <c r="H2634" s="23"/>
      <c r="J2634" s="23"/>
      <c r="K2634" s="23"/>
      <c r="M2634" s="23"/>
      <c r="N2634" s="23"/>
      <c r="P2634" s="23"/>
    </row>
    <row r="2635" spans="2:16" x14ac:dyDescent="0.25">
      <c r="B2635" s="23"/>
      <c r="E2635" s="23"/>
      <c r="G2635" s="23"/>
      <c r="H2635" s="23"/>
      <c r="J2635" s="23"/>
      <c r="K2635" s="23"/>
      <c r="M2635" s="23"/>
      <c r="N2635" s="23"/>
      <c r="P2635" s="23"/>
    </row>
    <row r="2636" spans="2:16" x14ac:dyDescent="0.25">
      <c r="B2636" s="23"/>
      <c r="E2636" s="23"/>
      <c r="G2636" s="23"/>
      <c r="H2636" s="23"/>
      <c r="J2636" s="23"/>
      <c r="K2636" s="23"/>
      <c r="M2636" s="23"/>
      <c r="N2636" s="23"/>
      <c r="P2636" s="23"/>
    </row>
    <row r="2637" spans="2:16" x14ac:dyDescent="0.25">
      <c r="B2637" s="23"/>
      <c r="E2637" s="23"/>
      <c r="G2637" s="23"/>
      <c r="H2637" s="23"/>
      <c r="J2637" s="23"/>
      <c r="K2637" s="23"/>
      <c r="M2637" s="23"/>
      <c r="N2637" s="23"/>
      <c r="P2637" s="23"/>
    </row>
    <row r="2638" spans="2:16" x14ac:dyDescent="0.25">
      <c r="B2638" s="23"/>
      <c r="E2638" s="23"/>
      <c r="G2638" s="23"/>
      <c r="H2638" s="23"/>
      <c r="J2638" s="23"/>
      <c r="K2638" s="23"/>
      <c r="M2638" s="23"/>
      <c r="N2638" s="23"/>
      <c r="P2638" s="23"/>
    </row>
    <row r="2639" spans="2:16" x14ac:dyDescent="0.25">
      <c r="B2639" s="23"/>
      <c r="E2639" s="23"/>
      <c r="G2639" s="23"/>
      <c r="H2639" s="23"/>
      <c r="J2639" s="23"/>
      <c r="K2639" s="23"/>
      <c r="M2639" s="23"/>
      <c r="N2639" s="23"/>
      <c r="P2639" s="23"/>
    </row>
    <row r="2640" spans="2:16" x14ac:dyDescent="0.25">
      <c r="B2640" s="23"/>
      <c r="E2640" s="23"/>
      <c r="G2640" s="23"/>
      <c r="H2640" s="23"/>
      <c r="J2640" s="23"/>
      <c r="K2640" s="23"/>
      <c r="M2640" s="23"/>
      <c r="N2640" s="23"/>
      <c r="P2640" s="23"/>
    </row>
    <row r="2641" spans="2:16" x14ac:dyDescent="0.25">
      <c r="B2641" s="23"/>
      <c r="E2641" s="23"/>
      <c r="G2641" s="23"/>
      <c r="H2641" s="23"/>
      <c r="J2641" s="23"/>
      <c r="K2641" s="23"/>
      <c r="M2641" s="23"/>
      <c r="N2641" s="23"/>
      <c r="P2641" s="23"/>
    </row>
    <row r="2642" spans="2:16" x14ac:dyDescent="0.25">
      <c r="B2642" s="23"/>
      <c r="E2642" s="23"/>
      <c r="G2642" s="23"/>
      <c r="H2642" s="23"/>
      <c r="J2642" s="23"/>
      <c r="K2642" s="23"/>
      <c r="M2642" s="23"/>
      <c r="N2642" s="23"/>
      <c r="P2642" s="23"/>
    </row>
    <row r="2643" spans="2:16" x14ac:dyDescent="0.25">
      <c r="B2643" s="23"/>
      <c r="E2643" s="23"/>
      <c r="G2643" s="23"/>
      <c r="H2643" s="23"/>
      <c r="J2643" s="23"/>
      <c r="K2643" s="23"/>
      <c r="M2643" s="23"/>
      <c r="N2643" s="23"/>
      <c r="P2643" s="23"/>
    </row>
    <row r="2644" spans="2:16" x14ac:dyDescent="0.25">
      <c r="B2644" s="23"/>
      <c r="E2644" s="23"/>
      <c r="G2644" s="23"/>
      <c r="H2644" s="23"/>
      <c r="J2644" s="23"/>
      <c r="K2644" s="23"/>
      <c r="M2644" s="23"/>
      <c r="N2644" s="23"/>
      <c r="P2644" s="23"/>
    </row>
    <row r="2645" spans="2:16" x14ac:dyDescent="0.25">
      <c r="B2645" s="23"/>
      <c r="E2645" s="23"/>
      <c r="G2645" s="23"/>
      <c r="H2645" s="23"/>
      <c r="J2645" s="23"/>
      <c r="K2645" s="23"/>
      <c r="M2645" s="23"/>
      <c r="N2645" s="23"/>
      <c r="P2645" s="23"/>
    </row>
    <row r="2646" spans="2:16" x14ac:dyDescent="0.25">
      <c r="B2646" s="23"/>
      <c r="E2646" s="23"/>
      <c r="G2646" s="23"/>
      <c r="H2646" s="23"/>
      <c r="J2646" s="23"/>
      <c r="K2646" s="23"/>
      <c r="M2646" s="23"/>
      <c r="N2646" s="23"/>
      <c r="P2646" s="23"/>
    </row>
    <row r="2647" spans="2:16" x14ac:dyDescent="0.25">
      <c r="B2647" s="23"/>
      <c r="E2647" s="23"/>
      <c r="G2647" s="23"/>
      <c r="H2647" s="23"/>
      <c r="J2647" s="23"/>
      <c r="K2647" s="23"/>
      <c r="M2647" s="23"/>
      <c r="N2647" s="23"/>
      <c r="P2647" s="23"/>
    </row>
    <row r="2648" spans="2:16" x14ac:dyDescent="0.25">
      <c r="B2648" s="23"/>
      <c r="E2648" s="23"/>
      <c r="G2648" s="23"/>
      <c r="H2648" s="23"/>
      <c r="J2648" s="23"/>
      <c r="K2648" s="23"/>
      <c r="M2648" s="23"/>
      <c r="N2648" s="23"/>
      <c r="P2648" s="23"/>
    </row>
    <row r="2649" spans="2:16" x14ac:dyDescent="0.25">
      <c r="B2649" s="23"/>
      <c r="E2649" s="23"/>
      <c r="G2649" s="23"/>
      <c r="H2649" s="23"/>
      <c r="J2649" s="23"/>
      <c r="K2649" s="23"/>
      <c r="M2649" s="23"/>
      <c r="N2649" s="23"/>
      <c r="P2649" s="23"/>
    </row>
    <row r="2650" spans="2:16" x14ac:dyDescent="0.25">
      <c r="B2650" s="23"/>
      <c r="E2650" s="23"/>
      <c r="G2650" s="23"/>
      <c r="H2650" s="23"/>
      <c r="J2650" s="23"/>
      <c r="K2650" s="23"/>
      <c r="M2650" s="23"/>
      <c r="N2650" s="23"/>
      <c r="P2650" s="23"/>
    </row>
    <row r="2651" spans="2:16" x14ac:dyDescent="0.25">
      <c r="B2651" s="23"/>
      <c r="E2651" s="23"/>
      <c r="G2651" s="23"/>
      <c r="H2651" s="23"/>
      <c r="J2651" s="23"/>
      <c r="K2651" s="23"/>
      <c r="M2651" s="23"/>
      <c r="N2651" s="23"/>
      <c r="P2651" s="23"/>
    </row>
    <row r="2652" spans="2:16" x14ac:dyDescent="0.25">
      <c r="B2652" s="23"/>
      <c r="E2652" s="23"/>
      <c r="G2652" s="23"/>
      <c r="H2652" s="23"/>
      <c r="J2652" s="23"/>
      <c r="K2652" s="23"/>
      <c r="M2652" s="23"/>
      <c r="N2652" s="23"/>
      <c r="P2652" s="23"/>
    </row>
    <row r="2653" spans="2:16" x14ac:dyDescent="0.25">
      <c r="B2653" s="23"/>
      <c r="E2653" s="23"/>
      <c r="G2653" s="23"/>
      <c r="H2653" s="23"/>
      <c r="J2653" s="23"/>
      <c r="K2653" s="23"/>
      <c r="M2653" s="23"/>
      <c r="N2653" s="23"/>
      <c r="P2653" s="23"/>
    </row>
    <row r="2654" spans="2:16" x14ac:dyDescent="0.25">
      <c r="B2654" s="23"/>
      <c r="E2654" s="23"/>
      <c r="G2654" s="23"/>
      <c r="H2654" s="23"/>
      <c r="J2654" s="23"/>
      <c r="K2654" s="23"/>
      <c r="M2654" s="23"/>
      <c r="N2654" s="23"/>
      <c r="P2654" s="23"/>
    </row>
    <row r="2655" spans="2:16" x14ac:dyDescent="0.25">
      <c r="B2655" s="23"/>
      <c r="E2655" s="23"/>
      <c r="G2655" s="23"/>
      <c r="H2655" s="23"/>
      <c r="J2655" s="23"/>
      <c r="K2655" s="23"/>
      <c r="M2655" s="23"/>
      <c r="N2655" s="23"/>
      <c r="P2655" s="23"/>
    </row>
    <row r="2656" spans="2:16" x14ac:dyDescent="0.25">
      <c r="B2656" s="23"/>
      <c r="E2656" s="23"/>
      <c r="G2656" s="23"/>
      <c r="H2656" s="23"/>
      <c r="J2656" s="23"/>
      <c r="K2656" s="23"/>
      <c r="M2656" s="23"/>
      <c r="N2656" s="23"/>
      <c r="P2656" s="23"/>
    </row>
    <row r="2657" spans="2:16" x14ac:dyDescent="0.25">
      <c r="B2657" s="23"/>
      <c r="E2657" s="23"/>
      <c r="G2657" s="23"/>
      <c r="H2657" s="23"/>
      <c r="J2657" s="23"/>
      <c r="K2657" s="23"/>
      <c r="M2657" s="23"/>
      <c r="N2657" s="23"/>
      <c r="P2657" s="23"/>
    </row>
    <row r="2658" spans="2:16" x14ac:dyDescent="0.25">
      <c r="B2658" s="23"/>
      <c r="E2658" s="23"/>
      <c r="G2658" s="23"/>
      <c r="H2658" s="23"/>
      <c r="J2658" s="23"/>
      <c r="K2658" s="23"/>
      <c r="M2658" s="23"/>
      <c r="N2658" s="23"/>
      <c r="P2658" s="23"/>
    </row>
    <row r="2659" spans="2:16" x14ac:dyDescent="0.25">
      <c r="B2659" s="23"/>
      <c r="E2659" s="23"/>
      <c r="G2659" s="23"/>
      <c r="H2659" s="23"/>
      <c r="J2659" s="23"/>
      <c r="K2659" s="23"/>
      <c r="M2659" s="23"/>
      <c r="N2659" s="23"/>
      <c r="P2659" s="23"/>
    </row>
    <row r="2660" spans="2:16" x14ac:dyDescent="0.25">
      <c r="B2660" s="23"/>
      <c r="E2660" s="23"/>
      <c r="G2660" s="23"/>
      <c r="H2660" s="23"/>
      <c r="J2660" s="23"/>
      <c r="K2660" s="23"/>
      <c r="M2660" s="23"/>
      <c r="N2660" s="23"/>
      <c r="P2660" s="23"/>
    </row>
    <row r="2661" spans="2:16" x14ac:dyDescent="0.25">
      <c r="B2661" s="23"/>
      <c r="E2661" s="23"/>
      <c r="G2661" s="23"/>
      <c r="H2661" s="23"/>
      <c r="J2661" s="23"/>
      <c r="K2661" s="23"/>
      <c r="M2661" s="23"/>
      <c r="N2661" s="23"/>
      <c r="P2661" s="23"/>
    </row>
    <row r="2662" spans="2:16" x14ac:dyDescent="0.25">
      <c r="B2662" s="23"/>
      <c r="E2662" s="23"/>
      <c r="G2662" s="23"/>
      <c r="H2662" s="23"/>
      <c r="J2662" s="23"/>
      <c r="K2662" s="23"/>
      <c r="M2662" s="23"/>
      <c r="N2662" s="23"/>
      <c r="P2662" s="23"/>
    </row>
    <row r="2663" spans="2:16" x14ac:dyDescent="0.25">
      <c r="B2663" s="23"/>
      <c r="E2663" s="23"/>
      <c r="G2663" s="23"/>
      <c r="H2663" s="23"/>
      <c r="J2663" s="23"/>
      <c r="K2663" s="23"/>
      <c r="M2663" s="23"/>
      <c r="N2663" s="23"/>
      <c r="P2663" s="23"/>
    </row>
    <row r="2664" spans="2:16" x14ac:dyDescent="0.25">
      <c r="B2664" s="23"/>
      <c r="E2664" s="23"/>
      <c r="G2664" s="23"/>
      <c r="H2664" s="23"/>
      <c r="J2664" s="23"/>
      <c r="K2664" s="23"/>
      <c r="M2664" s="23"/>
      <c r="N2664" s="23"/>
      <c r="P2664" s="23"/>
    </row>
    <row r="2665" spans="2:16" x14ac:dyDescent="0.25">
      <c r="B2665" s="23"/>
      <c r="E2665" s="23"/>
      <c r="G2665" s="23"/>
      <c r="H2665" s="23"/>
      <c r="J2665" s="23"/>
      <c r="K2665" s="23"/>
      <c r="M2665" s="23"/>
      <c r="N2665" s="23"/>
      <c r="P2665" s="23"/>
    </row>
    <row r="2666" spans="2:16" x14ac:dyDescent="0.25">
      <c r="B2666" s="23"/>
      <c r="E2666" s="23"/>
      <c r="G2666" s="23"/>
      <c r="H2666" s="23"/>
      <c r="J2666" s="23"/>
      <c r="K2666" s="23"/>
      <c r="M2666" s="23"/>
      <c r="N2666" s="23"/>
      <c r="P2666" s="23"/>
    </row>
    <row r="2667" spans="2:16" x14ac:dyDescent="0.25">
      <c r="B2667" s="23"/>
      <c r="E2667" s="23"/>
      <c r="G2667" s="23"/>
      <c r="H2667" s="23"/>
      <c r="J2667" s="23"/>
      <c r="K2667" s="23"/>
      <c r="M2667" s="23"/>
      <c r="N2667" s="23"/>
      <c r="P2667" s="23"/>
    </row>
    <row r="2668" spans="2:16" x14ac:dyDescent="0.25">
      <c r="B2668" s="23"/>
      <c r="E2668" s="23"/>
      <c r="G2668" s="23"/>
      <c r="H2668" s="23"/>
      <c r="J2668" s="23"/>
      <c r="K2668" s="23"/>
      <c r="M2668" s="23"/>
      <c r="N2668" s="23"/>
      <c r="P2668" s="23"/>
    </row>
    <row r="2669" spans="2:16" x14ac:dyDescent="0.25">
      <c r="B2669" s="23"/>
      <c r="E2669" s="23"/>
      <c r="G2669" s="23"/>
      <c r="H2669" s="23"/>
      <c r="J2669" s="23"/>
      <c r="K2669" s="23"/>
      <c r="M2669" s="23"/>
      <c r="N2669" s="23"/>
      <c r="P2669" s="23"/>
    </row>
    <row r="2670" spans="2:16" x14ac:dyDescent="0.25">
      <c r="B2670" s="23"/>
      <c r="E2670" s="23"/>
      <c r="G2670" s="23"/>
      <c r="H2670" s="23"/>
      <c r="J2670" s="23"/>
      <c r="K2670" s="23"/>
      <c r="M2670" s="23"/>
      <c r="N2670" s="23"/>
      <c r="P2670" s="23"/>
    </row>
    <row r="2671" spans="2:16" x14ac:dyDescent="0.25">
      <c r="B2671" s="23"/>
      <c r="E2671" s="23"/>
      <c r="G2671" s="23"/>
      <c r="H2671" s="23"/>
      <c r="J2671" s="23"/>
      <c r="K2671" s="23"/>
      <c r="M2671" s="23"/>
      <c r="N2671" s="23"/>
      <c r="P2671" s="23"/>
    </row>
    <row r="2672" spans="2:16" x14ac:dyDescent="0.25">
      <c r="B2672" s="23"/>
      <c r="E2672" s="23"/>
      <c r="G2672" s="23"/>
      <c r="H2672" s="23"/>
      <c r="J2672" s="23"/>
      <c r="K2672" s="23"/>
      <c r="M2672" s="23"/>
      <c r="N2672" s="23"/>
      <c r="P2672" s="23"/>
    </row>
    <row r="2673" spans="2:16" x14ac:dyDescent="0.25">
      <c r="B2673" s="23"/>
      <c r="E2673" s="23"/>
      <c r="G2673" s="23"/>
      <c r="H2673" s="23"/>
      <c r="J2673" s="23"/>
      <c r="K2673" s="23"/>
      <c r="M2673" s="23"/>
      <c r="N2673" s="23"/>
      <c r="P2673" s="23"/>
    </row>
    <row r="2674" spans="2:16" x14ac:dyDescent="0.25">
      <c r="B2674" s="23"/>
      <c r="E2674" s="23"/>
      <c r="G2674" s="23"/>
      <c r="H2674" s="23"/>
      <c r="J2674" s="23"/>
      <c r="K2674" s="23"/>
      <c r="M2674" s="23"/>
      <c r="N2674" s="23"/>
      <c r="P2674" s="23"/>
    </row>
    <row r="2675" spans="2:16" x14ac:dyDescent="0.25">
      <c r="B2675" s="23"/>
      <c r="E2675" s="23"/>
      <c r="G2675" s="23"/>
      <c r="H2675" s="23"/>
      <c r="J2675" s="23"/>
      <c r="K2675" s="23"/>
      <c r="M2675" s="23"/>
      <c r="N2675" s="23"/>
      <c r="P2675" s="23"/>
    </row>
    <row r="2676" spans="2:16" x14ac:dyDescent="0.25">
      <c r="B2676" s="23"/>
      <c r="E2676" s="23"/>
      <c r="G2676" s="23"/>
      <c r="H2676" s="23"/>
      <c r="J2676" s="23"/>
      <c r="K2676" s="23"/>
      <c r="M2676" s="23"/>
      <c r="N2676" s="23"/>
      <c r="P2676" s="23"/>
    </row>
    <row r="2677" spans="2:16" x14ac:dyDescent="0.25">
      <c r="B2677" s="23"/>
      <c r="E2677" s="23"/>
      <c r="G2677" s="23"/>
      <c r="H2677" s="23"/>
      <c r="J2677" s="23"/>
      <c r="K2677" s="23"/>
      <c r="M2677" s="23"/>
      <c r="N2677" s="23"/>
      <c r="P2677" s="23"/>
    </row>
    <row r="2678" spans="2:16" x14ac:dyDescent="0.25">
      <c r="B2678" s="23"/>
      <c r="E2678" s="23"/>
      <c r="G2678" s="23"/>
      <c r="H2678" s="23"/>
      <c r="J2678" s="23"/>
      <c r="K2678" s="23"/>
      <c r="M2678" s="23"/>
      <c r="N2678" s="23"/>
      <c r="P2678" s="23"/>
    </row>
    <row r="2679" spans="2:16" x14ac:dyDescent="0.25">
      <c r="B2679" s="23"/>
      <c r="E2679" s="23"/>
      <c r="G2679" s="23"/>
      <c r="H2679" s="23"/>
      <c r="J2679" s="23"/>
      <c r="K2679" s="23"/>
      <c r="M2679" s="23"/>
      <c r="N2679" s="23"/>
      <c r="P2679" s="23"/>
    </row>
    <row r="2680" spans="2:16" x14ac:dyDescent="0.25">
      <c r="B2680" s="23"/>
      <c r="E2680" s="23"/>
      <c r="G2680" s="23"/>
      <c r="H2680" s="23"/>
      <c r="J2680" s="23"/>
      <c r="K2680" s="23"/>
      <c r="M2680" s="23"/>
      <c r="N2680" s="23"/>
      <c r="P2680" s="23"/>
    </row>
    <row r="2681" spans="2:16" x14ac:dyDescent="0.25">
      <c r="B2681" s="23"/>
      <c r="E2681" s="23"/>
      <c r="G2681" s="23"/>
      <c r="H2681" s="23"/>
      <c r="J2681" s="23"/>
      <c r="K2681" s="23"/>
      <c r="M2681" s="23"/>
      <c r="N2681" s="23"/>
      <c r="P2681" s="23"/>
    </row>
    <row r="2682" spans="2:16" x14ac:dyDescent="0.25">
      <c r="B2682" s="23"/>
      <c r="E2682" s="23"/>
      <c r="G2682" s="23"/>
      <c r="H2682" s="23"/>
      <c r="J2682" s="23"/>
      <c r="K2682" s="23"/>
      <c r="M2682" s="23"/>
      <c r="N2682" s="23"/>
      <c r="P2682" s="23"/>
    </row>
    <row r="2683" spans="2:16" x14ac:dyDescent="0.25">
      <c r="B2683" s="23"/>
      <c r="E2683" s="23"/>
      <c r="G2683" s="23"/>
      <c r="H2683" s="23"/>
      <c r="J2683" s="23"/>
      <c r="K2683" s="23"/>
      <c r="M2683" s="23"/>
      <c r="N2683" s="23"/>
      <c r="P2683" s="23"/>
    </row>
    <row r="2684" spans="2:16" x14ac:dyDescent="0.25">
      <c r="B2684" s="23"/>
      <c r="E2684" s="23"/>
      <c r="G2684" s="23"/>
      <c r="H2684" s="23"/>
      <c r="J2684" s="23"/>
      <c r="K2684" s="23"/>
      <c r="M2684" s="23"/>
      <c r="N2684" s="23"/>
      <c r="P2684" s="23"/>
    </row>
    <row r="2685" spans="2:16" x14ac:dyDescent="0.25">
      <c r="B2685" s="23"/>
      <c r="E2685" s="23"/>
      <c r="G2685" s="23"/>
      <c r="H2685" s="23"/>
      <c r="J2685" s="23"/>
      <c r="K2685" s="23"/>
      <c r="M2685" s="23"/>
      <c r="N2685" s="23"/>
      <c r="P2685" s="23"/>
    </row>
    <row r="2686" spans="2:16" x14ac:dyDescent="0.25">
      <c r="B2686" s="23"/>
      <c r="E2686" s="23"/>
      <c r="G2686" s="23"/>
      <c r="H2686" s="23"/>
      <c r="J2686" s="23"/>
      <c r="K2686" s="23"/>
      <c r="M2686" s="23"/>
      <c r="N2686" s="23"/>
      <c r="P2686" s="23"/>
    </row>
    <row r="2687" spans="2:16" x14ac:dyDescent="0.25">
      <c r="B2687" s="23"/>
      <c r="E2687" s="23"/>
      <c r="G2687" s="23"/>
      <c r="H2687" s="23"/>
      <c r="J2687" s="23"/>
      <c r="K2687" s="23"/>
      <c r="M2687" s="23"/>
      <c r="N2687" s="23"/>
      <c r="P2687" s="23"/>
    </row>
    <row r="2688" spans="2:16" x14ac:dyDescent="0.25">
      <c r="B2688" s="23"/>
      <c r="E2688" s="23"/>
      <c r="G2688" s="23"/>
      <c r="H2688" s="23"/>
      <c r="J2688" s="23"/>
      <c r="K2688" s="23"/>
      <c r="M2688" s="23"/>
      <c r="N2688" s="23"/>
      <c r="P2688" s="23"/>
    </row>
    <row r="2689" spans="2:16" x14ac:dyDescent="0.25">
      <c r="B2689" s="23"/>
      <c r="E2689" s="23"/>
      <c r="G2689" s="23"/>
      <c r="H2689" s="23"/>
      <c r="J2689" s="23"/>
      <c r="K2689" s="23"/>
      <c r="M2689" s="23"/>
      <c r="N2689" s="23"/>
      <c r="P2689" s="23"/>
    </row>
    <row r="2690" spans="2:16" x14ac:dyDescent="0.25">
      <c r="B2690" s="23"/>
      <c r="E2690" s="23"/>
      <c r="G2690" s="23"/>
      <c r="H2690" s="23"/>
      <c r="J2690" s="23"/>
      <c r="K2690" s="23"/>
      <c r="M2690" s="23"/>
      <c r="N2690" s="23"/>
      <c r="P2690" s="23"/>
    </row>
    <row r="2691" spans="2:16" x14ac:dyDescent="0.25">
      <c r="B2691" s="23"/>
      <c r="E2691" s="23"/>
      <c r="G2691" s="23"/>
      <c r="H2691" s="23"/>
      <c r="J2691" s="23"/>
      <c r="K2691" s="23"/>
      <c r="M2691" s="23"/>
      <c r="N2691" s="23"/>
      <c r="P2691" s="23"/>
    </row>
    <row r="2692" spans="2:16" x14ac:dyDescent="0.25">
      <c r="B2692" s="23"/>
      <c r="E2692" s="23"/>
      <c r="G2692" s="23"/>
      <c r="H2692" s="23"/>
      <c r="J2692" s="23"/>
      <c r="K2692" s="23"/>
      <c r="M2692" s="23"/>
      <c r="N2692" s="23"/>
      <c r="P2692" s="23"/>
    </row>
    <row r="2693" spans="2:16" x14ac:dyDescent="0.25">
      <c r="B2693" s="23"/>
      <c r="E2693" s="23"/>
      <c r="G2693" s="23"/>
      <c r="H2693" s="23"/>
      <c r="J2693" s="23"/>
      <c r="K2693" s="23"/>
      <c r="M2693" s="23"/>
      <c r="N2693" s="23"/>
      <c r="P2693" s="23"/>
    </row>
    <row r="2694" spans="2:16" x14ac:dyDescent="0.25">
      <c r="B2694" s="23"/>
      <c r="E2694" s="23"/>
      <c r="G2694" s="23"/>
      <c r="H2694" s="23"/>
      <c r="J2694" s="23"/>
      <c r="K2694" s="23"/>
      <c r="M2694" s="23"/>
      <c r="N2694" s="23"/>
      <c r="P2694" s="23"/>
    </row>
    <row r="2695" spans="2:16" x14ac:dyDescent="0.25">
      <c r="B2695" s="23"/>
      <c r="E2695" s="23"/>
      <c r="G2695" s="23"/>
      <c r="H2695" s="23"/>
      <c r="J2695" s="23"/>
      <c r="K2695" s="23"/>
      <c r="M2695" s="23"/>
      <c r="N2695" s="23"/>
      <c r="P2695" s="23"/>
    </row>
    <row r="2696" spans="2:16" x14ac:dyDescent="0.25">
      <c r="B2696" s="23"/>
      <c r="E2696" s="23"/>
      <c r="G2696" s="23"/>
      <c r="H2696" s="23"/>
      <c r="J2696" s="23"/>
      <c r="K2696" s="23"/>
      <c r="M2696" s="23"/>
      <c r="N2696" s="23"/>
      <c r="P2696" s="23"/>
    </row>
    <row r="2697" spans="2:16" x14ac:dyDescent="0.25">
      <c r="B2697" s="23"/>
      <c r="E2697" s="23"/>
      <c r="G2697" s="23"/>
      <c r="H2697" s="23"/>
      <c r="J2697" s="23"/>
      <c r="K2697" s="23"/>
      <c r="M2697" s="23"/>
      <c r="N2697" s="23"/>
      <c r="P2697" s="23"/>
    </row>
    <row r="2698" spans="2:16" x14ac:dyDescent="0.25">
      <c r="B2698" s="23"/>
      <c r="E2698" s="23"/>
      <c r="G2698" s="23"/>
      <c r="H2698" s="23"/>
      <c r="J2698" s="23"/>
      <c r="K2698" s="23"/>
      <c r="M2698" s="23"/>
      <c r="N2698" s="23"/>
      <c r="P2698" s="23"/>
    </row>
    <row r="2699" spans="2:16" x14ac:dyDescent="0.25">
      <c r="B2699" s="23"/>
      <c r="E2699" s="23"/>
      <c r="G2699" s="23"/>
      <c r="H2699" s="23"/>
      <c r="J2699" s="23"/>
      <c r="K2699" s="23"/>
      <c r="M2699" s="23"/>
      <c r="N2699" s="23"/>
      <c r="P2699" s="23"/>
    </row>
    <row r="2700" spans="2:16" x14ac:dyDescent="0.25">
      <c r="B2700" s="23"/>
      <c r="E2700" s="23"/>
      <c r="G2700" s="23"/>
      <c r="H2700" s="23"/>
      <c r="J2700" s="23"/>
      <c r="K2700" s="23"/>
      <c r="M2700" s="23"/>
      <c r="N2700" s="23"/>
      <c r="P2700" s="23"/>
    </row>
    <row r="2701" spans="2:16" x14ac:dyDescent="0.25">
      <c r="B2701" s="23"/>
      <c r="E2701" s="23"/>
      <c r="G2701" s="23"/>
      <c r="H2701" s="23"/>
      <c r="J2701" s="23"/>
      <c r="K2701" s="23"/>
      <c r="M2701" s="23"/>
      <c r="N2701" s="23"/>
      <c r="P2701" s="23"/>
    </row>
    <row r="2702" spans="2:16" x14ac:dyDescent="0.25">
      <c r="B2702" s="23"/>
      <c r="E2702" s="23"/>
      <c r="G2702" s="23"/>
      <c r="H2702" s="23"/>
      <c r="J2702" s="23"/>
      <c r="K2702" s="23"/>
      <c r="M2702" s="23"/>
      <c r="N2702" s="23"/>
      <c r="P2702" s="23"/>
    </row>
    <row r="2703" spans="2:16" x14ac:dyDescent="0.25">
      <c r="B2703" s="23"/>
      <c r="E2703" s="23"/>
      <c r="G2703" s="23"/>
      <c r="H2703" s="23"/>
      <c r="J2703" s="23"/>
      <c r="K2703" s="23"/>
      <c r="M2703" s="23"/>
      <c r="N2703" s="23"/>
      <c r="P2703" s="23"/>
    </row>
    <row r="2704" spans="2:16" x14ac:dyDescent="0.25">
      <c r="B2704" s="23"/>
      <c r="E2704" s="23"/>
      <c r="G2704" s="23"/>
      <c r="H2704" s="23"/>
      <c r="J2704" s="23"/>
      <c r="K2704" s="23"/>
      <c r="M2704" s="23"/>
      <c r="N2704" s="23"/>
      <c r="P2704" s="23"/>
    </row>
    <row r="2705" spans="2:16" x14ac:dyDescent="0.25">
      <c r="B2705" s="23"/>
      <c r="E2705" s="23"/>
      <c r="G2705" s="23"/>
      <c r="H2705" s="23"/>
      <c r="J2705" s="23"/>
      <c r="K2705" s="23"/>
      <c r="M2705" s="23"/>
      <c r="N2705" s="23"/>
      <c r="P2705" s="23"/>
    </row>
    <row r="2706" spans="2:16" x14ac:dyDescent="0.25">
      <c r="B2706" s="23"/>
      <c r="E2706" s="23"/>
      <c r="G2706" s="23"/>
      <c r="H2706" s="23"/>
      <c r="J2706" s="23"/>
      <c r="K2706" s="23"/>
      <c r="M2706" s="23"/>
      <c r="N2706" s="23"/>
      <c r="P2706" s="23"/>
    </row>
    <row r="2707" spans="2:16" x14ac:dyDescent="0.25">
      <c r="B2707" s="23"/>
      <c r="E2707" s="23"/>
      <c r="G2707" s="23"/>
      <c r="H2707" s="23"/>
      <c r="J2707" s="23"/>
      <c r="K2707" s="23"/>
      <c r="M2707" s="23"/>
      <c r="N2707" s="23"/>
      <c r="P2707" s="23"/>
    </row>
    <row r="2708" spans="2:16" x14ac:dyDescent="0.25">
      <c r="B2708" s="23"/>
      <c r="E2708" s="23"/>
      <c r="G2708" s="23"/>
      <c r="H2708" s="23"/>
      <c r="J2708" s="23"/>
      <c r="K2708" s="23"/>
      <c r="M2708" s="23"/>
      <c r="N2708" s="23"/>
      <c r="P2708" s="23"/>
    </row>
    <row r="2709" spans="2:16" x14ac:dyDescent="0.25">
      <c r="B2709" s="23"/>
      <c r="E2709" s="23"/>
      <c r="G2709" s="23"/>
      <c r="H2709" s="23"/>
      <c r="J2709" s="23"/>
      <c r="K2709" s="23"/>
      <c r="M2709" s="23"/>
      <c r="N2709" s="23"/>
      <c r="P2709" s="23"/>
    </row>
    <row r="2710" spans="2:16" x14ac:dyDescent="0.25">
      <c r="B2710" s="23"/>
      <c r="E2710" s="23"/>
      <c r="G2710" s="23"/>
      <c r="H2710" s="23"/>
      <c r="J2710" s="23"/>
      <c r="K2710" s="23"/>
      <c r="M2710" s="23"/>
      <c r="N2710" s="23"/>
      <c r="P2710" s="23"/>
    </row>
    <row r="2711" spans="2:16" x14ac:dyDescent="0.25">
      <c r="B2711" s="23"/>
      <c r="E2711" s="23"/>
      <c r="G2711" s="23"/>
      <c r="H2711" s="23"/>
      <c r="J2711" s="23"/>
      <c r="K2711" s="23"/>
      <c r="M2711" s="23"/>
      <c r="N2711" s="23"/>
      <c r="P2711" s="23"/>
    </row>
    <row r="2712" spans="2:16" x14ac:dyDescent="0.25">
      <c r="B2712" s="23"/>
      <c r="E2712" s="23"/>
      <c r="G2712" s="23"/>
      <c r="H2712" s="23"/>
      <c r="J2712" s="23"/>
      <c r="K2712" s="23"/>
      <c r="M2712" s="23"/>
      <c r="N2712" s="23"/>
      <c r="P2712" s="23"/>
    </row>
    <row r="2713" spans="2:16" x14ac:dyDescent="0.25">
      <c r="B2713" s="23"/>
      <c r="E2713" s="23"/>
      <c r="G2713" s="23"/>
      <c r="H2713" s="23"/>
      <c r="J2713" s="23"/>
      <c r="K2713" s="23"/>
      <c r="M2713" s="23"/>
      <c r="N2713" s="23"/>
      <c r="P2713" s="23"/>
    </row>
    <row r="2714" spans="2:16" x14ac:dyDescent="0.25">
      <c r="B2714" s="23"/>
      <c r="E2714" s="23"/>
      <c r="G2714" s="23"/>
      <c r="H2714" s="23"/>
      <c r="J2714" s="23"/>
      <c r="K2714" s="23"/>
      <c r="M2714" s="23"/>
      <c r="N2714" s="23"/>
      <c r="P2714" s="23"/>
    </row>
    <row r="2715" spans="2:16" x14ac:dyDescent="0.25">
      <c r="B2715" s="23"/>
      <c r="E2715" s="23"/>
      <c r="G2715" s="23"/>
      <c r="H2715" s="23"/>
      <c r="J2715" s="23"/>
      <c r="K2715" s="23"/>
      <c r="M2715" s="23"/>
      <c r="N2715" s="23"/>
      <c r="P2715" s="23"/>
    </row>
    <row r="2716" spans="2:16" x14ac:dyDescent="0.25">
      <c r="B2716" s="23"/>
      <c r="E2716" s="23"/>
      <c r="G2716" s="23"/>
      <c r="H2716" s="23"/>
      <c r="J2716" s="23"/>
      <c r="K2716" s="23"/>
      <c r="M2716" s="23"/>
      <c r="N2716" s="23"/>
      <c r="P2716" s="23"/>
    </row>
    <row r="2717" spans="2:16" x14ac:dyDescent="0.25">
      <c r="B2717" s="23"/>
      <c r="E2717" s="23"/>
      <c r="G2717" s="23"/>
      <c r="H2717" s="23"/>
      <c r="J2717" s="23"/>
      <c r="K2717" s="23"/>
      <c r="M2717" s="23"/>
      <c r="N2717" s="23"/>
      <c r="P2717" s="23"/>
    </row>
    <row r="2718" spans="2:16" x14ac:dyDescent="0.25">
      <c r="B2718" s="23"/>
      <c r="E2718" s="23"/>
      <c r="G2718" s="23"/>
      <c r="H2718" s="23"/>
      <c r="J2718" s="23"/>
      <c r="K2718" s="23"/>
      <c r="M2718" s="23"/>
      <c r="N2718" s="23"/>
      <c r="P2718" s="23"/>
    </row>
    <row r="2719" spans="2:16" x14ac:dyDescent="0.25">
      <c r="B2719" s="23"/>
      <c r="E2719" s="23"/>
      <c r="G2719" s="23"/>
      <c r="H2719" s="23"/>
      <c r="J2719" s="23"/>
      <c r="K2719" s="23"/>
      <c r="M2719" s="23"/>
      <c r="N2719" s="23"/>
      <c r="P2719" s="23"/>
    </row>
    <row r="2720" spans="2:16" x14ac:dyDescent="0.25">
      <c r="B2720" s="23"/>
      <c r="E2720" s="23"/>
      <c r="G2720" s="23"/>
      <c r="H2720" s="23"/>
      <c r="J2720" s="23"/>
      <c r="K2720" s="23"/>
      <c r="M2720" s="23"/>
      <c r="N2720" s="23"/>
      <c r="P2720" s="23"/>
    </row>
    <row r="2721" spans="2:16" x14ac:dyDescent="0.25">
      <c r="B2721" s="23"/>
      <c r="E2721" s="23"/>
      <c r="G2721" s="23"/>
      <c r="H2721" s="23"/>
      <c r="J2721" s="23"/>
      <c r="K2721" s="23"/>
      <c r="M2721" s="23"/>
      <c r="N2721" s="23"/>
      <c r="P2721" s="23"/>
    </row>
    <row r="2722" spans="2:16" x14ac:dyDescent="0.25">
      <c r="B2722" s="23"/>
      <c r="E2722" s="23"/>
      <c r="G2722" s="23"/>
      <c r="H2722" s="23"/>
      <c r="J2722" s="23"/>
      <c r="K2722" s="23"/>
      <c r="M2722" s="23"/>
      <c r="N2722" s="23"/>
      <c r="P2722" s="23"/>
    </row>
    <row r="2723" spans="2:16" x14ac:dyDescent="0.25">
      <c r="B2723" s="23"/>
      <c r="E2723" s="23"/>
      <c r="G2723" s="23"/>
      <c r="H2723" s="23"/>
      <c r="J2723" s="23"/>
      <c r="K2723" s="23"/>
      <c r="M2723" s="23"/>
      <c r="N2723" s="23"/>
      <c r="P2723" s="23"/>
    </row>
    <row r="2724" spans="2:16" x14ac:dyDescent="0.25">
      <c r="B2724" s="23"/>
      <c r="E2724" s="23"/>
      <c r="G2724" s="23"/>
      <c r="H2724" s="23"/>
      <c r="J2724" s="23"/>
      <c r="K2724" s="23"/>
      <c r="M2724" s="23"/>
      <c r="N2724" s="23"/>
      <c r="P2724" s="23"/>
    </row>
    <row r="2725" spans="2:16" x14ac:dyDescent="0.25">
      <c r="B2725" s="23"/>
      <c r="E2725" s="23"/>
      <c r="G2725" s="23"/>
      <c r="H2725" s="23"/>
      <c r="J2725" s="23"/>
      <c r="K2725" s="23"/>
      <c r="M2725" s="23"/>
      <c r="N2725" s="23"/>
      <c r="P2725" s="23"/>
    </row>
    <row r="2726" spans="2:16" x14ac:dyDescent="0.25">
      <c r="B2726" s="23"/>
      <c r="E2726" s="23"/>
      <c r="G2726" s="23"/>
      <c r="H2726" s="23"/>
      <c r="J2726" s="23"/>
      <c r="K2726" s="23"/>
      <c r="M2726" s="23"/>
      <c r="N2726" s="23"/>
      <c r="P2726" s="23"/>
    </row>
    <row r="2727" spans="2:16" x14ac:dyDescent="0.25">
      <c r="B2727" s="23"/>
      <c r="E2727" s="23"/>
      <c r="G2727" s="23"/>
      <c r="H2727" s="23"/>
      <c r="J2727" s="23"/>
      <c r="K2727" s="23"/>
      <c r="M2727" s="23"/>
      <c r="N2727" s="23"/>
      <c r="P2727" s="23"/>
    </row>
    <row r="2728" spans="2:16" x14ac:dyDescent="0.25">
      <c r="B2728" s="23"/>
      <c r="E2728" s="23"/>
      <c r="G2728" s="23"/>
      <c r="H2728" s="23"/>
      <c r="J2728" s="23"/>
      <c r="K2728" s="23"/>
      <c r="M2728" s="23"/>
      <c r="N2728" s="23"/>
      <c r="P2728" s="23"/>
    </row>
    <row r="2729" spans="2:16" x14ac:dyDescent="0.25">
      <c r="B2729" s="23"/>
      <c r="E2729" s="23"/>
      <c r="G2729" s="23"/>
      <c r="H2729" s="23"/>
      <c r="J2729" s="23"/>
      <c r="K2729" s="23"/>
      <c r="M2729" s="23"/>
      <c r="N2729" s="23"/>
      <c r="P2729" s="23"/>
    </row>
    <row r="2730" spans="2:16" x14ac:dyDescent="0.25">
      <c r="B2730" s="23"/>
      <c r="E2730" s="23"/>
      <c r="G2730" s="23"/>
      <c r="H2730" s="23"/>
      <c r="J2730" s="23"/>
      <c r="K2730" s="23"/>
      <c r="M2730" s="23"/>
      <c r="N2730" s="23"/>
      <c r="P2730" s="23"/>
    </row>
    <row r="2731" spans="2:16" x14ac:dyDescent="0.25">
      <c r="B2731" s="23"/>
      <c r="E2731" s="23"/>
      <c r="G2731" s="23"/>
      <c r="H2731" s="23"/>
      <c r="J2731" s="23"/>
      <c r="K2731" s="23"/>
      <c r="M2731" s="23"/>
      <c r="N2731" s="23"/>
      <c r="P2731" s="23"/>
    </row>
    <row r="2732" spans="2:16" x14ac:dyDescent="0.25">
      <c r="B2732" s="23"/>
      <c r="E2732" s="23"/>
      <c r="G2732" s="23"/>
      <c r="H2732" s="23"/>
      <c r="J2732" s="23"/>
      <c r="K2732" s="23"/>
      <c r="M2732" s="23"/>
      <c r="N2732" s="23"/>
      <c r="P2732" s="23"/>
    </row>
    <row r="2733" spans="2:16" x14ac:dyDescent="0.25">
      <c r="B2733" s="23"/>
      <c r="E2733" s="23"/>
      <c r="G2733" s="23"/>
      <c r="H2733" s="23"/>
      <c r="J2733" s="23"/>
      <c r="K2733" s="23"/>
      <c r="M2733" s="23"/>
      <c r="N2733" s="23"/>
      <c r="P2733" s="23"/>
    </row>
    <row r="2734" spans="2:16" x14ac:dyDescent="0.25">
      <c r="B2734" s="23"/>
      <c r="E2734" s="23"/>
      <c r="G2734" s="23"/>
      <c r="H2734" s="23"/>
      <c r="J2734" s="23"/>
      <c r="K2734" s="23"/>
      <c r="M2734" s="23"/>
      <c r="N2734" s="23"/>
      <c r="P2734" s="23"/>
    </row>
    <row r="2735" spans="2:16" x14ac:dyDescent="0.25">
      <c r="B2735" s="23"/>
      <c r="E2735" s="23"/>
      <c r="G2735" s="23"/>
      <c r="H2735" s="23"/>
      <c r="J2735" s="23"/>
      <c r="K2735" s="23"/>
      <c r="M2735" s="23"/>
      <c r="N2735" s="23"/>
      <c r="P2735" s="23"/>
    </row>
    <row r="2736" spans="2:16" x14ac:dyDescent="0.25">
      <c r="B2736" s="23"/>
      <c r="E2736" s="23"/>
      <c r="G2736" s="23"/>
      <c r="H2736" s="23"/>
      <c r="J2736" s="23"/>
      <c r="K2736" s="23"/>
      <c r="M2736" s="23"/>
      <c r="N2736" s="23"/>
      <c r="P2736" s="23"/>
    </row>
    <row r="2737" spans="2:16" x14ac:dyDescent="0.25">
      <c r="B2737" s="23"/>
      <c r="E2737" s="23"/>
      <c r="G2737" s="23"/>
      <c r="H2737" s="23"/>
      <c r="J2737" s="23"/>
      <c r="K2737" s="23"/>
      <c r="M2737" s="23"/>
      <c r="N2737" s="23"/>
      <c r="P2737" s="23"/>
    </row>
    <row r="2738" spans="2:16" x14ac:dyDescent="0.25">
      <c r="B2738" s="23"/>
      <c r="E2738" s="23"/>
      <c r="G2738" s="23"/>
      <c r="H2738" s="23"/>
      <c r="J2738" s="23"/>
      <c r="K2738" s="23"/>
      <c r="M2738" s="23"/>
      <c r="N2738" s="23"/>
      <c r="P2738" s="23"/>
    </row>
    <row r="2739" spans="2:16" x14ac:dyDescent="0.25">
      <c r="B2739" s="23"/>
      <c r="E2739" s="23"/>
      <c r="G2739" s="23"/>
      <c r="H2739" s="23"/>
      <c r="J2739" s="23"/>
      <c r="K2739" s="23"/>
      <c r="M2739" s="23"/>
      <c r="N2739" s="23"/>
      <c r="P2739" s="23"/>
    </row>
    <row r="2740" spans="2:16" x14ac:dyDescent="0.25">
      <c r="B2740" s="23"/>
      <c r="E2740" s="23"/>
      <c r="G2740" s="23"/>
      <c r="H2740" s="23"/>
      <c r="J2740" s="23"/>
      <c r="K2740" s="23"/>
      <c r="M2740" s="23"/>
      <c r="N2740" s="23"/>
      <c r="P2740" s="23"/>
    </row>
    <row r="2741" spans="2:16" x14ac:dyDescent="0.25">
      <c r="B2741" s="23"/>
      <c r="E2741" s="23"/>
      <c r="G2741" s="23"/>
      <c r="H2741" s="23"/>
      <c r="J2741" s="23"/>
      <c r="K2741" s="23"/>
      <c r="M2741" s="23"/>
      <c r="N2741" s="23"/>
      <c r="P2741" s="23"/>
    </row>
    <row r="2742" spans="2:16" x14ac:dyDescent="0.25">
      <c r="B2742" s="23"/>
      <c r="E2742" s="23"/>
      <c r="G2742" s="23"/>
      <c r="H2742" s="23"/>
      <c r="J2742" s="23"/>
      <c r="K2742" s="23"/>
      <c r="M2742" s="23"/>
      <c r="N2742" s="23"/>
      <c r="P2742" s="23"/>
    </row>
    <row r="2743" spans="2:16" x14ac:dyDescent="0.25">
      <c r="B2743" s="23"/>
      <c r="E2743" s="23"/>
      <c r="G2743" s="23"/>
      <c r="H2743" s="23"/>
      <c r="J2743" s="23"/>
      <c r="K2743" s="23"/>
      <c r="M2743" s="23"/>
      <c r="N2743" s="23"/>
      <c r="P2743" s="23"/>
    </row>
    <row r="2744" spans="2:16" x14ac:dyDescent="0.25">
      <c r="B2744" s="23"/>
      <c r="E2744" s="23"/>
      <c r="G2744" s="23"/>
      <c r="H2744" s="23"/>
      <c r="J2744" s="23"/>
      <c r="K2744" s="23"/>
      <c r="M2744" s="23"/>
      <c r="N2744" s="23"/>
      <c r="P2744" s="23"/>
    </row>
    <row r="2745" spans="2:16" x14ac:dyDescent="0.25">
      <c r="B2745" s="23"/>
      <c r="E2745" s="23"/>
      <c r="G2745" s="23"/>
      <c r="H2745" s="23"/>
      <c r="J2745" s="23"/>
      <c r="K2745" s="23"/>
      <c r="M2745" s="23"/>
      <c r="N2745" s="23"/>
      <c r="P2745" s="23"/>
    </row>
    <row r="2746" spans="2:16" x14ac:dyDescent="0.25">
      <c r="B2746" s="23"/>
      <c r="E2746" s="23"/>
      <c r="G2746" s="23"/>
      <c r="H2746" s="23"/>
      <c r="J2746" s="23"/>
      <c r="K2746" s="23"/>
      <c r="M2746" s="23"/>
      <c r="N2746" s="23"/>
      <c r="P2746" s="23"/>
    </row>
    <row r="2747" spans="2:16" x14ac:dyDescent="0.25">
      <c r="B2747" s="23"/>
      <c r="E2747" s="23"/>
      <c r="G2747" s="23"/>
      <c r="H2747" s="23"/>
      <c r="J2747" s="23"/>
      <c r="K2747" s="23"/>
      <c r="M2747" s="23"/>
      <c r="N2747" s="23"/>
      <c r="P2747" s="23"/>
    </row>
    <row r="2748" spans="2:16" x14ac:dyDescent="0.25">
      <c r="B2748" s="23"/>
      <c r="E2748" s="23"/>
      <c r="G2748" s="23"/>
      <c r="H2748" s="23"/>
      <c r="J2748" s="23"/>
      <c r="K2748" s="23"/>
      <c r="M2748" s="23"/>
      <c r="N2748" s="23"/>
      <c r="P2748" s="23"/>
    </row>
    <row r="2749" spans="2:16" x14ac:dyDescent="0.25">
      <c r="B2749" s="23"/>
      <c r="E2749" s="23"/>
      <c r="G2749" s="23"/>
      <c r="H2749" s="23"/>
      <c r="J2749" s="23"/>
      <c r="K2749" s="23"/>
      <c r="M2749" s="23"/>
      <c r="N2749" s="23"/>
      <c r="P2749" s="23"/>
    </row>
    <row r="2750" spans="2:16" x14ac:dyDescent="0.25">
      <c r="B2750" s="23"/>
      <c r="E2750" s="23"/>
      <c r="G2750" s="23"/>
      <c r="H2750" s="23"/>
      <c r="J2750" s="23"/>
      <c r="K2750" s="23"/>
      <c r="M2750" s="23"/>
      <c r="N2750" s="23"/>
      <c r="P2750" s="23"/>
    </row>
    <row r="2751" spans="2:16" x14ac:dyDescent="0.25">
      <c r="B2751" s="23"/>
      <c r="E2751" s="23"/>
      <c r="G2751" s="23"/>
      <c r="H2751" s="23"/>
      <c r="J2751" s="23"/>
      <c r="K2751" s="23"/>
      <c r="M2751" s="23"/>
      <c r="N2751" s="23"/>
      <c r="P2751" s="23"/>
    </row>
    <row r="2752" spans="2:16" x14ac:dyDescent="0.25">
      <c r="B2752" s="23"/>
      <c r="E2752" s="23"/>
      <c r="G2752" s="23"/>
      <c r="H2752" s="23"/>
      <c r="J2752" s="23"/>
      <c r="K2752" s="23"/>
      <c r="M2752" s="23"/>
      <c r="N2752" s="23"/>
      <c r="P2752" s="23"/>
    </row>
    <row r="2753" spans="2:16" x14ac:dyDescent="0.25">
      <c r="B2753" s="23"/>
      <c r="E2753" s="23"/>
      <c r="G2753" s="23"/>
      <c r="H2753" s="23"/>
      <c r="J2753" s="23"/>
      <c r="K2753" s="23"/>
      <c r="M2753" s="23"/>
      <c r="N2753" s="23"/>
      <c r="P2753" s="23"/>
    </row>
    <row r="2754" spans="2:16" x14ac:dyDescent="0.25">
      <c r="B2754" s="23"/>
      <c r="E2754" s="23"/>
      <c r="G2754" s="23"/>
      <c r="H2754" s="23"/>
      <c r="J2754" s="23"/>
      <c r="K2754" s="23"/>
      <c r="M2754" s="23"/>
      <c r="N2754" s="23"/>
      <c r="P2754" s="23"/>
    </row>
    <row r="2755" spans="2:16" x14ac:dyDescent="0.25">
      <c r="B2755" s="23"/>
      <c r="E2755" s="23"/>
      <c r="G2755" s="23"/>
      <c r="H2755" s="23"/>
      <c r="J2755" s="23"/>
      <c r="K2755" s="23"/>
      <c r="M2755" s="23"/>
      <c r="N2755" s="23"/>
      <c r="P2755" s="23"/>
    </row>
    <row r="2756" spans="2:16" x14ac:dyDescent="0.25">
      <c r="B2756" s="23"/>
      <c r="E2756" s="23"/>
      <c r="G2756" s="23"/>
      <c r="H2756" s="23"/>
      <c r="J2756" s="23"/>
      <c r="K2756" s="23"/>
      <c r="M2756" s="23"/>
      <c r="N2756" s="23"/>
      <c r="P2756" s="23"/>
    </row>
    <row r="2757" spans="2:16" x14ac:dyDescent="0.25">
      <c r="B2757" s="23"/>
      <c r="E2757" s="23"/>
      <c r="G2757" s="23"/>
      <c r="H2757" s="23"/>
      <c r="J2757" s="23"/>
      <c r="K2757" s="23"/>
      <c r="M2757" s="23"/>
      <c r="N2757" s="23"/>
      <c r="P2757" s="23"/>
    </row>
    <row r="2758" spans="2:16" x14ac:dyDescent="0.25">
      <c r="B2758" s="23"/>
      <c r="E2758" s="23"/>
      <c r="G2758" s="23"/>
      <c r="H2758" s="23"/>
      <c r="J2758" s="23"/>
      <c r="K2758" s="23"/>
      <c r="M2758" s="23"/>
      <c r="N2758" s="23"/>
      <c r="P2758" s="23"/>
    </row>
    <row r="2759" spans="2:16" x14ac:dyDescent="0.25">
      <c r="B2759" s="23"/>
      <c r="E2759" s="23"/>
      <c r="G2759" s="23"/>
      <c r="H2759" s="23"/>
      <c r="J2759" s="23"/>
      <c r="K2759" s="23"/>
      <c r="M2759" s="23"/>
      <c r="N2759" s="23"/>
      <c r="P2759" s="23"/>
    </row>
    <row r="2760" spans="2:16" x14ac:dyDescent="0.25">
      <c r="B2760" s="23"/>
      <c r="E2760" s="23"/>
      <c r="G2760" s="23"/>
      <c r="H2760" s="23"/>
      <c r="J2760" s="23"/>
      <c r="K2760" s="23"/>
      <c r="M2760" s="23"/>
      <c r="N2760" s="23"/>
      <c r="P2760" s="23"/>
    </row>
    <row r="2761" spans="2:16" x14ac:dyDescent="0.25">
      <c r="B2761" s="23"/>
      <c r="E2761" s="23"/>
      <c r="G2761" s="23"/>
      <c r="H2761" s="23"/>
      <c r="J2761" s="23"/>
      <c r="K2761" s="23"/>
      <c r="M2761" s="23"/>
      <c r="N2761" s="23"/>
      <c r="P2761" s="23"/>
    </row>
    <row r="2762" spans="2:16" x14ac:dyDescent="0.25">
      <c r="B2762" s="23"/>
      <c r="E2762" s="23"/>
      <c r="G2762" s="23"/>
      <c r="H2762" s="23"/>
      <c r="J2762" s="23"/>
      <c r="K2762" s="23"/>
      <c r="M2762" s="23"/>
      <c r="N2762" s="23"/>
      <c r="P2762" s="23"/>
    </row>
    <row r="2763" spans="2:16" x14ac:dyDescent="0.25">
      <c r="B2763" s="23"/>
      <c r="E2763" s="23"/>
      <c r="G2763" s="23"/>
      <c r="H2763" s="23"/>
      <c r="J2763" s="23"/>
      <c r="K2763" s="23"/>
      <c r="M2763" s="23"/>
      <c r="N2763" s="23"/>
      <c r="P2763" s="23"/>
    </row>
    <row r="2764" spans="2:16" x14ac:dyDescent="0.25">
      <c r="B2764" s="23"/>
      <c r="E2764" s="23"/>
      <c r="G2764" s="23"/>
      <c r="H2764" s="23"/>
      <c r="J2764" s="23"/>
      <c r="K2764" s="23"/>
      <c r="M2764" s="23"/>
      <c r="N2764" s="23"/>
      <c r="P2764" s="23"/>
    </row>
    <row r="2765" spans="2:16" x14ac:dyDescent="0.25">
      <c r="B2765" s="23"/>
      <c r="E2765" s="23"/>
      <c r="G2765" s="23"/>
      <c r="H2765" s="23"/>
      <c r="J2765" s="23"/>
      <c r="K2765" s="23"/>
      <c r="M2765" s="23"/>
      <c r="N2765" s="23"/>
      <c r="P2765" s="23"/>
    </row>
    <row r="2766" spans="2:16" x14ac:dyDescent="0.25">
      <c r="B2766" s="23"/>
      <c r="E2766" s="23"/>
      <c r="G2766" s="23"/>
      <c r="H2766" s="23"/>
      <c r="J2766" s="23"/>
      <c r="K2766" s="23"/>
      <c r="M2766" s="23"/>
      <c r="N2766" s="23"/>
      <c r="P2766" s="23"/>
    </row>
    <row r="2767" spans="2:16" x14ac:dyDescent="0.25">
      <c r="B2767" s="23"/>
      <c r="E2767" s="23"/>
      <c r="G2767" s="23"/>
      <c r="H2767" s="23"/>
      <c r="J2767" s="23"/>
      <c r="K2767" s="23"/>
      <c r="M2767" s="23"/>
      <c r="N2767" s="23"/>
      <c r="P2767" s="23"/>
    </row>
    <row r="2768" spans="2:16" x14ac:dyDescent="0.25">
      <c r="B2768" s="23"/>
      <c r="E2768" s="23"/>
      <c r="G2768" s="23"/>
      <c r="H2768" s="23"/>
      <c r="J2768" s="23"/>
      <c r="K2768" s="23"/>
      <c r="M2768" s="23"/>
      <c r="N2768" s="23"/>
      <c r="P2768" s="23"/>
    </row>
    <row r="2769" spans="2:16" x14ac:dyDescent="0.25">
      <c r="B2769" s="23"/>
      <c r="E2769" s="23"/>
      <c r="G2769" s="23"/>
      <c r="H2769" s="23"/>
      <c r="J2769" s="23"/>
      <c r="K2769" s="23"/>
      <c r="M2769" s="23"/>
      <c r="N2769" s="23"/>
      <c r="P2769" s="23"/>
    </row>
    <row r="2770" spans="2:16" x14ac:dyDescent="0.25">
      <c r="B2770" s="23"/>
      <c r="E2770" s="23"/>
      <c r="G2770" s="23"/>
      <c r="H2770" s="23"/>
      <c r="J2770" s="23"/>
      <c r="K2770" s="23"/>
      <c r="M2770" s="23"/>
      <c r="N2770" s="23"/>
      <c r="P2770" s="23"/>
    </row>
    <row r="2771" spans="2:16" x14ac:dyDescent="0.25">
      <c r="B2771" s="23"/>
      <c r="E2771" s="23"/>
      <c r="G2771" s="23"/>
      <c r="H2771" s="23"/>
      <c r="J2771" s="23"/>
      <c r="K2771" s="23"/>
      <c r="M2771" s="23"/>
      <c r="N2771" s="23"/>
      <c r="P2771" s="23"/>
    </row>
    <row r="2772" spans="2:16" x14ac:dyDescent="0.25">
      <c r="B2772" s="23"/>
      <c r="E2772" s="23"/>
      <c r="G2772" s="23"/>
      <c r="H2772" s="23"/>
      <c r="J2772" s="23"/>
      <c r="K2772" s="23"/>
      <c r="M2772" s="23"/>
      <c r="N2772" s="23"/>
      <c r="P2772" s="23"/>
    </row>
    <row r="2773" spans="2:16" x14ac:dyDescent="0.25">
      <c r="B2773" s="23"/>
      <c r="E2773" s="23"/>
      <c r="G2773" s="23"/>
      <c r="H2773" s="23"/>
      <c r="J2773" s="23"/>
      <c r="K2773" s="23"/>
      <c r="M2773" s="23"/>
      <c r="N2773" s="23"/>
      <c r="P2773" s="23"/>
    </row>
    <row r="2774" spans="2:16" x14ac:dyDescent="0.25">
      <c r="B2774" s="23"/>
      <c r="E2774" s="23"/>
      <c r="G2774" s="23"/>
      <c r="H2774" s="23"/>
      <c r="J2774" s="23"/>
      <c r="K2774" s="23"/>
      <c r="M2774" s="23"/>
      <c r="N2774" s="23"/>
      <c r="P2774" s="23"/>
    </row>
    <row r="2775" spans="2:16" x14ac:dyDescent="0.25">
      <c r="B2775" s="23"/>
      <c r="E2775" s="23"/>
      <c r="G2775" s="23"/>
      <c r="H2775" s="23"/>
      <c r="J2775" s="23"/>
      <c r="K2775" s="23"/>
      <c r="M2775" s="23"/>
      <c r="N2775" s="23"/>
      <c r="P2775" s="23"/>
    </row>
    <row r="2776" spans="2:16" x14ac:dyDescent="0.25">
      <c r="B2776" s="23"/>
      <c r="E2776" s="23"/>
      <c r="G2776" s="23"/>
      <c r="H2776" s="23"/>
      <c r="J2776" s="23"/>
      <c r="K2776" s="23"/>
      <c r="M2776" s="23"/>
      <c r="N2776" s="23"/>
      <c r="P2776" s="23"/>
    </row>
    <row r="2777" spans="2:16" x14ac:dyDescent="0.25">
      <c r="B2777" s="23"/>
      <c r="E2777" s="23"/>
      <c r="G2777" s="23"/>
      <c r="H2777" s="23"/>
      <c r="J2777" s="23"/>
      <c r="K2777" s="23"/>
      <c r="M2777" s="23"/>
      <c r="N2777" s="23"/>
      <c r="P2777" s="23"/>
    </row>
    <row r="2778" spans="2:16" x14ac:dyDescent="0.25">
      <c r="B2778" s="23"/>
      <c r="E2778" s="23"/>
      <c r="G2778" s="23"/>
      <c r="H2778" s="23"/>
      <c r="J2778" s="23"/>
      <c r="K2778" s="23"/>
      <c r="M2778" s="23"/>
      <c r="N2778" s="23"/>
      <c r="P2778" s="23"/>
    </row>
    <row r="2779" spans="2:16" x14ac:dyDescent="0.25">
      <c r="B2779" s="23"/>
      <c r="E2779" s="23"/>
      <c r="G2779" s="23"/>
      <c r="H2779" s="23"/>
      <c r="J2779" s="23"/>
      <c r="K2779" s="23"/>
      <c r="M2779" s="23"/>
      <c r="N2779" s="23"/>
      <c r="P2779" s="23"/>
    </row>
    <row r="2780" spans="2:16" x14ac:dyDescent="0.25">
      <c r="B2780" s="23"/>
      <c r="E2780" s="23"/>
      <c r="G2780" s="23"/>
      <c r="H2780" s="23"/>
      <c r="J2780" s="23"/>
      <c r="K2780" s="23"/>
      <c r="M2780" s="23"/>
      <c r="N2780" s="23"/>
      <c r="P2780" s="23"/>
    </row>
    <row r="2781" spans="2:16" x14ac:dyDescent="0.25">
      <c r="B2781" s="23"/>
      <c r="E2781" s="23"/>
      <c r="G2781" s="23"/>
      <c r="H2781" s="23"/>
      <c r="J2781" s="23"/>
      <c r="K2781" s="23"/>
      <c r="M2781" s="23"/>
      <c r="N2781" s="23"/>
      <c r="P2781" s="23"/>
    </row>
    <row r="2782" spans="2:16" x14ac:dyDescent="0.25">
      <c r="B2782" s="23"/>
      <c r="E2782" s="23"/>
      <c r="G2782" s="23"/>
      <c r="H2782" s="23"/>
      <c r="J2782" s="23"/>
      <c r="K2782" s="23"/>
      <c r="M2782" s="23"/>
      <c r="N2782" s="23"/>
      <c r="P2782" s="23"/>
    </row>
    <row r="2783" spans="2:16" x14ac:dyDescent="0.25">
      <c r="B2783" s="23"/>
      <c r="E2783" s="23"/>
      <c r="G2783" s="23"/>
      <c r="H2783" s="23"/>
      <c r="J2783" s="23"/>
      <c r="K2783" s="23"/>
      <c r="M2783" s="23"/>
      <c r="N2783" s="23"/>
      <c r="P2783" s="23"/>
    </row>
    <row r="2784" spans="2:16" x14ac:dyDescent="0.25">
      <c r="B2784" s="23"/>
      <c r="E2784" s="23"/>
      <c r="G2784" s="23"/>
      <c r="H2784" s="23"/>
      <c r="J2784" s="23"/>
      <c r="K2784" s="23"/>
      <c r="M2784" s="23"/>
      <c r="N2784" s="23"/>
      <c r="P2784" s="23"/>
    </row>
    <row r="2785" spans="2:16" x14ac:dyDescent="0.25">
      <c r="B2785" s="23"/>
      <c r="E2785" s="23"/>
      <c r="G2785" s="23"/>
      <c r="H2785" s="23"/>
      <c r="J2785" s="23"/>
      <c r="K2785" s="23"/>
      <c r="M2785" s="23"/>
      <c r="N2785" s="23"/>
      <c r="P2785" s="23"/>
    </row>
    <row r="2786" spans="2:16" x14ac:dyDescent="0.25">
      <c r="B2786" s="23"/>
      <c r="E2786" s="23"/>
      <c r="G2786" s="23"/>
      <c r="H2786" s="23"/>
      <c r="J2786" s="23"/>
      <c r="K2786" s="23"/>
      <c r="M2786" s="23"/>
      <c r="N2786" s="23"/>
      <c r="P2786" s="23"/>
    </row>
    <row r="2787" spans="2:16" x14ac:dyDescent="0.25">
      <c r="B2787" s="23"/>
      <c r="E2787" s="23"/>
      <c r="G2787" s="23"/>
      <c r="H2787" s="23"/>
      <c r="J2787" s="23"/>
      <c r="K2787" s="23"/>
      <c r="M2787" s="23"/>
      <c r="N2787" s="23"/>
      <c r="P2787" s="23"/>
    </row>
    <row r="2788" spans="2:16" x14ac:dyDescent="0.25">
      <c r="B2788" s="23"/>
      <c r="E2788" s="23"/>
      <c r="G2788" s="23"/>
      <c r="H2788" s="23"/>
      <c r="J2788" s="23"/>
      <c r="K2788" s="23"/>
      <c r="M2788" s="23"/>
      <c r="N2788" s="23"/>
      <c r="P2788" s="23"/>
    </row>
    <row r="2789" spans="2:16" x14ac:dyDescent="0.25">
      <c r="B2789" s="23"/>
      <c r="E2789" s="23"/>
      <c r="G2789" s="23"/>
      <c r="H2789" s="23"/>
      <c r="J2789" s="23"/>
      <c r="K2789" s="23"/>
      <c r="M2789" s="23"/>
      <c r="N2789" s="23"/>
      <c r="P2789" s="23"/>
    </row>
    <row r="2790" spans="2:16" x14ac:dyDescent="0.25">
      <c r="B2790" s="23"/>
      <c r="E2790" s="23"/>
      <c r="G2790" s="23"/>
      <c r="H2790" s="23"/>
      <c r="J2790" s="23"/>
      <c r="K2790" s="23"/>
      <c r="M2790" s="23"/>
      <c r="N2790" s="23"/>
      <c r="P2790" s="23"/>
    </row>
    <row r="2791" spans="2:16" x14ac:dyDescent="0.25">
      <c r="B2791" s="23"/>
      <c r="E2791" s="23"/>
      <c r="G2791" s="23"/>
      <c r="H2791" s="23"/>
      <c r="J2791" s="23"/>
      <c r="K2791" s="23"/>
      <c r="M2791" s="23"/>
      <c r="N2791" s="23"/>
      <c r="P2791" s="23"/>
    </row>
    <row r="2792" spans="2:16" x14ac:dyDescent="0.25">
      <c r="B2792" s="23"/>
      <c r="E2792" s="23"/>
      <c r="G2792" s="23"/>
      <c r="H2792" s="23"/>
      <c r="J2792" s="23"/>
      <c r="K2792" s="23"/>
      <c r="M2792" s="23"/>
      <c r="N2792" s="23"/>
      <c r="P2792" s="23"/>
    </row>
    <row r="2793" spans="2:16" x14ac:dyDescent="0.25">
      <c r="B2793" s="23"/>
      <c r="E2793" s="23"/>
      <c r="G2793" s="23"/>
      <c r="H2793" s="23"/>
      <c r="J2793" s="23"/>
      <c r="K2793" s="23"/>
      <c r="M2793" s="23"/>
      <c r="N2793" s="23"/>
      <c r="P2793" s="23"/>
    </row>
    <row r="2794" spans="2:16" x14ac:dyDescent="0.25">
      <c r="B2794" s="23"/>
      <c r="E2794" s="23"/>
      <c r="G2794" s="23"/>
      <c r="H2794" s="23"/>
      <c r="J2794" s="23"/>
      <c r="K2794" s="23"/>
      <c r="M2794" s="23"/>
      <c r="N2794" s="23"/>
      <c r="P2794" s="23"/>
    </row>
    <row r="2795" spans="2:16" x14ac:dyDescent="0.25">
      <c r="B2795" s="23"/>
      <c r="E2795" s="23"/>
      <c r="G2795" s="23"/>
      <c r="H2795" s="23"/>
      <c r="J2795" s="23"/>
      <c r="K2795" s="23"/>
      <c r="M2795" s="23"/>
      <c r="N2795" s="23"/>
      <c r="P2795" s="23"/>
    </row>
    <row r="2796" spans="2:16" x14ac:dyDescent="0.25">
      <c r="B2796" s="23"/>
      <c r="E2796" s="23"/>
      <c r="G2796" s="23"/>
      <c r="H2796" s="23"/>
      <c r="J2796" s="23"/>
      <c r="K2796" s="23"/>
      <c r="M2796" s="23"/>
      <c r="N2796" s="23"/>
      <c r="P2796" s="23"/>
    </row>
    <row r="2797" spans="2:16" x14ac:dyDescent="0.25">
      <c r="B2797" s="23"/>
      <c r="E2797" s="23"/>
      <c r="G2797" s="23"/>
      <c r="H2797" s="23"/>
      <c r="J2797" s="23"/>
      <c r="K2797" s="23"/>
      <c r="M2797" s="23"/>
      <c r="N2797" s="23"/>
      <c r="P2797" s="23"/>
    </row>
    <row r="2798" spans="2:16" x14ac:dyDescent="0.25">
      <c r="B2798" s="23"/>
      <c r="E2798" s="23"/>
      <c r="G2798" s="23"/>
      <c r="H2798" s="23"/>
      <c r="J2798" s="23"/>
      <c r="K2798" s="23"/>
      <c r="M2798" s="23"/>
      <c r="N2798" s="23"/>
      <c r="P2798" s="23"/>
    </row>
    <row r="2799" spans="2:16" x14ac:dyDescent="0.25">
      <c r="B2799" s="23"/>
      <c r="E2799" s="23"/>
      <c r="G2799" s="23"/>
      <c r="H2799" s="23"/>
      <c r="J2799" s="23"/>
      <c r="K2799" s="23"/>
      <c r="M2799" s="23"/>
      <c r="N2799" s="23"/>
      <c r="P2799" s="23"/>
    </row>
    <row r="2800" spans="2:16" x14ac:dyDescent="0.25">
      <c r="B2800" s="23"/>
      <c r="E2800" s="23"/>
      <c r="G2800" s="23"/>
      <c r="H2800" s="23"/>
      <c r="J2800" s="23"/>
      <c r="K2800" s="23"/>
      <c r="M2800" s="23"/>
      <c r="N2800" s="23"/>
      <c r="P2800" s="23"/>
    </row>
    <row r="2801" spans="2:16" x14ac:dyDescent="0.25">
      <c r="B2801" s="23"/>
      <c r="E2801" s="23"/>
      <c r="G2801" s="23"/>
      <c r="H2801" s="23"/>
      <c r="J2801" s="23"/>
      <c r="K2801" s="23"/>
      <c r="M2801" s="23"/>
      <c r="N2801" s="23"/>
      <c r="P2801" s="23"/>
    </row>
    <row r="2802" spans="2:16" x14ac:dyDescent="0.25">
      <c r="B2802" s="23"/>
      <c r="E2802" s="23"/>
      <c r="G2802" s="23"/>
      <c r="H2802" s="23"/>
      <c r="J2802" s="23"/>
      <c r="K2802" s="23"/>
      <c r="M2802" s="23"/>
      <c r="N2802" s="23"/>
      <c r="P2802" s="23"/>
    </row>
    <row r="2803" spans="2:16" x14ac:dyDescent="0.25">
      <c r="B2803" s="23"/>
      <c r="E2803" s="23"/>
      <c r="G2803" s="23"/>
      <c r="H2803" s="23"/>
      <c r="J2803" s="23"/>
      <c r="K2803" s="23"/>
      <c r="M2803" s="23"/>
      <c r="N2803" s="23"/>
      <c r="P2803" s="23"/>
    </row>
    <row r="2804" spans="2:16" x14ac:dyDescent="0.25">
      <c r="B2804" s="23"/>
      <c r="E2804" s="23"/>
      <c r="G2804" s="23"/>
      <c r="H2804" s="23"/>
      <c r="J2804" s="23"/>
      <c r="K2804" s="23"/>
      <c r="M2804" s="23"/>
      <c r="N2804" s="23"/>
      <c r="P2804" s="23"/>
    </row>
    <row r="2805" spans="2:16" x14ac:dyDescent="0.25">
      <c r="B2805" s="23"/>
      <c r="E2805" s="23"/>
      <c r="G2805" s="23"/>
      <c r="H2805" s="23"/>
      <c r="J2805" s="23"/>
      <c r="K2805" s="23"/>
      <c r="M2805" s="23"/>
      <c r="N2805" s="23"/>
      <c r="P2805" s="23"/>
    </row>
    <row r="2806" spans="2:16" x14ac:dyDescent="0.25">
      <c r="B2806" s="23"/>
      <c r="E2806" s="23"/>
      <c r="G2806" s="23"/>
      <c r="H2806" s="23"/>
      <c r="J2806" s="23"/>
      <c r="K2806" s="23"/>
      <c r="M2806" s="23"/>
      <c r="N2806" s="23"/>
      <c r="P2806" s="23"/>
    </row>
    <row r="2807" spans="2:16" x14ac:dyDescent="0.25">
      <c r="B2807" s="23"/>
      <c r="E2807" s="23"/>
      <c r="G2807" s="23"/>
      <c r="H2807" s="23"/>
      <c r="J2807" s="23"/>
      <c r="K2807" s="23"/>
      <c r="M2807" s="23"/>
      <c r="N2807" s="23"/>
      <c r="P2807" s="23"/>
    </row>
    <row r="2808" spans="2:16" x14ac:dyDescent="0.25">
      <c r="B2808" s="23"/>
      <c r="E2808" s="23"/>
      <c r="G2808" s="23"/>
      <c r="H2808" s="23"/>
      <c r="J2808" s="23"/>
      <c r="K2808" s="23"/>
      <c r="M2808" s="23"/>
      <c r="N2808" s="23"/>
      <c r="P2808" s="23"/>
    </row>
    <row r="2809" spans="2:16" x14ac:dyDescent="0.25">
      <c r="B2809" s="23"/>
      <c r="E2809" s="23"/>
      <c r="G2809" s="23"/>
      <c r="H2809" s="23"/>
      <c r="J2809" s="23"/>
      <c r="K2809" s="23"/>
      <c r="M2809" s="23"/>
      <c r="N2809" s="23"/>
      <c r="P2809" s="23"/>
    </row>
    <row r="2810" spans="2:16" x14ac:dyDescent="0.25">
      <c r="B2810" s="23"/>
      <c r="E2810" s="23"/>
      <c r="G2810" s="23"/>
      <c r="H2810" s="23"/>
      <c r="J2810" s="23"/>
      <c r="K2810" s="23"/>
      <c r="M2810" s="23"/>
      <c r="N2810" s="23"/>
      <c r="P2810" s="23"/>
    </row>
    <row r="2811" spans="2:16" x14ac:dyDescent="0.25">
      <c r="B2811" s="23"/>
      <c r="E2811" s="23"/>
      <c r="G2811" s="23"/>
      <c r="H2811" s="23"/>
      <c r="J2811" s="23"/>
      <c r="K2811" s="23"/>
      <c r="M2811" s="23"/>
      <c r="N2811" s="23"/>
      <c r="P2811" s="23"/>
    </row>
    <row r="2812" spans="2:16" x14ac:dyDescent="0.25">
      <c r="B2812" s="23"/>
      <c r="E2812" s="23"/>
      <c r="G2812" s="23"/>
      <c r="H2812" s="23"/>
      <c r="J2812" s="23"/>
      <c r="K2812" s="23"/>
      <c r="M2812" s="23"/>
      <c r="N2812" s="23"/>
      <c r="P2812" s="23"/>
    </row>
    <row r="2813" spans="2:16" x14ac:dyDescent="0.25">
      <c r="B2813" s="23"/>
      <c r="E2813" s="23"/>
      <c r="G2813" s="23"/>
      <c r="H2813" s="23"/>
      <c r="J2813" s="23"/>
      <c r="K2813" s="23"/>
      <c r="M2813" s="23"/>
      <c r="N2813" s="23"/>
      <c r="P2813" s="23"/>
    </row>
    <row r="2814" spans="2:16" x14ac:dyDescent="0.25">
      <c r="B2814" s="23"/>
      <c r="E2814" s="23"/>
      <c r="G2814" s="23"/>
      <c r="H2814" s="23"/>
      <c r="J2814" s="23"/>
      <c r="K2814" s="23"/>
      <c r="M2814" s="23"/>
      <c r="N2814" s="23"/>
      <c r="P2814" s="23"/>
    </row>
    <row r="2815" spans="2:16" x14ac:dyDescent="0.25">
      <c r="B2815" s="23"/>
      <c r="E2815" s="23"/>
      <c r="G2815" s="23"/>
      <c r="H2815" s="23"/>
      <c r="J2815" s="23"/>
      <c r="K2815" s="23"/>
      <c r="M2815" s="23"/>
      <c r="N2815" s="23"/>
      <c r="P2815" s="23"/>
    </row>
    <row r="2816" spans="2:16" x14ac:dyDescent="0.25">
      <c r="B2816" s="23"/>
      <c r="E2816" s="23"/>
      <c r="G2816" s="23"/>
      <c r="H2816" s="23"/>
      <c r="J2816" s="23"/>
      <c r="K2816" s="23"/>
      <c r="M2816" s="23"/>
      <c r="N2816" s="23"/>
      <c r="P2816" s="23"/>
    </row>
    <row r="2817" spans="2:16" x14ac:dyDescent="0.25">
      <c r="B2817" s="23"/>
      <c r="E2817" s="23"/>
      <c r="G2817" s="23"/>
      <c r="H2817" s="23"/>
      <c r="J2817" s="23"/>
      <c r="K2817" s="23"/>
      <c r="M2817" s="23"/>
      <c r="N2817" s="23"/>
      <c r="P2817" s="23"/>
    </row>
    <row r="2818" spans="2:16" x14ac:dyDescent="0.25">
      <c r="B2818" s="23"/>
      <c r="E2818" s="23"/>
      <c r="G2818" s="23"/>
      <c r="H2818" s="23"/>
      <c r="J2818" s="23"/>
      <c r="K2818" s="23"/>
      <c r="M2818" s="23"/>
      <c r="N2818" s="23"/>
      <c r="P2818" s="23"/>
    </row>
    <row r="2819" spans="2:16" x14ac:dyDescent="0.25">
      <c r="B2819" s="23"/>
      <c r="E2819" s="23"/>
      <c r="G2819" s="23"/>
      <c r="H2819" s="23"/>
      <c r="J2819" s="23"/>
      <c r="K2819" s="23"/>
      <c r="M2819" s="23"/>
      <c r="N2819" s="23"/>
      <c r="P2819" s="23"/>
    </row>
    <row r="2820" spans="2:16" x14ac:dyDescent="0.25">
      <c r="B2820" s="23"/>
      <c r="E2820" s="23"/>
      <c r="G2820" s="23"/>
      <c r="H2820" s="23"/>
      <c r="J2820" s="23"/>
      <c r="K2820" s="23"/>
      <c r="M2820" s="23"/>
      <c r="N2820" s="23"/>
      <c r="P2820" s="23"/>
    </row>
    <row r="2821" spans="2:16" x14ac:dyDescent="0.25">
      <c r="B2821" s="23"/>
      <c r="E2821" s="23"/>
      <c r="G2821" s="23"/>
      <c r="H2821" s="23"/>
      <c r="J2821" s="23"/>
      <c r="K2821" s="23"/>
      <c r="M2821" s="23"/>
      <c r="N2821" s="23"/>
      <c r="P2821" s="23"/>
    </row>
    <row r="2822" spans="2:16" x14ac:dyDescent="0.25">
      <c r="B2822" s="23"/>
      <c r="E2822" s="23"/>
      <c r="G2822" s="23"/>
      <c r="H2822" s="23"/>
      <c r="J2822" s="23"/>
      <c r="K2822" s="23"/>
      <c r="M2822" s="23"/>
      <c r="N2822" s="23"/>
      <c r="P2822" s="23"/>
    </row>
    <row r="2823" spans="2:16" x14ac:dyDescent="0.25">
      <c r="B2823" s="23"/>
      <c r="E2823" s="23"/>
      <c r="G2823" s="23"/>
      <c r="H2823" s="23"/>
      <c r="J2823" s="23"/>
      <c r="K2823" s="23"/>
      <c r="M2823" s="23"/>
      <c r="N2823" s="23"/>
      <c r="P2823" s="23"/>
    </row>
    <row r="2824" spans="2:16" x14ac:dyDescent="0.25">
      <c r="B2824" s="23"/>
      <c r="E2824" s="23"/>
      <c r="G2824" s="23"/>
      <c r="H2824" s="23"/>
      <c r="J2824" s="23"/>
      <c r="K2824" s="23"/>
      <c r="M2824" s="23"/>
      <c r="N2824" s="23"/>
      <c r="P2824" s="23"/>
    </row>
    <row r="2825" spans="2:16" x14ac:dyDescent="0.25">
      <c r="B2825" s="23"/>
      <c r="E2825" s="23"/>
      <c r="G2825" s="23"/>
      <c r="H2825" s="23"/>
      <c r="J2825" s="23"/>
      <c r="K2825" s="23"/>
      <c r="M2825" s="23"/>
      <c r="N2825" s="23"/>
      <c r="P2825" s="23"/>
    </row>
    <row r="2826" spans="2:16" x14ac:dyDescent="0.25">
      <c r="B2826" s="23"/>
      <c r="E2826" s="23"/>
      <c r="G2826" s="23"/>
      <c r="H2826" s="23"/>
      <c r="J2826" s="23"/>
      <c r="K2826" s="23"/>
      <c r="M2826" s="23"/>
      <c r="N2826" s="23"/>
      <c r="P2826" s="23"/>
    </row>
    <row r="2827" spans="2:16" x14ac:dyDescent="0.25">
      <c r="B2827" s="23"/>
      <c r="E2827" s="23"/>
      <c r="G2827" s="23"/>
      <c r="H2827" s="23"/>
      <c r="J2827" s="23"/>
      <c r="K2827" s="23"/>
      <c r="M2827" s="23"/>
      <c r="N2827" s="23"/>
      <c r="P2827" s="23"/>
    </row>
    <row r="2828" spans="2:16" x14ac:dyDescent="0.25">
      <c r="B2828" s="23"/>
      <c r="E2828" s="23"/>
      <c r="G2828" s="23"/>
      <c r="H2828" s="23"/>
      <c r="J2828" s="23"/>
      <c r="K2828" s="23"/>
      <c r="M2828" s="23"/>
      <c r="N2828" s="23"/>
      <c r="P2828" s="23"/>
    </row>
    <row r="2829" spans="2:16" x14ac:dyDescent="0.25">
      <c r="B2829" s="23"/>
      <c r="E2829" s="23"/>
      <c r="G2829" s="23"/>
      <c r="H2829" s="23"/>
      <c r="J2829" s="23"/>
      <c r="K2829" s="23"/>
      <c r="M2829" s="23"/>
      <c r="N2829" s="23"/>
      <c r="P2829" s="23"/>
    </row>
    <row r="2830" spans="2:16" x14ac:dyDescent="0.25">
      <c r="B2830" s="23"/>
      <c r="E2830" s="23"/>
      <c r="G2830" s="23"/>
      <c r="H2830" s="23"/>
      <c r="J2830" s="23"/>
      <c r="K2830" s="23"/>
      <c r="M2830" s="23"/>
      <c r="N2830" s="23"/>
      <c r="P2830" s="23"/>
    </row>
    <row r="2831" spans="2:16" x14ac:dyDescent="0.25">
      <c r="B2831" s="23"/>
      <c r="E2831" s="23"/>
      <c r="G2831" s="23"/>
      <c r="H2831" s="23"/>
      <c r="J2831" s="23"/>
      <c r="K2831" s="23"/>
      <c r="M2831" s="23"/>
      <c r="N2831" s="23"/>
      <c r="P2831" s="23"/>
    </row>
    <row r="2832" spans="2:16" x14ac:dyDescent="0.25">
      <c r="B2832" s="23"/>
      <c r="E2832" s="23"/>
      <c r="G2832" s="23"/>
      <c r="H2832" s="23"/>
      <c r="J2832" s="23"/>
      <c r="K2832" s="23"/>
      <c r="M2832" s="23"/>
      <c r="N2832" s="23"/>
      <c r="P2832" s="23"/>
    </row>
    <row r="2833" spans="2:16" x14ac:dyDescent="0.25">
      <c r="B2833" s="23"/>
      <c r="E2833" s="23"/>
      <c r="G2833" s="23"/>
      <c r="H2833" s="23"/>
      <c r="J2833" s="23"/>
      <c r="K2833" s="23"/>
      <c r="M2833" s="23"/>
      <c r="N2833" s="23"/>
      <c r="P2833" s="23"/>
    </row>
    <row r="2834" spans="2:16" x14ac:dyDescent="0.25">
      <c r="B2834" s="23"/>
      <c r="E2834" s="23"/>
      <c r="G2834" s="23"/>
      <c r="H2834" s="23"/>
      <c r="J2834" s="23"/>
      <c r="K2834" s="23"/>
      <c r="M2834" s="23"/>
      <c r="N2834" s="23"/>
      <c r="P2834" s="23"/>
    </row>
    <row r="2835" spans="2:16" x14ac:dyDescent="0.25">
      <c r="B2835" s="23"/>
      <c r="E2835" s="23"/>
      <c r="G2835" s="23"/>
      <c r="H2835" s="23"/>
      <c r="J2835" s="23"/>
      <c r="K2835" s="23"/>
      <c r="M2835" s="23"/>
      <c r="N2835" s="23"/>
      <c r="P2835" s="23"/>
    </row>
    <row r="2836" spans="2:16" x14ac:dyDescent="0.25">
      <c r="B2836" s="23"/>
      <c r="E2836" s="23"/>
      <c r="G2836" s="23"/>
      <c r="H2836" s="23"/>
      <c r="J2836" s="23"/>
      <c r="K2836" s="23"/>
      <c r="M2836" s="23"/>
      <c r="N2836" s="23"/>
      <c r="P2836" s="23"/>
    </row>
    <row r="2837" spans="2:16" x14ac:dyDescent="0.25">
      <c r="B2837" s="23"/>
      <c r="E2837" s="23"/>
      <c r="G2837" s="23"/>
      <c r="H2837" s="23"/>
      <c r="J2837" s="23"/>
      <c r="K2837" s="23"/>
      <c r="M2837" s="23"/>
      <c r="N2837" s="23"/>
      <c r="P2837" s="23"/>
    </row>
    <row r="2838" spans="2:16" x14ac:dyDescent="0.25">
      <c r="B2838" s="23"/>
      <c r="E2838" s="23"/>
      <c r="G2838" s="23"/>
      <c r="H2838" s="23"/>
      <c r="J2838" s="23"/>
      <c r="K2838" s="23"/>
      <c r="M2838" s="23"/>
      <c r="N2838" s="23"/>
      <c r="P2838" s="23"/>
    </row>
    <row r="2839" spans="2:16" x14ac:dyDescent="0.25">
      <c r="B2839" s="23"/>
      <c r="E2839" s="23"/>
      <c r="G2839" s="23"/>
      <c r="H2839" s="23"/>
      <c r="J2839" s="23"/>
      <c r="K2839" s="23"/>
      <c r="M2839" s="23"/>
      <c r="N2839" s="23"/>
      <c r="P2839" s="23"/>
    </row>
    <row r="2840" spans="2:16" x14ac:dyDescent="0.25">
      <c r="B2840" s="23"/>
      <c r="E2840" s="23"/>
      <c r="G2840" s="23"/>
      <c r="H2840" s="23"/>
      <c r="J2840" s="23"/>
      <c r="K2840" s="23"/>
      <c r="M2840" s="23"/>
      <c r="N2840" s="23"/>
      <c r="P2840" s="23"/>
    </row>
    <row r="2841" spans="2:16" x14ac:dyDescent="0.25">
      <c r="B2841" s="23"/>
      <c r="E2841" s="23"/>
      <c r="G2841" s="23"/>
      <c r="H2841" s="23"/>
      <c r="J2841" s="23"/>
      <c r="K2841" s="23"/>
      <c r="M2841" s="23"/>
      <c r="N2841" s="23"/>
      <c r="P2841" s="23"/>
    </row>
    <row r="2842" spans="2:16" x14ac:dyDescent="0.25">
      <c r="B2842" s="23"/>
      <c r="E2842" s="23"/>
      <c r="G2842" s="23"/>
      <c r="H2842" s="23"/>
      <c r="J2842" s="23"/>
      <c r="K2842" s="23"/>
      <c r="M2842" s="23"/>
      <c r="N2842" s="23"/>
      <c r="P2842" s="23"/>
    </row>
    <row r="2843" spans="2:16" x14ac:dyDescent="0.25">
      <c r="B2843" s="23"/>
      <c r="E2843" s="23"/>
      <c r="G2843" s="23"/>
      <c r="H2843" s="23"/>
      <c r="J2843" s="23"/>
      <c r="K2843" s="23"/>
      <c r="M2843" s="23"/>
      <c r="N2843" s="23"/>
      <c r="P2843" s="23"/>
    </row>
    <row r="2844" spans="2:16" x14ac:dyDescent="0.25">
      <c r="B2844" s="23"/>
      <c r="E2844" s="23"/>
      <c r="G2844" s="23"/>
      <c r="H2844" s="23"/>
      <c r="J2844" s="23"/>
      <c r="K2844" s="23"/>
      <c r="M2844" s="23"/>
      <c r="N2844" s="23"/>
      <c r="P2844" s="23"/>
    </row>
    <row r="2845" spans="2:16" x14ac:dyDescent="0.25">
      <c r="B2845" s="23"/>
      <c r="E2845" s="23"/>
      <c r="G2845" s="23"/>
      <c r="H2845" s="23"/>
      <c r="J2845" s="23"/>
      <c r="K2845" s="23"/>
      <c r="M2845" s="23"/>
      <c r="N2845" s="23"/>
      <c r="P2845" s="23"/>
    </row>
    <row r="2846" spans="2:16" x14ac:dyDescent="0.25">
      <c r="B2846" s="23"/>
      <c r="E2846" s="23"/>
      <c r="G2846" s="23"/>
      <c r="H2846" s="23"/>
      <c r="J2846" s="23"/>
      <c r="K2846" s="23"/>
      <c r="M2846" s="23"/>
      <c r="N2846" s="23"/>
      <c r="P2846" s="23"/>
    </row>
    <row r="2847" spans="2:16" x14ac:dyDescent="0.25">
      <c r="B2847" s="23"/>
      <c r="E2847" s="23"/>
      <c r="G2847" s="23"/>
      <c r="H2847" s="23"/>
      <c r="J2847" s="23"/>
      <c r="K2847" s="23"/>
      <c r="M2847" s="23"/>
      <c r="N2847" s="23"/>
      <c r="P2847" s="23"/>
    </row>
    <row r="2848" spans="2:16" x14ac:dyDescent="0.25">
      <c r="B2848" s="23"/>
      <c r="E2848" s="23"/>
      <c r="G2848" s="23"/>
      <c r="H2848" s="23"/>
      <c r="J2848" s="23"/>
      <c r="K2848" s="23"/>
      <c r="M2848" s="23"/>
      <c r="N2848" s="23"/>
      <c r="P2848" s="23"/>
    </row>
    <row r="2849" spans="2:16" x14ac:dyDescent="0.25">
      <c r="B2849" s="23"/>
      <c r="E2849" s="23"/>
      <c r="G2849" s="23"/>
      <c r="H2849" s="23"/>
      <c r="J2849" s="23"/>
      <c r="K2849" s="23"/>
      <c r="M2849" s="23"/>
      <c r="N2849" s="23"/>
      <c r="P2849" s="23"/>
    </row>
    <row r="2850" spans="2:16" x14ac:dyDescent="0.25">
      <c r="B2850" s="23"/>
      <c r="E2850" s="23"/>
      <c r="G2850" s="23"/>
      <c r="H2850" s="23"/>
      <c r="J2850" s="23"/>
      <c r="K2850" s="23"/>
      <c r="M2850" s="23"/>
      <c r="N2850" s="23"/>
      <c r="P2850" s="23"/>
    </row>
    <row r="2851" spans="2:16" x14ac:dyDescent="0.25">
      <c r="B2851" s="23"/>
      <c r="E2851" s="23"/>
      <c r="G2851" s="23"/>
      <c r="H2851" s="23"/>
      <c r="J2851" s="23"/>
      <c r="K2851" s="23"/>
      <c r="M2851" s="23"/>
      <c r="N2851" s="23"/>
      <c r="P2851" s="23"/>
    </row>
    <row r="2852" spans="2:16" x14ac:dyDescent="0.25">
      <c r="B2852" s="23"/>
      <c r="E2852" s="23"/>
      <c r="G2852" s="23"/>
      <c r="H2852" s="23"/>
      <c r="J2852" s="23"/>
      <c r="K2852" s="23"/>
      <c r="M2852" s="23"/>
      <c r="N2852" s="23"/>
      <c r="P2852" s="23"/>
    </row>
    <row r="2853" spans="2:16" x14ac:dyDescent="0.25">
      <c r="B2853" s="23"/>
      <c r="E2853" s="23"/>
      <c r="G2853" s="23"/>
      <c r="H2853" s="23"/>
      <c r="J2853" s="23"/>
      <c r="K2853" s="23"/>
      <c r="M2853" s="23"/>
      <c r="N2853" s="23"/>
      <c r="P2853" s="23"/>
    </row>
    <row r="2854" spans="2:16" x14ac:dyDescent="0.25">
      <c r="B2854" s="23"/>
      <c r="E2854" s="23"/>
      <c r="G2854" s="23"/>
      <c r="H2854" s="23"/>
      <c r="J2854" s="23"/>
      <c r="K2854" s="23"/>
      <c r="M2854" s="23"/>
      <c r="N2854" s="23"/>
      <c r="P2854" s="23"/>
    </row>
    <row r="2855" spans="2:16" x14ac:dyDescent="0.25">
      <c r="B2855" s="23"/>
      <c r="E2855" s="23"/>
      <c r="G2855" s="23"/>
      <c r="H2855" s="23"/>
      <c r="J2855" s="23"/>
      <c r="K2855" s="23"/>
      <c r="M2855" s="23"/>
      <c r="N2855" s="23"/>
      <c r="P2855" s="23"/>
    </row>
    <row r="2856" spans="2:16" x14ac:dyDescent="0.25">
      <c r="B2856" s="23"/>
      <c r="E2856" s="23"/>
      <c r="G2856" s="23"/>
      <c r="H2856" s="23"/>
      <c r="J2856" s="23"/>
      <c r="K2856" s="23"/>
      <c r="M2856" s="23"/>
      <c r="N2856" s="23"/>
      <c r="P2856" s="23"/>
    </row>
    <row r="2857" spans="2:16" x14ac:dyDescent="0.25">
      <c r="B2857" s="23"/>
      <c r="E2857" s="23"/>
      <c r="G2857" s="23"/>
      <c r="H2857" s="23"/>
      <c r="J2857" s="23"/>
      <c r="K2857" s="23"/>
      <c r="M2857" s="23"/>
      <c r="N2857" s="23"/>
      <c r="P2857" s="23"/>
    </row>
    <row r="2858" spans="2:16" x14ac:dyDescent="0.25">
      <c r="B2858" s="23"/>
      <c r="E2858" s="23"/>
      <c r="G2858" s="23"/>
      <c r="H2858" s="23"/>
      <c r="J2858" s="23"/>
      <c r="K2858" s="23"/>
      <c r="M2858" s="23"/>
      <c r="N2858" s="23"/>
      <c r="P2858" s="23"/>
    </row>
    <row r="2859" spans="2:16" x14ac:dyDescent="0.25">
      <c r="B2859" s="23"/>
      <c r="E2859" s="23"/>
      <c r="G2859" s="23"/>
      <c r="H2859" s="23"/>
      <c r="J2859" s="23"/>
      <c r="K2859" s="23"/>
      <c r="M2859" s="23"/>
      <c r="N2859" s="23"/>
      <c r="P2859" s="23"/>
    </row>
    <row r="2860" spans="2:16" x14ac:dyDescent="0.25">
      <c r="B2860" s="23"/>
      <c r="E2860" s="23"/>
      <c r="G2860" s="23"/>
      <c r="H2860" s="23"/>
      <c r="J2860" s="23"/>
      <c r="K2860" s="23"/>
      <c r="M2860" s="23"/>
      <c r="N2860" s="23"/>
      <c r="P2860" s="23"/>
    </row>
    <row r="2861" spans="2:16" x14ac:dyDescent="0.25">
      <c r="B2861" s="23"/>
      <c r="E2861" s="23"/>
      <c r="G2861" s="23"/>
      <c r="H2861" s="23"/>
      <c r="J2861" s="23"/>
      <c r="K2861" s="23"/>
      <c r="M2861" s="23"/>
      <c r="N2861" s="23"/>
      <c r="P2861" s="23"/>
    </row>
    <row r="2862" spans="2:16" x14ac:dyDescent="0.25">
      <c r="B2862" s="23"/>
      <c r="E2862" s="23"/>
      <c r="G2862" s="23"/>
      <c r="H2862" s="23"/>
      <c r="J2862" s="23"/>
      <c r="K2862" s="23"/>
      <c r="M2862" s="23"/>
      <c r="N2862" s="23"/>
      <c r="P2862" s="23"/>
    </row>
    <row r="2863" spans="2:16" x14ac:dyDescent="0.25">
      <c r="B2863" s="23"/>
      <c r="E2863" s="23"/>
      <c r="G2863" s="23"/>
      <c r="H2863" s="23"/>
      <c r="J2863" s="23"/>
      <c r="K2863" s="23"/>
      <c r="M2863" s="23"/>
      <c r="N2863" s="23"/>
      <c r="P2863" s="23"/>
    </row>
    <row r="2864" spans="2:16" x14ac:dyDescent="0.25">
      <c r="B2864" s="23"/>
      <c r="E2864" s="23"/>
      <c r="G2864" s="23"/>
      <c r="H2864" s="23"/>
      <c r="J2864" s="23"/>
      <c r="K2864" s="23"/>
      <c r="M2864" s="23"/>
      <c r="N2864" s="23"/>
      <c r="P2864" s="23"/>
    </row>
    <row r="2865" spans="2:16" x14ac:dyDescent="0.25">
      <c r="B2865" s="23"/>
      <c r="E2865" s="23"/>
      <c r="G2865" s="23"/>
      <c r="H2865" s="23"/>
      <c r="J2865" s="23"/>
      <c r="K2865" s="23"/>
      <c r="M2865" s="23"/>
      <c r="N2865" s="23"/>
      <c r="P2865" s="23"/>
    </row>
    <row r="2866" spans="2:16" x14ac:dyDescent="0.25">
      <c r="B2866" s="23"/>
      <c r="E2866" s="23"/>
      <c r="G2866" s="23"/>
      <c r="H2866" s="23"/>
      <c r="J2866" s="23"/>
      <c r="K2866" s="23"/>
      <c r="M2866" s="23"/>
      <c r="N2866" s="23"/>
      <c r="P2866" s="23"/>
    </row>
    <row r="2867" spans="2:16" x14ac:dyDescent="0.25">
      <c r="B2867" s="23"/>
      <c r="E2867" s="23"/>
      <c r="G2867" s="23"/>
      <c r="H2867" s="23"/>
      <c r="J2867" s="23"/>
      <c r="K2867" s="23"/>
      <c r="M2867" s="23"/>
      <c r="N2867" s="23"/>
      <c r="P2867" s="23"/>
    </row>
    <row r="2868" spans="2:16" x14ac:dyDescent="0.25">
      <c r="B2868" s="23"/>
      <c r="E2868" s="23"/>
      <c r="G2868" s="23"/>
      <c r="H2868" s="23"/>
      <c r="J2868" s="23"/>
      <c r="K2868" s="23"/>
      <c r="M2868" s="23"/>
      <c r="N2868" s="23"/>
      <c r="P2868" s="23"/>
    </row>
    <row r="2869" spans="2:16" x14ac:dyDescent="0.25">
      <c r="B2869" s="23"/>
      <c r="E2869" s="23"/>
      <c r="G2869" s="23"/>
      <c r="H2869" s="23"/>
      <c r="J2869" s="23"/>
      <c r="K2869" s="23"/>
      <c r="M2869" s="23"/>
      <c r="N2869" s="23"/>
      <c r="P2869" s="23"/>
    </row>
    <row r="2870" spans="2:16" x14ac:dyDescent="0.25">
      <c r="B2870" s="23"/>
      <c r="E2870" s="23"/>
      <c r="G2870" s="23"/>
      <c r="H2870" s="23"/>
      <c r="J2870" s="23"/>
      <c r="K2870" s="23"/>
      <c r="M2870" s="23"/>
      <c r="N2870" s="23"/>
      <c r="P2870" s="23"/>
    </row>
    <row r="2871" spans="2:16" x14ac:dyDescent="0.25">
      <c r="B2871" s="23"/>
      <c r="E2871" s="23"/>
      <c r="G2871" s="23"/>
      <c r="H2871" s="23"/>
      <c r="J2871" s="23"/>
      <c r="K2871" s="23"/>
      <c r="M2871" s="23"/>
      <c r="N2871" s="23"/>
      <c r="P2871" s="23"/>
    </row>
    <row r="2872" spans="2:16" x14ac:dyDescent="0.25">
      <c r="B2872" s="23"/>
      <c r="E2872" s="23"/>
      <c r="G2872" s="23"/>
      <c r="H2872" s="23"/>
      <c r="J2872" s="23"/>
      <c r="K2872" s="23"/>
      <c r="M2872" s="23"/>
      <c r="N2872" s="23"/>
      <c r="P2872" s="23"/>
    </row>
    <row r="2873" spans="2:16" x14ac:dyDescent="0.25">
      <c r="B2873" s="23"/>
      <c r="E2873" s="23"/>
      <c r="G2873" s="23"/>
      <c r="H2873" s="23"/>
      <c r="J2873" s="23"/>
      <c r="K2873" s="23"/>
      <c r="M2873" s="23"/>
      <c r="N2873" s="23"/>
      <c r="P2873" s="23"/>
    </row>
    <row r="2874" spans="2:16" x14ac:dyDescent="0.25">
      <c r="B2874" s="23"/>
      <c r="E2874" s="23"/>
      <c r="G2874" s="23"/>
      <c r="H2874" s="23"/>
      <c r="J2874" s="23"/>
      <c r="K2874" s="23"/>
      <c r="M2874" s="23"/>
      <c r="N2874" s="23"/>
      <c r="P2874" s="23"/>
    </row>
    <row r="2875" spans="2:16" x14ac:dyDescent="0.25">
      <c r="B2875" s="23"/>
      <c r="E2875" s="23"/>
      <c r="G2875" s="23"/>
      <c r="H2875" s="23"/>
      <c r="J2875" s="23"/>
      <c r="K2875" s="23"/>
      <c r="M2875" s="23"/>
      <c r="N2875" s="23"/>
      <c r="P2875" s="23"/>
    </row>
    <row r="2876" spans="2:16" x14ac:dyDescent="0.25">
      <c r="B2876" s="23"/>
      <c r="E2876" s="23"/>
      <c r="G2876" s="23"/>
      <c r="H2876" s="23"/>
      <c r="J2876" s="23"/>
      <c r="K2876" s="23"/>
      <c r="M2876" s="23"/>
      <c r="N2876" s="23"/>
      <c r="P2876" s="23"/>
    </row>
    <row r="2877" spans="2:16" x14ac:dyDescent="0.25">
      <c r="B2877" s="23"/>
      <c r="E2877" s="23"/>
      <c r="G2877" s="23"/>
      <c r="H2877" s="23"/>
      <c r="J2877" s="23"/>
      <c r="K2877" s="23"/>
      <c r="M2877" s="23"/>
      <c r="N2877" s="23"/>
      <c r="P2877" s="23"/>
    </row>
    <row r="2878" spans="2:16" x14ac:dyDescent="0.25">
      <c r="B2878" s="23"/>
      <c r="E2878" s="23"/>
      <c r="G2878" s="23"/>
      <c r="H2878" s="23"/>
      <c r="J2878" s="23"/>
      <c r="K2878" s="23"/>
      <c r="M2878" s="23"/>
      <c r="N2878" s="23"/>
      <c r="P2878" s="23"/>
    </row>
    <row r="2879" spans="2:16" x14ac:dyDescent="0.25">
      <c r="B2879" s="23"/>
      <c r="E2879" s="23"/>
      <c r="G2879" s="23"/>
      <c r="H2879" s="23"/>
      <c r="J2879" s="23"/>
      <c r="K2879" s="23"/>
      <c r="M2879" s="23"/>
      <c r="N2879" s="23"/>
      <c r="P2879" s="23"/>
    </row>
    <row r="2880" spans="2:16" x14ac:dyDescent="0.25">
      <c r="B2880" s="23"/>
      <c r="E2880" s="23"/>
      <c r="G2880" s="23"/>
      <c r="H2880" s="23"/>
      <c r="J2880" s="23"/>
      <c r="K2880" s="23"/>
      <c r="M2880" s="23"/>
      <c r="N2880" s="23"/>
      <c r="P2880" s="23"/>
    </row>
    <row r="2881" spans="2:16" x14ac:dyDescent="0.25">
      <c r="B2881" s="23"/>
      <c r="E2881" s="23"/>
      <c r="G2881" s="23"/>
      <c r="H2881" s="23"/>
      <c r="J2881" s="23"/>
      <c r="K2881" s="23"/>
      <c r="M2881" s="23"/>
      <c r="N2881" s="23"/>
      <c r="P2881" s="23"/>
    </row>
    <row r="2882" spans="2:16" x14ac:dyDescent="0.25">
      <c r="B2882" s="23"/>
      <c r="E2882" s="23"/>
      <c r="G2882" s="23"/>
      <c r="H2882" s="23"/>
      <c r="J2882" s="23"/>
      <c r="K2882" s="23"/>
      <c r="M2882" s="23"/>
      <c r="N2882" s="23"/>
      <c r="P2882" s="23"/>
    </row>
    <row r="2883" spans="2:16" x14ac:dyDescent="0.25">
      <c r="B2883" s="23"/>
      <c r="E2883" s="23"/>
      <c r="G2883" s="23"/>
      <c r="H2883" s="23"/>
      <c r="J2883" s="23"/>
      <c r="K2883" s="23"/>
      <c r="M2883" s="23"/>
      <c r="N2883" s="23"/>
      <c r="P2883" s="23"/>
    </row>
    <row r="2884" spans="2:16" x14ac:dyDescent="0.25">
      <c r="B2884" s="23"/>
      <c r="E2884" s="23"/>
      <c r="G2884" s="23"/>
      <c r="H2884" s="23"/>
      <c r="J2884" s="23"/>
      <c r="K2884" s="23"/>
      <c r="M2884" s="23"/>
      <c r="N2884" s="23"/>
      <c r="P2884" s="23"/>
    </row>
    <row r="2885" spans="2:16" x14ac:dyDescent="0.25">
      <c r="B2885" s="23"/>
      <c r="E2885" s="23"/>
      <c r="G2885" s="23"/>
      <c r="H2885" s="23"/>
      <c r="J2885" s="23"/>
      <c r="K2885" s="23"/>
      <c r="M2885" s="23"/>
      <c r="N2885" s="23"/>
      <c r="P2885" s="23"/>
    </row>
    <row r="2886" spans="2:16" x14ac:dyDescent="0.25">
      <c r="B2886" s="23"/>
      <c r="E2886" s="23"/>
      <c r="G2886" s="23"/>
      <c r="H2886" s="23"/>
      <c r="J2886" s="23"/>
      <c r="K2886" s="23"/>
      <c r="M2886" s="23"/>
      <c r="N2886" s="23"/>
      <c r="P2886" s="23"/>
    </row>
    <row r="2887" spans="2:16" x14ac:dyDescent="0.25">
      <c r="B2887" s="23"/>
      <c r="E2887" s="23"/>
      <c r="G2887" s="23"/>
      <c r="H2887" s="23"/>
      <c r="J2887" s="23"/>
      <c r="K2887" s="23"/>
      <c r="M2887" s="23"/>
      <c r="N2887" s="23"/>
      <c r="P2887" s="23"/>
    </row>
    <row r="2888" spans="2:16" x14ac:dyDescent="0.25">
      <c r="B2888" s="23"/>
      <c r="E2888" s="23"/>
      <c r="G2888" s="23"/>
      <c r="H2888" s="23"/>
      <c r="J2888" s="23"/>
      <c r="K2888" s="23"/>
      <c r="M2888" s="23"/>
      <c r="N2888" s="23"/>
      <c r="P2888" s="23"/>
    </row>
    <row r="2889" spans="2:16" x14ac:dyDescent="0.25">
      <c r="B2889" s="23"/>
      <c r="E2889" s="23"/>
      <c r="G2889" s="23"/>
      <c r="H2889" s="23"/>
      <c r="J2889" s="23"/>
      <c r="K2889" s="23"/>
      <c r="M2889" s="23"/>
      <c r="N2889" s="23"/>
      <c r="P2889" s="23"/>
    </row>
    <row r="2890" spans="2:16" x14ac:dyDescent="0.25">
      <c r="B2890" s="23"/>
      <c r="E2890" s="23"/>
      <c r="G2890" s="23"/>
      <c r="H2890" s="23"/>
      <c r="J2890" s="23"/>
      <c r="K2890" s="23"/>
      <c r="M2890" s="23"/>
      <c r="N2890" s="23"/>
      <c r="P2890" s="23"/>
    </row>
    <row r="2891" spans="2:16" x14ac:dyDescent="0.25">
      <c r="B2891" s="23"/>
      <c r="E2891" s="23"/>
      <c r="G2891" s="23"/>
      <c r="H2891" s="23"/>
      <c r="J2891" s="23"/>
      <c r="K2891" s="23"/>
      <c r="M2891" s="23"/>
      <c r="N2891" s="23"/>
      <c r="P2891" s="23"/>
    </row>
    <row r="2892" spans="2:16" x14ac:dyDescent="0.25">
      <c r="B2892" s="23"/>
      <c r="E2892" s="23"/>
      <c r="G2892" s="23"/>
      <c r="H2892" s="23"/>
      <c r="J2892" s="23"/>
      <c r="K2892" s="23"/>
      <c r="M2892" s="23"/>
      <c r="N2892" s="23"/>
      <c r="P2892" s="23"/>
    </row>
    <row r="2893" spans="2:16" x14ac:dyDescent="0.25">
      <c r="B2893" s="23"/>
      <c r="E2893" s="23"/>
      <c r="G2893" s="23"/>
      <c r="H2893" s="23"/>
      <c r="J2893" s="23"/>
      <c r="K2893" s="23"/>
      <c r="M2893" s="23"/>
      <c r="N2893" s="23"/>
      <c r="P2893" s="23"/>
    </row>
    <row r="2894" spans="2:16" x14ac:dyDescent="0.25">
      <c r="B2894" s="23"/>
      <c r="E2894" s="23"/>
      <c r="G2894" s="23"/>
      <c r="H2894" s="23"/>
      <c r="J2894" s="23"/>
      <c r="K2894" s="23"/>
      <c r="M2894" s="23"/>
      <c r="N2894" s="23"/>
      <c r="P2894" s="23"/>
    </row>
    <row r="2895" spans="2:16" x14ac:dyDescent="0.25">
      <c r="B2895" s="23"/>
      <c r="E2895" s="23"/>
      <c r="G2895" s="23"/>
      <c r="H2895" s="23"/>
      <c r="J2895" s="23"/>
      <c r="K2895" s="23"/>
      <c r="M2895" s="23"/>
      <c r="N2895" s="23"/>
      <c r="P2895" s="23"/>
    </row>
    <row r="2896" spans="2:16" x14ac:dyDescent="0.25">
      <c r="B2896" s="23"/>
      <c r="E2896" s="23"/>
      <c r="G2896" s="23"/>
      <c r="H2896" s="23"/>
      <c r="J2896" s="23"/>
      <c r="K2896" s="23"/>
      <c r="M2896" s="23"/>
      <c r="N2896" s="23"/>
      <c r="P2896" s="23"/>
    </row>
    <row r="2897" spans="2:16" x14ac:dyDescent="0.25">
      <c r="B2897" s="23"/>
      <c r="E2897" s="23"/>
      <c r="G2897" s="23"/>
      <c r="H2897" s="23"/>
      <c r="J2897" s="23"/>
      <c r="K2897" s="23"/>
      <c r="M2897" s="23"/>
      <c r="N2897" s="23"/>
      <c r="P2897" s="23"/>
    </row>
    <row r="2898" spans="2:16" x14ac:dyDescent="0.25">
      <c r="B2898" s="23"/>
      <c r="E2898" s="23"/>
      <c r="G2898" s="23"/>
      <c r="H2898" s="23"/>
      <c r="J2898" s="23"/>
      <c r="K2898" s="23"/>
      <c r="M2898" s="23"/>
      <c r="N2898" s="23"/>
      <c r="P2898" s="23"/>
    </row>
    <row r="2899" spans="2:16" x14ac:dyDescent="0.25">
      <c r="B2899" s="23"/>
      <c r="E2899" s="23"/>
      <c r="G2899" s="23"/>
      <c r="H2899" s="23"/>
      <c r="J2899" s="23"/>
      <c r="K2899" s="23"/>
      <c r="M2899" s="23"/>
      <c r="N2899" s="23"/>
      <c r="P2899" s="23"/>
    </row>
    <row r="2900" spans="2:16" x14ac:dyDescent="0.25">
      <c r="B2900" s="23"/>
      <c r="E2900" s="23"/>
      <c r="G2900" s="23"/>
      <c r="H2900" s="23"/>
      <c r="J2900" s="23"/>
      <c r="K2900" s="23"/>
      <c r="M2900" s="23"/>
      <c r="N2900" s="23"/>
      <c r="P2900" s="23"/>
    </row>
    <row r="2901" spans="2:16" x14ac:dyDescent="0.25">
      <c r="B2901" s="23"/>
      <c r="E2901" s="23"/>
      <c r="G2901" s="23"/>
      <c r="H2901" s="23"/>
      <c r="J2901" s="23"/>
      <c r="K2901" s="23"/>
      <c r="M2901" s="23"/>
      <c r="N2901" s="23"/>
      <c r="P2901" s="23"/>
    </row>
    <row r="2902" spans="2:16" x14ac:dyDescent="0.25">
      <c r="B2902" s="23"/>
      <c r="E2902" s="23"/>
      <c r="G2902" s="23"/>
      <c r="H2902" s="23"/>
      <c r="J2902" s="23"/>
      <c r="K2902" s="23"/>
      <c r="M2902" s="23"/>
      <c r="N2902" s="23"/>
      <c r="P2902" s="23"/>
    </row>
    <row r="2903" spans="2:16" x14ac:dyDescent="0.25">
      <c r="B2903" s="23"/>
      <c r="E2903" s="23"/>
      <c r="G2903" s="23"/>
      <c r="H2903" s="23"/>
      <c r="J2903" s="23"/>
      <c r="K2903" s="23"/>
      <c r="M2903" s="23"/>
      <c r="N2903" s="23"/>
      <c r="P2903" s="23"/>
    </row>
    <row r="2904" spans="2:16" x14ac:dyDescent="0.25">
      <c r="B2904" s="23"/>
      <c r="E2904" s="23"/>
      <c r="G2904" s="23"/>
      <c r="H2904" s="23"/>
      <c r="J2904" s="23"/>
      <c r="K2904" s="23"/>
      <c r="M2904" s="23"/>
      <c r="N2904" s="23"/>
      <c r="P2904" s="23"/>
    </row>
    <row r="2905" spans="2:16" x14ac:dyDescent="0.25">
      <c r="B2905" s="23"/>
      <c r="E2905" s="23"/>
      <c r="G2905" s="23"/>
      <c r="H2905" s="23"/>
      <c r="J2905" s="23"/>
      <c r="K2905" s="23"/>
      <c r="M2905" s="23"/>
      <c r="N2905" s="23"/>
      <c r="P2905" s="23"/>
    </row>
    <row r="2906" spans="2:16" x14ac:dyDescent="0.25">
      <c r="B2906" s="23"/>
      <c r="E2906" s="23"/>
      <c r="G2906" s="23"/>
      <c r="H2906" s="23"/>
      <c r="J2906" s="23"/>
      <c r="K2906" s="23"/>
      <c r="M2906" s="23"/>
      <c r="N2906" s="23"/>
      <c r="P2906" s="23"/>
    </row>
    <row r="2907" spans="2:16" x14ac:dyDescent="0.25">
      <c r="B2907" s="23"/>
      <c r="E2907" s="23"/>
      <c r="G2907" s="23"/>
      <c r="H2907" s="23"/>
      <c r="J2907" s="23"/>
      <c r="K2907" s="23"/>
      <c r="M2907" s="23"/>
      <c r="N2907" s="23"/>
      <c r="P2907" s="23"/>
    </row>
    <row r="2908" spans="2:16" x14ac:dyDescent="0.25">
      <c r="B2908" s="23"/>
      <c r="E2908" s="23"/>
      <c r="G2908" s="23"/>
      <c r="H2908" s="23"/>
      <c r="J2908" s="23"/>
      <c r="K2908" s="23"/>
      <c r="M2908" s="23"/>
      <c r="N2908" s="23"/>
      <c r="P2908" s="23"/>
    </row>
    <row r="2909" spans="2:16" x14ac:dyDescent="0.25">
      <c r="B2909" s="23"/>
      <c r="E2909" s="23"/>
      <c r="G2909" s="23"/>
      <c r="H2909" s="23"/>
      <c r="J2909" s="23"/>
      <c r="K2909" s="23"/>
      <c r="M2909" s="23"/>
      <c r="N2909" s="23"/>
      <c r="P2909" s="23"/>
    </row>
    <row r="2910" spans="2:16" x14ac:dyDescent="0.25">
      <c r="B2910" s="23"/>
      <c r="E2910" s="23"/>
      <c r="G2910" s="23"/>
      <c r="H2910" s="23"/>
      <c r="J2910" s="23"/>
      <c r="K2910" s="23"/>
      <c r="M2910" s="23"/>
      <c r="N2910" s="23"/>
      <c r="P2910" s="23"/>
    </row>
    <row r="2911" spans="2:16" x14ac:dyDescent="0.25">
      <c r="B2911" s="23"/>
      <c r="E2911" s="23"/>
      <c r="G2911" s="23"/>
      <c r="H2911" s="23"/>
      <c r="J2911" s="23"/>
      <c r="K2911" s="23"/>
      <c r="M2911" s="23"/>
      <c r="N2911" s="23"/>
      <c r="P2911" s="23"/>
    </row>
    <row r="2912" spans="2:16" x14ac:dyDescent="0.25">
      <c r="B2912" s="23"/>
      <c r="E2912" s="23"/>
      <c r="G2912" s="23"/>
      <c r="H2912" s="23"/>
      <c r="J2912" s="23"/>
      <c r="K2912" s="23"/>
      <c r="M2912" s="23"/>
      <c r="N2912" s="23"/>
      <c r="P2912" s="23"/>
    </row>
    <row r="2913" spans="2:16" x14ac:dyDescent="0.25">
      <c r="B2913" s="23"/>
      <c r="E2913" s="23"/>
      <c r="G2913" s="23"/>
      <c r="H2913" s="23"/>
      <c r="J2913" s="23"/>
      <c r="K2913" s="23"/>
      <c r="M2913" s="23"/>
      <c r="N2913" s="23"/>
      <c r="P2913" s="23"/>
    </row>
    <row r="2914" spans="2:16" x14ac:dyDescent="0.25">
      <c r="B2914" s="23"/>
      <c r="E2914" s="23"/>
      <c r="G2914" s="23"/>
      <c r="H2914" s="23"/>
      <c r="J2914" s="23"/>
      <c r="K2914" s="23"/>
      <c r="M2914" s="23"/>
      <c r="N2914" s="23"/>
      <c r="P2914" s="23"/>
    </row>
    <row r="2915" spans="2:16" x14ac:dyDescent="0.25">
      <c r="B2915" s="23"/>
      <c r="E2915" s="23"/>
      <c r="G2915" s="23"/>
      <c r="H2915" s="23"/>
      <c r="J2915" s="23"/>
      <c r="K2915" s="23"/>
      <c r="M2915" s="23"/>
      <c r="N2915" s="23"/>
      <c r="P2915" s="23"/>
    </row>
    <row r="2916" spans="2:16" x14ac:dyDescent="0.25">
      <c r="B2916" s="23"/>
      <c r="E2916" s="23"/>
      <c r="G2916" s="23"/>
      <c r="H2916" s="23"/>
      <c r="J2916" s="23"/>
      <c r="K2916" s="23"/>
      <c r="M2916" s="23"/>
      <c r="N2916" s="23"/>
      <c r="P2916" s="23"/>
    </row>
    <row r="2917" spans="2:16" x14ac:dyDescent="0.25">
      <c r="B2917" s="23"/>
      <c r="E2917" s="23"/>
      <c r="G2917" s="23"/>
      <c r="H2917" s="23"/>
      <c r="J2917" s="23"/>
      <c r="K2917" s="23"/>
      <c r="M2917" s="23"/>
      <c r="N2917" s="23"/>
      <c r="P2917" s="23"/>
    </row>
    <row r="2918" spans="2:16" x14ac:dyDescent="0.25">
      <c r="B2918" s="23"/>
      <c r="E2918" s="23"/>
      <c r="G2918" s="23"/>
      <c r="H2918" s="23"/>
      <c r="J2918" s="23"/>
      <c r="K2918" s="23"/>
      <c r="M2918" s="23"/>
      <c r="N2918" s="23"/>
      <c r="P2918" s="23"/>
    </row>
    <row r="2919" spans="2:16" x14ac:dyDescent="0.25">
      <c r="B2919" s="23"/>
      <c r="E2919" s="23"/>
      <c r="G2919" s="23"/>
      <c r="H2919" s="23"/>
      <c r="J2919" s="23"/>
      <c r="K2919" s="23"/>
      <c r="M2919" s="23"/>
      <c r="N2919" s="23"/>
      <c r="P2919" s="23"/>
    </row>
    <row r="2920" spans="2:16" x14ac:dyDescent="0.25">
      <c r="B2920" s="23"/>
      <c r="E2920" s="23"/>
      <c r="G2920" s="23"/>
      <c r="H2920" s="23"/>
      <c r="J2920" s="23"/>
      <c r="K2920" s="23"/>
      <c r="M2920" s="23"/>
      <c r="N2920" s="23"/>
      <c r="P2920" s="23"/>
    </row>
    <row r="2921" spans="2:16" x14ac:dyDescent="0.25">
      <c r="B2921" s="23"/>
      <c r="E2921" s="23"/>
      <c r="G2921" s="23"/>
      <c r="H2921" s="23"/>
      <c r="J2921" s="23"/>
      <c r="K2921" s="23"/>
      <c r="M2921" s="23"/>
      <c r="N2921" s="23"/>
      <c r="P2921" s="23"/>
    </row>
    <row r="2922" spans="2:16" x14ac:dyDescent="0.25">
      <c r="B2922" s="23"/>
      <c r="E2922" s="23"/>
      <c r="G2922" s="23"/>
      <c r="H2922" s="23"/>
      <c r="J2922" s="23"/>
      <c r="K2922" s="23"/>
      <c r="M2922" s="23"/>
      <c r="N2922" s="23"/>
      <c r="P2922" s="23"/>
    </row>
    <row r="2923" spans="2:16" x14ac:dyDescent="0.25">
      <c r="B2923" s="23"/>
      <c r="E2923" s="23"/>
      <c r="G2923" s="23"/>
      <c r="H2923" s="23"/>
      <c r="J2923" s="23"/>
      <c r="K2923" s="23"/>
      <c r="M2923" s="23"/>
      <c r="N2923" s="23"/>
      <c r="P2923" s="23"/>
    </row>
    <row r="2924" spans="2:16" x14ac:dyDescent="0.25">
      <c r="B2924" s="23"/>
      <c r="E2924" s="23"/>
      <c r="G2924" s="23"/>
      <c r="H2924" s="23"/>
      <c r="J2924" s="23"/>
      <c r="K2924" s="23"/>
      <c r="M2924" s="23"/>
      <c r="N2924" s="23"/>
      <c r="P2924" s="23"/>
    </row>
    <row r="2925" spans="2:16" x14ac:dyDescent="0.25">
      <c r="B2925" s="23"/>
      <c r="E2925" s="23"/>
      <c r="G2925" s="23"/>
      <c r="H2925" s="23"/>
      <c r="J2925" s="23"/>
      <c r="K2925" s="23"/>
      <c r="M2925" s="23"/>
      <c r="N2925" s="23"/>
      <c r="P2925" s="23"/>
    </row>
    <row r="2926" spans="2:16" x14ac:dyDescent="0.25">
      <c r="B2926" s="23"/>
      <c r="E2926" s="23"/>
      <c r="G2926" s="23"/>
      <c r="H2926" s="23"/>
      <c r="J2926" s="23"/>
      <c r="K2926" s="23"/>
      <c r="M2926" s="23"/>
      <c r="N2926" s="23"/>
      <c r="P2926" s="23"/>
    </row>
    <row r="2927" spans="2:16" x14ac:dyDescent="0.25">
      <c r="B2927" s="23"/>
      <c r="E2927" s="23"/>
      <c r="G2927" s="23"/>
      <c r="H2927" s="23"/>
      <c r="J2927" s="23"/>
      <c r="K2927" s="23"/>
      <c r="M2927" s="23"/>
      <c r="N2927" s="23"/>
      <c r="P2927" s="23"/>
    </row>
    <row r="2928" spans="2:16" x14ac:dyDescent="0.25">
      <c r="B2928" s="23"/>
      <c r="E2928" s="23"/>
      <c r="G2928" s="23"/>
      <c r="H2928" s="23"/>
      <c r="J2928" s="23"/>
      <c r="K2928" s="23"/>
      <c r="M2928" s="23"/>
      <c r="N2928" s="23"/>
      <c r="P2928" s="23"/>
    </row>
    <row r="2929" spans="2:16" x14ac:dyDescent="0.25">
      <c r="B2929" s="23"/>
      <c r="E2929" s="23"/>
      <c r="G2929" s="23"/>
      <c r="H2929" s="23"/>
      <c r="J2929" s="23"/>
      <c r="K2929" s="23"/>
      <c r="M2929" s="23"/>
      <c r="N2929" s="23"/>
      <c r="P2929" s="23"/>
    </row>
    <row r="2930" spans="2:16" x14ac:dyDescent="0.25">
      <c r="B2930" s="23"/>
      <c r="E2930" s="23"/>
      <c r="G2930" s="23"/>
      <c r="H2930" s="23"/>
      <c r="J2930" s="23"/>
      <c r="K2930" s="23"/>
      <c r="M2930" s="23"/>
      <c r="N2930" s="23"/>
      <c r="P2930" s="23"/>
    </row>
    <row r="2931" spans="2:16" x14ac:dyDescent="0.25">
      <c r="B2931" s="23"/>
      <c r="E2931" s="23"/>
      <c r="G2931" s="23"/>
      <c r="H2931" s="23"/>
      <c r="J2931" s="23"/>
      <c r="K2931" s="23"/>
      <c r="M2931" s="23"/>
      <c r="N2931" s="23"/>
      <c r="P2931" s="23"/>
    </row>
    <row r="2932" spans="2:16" x14ac:dyDescent="0.25">
      <c r="B2932" s="23"/>
      <c r="E2932" s="23"/>
      <c r="G2932" s="23"/>
      <c r="H2932" s="23"/>
      <c r="J2932" s="23"/>
      <c r="K2932" s="23"/>
      <c r="M2932" s="23"/>
      <c r="N2932" s="23"/>
      <c r="P2932" s="23"/>
    </row>
    <row r="2933" spans="2:16" x14ac:dyDescent="0.25">
      <c r="B2933" s="23"/>
      <c r="E2933" s="23"/>
      <c r="G2933" s="23"/>
      <c r="H2933" s="23"/>
      <c r="J2933" s="23"/>
      <c r="K2933" s="23"/>
      <c r="M2933" s="23"/>
      <c r="N2933" s="23"/>
      <c r="P2933" s="23"/>
    </row>
    <row r="2934" spans="2:16" x14ac:dyDescent="0.25">
      <c r="B2934" s="23"/>
      <c r="E2934" s="23"/>
      <c r="G2934" s="23"/>
      <c r="H2934" s="23"/>
      <c r="J2934" s="23"/>
      <c r="K2934" s="23"/>
      <c r="M2934" s="23"/>
      <c r="N2934" s="23"/>
      <c r="P2934" s="23"/>
    </row>
    <row r="2935" spans="2:16" x14ac:dyDescent="0.25">
      <c r="B2935" s="23"/>
      <c r="E2935" s="23"/>
      <c r="G2935" s="23"/>
      <c r="H2935" s="23"/>
      <c r="J2935" s="23"/>
      <c r="K2935" s="23"/>
      <c r="M2935" s="23"/>
      <c r="N2935" s="23"/>
      <c r="P2935" s="23"/>
    </row>
    <row r="2936" spans="2:16" x14ac:dyDescent="0.25">
      <c r="B2936" s="23"/>
      <c r="E2936" s="23"/>
      <c r="G2936" s="23"/>
      <c r="H2936" s="23"/>
      <c r="J2936" s="23"/>
      <c r="K2936" s="23"/>
      <c r="M2936" s="23"/>
      <c r="N2936" s="23"/>
      <c r="P2936" s="23"/>
    </row>
    <row r="2937" spans="2:16" x14ac:dyDescent="0.25">
      <c r="B2937" s="23"/>
      <c r="E2937" s="23"/>
      <c r="G2937" s="23"/>
      <c r="H2937" s="23"/>
      <c r="J2937" s="23"/>
      <c r="K2937" s="23"/>
      <c r="M2937" s="23"/>
      <c r="N2937" s="23"/>
      <c r="P2937" s="23"/>
    </row>
    <row r="2938" spans="2:16" x14ac:dyDescent="0.25">
      <c r="B2938" s="23"/>
      <c r="E2938" s="23"/>
      <c r="G2938" s="23"/>
      <c r="H2938" s="23"/>
      <c r="J2938" s="23"/>
      <c r="K2938" s="23"/>
      <c r="M2938" s="23"/>
      <c r="N2938" s="23"/>
      <c r="P2938" s="23"/>
    </row>
    <row r="2939" spans="2:16" x14ac:dyDescent="0.25">
      <c r="B2939" s="23"/>
      <c r="E2939" s="23"/>
      <c r="G2939" s="23"/>
      <c r="H2939" s="23"/>
      <c r="J2939" s="23"/>
      <c r="K2939" s="23"/>
      <c r="M2939" s="23"/>
      <c r="N2939" s="23"/>
      <c r="P2939" s="23"/>
    </row>
    <row r="2940" spans="2:16" x14ac:dyDescent="0.25">
      <c r="B2940" s="23"/>
      <c r="E2940" s="23"/>
      <c r="G2940" s="23"/>
      <c r="H2940" s="23"/>
      <c r="J2940" s="23"/>
      <c r="K2940" s="23"/>
      <c r="M2940" s="23"/>
      <c r="N2940" s="23"/>
      <c r="P2940" s="23"/>
    </row>
    <row r="2941" spans="2:16" x14ac:dyDescent="0.25">
      <c r="B2941" s="23"/>
      <c r="E2941" s="23"/>
      <c r="G2941" s="23"/>
      <c r="H2941" s="23"/>
      <c r="J2941" s="23"/>
      <c r="K2941" s="23"/>
      <c r="M2941" s="23"/>
      <c r="N2941" s="23"/>
      <c r="P2941" s="23"/>
    </row>
    <row r="2942" spans="2:16" x14ac:dyDescent="0.25">
      <c r="B2942" s="23"/>
      <c r="E2942" s="23"/>
      <c r="G2942" s="23"/>
      <c r="H2942" s="23"/>
      <c r="J2942" s="23"/>
      <c r="K2942" s="23"/>
      <c r="M2942" s="23"/>
      <c r="N2942" s="23"/>
      <c r="P2942" s="23"/>
    </row>
    <row r="2943" spans="2:16" x14ac:dyDescent="0.25">
      <c r="B2943" s="23"/>
      <c r="E2943" s="23"/>
      <c r="G2943" s="23"/>
      <c r="H2943" s="23"/>
      <c r="J2943" s="23"/>
      <c r="K2943" s="23"/>
      <c r="M2943" s="23"/>
      <c r="N2943" s="23"/>
      <c r="P2943" s="23"/>
    </row>
    <row r="2944" spans="2:16" x14ac:dyDescent="0.25">
      <c r="B2944" s="23"/>
      <c r="E2944" s="23"/>
      <c r="G2944" s="23"/>
      <c r="H2944" s="23"/>
      <c r="J2944" s="23"/>
      <c r="K2944" s="23"/>
      <c r="M2944" s="23"/>
      <c r="N2944" s="23"/>
      <c r="P2944" s="23"/>
    </row>
    <row r="2945" spans="2:16" x14ac:dyDescent="0.25">
      <c r="B2945" s="23"/>
      <c r="E2945" s="23"/>
      <c r="G2945" s="23"/>
      <c r="H2945" s="23"/>
      <c r="J2945" s="23"/>
      <c r="K2945" s="23"/>
      <c r="M2945" s="23"/>
      <c r="N2945" s="23"/>
      <c r="P2945" s="23"/>
    </row>
    <row r="2946" spans="2:16" x14ac:dyDescent="0.25">
      <c r="B2946" s="23"/>
      <c r="E2946" s="23"/>
      <c r="G2946" s="23"/>
      <c r="H2946" s="23"/>
      <c r="J2946" s="23"/>
      <c r="K2946" s="23"/>
      <c r="M2946" s="23"/>
      <c r="N2946" s="23"/>
      <c r="P2946" s="23"/>
    </row>
    <row r="2947" spans="2:16" x14ac:dyDescent="0.25">
      <c r="B2947" s="23"/>
      <c r="E2947" s="23"/>
      <c r="G2947" s="23"/>
      <c r="H2947" s="23"/>
      <c r="J2947" s="23"/>
      <c r="K2947" s="23"/>
      <c r="M2947" s="23"/>
      <c r="N2947" s="23"/>
      <c r="P2947" s="23"/>
    </row>
    <row r="2948" spans="2:16" x14ac:dyDescent="0.25">
      <c r="B2948" s="23"/>
      <c r="E2948" s="23"/>
      <c r="G2948" s="23"/>
      <c r="H2948" s="23"/>
      <c r="J2948" s="23"/>
      <c r="K2948" s="23"/>
      <c r="M2948" s="23"/>
      <c r="N2948" s="23"/>
      <c r="P2948" s="23"/>
    </row>
    <row r="2949" spans="2:16" x14ac:dyDescent="0.25">
      <c r="B2949" s="23"/>
      <c r="E2949" s="23"/>
      <c r="G2949" s="23"/>
      <c r="H2949" s="23"/>
      <c r="J2949" s="23"/>
      <c r="K2949" s="23"/>
      <c r="M2949" s="23"/>
      <c r="N2949" s="23"/>
      <c r="P2949" s="23"/>
    </row>
    <row r="2950" spans="2:16" x14ac:dyDescent="0.25">
      <c r="B2950" s="23"/>
      <c r="E2950" s="23"/>
      <c r="G2950" s="23"/>
      <c r="H2950" s="23"/>
      <c r="J2950" s="23"/>
      <c r="K2950" s="23"/>
      <c r="M2950" s="23"/>
      <c r="N2950" s="23"/>
      <c r="P2950" s="23"/>
    </row>
    <row r="2951" spans="2:16" x14ac:dyDescent="0.25">
      <c r="B2951" s="23"/>
      <c r="E2951" s="23"/>
      <c r="G2951" s="23"/>
      <c r="H2951" s="23"/>
      <c r="J2951" s="23"/>
      <c r="K2951" s="23"/>
      <c r="M2951" s="23"/>
      <c r="N2951" s="23"/>
      <c r="P2951" s="23"/>
    </row>
    <row r="2952" spans="2:16" x14ac:dyDescent="0.25">
      <c r="B2952" s="23"/>
      <c r="E2952" s="23"/>
      <c r="G2952" s="23"/>
      <c r="H2952" s="23"/>
      <c r="J2952" s="23"/>
      <c r="K2952" s="23"/>
      <c r="M2952" s="23"/>
      <c r="N2952" s="23"/>
      <c r="P2952" s="23"/>
    </row>
    <row r="2953" spans="2:16" x14ac:dyDescent="0.25">
      <c r="B2953" s="23"/>
      <c r="E2953" s="23"/>
      <c r="G2953" s="23"/>
      <c r="H2953" s="23"/>
      <c r="J2953" s="23"/>
      <c r="K2953" s="23"/>
      <c r="M2953" s="23"/>
      <c r="N2953" s="23"/>
      <c r="P2953" s="23"/>
    </row>
    <row r="2954" spans="2:16" x14ac:dyDescent="0.25">
      <c r="B2954" s="23"/>
      <c r="E2954" s="23"/>
      <c r="G2954" s="23"/>
      <c r="H2954" s="23"/>
      <c r="J2954" s="23"/>
      <c r="K2954" s="23"/>
      <c r="M2954" s="23"/>
      <c r="N2954" s="23"/>
      <c r="P2954" s="23"/>
    </row>
    <row r="2955" spans="2:16" x14ac:dyDescent="0.25">
      <c r="B2955" s="23"/>
      <c r="E2955" s="23"/>
      <c r="G2955" s="23"/>
      <c r="H2955" s="23"/>
      <c r="J2955" s="23"/>
      <c r="K2955" s="23"/>
      <c r="M2955" s="23"/>
      <c r="N2955" s="23"/>
      <c r="P2955" s="23"/>
    </row>
    <row r="2956" spans="2:16" x14ac:dyDescent="0.25">
      <c r="B2956" s="23"/>
      <c r="E2956" s="23"/>
      <c r="G2956" s="23"/>
      <c r="H2956" s="23"/>
      <c r="J2956" s="23"/>
      <c r="K2956" s="23"/>
      <c r="M2956" s="23"/>
      <c r="N2956" s="23"/>
      <c r="P2956" s="23"/>
    </row>
    <row r="2957" spans="2:16" x14ac:dyDescent="0.25">
      <c r="B2957" s="23"/>
      <c r="E2957" s="23"/>
      <c r="G2957" s="23"/>
      <c r="H2957" s="23"/>
      <c r="J2957" s="23"/>
      <c r="K2957" s="23"/>
      <c r="M2957" s="23"/>
      <c r="N2957" s="23"/>
      <c r="P2957" s="23"/>
    </row>
    <row r="2958" spans="2:16" x14ac:dyDescent="0.25">
      <c r="B2958" s="23"/>
      <c r="E2958" s="23"/>
      <c r="G2958" s="23"/>
      <c r="H2958" s="23"/>
      <c r="J2958" s="23"/>
      <c r="K2958" s="23"/>
      <c r="M2958" s="23"/>
      <c r="N2958" s="23"/>
      <c r="P2958" s="23"/>
    </row>
    <row r="2959" spans="2:16" x14ac:dyDescent="0.25">
      <c r="B2959" s="23"/>
      <c r="E2959" s="23"/>
      <c r="G2959" s="23"/>
      <c r="H2959" s="23"/>
      <c r="J2959" s="23"/>
      <c r="K2959" s="23"/>
      <c r="M2959" s="23"/>
      <c r="N2959" s="23"/>
      <c r="P2959" s="23"/>
    </row>
    <row r="2960" spans="2:16" x14ac:dyDescent="0.25">
      <c r="B2960" s="23"/>
      <c r="E2960" s="23"/>
      <c r="G2960" s="23"/>
      <c r="H2960" s="23"/>
      <c r="J2960" s="23"/>
      <c r="K2960" s="23"/>
      <c r="M2960" s="23"/>
      <c r="N2960" s="23"/>
      <c r="P2960" s="23"/>
    </row>
    <row r="2961" spans="2:16" x14ac:dyDescent="0.25">
      <c r="B2961" s="23"/>
      <c r="E2961" s="23"/>
      <c r="G2961" s="23"/>
      <c r="H2961" s="23"/>
      <c r="J2961" s="23"/>
      <c r="K2961" s="23"/>
      <c r="M2961" s="23"/>
      <c r="N2961" s="23"/>
      <c r="P2961" s="23"/>
    </row>
    <row r="2962" spans="2:16" x14ac:dyDescent="0.25">
      <c r="B2962" s="23"/>
      <c r="E2962" s="23"/>
      <c r="G2962" s="23"/>
      <c r="H2962" s="23"/>
      <c r="J2962" s="23"/>
      <c r="K2962" s="23"/>
      <c r="M2962" s="23"/>
      <c r="N2962" s="23"/>
      <c r="P2962" s="23"/>
    </row>
    <row r="2963" spans="2:16" x14ac:dyDescent="0.25">
      <c r="B2963" s="23"/>
      <c r="E2963" s="23"/>
      <c r="G2963" s="23"/>
      <c r="H2963" s="23"/>
      <c r="J2963" s="23"/>
      <c r="K2963" s="23"/>
      <c r="M2963" s="23"/>
      <c r="N2963" s="23"/>
      <c r="P2963" s="23"/>
    </row>
    <row r="2964" spans="2:16" x14ac:dyDescent="0.25">
      <c r="B2964" s="23"/>
      <c r="E2964" s="23"/>
      <c r="G2964" s="23"/>
      <c r="H2964" s="23"/>
      <c r="J2964" s="23"/>
      <c r="K2964" s="23"/>
      <c r="M2964" s="23"/>
      <c r="N2964" s="23"/>
      <c r="P2964" s="23"/>
    </row>
    <row r="2965" spans="2:16" x14ac:dyDescent="0.25">
      <c r="B2965" s="23"/>
      <c r="E2965" s="23"/>
      <c r="G2965" s="23"/>
      <c r="H2965" s="23"/>
      <c r="J2965" s="23"/>
      <c r="K2965" s="23"/>
      <c r="M2965" s="23"/>
      <c r="N2965" s="23"/>
      <c r="P2965" s="23"/>
    </row>
    <row r="2966" spans="2:16" x14ac:dyDescent="0.25">
      <c r="B2966" s="23"/>
      <c r="E2966" s="23"/>
      <c r="G2966" s="23"/>
      <c r="H2966" s="23"/>
      <c r="J2966" s="23"/>
      <c r="K2966" s="23"/>
      <c r="M2966" s="23"/>
      <c r="N2966" s="23"/>
      <c r="P2966" s="23"/>
    </row>
    <row r="2967" spans="2:16" x14ac:dyDescent="0.25">
      <c r="B2967" s="23"/>
      <c r="E2967" s="23"/>
      <c r="G2967" s="23"/>
      <c r="H2967" s="23"/>
      <c r="J2967" s="23"/>
      <c r="K2967" s="23"/>
      <c r="M2967" s="23"/>
      <c r="N2967" s="23"/>
      <c r="P2967" s="23"/>
    </row>
    <row r="2968" spans="2:16" x14ac:dyDescent="0.25">
      <c r="B2968" s="23"/>
      <c r="E2968" s="23"/>
      <c r="G2968" s="23"/>
      <c r="H2968" s="23"/>
      <c r="J2968" s="23"/>
      <c r="K2968" s="23"/>
      <c r="M2968" s="23"/>
      <c r="N2968" s="23"/>
      <c r="P2968" s="23"/>
    </row>
    <row r="2969" spans="2:16" x14ac:dyDescent="0.25">
      <c r="B2969" s="23"/>
      <c r="E2969" s="23"/>
      <c r="G2969" s="23"/>
      <c r="H2969" s="23"/>
      <c r="J2969" s="23"/>
      <c r="K2969" s="23"/>
      <c r="M2969" s="23"/>
      <c r="N2969" s="23"/>
      <c r="P2969" s="23"/>
    </row>
    <row r="2970" spans="2:16" x14ac:dyDescent="0.25">
      <c r="B2970" s="23"/>
      <c r="E2970" s="23"/>
      <c r="G2970" s="23"/>
      <c r="H2970" s="23"/>
      <c r="J2970" s="23"/>
      <c r="K2970" s="23"/>
      <c r="M2970" s="23"/>
      <c r="N2970" s="23"/>
      <c r="P2970" s="23"/>
    </row>
    <row r="2971" spans="2:16" x14ac:dyDescent="0.25">
      <c r="B2971" s="23"/>
      <c r="E2971" s="23"/>
      <c r="G2971" s="23"/>
      <c r="H2971" s="23"/>
      <c r="J2971" s="23"/>
      <c r="K2971" s="23"/>
      <c r="M2971" s="23"/>
      <c r="N2971" s="23"/>
      <c r="P2971" s="23"/>
    </row>
    <row r="2972" spans="2:16" x14ac:dyDescent="0.25">
      <c r="B2972" s="23"/>
      <c r="E2972" s="23"/>
      <c r="G2972" s="23"/>
      <c r="H2972" s="23"/>
      <c r="J2972" s="23"/>
      <c r="K2972" s="23"/>
      <c r="M2972" s="23"/>
      <c r="N2972" s="23"/>
      <c r="P2972" s="23"/>
    </row>
    <row r="2973" spans="2:16" x14ac:dyDescent="0.25">
      <c r="B2973" s="23"/>
      <c r="E2973" s="23"/>
      <c r="G2973" s="23"/>
      <c r="H2973" s="23"/>
      <c r="J2973" s="23"/>
      <c r="K2973" s="23"/>
      <c r="M2973" s="23"/>
      <c r="N2973" s="23"/>
      <c r="P2973" s="23"/>
    </row>
    <row r="2974" spans="2:16" x14ac:dyDescent="0.25">
      <c r="B2974" s="23"/>
      <c r="E2974" s="23"/>
      <c r="G2974" s="23"/>
      <c r="H2974" s="23"/>
      <c r="J2974" s="23"/>
      <c r="K2974" s="23"/>
      <c r="M2974" s="23"/>
      <c r="N2974" s="23"/>
      <c r="P2974" s="23"/>
    </row>
    <row r="2975" spans="2:16" x14ac:dyDescent="0.25">
      <c r="B2975" s="23"/>
      <c r="E2975" s="23"/>
      <c r="G2975" s="23"/>
      <c r="H2975" s="23"/>
      <c r="J2975" s="23"/>
      <c r="K2975" s="23"/>
      <c r="M2975" s="23"/>
      <c r="N2975" s="23"/>
      <c r="P2975" s="23"/>
    </row>
    <row r="2976" spans="2:16" x14ac:dyDescent="0.25">
      <c r="B2976" s="23"/>
      <c r="E2976" s="23"/>
      <c r="G2976" s="23"/>
      <c r="H2976" s="23"/>
      <c r="J2976" s="23"/>
      <c r="K2976" s="23"/>
      <c r="M2976" s="23"/>
      <c r="N2976" s="23"/>
      <c r="P2976" s="23"/>
    </row>
    <row r="2977" spans="2:16" x14ac:dyDescent="0.25">
      <c r="B2977" s="23"/>
      <c r="E2977" s="23"/>
      <c r="G2977" s="23"/>
      <c r="H2977" s="23"/>
      <c r="J2977" s="23"/>
      <c r="K2977" s="23"/>
      <c r="M2977" s="23"/>
      <c r="N2977" s="23"/>
      <c r="P2977" s="23"/>
    </row>
    <row r="2978" spans="2:16" x14ac:dyDescent="0.25">
      <c r="B2978" s="23"/>
      <c r="E2978" s="23"/>
      <c r="G2978" s="23"/>
      <c r="H2978" s="23"/>
      <c r="J2978" s="23"/>
      <c r="K2978" s="23"/>
      <c r="M2978" s="23"/>
      <c r="N2978" s="23"/>
      <c r="P2978" s="23"/>
    </row>
    <row r="2979" spans="2:16" x14ac:dyDescent="0.25">
      <c r="B2979" s="23"/>
      <c r="E2979" s="23"/>
      <c r="G2979" s="23"/>
      <c r="H2979" s="23"/>
      <c r="J2979" s="23"/>
      <c r="K2979" s="23"/>
      <c r="M2979" s="23"/>
      <c r="N2979" s="23"/>
      <c r="P2979" s="23"/>
    </row>
    <row r="2980" spans="2:16" x14ac:dyDescent="0.25">
      <c r="B2980" s="23"/>
      <c r="E2980" s="23"/>
      <c r="G2980" s="23"/>
      <c r="H2980" s="23"/>
      <c r="J2980" s="23"/>
      <c r="K2980" s="23"/>
      <c r="M2980" s="23"/>
      <c r="N2980" s="23"/>
      <c r="P2980" s="23"/>
    </row>
    <row r="2981" spans="2:16" x14ac:dyDescent="0.25">
      <c r="B2981" s="23"/>
      <c r="E2981" s="23"/>
      <c r="G2981" s="23"/>
      <c r="H2981" s="23"/>
      <c r="J2981" s="23"/>
      <c r="K2981" s="23"/>
      <c r="M2981" s="23"/>
      <c r="N2981" s="23"/>
      <c r="P2981" s="23"/>
    </row>
    <row r="2982" spans="2:16" x14ac:dyDescent="0.25">
      <c r="B2982" s="23"/>
      <c r="E2982" s="23"/>
      <c r="G2982" s="23"/>
      <c r="H2982" s="23"/>
      <c r="J2982" s="23"/>
      <c r="K2982" s="23"/>
      <c r="M2982" s="23"/>
      <c r="N2982" s="23"/>
      <c r="P2982" s="23"/>
    </row>
    <row r="2983" spans="2:16" x14ac:dyDescent="0.25">
      <c r="B2983" s="23"/>
      <c r="E2983" s="23"/>
      <c r="G2983" s="23"/>
      <c r="H2983" s="23"/>
      <c r="J2983" s="23"/>
      <c r="K2983" s="23"/>
      <c r="M2983" s="23"/>
      <c r="N2983" s="23"/>
      <c r="P2983" s="23"/>
    </row>
    <row r="2984" spans="2:16" x14ac:dyDescent="0.25">
      <c r="B2984" s="23"/>
      <c r="E2984" s="23"/>
      <c r="G2984" s="23"/>
      <c r="H2984" s="23"/>
      <c r="J2984" s="23"/>
      <c r="K2984" s="23"/>
      <c r="M2984" s="23"/>
      <c r="N2984" s="23"/>
      <c r="P2984" s="23"/>
    </row>
    <row r="2985" spans="2:16" x14ac:dyDescent="0.25">
      <c r="B2985" s="23"/>
      <c r="E2985" s="23"/>
      <c r="G2985" s="23"/>
      <c r="H2985" s="23"/>
      <c r="J2985" s="23"/>
      <c r="K2985" s="23"/>
      <c r="M2985" s="23"/>
      <c r="N2985" s="23"/>
      <c r="P2985" s="23"/>
    </row>
    <row r="2986" spans="2:16" x14ac:dyDescent="0.25">
      <c r="B2986" s="23"/>
      <c r="E2986" s="23"/>
      <c r="G2986" s="23"/>
      <c r="H2986" s="23"/>
      <c r="J2986" s="23"/>
      <c r="K2986" s="23"/>
      <c r="M2986" s="23"/>
      <c r="N2986" s="23"/>
      <c r="P2986" s="23"/>
    </row>
    <row r="2987" spans="2:16" x14ac:dyDescent="0.25">
      <c r="B2987" s="23"/>
      <c r="E2987" s="23"/>
      <c r="G2987" s="23"/>
      <c r="H2987" s="23"/>
      <c r="J2987" s="23"/>
      <c r="K2987" s="23"/>
      <c r="M2987" s="23"/>
      <c r="N2987" s="23"/>
      <c r="P2987" s="23"/>
    </row>
    <row r="2988" spans="2:16" x14ac:dyDescent="0.25">
      <c r="B2988" s="23"/>
      <c r="E2988" s="23"/>
      <c r="G2988" s="23"/>
      <c r="H2988" s="23"/>
      <c r="J2988" s="23"/>
      <c r="K2988" s="23"/>
      <c r="M2988" s="23"/>
      <c r="N2988" s="23"/>
      <c r="P2988" s="23"/>
    </row>
    <row r="2989" spans="2:16" x14ac:dyDescent="0.25">
      <c r="B2989" s="23"/>
      <c r="E2989" s="23"/>
      <c r="G2989" s="23"/>
      <c r="H2989" s="23"/>
      <c r="J2989" s="23"/>
      <c r="K2989" s="23"/>
      <c r="M2989" s="23"/>
      <c r="N2989" s="23"/>
      <c r="P2989" s="23"/>
    </row>
    <row r="2990" spans="2:16" x14ac:dyDescent="0.25">
      <c r="B2990" s="23"/>
      <c r="E2990" s="23"/>
      <c r="G2990" s="23"/>
      <c r="H2990" s="23"/>
      <c r="J2990" s="23"/>
      <c r="K2990" s="23"/>
      <c r="M2990" s="23"/>
      <c r="N2990" s="23"/>
      <c r="P2990" s="23"/>
    </row>
    <row r="2991" spans="2:16" x14ac:dyDescent="0.25">
      <c r="B2991" s="23"/>
      <c r="E2991" s="23"/>
      <c r="G2991" s="23"/>
      <c r="H2991" s="23"/>
      <c r="J2991" s="23"/>
      <c r="K2991" s="23"/>
      <c r="M2991" s="23"/>
      <c r="N2991" s="23"/>
      <c r="P2991" s="23"/>
    </row>
    <row r="2992" spans="2:16" x14ac:dyDescent="0.25">
      <c r="B2992" s="23"/>
      <c r="E2992" s="23"/>
      <c r="G2992" s="23"/>
      <c r="H2992" s="23"/>
      <c r="J2992" s="23"/>
      <c r="K2992" s="23"/>
      <c r="M2992" s="23"/>
      <c r="N2992" s="23"/>
      <c r="P2992" s="23"/>
    </row>
    <row r="2993" spans="2:16" x14ac:dyDescent="0.25">
      <c r="B2993" s="23"/>
      <c r="E2993" s="23"/>
      <c r="G2993" s="23"/>
      <c r="H2993" s="23"/>
      <c r="J2993" s="23"/>
      <c r="K2993" s="23"/>
      <c r="M2993" s="23"/>
      <c r="N2993" s="23"/>
      <c r="P2993" s="23"/>
    </row>
    <row r="2994" spans="2:16" x14ac:dyDescent="0.25">
      <c r="B2994" s="23"/>
      <c r="E2994" s="23"/>
      <c r="G2994" s="23"/>
      <c r="H2994" s="23"/>
      <c r="J2994" s="23"/>
      <c r="K2994" s="23"/>
      <c r="M2994" s="23"/>
      <c r="N2994" s="23"/>
      <c r="P2994" s="23"/>
    </row>
    <row r="2995" spans="2:16" x14ac:dyDescent="0.25">
      <c r="B2995" s="23"/>
      <c r="E2995" s="23"/>
      <c r="G2995" s="23"/>
      <c r="H2995" s="23"/>
      <c r="J2995" s="23"/>
      <c r="K2995" s="23"/>
      <c r="M2995" s="23"/>
      <c r="N2995" s="23"/>
      <c r="P2995" s="23"/>
    </row>
    <row r="2996" spans="2:16" x14ac:dyDescent="0.25">
      <c r="B2996" s="23"/>
      <c r="E2996" s="23"/>
      <c r="G2996" s="23"/>
      <c r="H2996" s="23"/>
      <c r="J2996" s="23"/>
      <c r="K2996" s="23"/>
      <c r="M2996" s="23"/>
      <c r="N2996" s="23"/>
      <c r="P2996" s="23"/>
    </row>
    <row r="2997" spans="2:16" x14ac:dyDescent="0.25">
      <c r="B2997" s="23"/>
      <c r="E2997" s="23"/>
      <c r="G2997" s="23"/>
      <c r="H2997" s="23"/>
      <c r="J2997" s="23"/>
      <c r="K2997" s="23"/>
      <c r="M2997" s="23"/>
      <c r="N2997" s="23"/>
      <c r="P2997" s="23"/>
    </row>
    <row r="2998" spans="2:16" x14ac:dyDescent="0.25">
      <c r="B2998" s="23"/>
      <c r="E2998" s="23"/>
      <c r="G2998" s="23"/>
      <c r="H2998" s="23"/>
      <c r="J2998" s="23"/>
      <c r="K2998" s="23"/>
      <c r="M2998" s="23"/>
      <c r="N2998" s="23"/>
      <c r="P2998" s="23"/>
    </row>
    <row r="2999" spans="2:16" x14ac:dyDescent="0.25">
      <c r="B2999" s="23"/>
      <c r="E2999" s="23"/>
      <c r="G2999" s="23"/>
      <c r="H2999" s="23"/>
      <c r="J2999" s="23"/>
      <c r="K2999" s="23"/>
      <c r="M2999" s="23"/>
      <c r="N2999" s="23"/>
      <c r="P2999" s="23"/>
    </row>
    <row r="3000" spans="2:16" x14ac:dyDescent="0.25">
      <c r="B3000" s="23"/>
      <c r="E3000" s="23"/>
      <c r="G3000" s="23"/>
      <c r="H3000" s="23"/>
      <c r="J3000" s="23"/>
      <c r="K3000" s="23"/>
      <c r="M3000" s="23"/>
      <c r="N3000" s="23"/>
      <c r="P3000" s="23"/>
    </row>
    <row r="3001" spans="2:16" x14ac:dyDescent="0.25">
      <c r="B3001" s="23"/>
      <c r="E3001" s="23"/>
      <c r="G3001" s="23"/>
      <c r="H3001" s="23"/>
      <c r="J3001" s="23"/>
      <c r="K3001" s="23"/>
      <c r="M3001" s="23"/>
      <c r="N3001" s="23"/>
      <c r="P3001" s="23"/>
    </row>
    <row r="3002" spans="2:16" x14ac:dyDescent="0.25">
      <c r="B3002" s="23"/>
      <c r="E3002" s="23"/>
      <c r="G3002" s="23"/>
      <c r="H3002" s="23"/>
      <c r="J3002" s="23"/>
      <c r="K3002" s="23"/>
      <c r="M3002" s="23"/>
      <c r="N3002" s="23"/>
      <c r="P3002" s="23"/>
    </row>
    <row r="3003" spans="2:16" x14ac:dyDescent="0.25">
      <c r="B3003" s="23"/>
      <c r="E3003" s="23"/>
      <c r="G3003" s="23"/>
      <c r="H3003" s="23"/>
      <c r="J3003" s="23"/>
      <c r="K3003" s="23"/>
      <c r="M3003" s="23"/>
      <c r="N3003" s="23"/>
      <c r="P3003" s="23"/>
    </row>
    <row r="3004" spans="2:16" x14ac:dyDescent="0.25">
      <c r="B3004" s="23"/>
      <c r="E3004" s="23"/>
      <c r="G3004" s="23"/>
      <c r="H3004" s="23"/>
      <c r="J3004" s="23"/>
      <c r="K3004" s="23"/>
      <c r="M3004" s="23"/>
      <c r="N3004" s="23"/>
      <c r="P3004" s="23"/>
    </row>
    <row r="3005" spans="2:16" x14ac:dyDescent="0.25">
      <c r="B3005" s="23"/>
      <c r="E3005" s="23"/>
      <c r="G3005" s="23"/>
      <c r="H3005" s="23"/>
      <c r="J3005" s="23"/>
      <c r="K3005" s="23"/>
      <c r="M3005" s="23"/>
      <c r="N3005" s="23"/>
      <c r="P3005" s="23"/>
    </row>
    <row r="3006" spans="2:16" x14ac:dyDescent="0.25">
      <c r="B3006" s="23"/>
      <c r="E3006" s="23"/>
      <c r="G3006" s="23"/>
      <c r="H3006" s="23"/>
      <c r="J3006" s="23"/>
      <c r="K3006" s="23"/>
      <c r="M3006" s="23"/>
      <c r="N3006" s="23"/>
      <c r="P3006" s="23"/>
    </row>
    <row r="3007" spans="2:16" x14ac:dyDescent="0.25">
      <c r="B3007" s="23"/>
      <c r="E3007" s="23"/>
      <c r="G3007" s="23"/>
      <c r="H3007" s="23"/>
      <c r="J3007" s="23"/>
      <c r="K3007" s="23"/>
      <c r="M3007" s="23"/>
      <c r="N3007" s="23"/>
      <c r="P3007" s="23"/>
    </row>
    <row r="3008" spans="2:16" x14ac:dyDescent="0.25">
      <c r="B3008" s="23"/>
      <c r="E3008" s="23"/>
      <c r="G3008" s="23"/>
      <c r="H3008" s="23"/>
      <c r="J3008" s="23"/>
      <c r="K3008" s="23"/>
      <c r="M3008" s="23"/>
      <c r="N3008" s="23"/>
      <c r="P3008" s="23"/>
    </row>
    <row r="3009" spans="2:16" x14ac:dyDescent="0.25">
      <c r="B3009" s="23"/>
      <c r="E3009" s="23"/>
      <c r="G3009" s="23"/>
      <c r="H3009" s="23"/>
      <c r="J3009" s="23"/>
      <c r="K3009" s="23"/>
      <c r="M3009" s="23"/>
      <c r="N3009" s="23"/>
      <c r="P3009" s="23"/>
    </row>
    <row r="3010" spans="2:16" x14ac:dyDescent="0.25">
      <c r="B3010" s="23"/>
      <c r="E3010" s="23"/>
      <c r="G3010" s="23"/>
      <c r="H3010" s="23"/>
      <c r="J3010" s="23"/>
      <c r="K3010" s="23"/>
      <c r="M3010" s="23"/>
      <c r="N3010" s="23"/>
      <c r="P3010" s="23"/>
    </row>
    <row r="3011" spans="2:16" x14ac:dyDescent="0.25">
      <c r="B3011" s="23"/>
      <c r="E3011" s="23"/>
      <c r="G3011" s="23"/>
      <c r="H3011" s="23"/>
      <c r="J3011" s="23"/>
      <c r="K3011" s="23"/>
      <c r="M3011" s="23"/>
      <c r="N3011" s="23"/>
      <c r="P3011" s="23"/>
    </row>
    <row r="3012" spans="2:16" x14ac:dyDescent="0.25">
      <c r="B3012" s="23"/>
      <c r="E3012" s="23"/>
      <c r="G3012" s="23"/>
      <c r="H3012" s="23"/>
      <c r="J3012" s="23"/>
      <c r="K3012" s="23"/>
      <c r="M3012" s="23"/>
      <c r="N3012" s="23"/>
      <c r="P3012" s="23"/>
    </row>
    <row r="3013" spans="2:16" x14ac:dyDescent="0.25">
      <c r="B3013" s="23"/>
      <c r="E3013" s="23"/>
      <c r="G3013" s="23"/>
      <c r="H3013" s="23"/>
      <c r="J3013" s="23"/>
      <c r="K3013" s="23"/>
      <c r="M3013" s="23"/>
      <c r="N3013" s="23"/>
      <c r="P3013" s="23"/>
    </row>
    <row r="3014" spans="2:16" x14ac:dyDescent="0.25">
      <c r="B3014" s="23"/>
      <c r="E3014" s="23"/>
      <c r="G3014" s="23"/>
      <c r="H3014" s="23"/>
      <c r="J3014" s="23"/>
      <c r="K3014" s="23"/>
      <c r="M3014" s="23"/>
      <c r="N3014" s="23"/>
      <c r="P3014" s="23"/>
    </row>
    <row r="3015" spans="2:16" x14ac:dyDescent="0.25">
      <c r="B3015" s="23"/>
      <c r="E3015" s="23"/>
      <c r="G3015" s="23"/>
      <c r="H3015" s="23"/>
      <c r="J3015" s="23"/>
      <c r="K3015" s="23"/>
      <c r="M3015" s="23"/>
      <c r="N3015" s="23"/>
      <c r="P3015" s="23"/>
    </row>
    <row r="3016" spans="2:16" x14ac:dyDescent="0.25">
      <c r="B3016" s="23"/>
      <c r="E3016" s="23"/>
      <c r="G3016" s="23"/>
      <c r="H3016" s="23"/>
      <c r="J3016" s="23"/>
      <c r="K3016" s="23"/>
      <c r="M3016" s="23"/>
      <c r="N3016" s="23"/>
      <c r="P3016" s="23"/>
    </row>
    <row r="3017" spans="2:16" x14ac:dyDescent="0.25">
      <c r="B3017" s="23"/>
      <c r="E3017" s="23"/>
      <c r="G3017" s="23"/>
      <c r="H3017" s="23"/>
      <c r="J3017" s="23"/>
      <c r="K3017" s="23"/>
      <c r="M3017" s="23"/>
      <c r="N3017" s="23"/>
      <c r="P3017" s="23"/>
    </row>
    <row r="3018" spans="2:16" x14ac:dyDescent="0.25">
      <c r="B3018" s="23"/>
      <c r="E3018" s="23"/>
      <c r="G3018" s="23"/>
      <c r="H3018" s="23"/>
      <c r="J3018" s="23"/>
      <c r="K3018" s="23"/>
      <c r="M3018" s="23"/>
      <c r="N3018" s="23"/>
      <c r="P3018" s="23"/>
    </row>
    <row r="3019" spans="2:16" x14ac:dyDescent="0.25">
      <c r="B3019" s="23"/>
      <c r="E3019" s="23"/>
      <c r="G3019" s="23"/>
      <c r="H3019" s="23"/>
      <c r="J3019" s="23"/>
      <c r="K3019" s="23"/>
      <c r="M3019" s="23"/>
      <c r="N3019" s="23"/>
      <c r="P3019" s="23"/>
    </row>
    <row r="3020" spans="2:16" x14ac:dyDescent="0.25">
      <c r="B3020" s="23"/>
      <c r="E3020" s="23"/>
      <c r="G3020" s="23"/>
      <c r="H3020" s="23"/>
      <c r="J3020" s="23"/>
      <c r="K3020" s="23"/>
      <c r="M3020" s="23"/>
      <c r="N3020" s="23"/>
      <c r="P3020" s="23"/>
    </row>
    <row r="3021" spans="2:16" x14ac:dyDescent="0.25">
      <c r="B3021" s="23"/>
      <c r="E3021" s="23"/>
      <c r="G3021" s="23"/>
      <c r="H3021" s="23"/>
      <c r="J3021" s="23"/>
      <c r="K3021" s="23"/>
      <c r="M3021" s="23"/>
      <c r="N3021" s="23"/>
      <c r="P3021" s="23"/>
    </row>
    <row r="3022" spans="2:16" x14ac:dyDescent="0.25">
      <c r="B3022" s="23"/>
      <c r="E3022" s="23"/>
      <c r="G3022" s="23"/>
      <c r="H3022" s="23"/>
      <c r="J3022" s="23"/>
      <c r="K3022" s="23"/>
      <c r="M3022" s="23"/>
      <c r="N3022" s="23"/>
      <c r="P3022" s="23"/>
    </row>
    <row r="3023" spans="2:16" x14ac:dyDescent="0.25">
      <c r="B3023" s="23"/>
      <c r="E3023" s="23"/>
      <c r="G3023" s="23"/>
      <c r="H3023" s="23"/>
      <c r="J3023" s="23"/>
      <c r="K3023" s="23"/>
      <c r="M3023" s="23"/>
      <c r="N3023" s="23"/>
      <c r="P3023" s="23"/>
    </row>
    <row r="3024" spans="2:16" x14ac:dyDescent="0.25">
      <c r="B3024" s="23"/>
      <c r="E3024" s="23"/>
      <c r="G3024" s="23"/>
      <c r="H3024" s="23"/>
      <c r="J3024" s="23"/>
      <c r="K3024" s="23"/>
      <c r="M3024" s="23"/>
      <c r="N3024" s="23"/>
      <c r="P3024" s="23"/>
    </row>
    <row r="3025" spans="2:16" x14ac:dyDescent="0.25">
      <c r="B3025" s="23"/>
      <c r="E3025" s="23"/>
      <c r="G3025" s="23"/>
      <c r="H3025" s="23"/>
      <c r="J3025" s="23"/>
      <c r="K3025" s="23"/>
      <c r="M3025" s="23"/>
      <c r="N3025" s="23"/>
      <c r="P3025" s="23"/>
    </row>
    <row r="3026" spans="2:16" x14ac:dyDescent="0.25">
      <c r="B3026" s="23"/>
      <c r="E3026" s="23"/>
      <c r="G3026" s="23"/>
      <c r="H3026" s="23"/>
      <c r="J3026" s="23"/>
      <c r="K3026" s="23"/>
      <c r="M3026" s="23"/>
      <c r="N3026" s="23"/>
      <c r="P3026" s="23"/>
    </row>
    <row r="3027" spans="2:16" x14ac:dyDescent="0.25">
      <c r="B3027" s="23"/>
      <c r="E3027" s="23"/>
      <c r="G3027" s="23"/>
      <c r="H3027" s="23"/>
      <c r="J3027" s="23"/>
      <c r="K3027" s="23"/>
      <c r="M3027" s="23"/>
      <c r="N3027" s="23"/>
      <c r="P3027" s="23"/>
    </row>
    <row r="3028" spans="2:16" x14ac:dyDescent="0.25">
      <c r="B3028" s="23"/>
      <c r="E3028" s="23"/>
      <c r="G3028" s="23"/>
      <c r="H3028" s="23"/>
      <c r="J3028" s="23"/>
      <c r="K3028" s="23"/>
      <c r="M3028" s="23"/>
      <c r="N3028" s="23"/>
      <c r="P3028" s="23"/>
    </row>
    <row r="3029" spans="2:16" x14ac:dyDescent="0.25">
      <c r="B3029" s="23"/>
      <c r="E3029" s="23"/>
      <c r="G3029" s="23"/>
      <c r="H3029" s="23"/>
      <c r="J3029" s="23"/>
      <c r="K3029" s="23"/>
      <c r="M3029" s="23"/>
      <c r="N3029" s="23"/>
      <c r="P3029" s="23"/>
    </row>
    <row r="3030" spans="2:16" x14ac:dyDescent="0.25">
      <c r="B3030" s="23"/>
      <c r="E3030" s="23"/>
      <c r="G3030" s="23"/>
      <c r="H3030" s="23"/>
      <c r="J3030" s="23"/>
      <c r="K3030" s="23"/>
      <c r="M3030" s="23"/>
      <c r="N3030" s="23"/>
      <c r="P3030" s="23"/>
    </row>
    <row r="3031" spans="2:16" x14ac:dyDescent="0.25">
      <c r="B3031" s="23"/>
      <c r="E3031" s="23"/>
      <c r="G3031" s="23"/>
      <c r="H3031" s="23"/>
      <c r="J3031" s="23"/>
      <c r="K3031" s="23"/>
      <c r="M3031" s="23"/>
      <c r="N3031" s="23"/>
      <c r="P3031" s="23"/>
    </row>
    <row r="3032" spans="2:16" x14ac:dyDescent="0.25">
      <c r="B3032" s="23"/>
      <c r="E3032" s="23"/>
      <c r="G3032" s="23"/>
      <c r="H3032" s="23"/>
      <c r="J3032" s="23"/>
      <c r="K3032" s="23"/>
      <c r="M3032" s="23"/>
      <c r="N3032" s="23"/>
      <c r="P3032" s="23"/>
    </row>
    <row r="3033" spans="2:16" x14ac:dyDescent="0.25">
      <c r="B3033" s="23"/>
      <c r="E3033" s="23"/>
      <c r="G3033" s="23"/>
      <c r="H3033" s="23"/>
      <c r="J3033" s="23"/>
      <c r="K3033" s="23"/>
      <c r="M3033" s="23"/>
      <c r="N3033" s="23"/>
      <c r="P3033" s="23"/>
    </row>
    <row r="3034" spans="2:16" x14ac:dyDescent="0.25">
      <c r="B3034" s="23"/>
      <c r="E3034" s="23"/>
      <c r="G3034" s="23"/>
      <c r="H3034" s="23"/>
      <c r="J3034" s="23"/>
      <c r="K3034" s="23"/>
      <c r="M3034" s="23"/>
      <c r="N3034" s="23"/>
      <c r="P3034" s="23"/>
    </row>
    <row r="3035" spans="2:16" x14ac:dyDescent="0.25">
      <c r="B3035" s="23"/>
      <c r="E3035" s="23"/>
      <c r="G3035" s="23"/>
      <c r="H3035" s="23"/>
      <c r="J3035" s="23"/>
      <c r="K3035" s="23"/>
      <c r="M3035" s="23"/>
      <c r="N3035" s="23"/>
      <c r="P3035" s="23"/>
    </row>
    <row r="3036" spans="2:16" x14ac:dyDescent="0.25">
      <c r="B3036" s="23"/>
      <c r="E3036" s="23"/>
      <c r="G3036" s="23"/>
      <c r="H3036" s="23"/>
      <c r="J3036" s="23"/>
      <c r="K3036" s="23"/>
      <c r="M3036" s="23"/>
      <c r="N3036" s="23"/>
      <c r="P3036" s="23"/>
    </row>
    <row r="3037" spans="2:16" x14ac:dyDescent="0.25">
      <c r="B3037" s="23"/>
      <c r="E3037" s="23"/>
      <c r="G3037" s="23"/>
      <c r="H3037" s="23"/>
      <c r="J3037" s="23"/>
      <c r="K3037" s="23"/>
      <c r="M3037" s="23"/>
      <c r="N3037" s="23"/>
      <c r="P3037" s="23"/>
    </row>
    <row r="3038" spans="2:16" x14ac:dyDescent="0.25">
      <c r="B3038" s="23"/>
      <c r="E3038" s="23"/>
      <c r="G3038" s="23"/>
      <c r="H3038" s="23"/>
      <c r="J3038" s="23"/>
      <c r="K3038" s="23"/>
      <c r="M3038" s="23"/>
      <c r="N3038" s="23"/>
      <c r="P3038" s="23"/>
    </row>
    <row r="3039" spans="2:16" x14ac:dyDescent="0.25">
      <c r="B3039" s="23"/>
      <c r="E3039" s="23"/>
      <c r="G3039" s="23"/>
      <c r="H3039" s="23"/>
      <c r="J3039" s="23"/>
      <c r="K3039" s="23"/>
      <c r="M3039" s="23"/>
      <c r="N3039" s="23"/>
      <c r="P3039" s="23"/>
    </row>
    <row r="3040" spans="2:16" x14ac:dyDescent="0.25">
      <c r="B3040" s="23"/>
      <c r="E3040" s="23"/>
      <c r="G3040" s="23"/>
      <c r="H3040" s="23"/>
      <c r="J3040" s="23"/>
      <c r="K3040" s="23"/>
      <c r="M3040" s="23"/>
      <c r="N3040" s="23"/>
      <c r="P3040" s="23"/>
    </row>
    <row r="3041" spans="2:16" x14ac:dyDescent="0.25">
      <c r="B3041" s="23"/>
      <c r="E3041" s="23"/>
      <c r="G3041" s="23"/>
      <c r="H3041" s="23"/>
      <c r="J3041" s="23"/>
      <c r="K3041" s="23"/>
      <c r="M3041" s="23"/>
      <c r="N3041" s="23"/>
      <c r="P3041" s="23"/>
    </row>
    <row r="3042" spans="2:16" x14ac:dyDescent="0.25">
      <c r="B3042" s="23"/>
      <c r="E3042" s="23"/>
      <c r="G3042" s="23"/>
      <c r="H3042" s="23"/>
      <c r="J3042" s="23"/>
      <c r="K3042" s="23"/>
      <c r="M3042" s="23"/>
      <c r="N3042" s="23"/>
      <c r="P3042" s="23"/>
    </row>
    <row r="3043" spans="2:16" x14ac:dyDescent="0.25">
      <c r="B3043" s="23"/>
      <c r="E3043" s="23"/>
      <c r="G3043" s="23"/>
      <c r="H3043" s="23"/>
      <c r="J3043" s="23"/>
      <c r="K3043" s="23"/>
      <c r="M3043" s="23"/>
      <c r="N3043" s="23"/>
      <c r="P3043" s="23"/>
    </row>
    <row r="3044" spans="2:16" x14ac:dyDescent="0.25">
      <c r="B3044" s="23"/>
      <c r="E3044" s="23"/>
      <c r="G3044" s="23"/>
      <c r="H3044" s="23"/>
      <c r="J3044" s="23"/>
      <c r="K3044" s="23"/>
      <c r="M3044" s="23"/>
      <c r="N3044" s="23"/>
      <c r="P3044" s="23"/>
    </row>
    <row r="3045" spans="2:16" x14ac:dyDescent="0.25">
      <c r="B3045" s="23"/>
      <c r="E3045" s="23"/>
      <c r="G3045" s="23"/>
      <c r="H3045" s="23"/>
      <c r="J3045" s="23"/>
      <c r="K3045" s="23"/>
      <c r="M3045" s="23"/>
      <c r="N3045" s="23"/>
      <c r="P3045" s="23"/>
    </row>
    <row r="3046" spans="2:16" x14ac:dyDescent="0.25">
      <c r="B3046" s="23"/>
      <c r="E3046" s="23"/>
      <c r="G3046" s="23"/>
      <c r="H3046" s="23"/>
      <c r="J3046" s="23"/>
      <c r="K3046" s="23"/>
      <c r="M3046" s="23"/>
      <c r="N3046" s="23"/>
      <c r="P3046" s="23"/>
    </row>
    <row r="3047" spans="2:16" x14ac:dyDescent="0.25">
      <c r="B3047" s="23"/>
      <c r="E3047" s="23"/>
      <c r="G3047" s="23"/>
      <c r="H3047" s="23"/>
      <c r="J3047" s="23"/>
      <c r="K3047" s="23"/>
      <c r="M3047" s="23"/>
      <c r="N3047" s="23"/>
      <c r="P3047" s="23"/>
    </row>
    <row r="3048" spans="2:16" x14ac:dyDescent="0.25">
      <c r="B3048" s="23"/>
      <c r="E3048" s="23"/>
      <c r="G3048" s="23"/>
      <c r="H3048" s="23"/>
      <c r="J3048" s="23"/>
      <c r="K3048" s="23"/>
      <c r="M3048" s="23"/>
      <c r="N3048" s="23"/>
      <c r="P3048" s="23"/>
    </row>
    <row r="3049" spans="2:16" x14ac:dyDescent="0.25">
      <c r="B3049" s="23"/>
      <c r="E3049" s="23"/>
      <c r="G3049" s="23"/>
      <c r="H3049" s="23"/>
      <c r="J3049" s="23"/>
      <c r="K3049" s="23"/>
      <c r="M3049" s="23"/>
      <c r="N3049" s="23"/>
      <c r="P3049" s="23"/>
    </row>
    <row r="3050" spans="2:16" x14ac:dyDescent="0.25">
      <c r="B3050" s="23"/>
      <c r="E3050" s="23"/>
      <c r="G3050" s="23"/>
      <c r="H3050" s="23"/>
      <c r="J3050" s="23"/>
      <c r="K3050" s="23"/>
      <c r="M3050" s="23"/>
      <c r="N3050" s="23"/>
      <c r="P3050" s="23"/>
    </row>
    <row r="3051" spans="2:16" x14ac:dyDescent="0.25">
      <c r="B3051" s="23"/>
      <c r="E3051" s="23"/>
      <c r="G3051" s="23"/>
      <c r="H3051" s="23"/>
      <c r="J3051" s="23"/>
      <c r="K3051" s="23"/>
      <c r="M3051" s="23"/>
      <c r="N3051" s="23"/>
      <c r="P3051" s="23"/>
    </row>
    <row r="3052" spans="2:16" x14ac:dyDescent="0.25">
      <c r="B3052" s="23"/>
      <c r="E3052" s="23"/>
      <c r="G3052" s="23"/>
      <c r="H3052" s="23"/>
      <c r="J3052" s="23"/>
      <c r="K3052" s="23"/>
      <c r="M3052" s="23"/>
      <c r="N3052" s="23"/>
      <c r="P3052" s="23"/>
    </row>
    <row r="3053" spans="2:16" x14ac:dyDescent="0.25">
      <c r="B3053" s="23"/>
      <c r="E3053" s="23"/>
      <c r="G3053" s="23"/>
      <c r="H3053" s="23"/>
      <c r="J3053" s="23"/>
      <c r="K3053" s="23"/>
      <c r="M3053" s="23"/>
      <c r="N3053" s="23"/>
      <c r="P3053" s="23"/>
    </row>
    <row r="3054" spans="2:16" x14ac:dyDescent="0.25">
      <c r="B3054" s="23"/>
      <c r="E3054" s="23"/>
      <c r="G3054" s="23"/>
      <c r="H3054" s="23"/>
      <c r="J3054" s="23"/>
      <c r="K3054" s="23"/>
      <c r="M3054" s="23"/>
      <c r="N3054" s="23"/>
      <c r="P3054" s="23"/>
    </row>
    <row r="3055" spans="2:16" x14ac:dyDescent="0.25">
      <c r="B3055" s="23"/>
      <c r="E3055" s="23"/>
      <c r="G3055" s="23"/>
      <c r="H3055" s="23"/>
      <c r="J3055" s="23"/>
      <c r="K3055" s="23"/>
      <c r="M3055" s="23"/>
      <c r="N3055" s="23"/>
      <c r="P3055" s="23"/>
    </row>
    <row r="3056" spans="2:16" x14ac:dyDescent="0.25">
      <c r="B3056" s="23"/>
      <c r="E3056" s="23"/>
      <c r="G3056" s="23"/>
      <c r="H3056" s="23"/>
      <c r="J3056" s="23"/>
      <c r="K3056" s="23"/>
      <c r="M3056" s="23"/>
      <c r="N3056" s="23"/>
      <c r="P3056" s="23"/>
    </row>
    <row r="3057" spans="2:16" x14ac:dyDescent="0.25">
      <c r="B3057" s="23"/>
      <c r="E3057" s="23"/>
      <c r="G3057" s="23"/>
      <c r="H3057" s="23"/>
      <c r="J3057" s="23"/>
      <c r="K3057" s="23"/>
      <c r="M3057" s="23"/>
      <c r="N3057" s="23"/>
      <c r="P3057" s="23"/>
    </row>
    <row r="3058" spans="2:16" x14ac:dyDescent="0.25">
      <c r="B3058" s="23"/>
      <c r="E3058" s="23"/>
      <c r="G3058" s="23"/>
      <c r="H3058" s="23"/>
      <c r="J3058" s="23"/>
      <c r="K3058" s="23"/>
      <c r="M3058" s="23"/>
      <c r="N3058" s="23"/>
      <c r="P3058" s="23"/>
    </row>
    <row r="3059" spans="2:16" x14ac:dyDescent="0.25">
      <c r="B3059" s="23"/>
      <c r="E3059" s="23"/>
      <c r="G3059" s="23"/>
      <c r="H3059" s="23"/>
      <c r="J3059" s="23"/>
      <c r="K3059" s="23"/>
      <c r="M3059" s="23"/>
      <c r="N3059" s="23"/>
      <c r="P3059" s="23"/>
    </row>
    <row r="3060" spans="2:16" x14ac:dyDescent="0.25">
      <c r="B3060" s="23"/>
      <c r="E3060" s="23"/>
      <c r="G3060" s="23"/>
      <c r="H3060" s="23"/>
      <c r="J3060" s="23"/>
      <c r="K3060" s="23"/>
      <c r="M3060" s="23"/>
      <c r="N3060" s="23"/>
      <c r="P3060" s="23"/>
    </row>
    <row r="3061" spans="2:16" x14ac:dyDescent="0.25">
      <c r="B3061" s="23"/>
      <c r="E3061" s="23"/>
      <c r="G3061" s="23"/>
      <c r="H3061" s="23"/>
      <c r="J3061" s="23"/>
      <c r="K3061" s="23"/>
      <c r="M3061" s="23"/>
      <c r="N3061" s="23"/>
      <c r="P3061" s="23"/>
    </row>
    <row r="3062" spans="2:16" x14ac:dyDescent="0.25">
      <c r="B3062" s="23"/>
      <c r="E3062" s="23"/>
      <c r="G3062" s="23"/>
      <c r="H3062" s="23"/>
      <c r="J3062" s="23"/>
      <c r="K3062" s="23"/>
      <c r="M3062" s="23"/>
      <c r="N3062" s="23"/>
      <c r="P3062" s="23"/>
    </row>
    <row r="3063" spans="2:16" x14ac:dyDescent="0.25">
      <c r="B3063" s="23"/>
      <c r="E3063" s="23"/>
      <c r="G3063" s="23"/>
      <c r="H3063" s="23"/>
      <c r="J3063" s="23"/>
      <c r="K3063" s="23"/>
      <c r="M3063" s="23"/>
      <c r="N3063" s="23"/>
      <c r="P3063" s="23"/>
    </row>
    <row r="3064" spans="2:16" x14ac:dyDescent="0.25">
      <c r="B3064" s="23"/>
      <c r="E3064" s="23"/>
      <c r="G3064" s="23"/>
      <c r="H3064" s="23"/>
      <c r="J3064" s="23"/>
      <c r="K3064" s="23"/>
      <c r="M3064" s="23"/>
      <c r="N3064" s="23"/>
      <c r="P3064" s="23"/>
    </row>
    <row r="3065" spans="2:16" x14ac:dyDescent="0.25">
      <c r="B3065" s="23"/>
      <c r="E3065" s="23"/>
      <c r="G3065" s="23"/>
      <c r="H3065" s="23"/>
      <c r="J3065" s="23"/>
      <c r="K3065" s="23"/>
      <c r="M3065" s="23"/>
      <c r="N3065" s="23"/>
      <c r="P3065" s="23"/>
    </row>
    <row r="3066" spans="2:16" x14ac:dyDescent="0.25">
      <c r="B3066" s="23"/>
      <c r="E3066" s="23"/>
      <c r="G3066" s="23"/>
      <c r="H3066" s="23"/>
      <c r="J3066" s="23"/>
      <c r="K3066" s="23"/>
      <c r="M3066" s="23"/>
      <c r="N3066" s="23"/>
      <c r="P3066" s="23"/>
    </row>
    <row r="3067" spans="2:16" x14ac:dyDescent="0.25">
      <c r="B3067" s="23"/>
      <c r="E3067" s="23"/>
      <c r="G3067" s="23"/>
      <c r="H3067" s="23"/>
      <c r="J3067" s="23"/>
      <c r="K3067" s="23"/>
      <c r="M3067" s="23"/>
      <c r="N3067" s="23"/>
      <c r="P3067" s="23"/>
    </row>
    <row r="3068" spans="2:16" x14ac:dyDescent="0.25">
      <c r="B3068" s="23"/>
      <c r="E3068" s="23"/>
      <c r="G3068" s="23"/>
      <c r="H3068" s="23"/>
      <c r="J3068" s="23"/>
      <c r="K3068" s="23"/>
      <c r="M3068" s="23"/>
      <c r="N3068" s="23"/>
      <c r="P3068" s="23"/>
    </row>
    <row r="3069" spans="2:16" x14ac:dyDescent="0.25">
      <c r="B3069" s="23"/>
      <c r="E3069" s="23"/>
      <c r="G3069" s="23"/>
      <c r="H3069" s="23"/>
      <c r="J3069" s="23"/>
      <c r="K3069" s="23"/>
      <c r="M3069" s="23"/>
      <c r="N3069" s="23"/>
      <c r="P3069" s="23"/>
    </row>
    <row r="3070" spans="2:16" x14ac:dyDescent="0.25">
      <c r="B3070" s="23"/>
      <c r="E3070" s="23"/>
      <c r="G3070" s="23"/>
      <c r="H3070" s="23"/>
      <c r="J3070" s="23"/>
      <c r="K3070" s="23"/>
      <c r="M3070" s="23"/>
      <c r="N3070" s="23"/>
      <c r="P3070" s="23"/>
    </row>
    <row r="3071" spans="2:16" x14ac:dyDescent="0.25">
      <c r="B3071" s="23"/>
      <c r="E3071" s="23"/>
      <c r="G3071" s="23"/>
      <c r="H3071" s="23"/>
      <c r="J3071" s="23"/>
      <c r="K3071" s="23"/>
      <c r="M3071" s="23"/>
      <c r="N3071" s="23"/>
      <c r="P3071" s="23"/>
    </row>
    <row r="3072" spans="2:16" x14ac:dyDescent="0.25">
      <c r="B3072" s="23"/>
      <c r="E3072" s="23"/>
      <c r="G3072" s="23"/>
      <c r="H3072" s="23"/>
      <c r="J3072" s="23"/>
      <c r="K3072" s="23"/>
      <c r="M3072" s="23"/>
      <c r="N3072" s="23"/>
      <c r="P3072" s="23"/>
    </row>
    <row r="3073" spans="2:16" x14ac:dyDescent="0.25">
      <c r="B3073" s="23"/>
      <c r="E3073" s="23"/>
      <c r="G3073" s="23"/>
      <c r="H3073" s="23"/>
      <c r="J3073" s="23"/>
      <c r="K3073" s="23"/>
      <c r="M3073" s="23"/>
      <c r="N3073" s="23"/>
      <c r="P3073" s="23"/>
    </row>
    <row r="3074" spans="2:16" x14ac:dyDescent="0.25">
      <c r="B3074" s="23"/>
      <c r="E3074" s="23"/>
      <c r="G3074" s="23"/>
      <c r="H3074" s="23"/>
      <c r="J3074" s="23"/>
      <c r="K3074" s="23"/>
      <c r="M3074" s="23"/>
      <c r="N3074" s="23"/>
      <c r="P3074" s="23"/>
    </row>
    <row r="3075" spans="2:16" x14ac:dyDescent="0.25">
      <c r="B3075" s="23"/>
      <c r="E3075" s="23"/>
      <c r="G3075" s="23"/>
      <c r="H3075" s="23"/>
      <c r="J3075" s="23"/>
      <c r="K3075" s="23"/>
      <c r="M3075" s="23"/>
      <c r="N3075" s="23"/>
      <c r="P3075" s="23"/>
    </row>
    <row r="3076" spans="2:16" x14ac:dyDescent="0.25">
      <c r="B3076" s="23"/>
      <c r="E3076" s="23"/>
      <c r="G3076" s="23"/>
      <c r="H3076" s="23"/>
      <c r="J3076" s="23"/>
      <c r="K3076" s="23"/>
      <c r="M3076" s="23"/>
      <c r="N3076" s="23"/>
      <c r="P3076" s="23"/>
    </row>
    <row r="3077" spans="2:16" x14ac:dyDescent="0.25">
      <c r="B3077" s="23"/>
      <c r="E3077" s="23"/>
      <c r="G3077" s="23"/>
      <c r="H3077" s="23"/>
      <c r="J3077" s="23"/>
      <c r="K3077" s="23"/>
      <c r="M3077" s="23"/>
      <c r="N3077" s="23"/>
      <c r="P3077" s="23"/>
    </row>
    <row r="3078" spans="2:16" x14ac:dyDescent="0.25">
      <c r="B3078" s="23"/>
      <c r="E3078" s="23"/>
      <c r="G3078" s="23"/>
      <c r="H3078" s="23"/>
      <c r="J3078" s="23"/>
      <c r="K3078" s="23"/>
      <c r="M3078" s="23"/>
      <c r="N3078" s="23"/>
      <c r="P3078" s="23"/>
    </row>
    <row r="3079" spans="2:16" x14ac:dyDescent="0.25">
      <c r="B3079" s="23"/>
      <c r="E3079" s="23"/>
      <c r="G3079" s="23"/>
      <c r="H3079" s="23"/>
      <c r="J3079" s="23"/>
      <c r="K3079" s="23"/>
      <c r="M3079" s="23"/>
      <c r="N3079" s="23"/>
      <c r="P3079" s="23"/>
    </row>
    <row r="3080" spans="2:16" x14ac:dyDescent="0.25">
      <c r="B3080" s="23"/>
      <c r="E3080" s="23"/>
      <c r="G3080" s="23"/>
      <c r="H3080" s="23"/>
      <c r="J3080" s="23"/>
      <c r="K3080" s="23"/>
      <c r="M3080" s="23"/>
      <c r="N3080" s="23"/>
      <c r="P3080" s="23"/>
    </row>
    <row r="3081" spans="2:16" x14ac:dyDescent="0.25">
      <c r="B3081" s="23"/>
      <c r="E3081" s="23"/>
      <c r="G3081" s="23"/>
      <c r="H3081" s="23"/>
      <c r="J3081" s="23"/>
      <c r="K3081" s="23"/>
      <c r="M3081" s="23"/>
      <c r="N3081" s="23"/>
      <c r="P3081" s="23"/>
    </row>
    <row r="3082" spans="2:16" x14ac:dyDescent="0.25">
      <c r="B3082" s="23"/>
      <c r="E3082" s="23"/>
      <c r="G3082" s="23"/>
      <c r="H3082" s="23"/>
      <c r="J3082" s="23"/>
      <c r="K3082" s="23"/>
      <c r="M3082" s="23"/>
      <c r="N3082" s="23"/>
      <c r="P3082" s="23"/>
    </row>
    <row r="3083" spans="2:16" x14ac:dyDescent="0.25">
      <c r="B3083" s="23"/>
      <c r="E3083" s="23"/>
      <c r="G3083" s="23"/>
      <c r="H3083" s="23"/>
      <c r="J3083" s="23"/>
      <c r="K3083" s="23"/>
      <c r="M3083" s="23"/>
      <c r="N3083" s="23"/>
      <c r="P3083" s="23"/>
    </row>
    <row r="3084" spans="2:16" x14ac:dyDescent="0.25">
      <c r="B3084" s="23"/>
      <c r="E3084" s="23"/>
      <c r="G3084" s="23"/>
      <c r="H3084" s="23"/>
      <c r="J3084" s="23"/>
      <c r="K3084" s="23"/>
      <c r="M3084" s="23"/>
      <c r="N3084" s="23"/>
      <c r="P3084" s="23"/>
    </row>
    <row r="3085" spans="2:16" x14ac:dyDescent="0.25">
      <c r="B3085" s="23"/>
      <c r="E3085" s="23"/>
      <c r="G3085" s="23"/>
      <c r="H3085" s="23"/>
      <c r="J3085" s="23"/>
      <c r="K3085" s="23"/>
      <c r="M3085" s="23"/>
      <c r="N3085" s="23"/>
      <c r="P3085" s="23"/>
    </row>
    <row r="3086" spans="2:16" x14ac:dyDescent="0.25">
      <c r="B3086" s="23"/>
      <c r="E3086" s="23"/>
      <c r="G3086" s="23"/>
      <c r="H3086" s="23"/>
      <c r="J3086" s="23"/>
      <c r="K3086" s="23"/>
      <c r="M3086" s="23"/>
      <c r="N3086" s="23"/>
      <c r="P3086" s="23"/>
    </row>
    <row r="3087" spans="2:16" x14ac:dyDescent="0.25">
      <c r="B3087" s="23"/>
      <c r="E3087" s="23"/>
      <c r="G3087" s="23"/>
      <c r="H3087" s="23"/>
      <c r="J3087" s="23"/>
      <c r="K3087" s="23"/>
      <c r="M3087" s="23"/>
      <c r="N3087" s="23"/>
      <c r="P3087" s="23"/>
    </row>
    <row r="3088" spans="2:16" x14ac:dyDescent="0.25">
      <c r="B3088" s="23"/>
      <c r="E3088" s="23"/>
      <c r="G3088" s="23"/>
      <c r="H3088" s="23"/>
      <c r="J3088" s="23"/>
      <c r="K3088" s="23"/>
      <c r="M3088" s="23"/>
      <c r="N3088" s="23"/>
      <c r="P3088" s="23"/>
    </row>
    <row r="3089" spans="2:16" x14ac:dyDescent="0.25">
      <c r="B3089" s="23"/>
      <c r="E3089" s="23"/>
      <c r="G3089" s="23"/>
      <c r="H3089" s="23"/>
      <c r="J3089" s="23"/>
      <c r="K3089" s="23"/>
      <c r="M3089" s="23"/>
      <c r="N3089" s="23"/>
      <c r="P3089" s="23"/>
    </row>
    <row r="3090" spans="2:16" x14ac:dyDescent="0.25">
      <c r="B3090" s="23"/>
      <c r="E3090" s="23"/>
      <c r="G3090" s="23"/>
      <c r="H3090" s="23"/>
      <c r="J3090" s="23"/>
      <c r="K3090" s="23"/>
      <c r="M3090" s="23"/>
      <c r="N3090" s="23"/>
      <c r="P3090" s="23"/>
    </row>
    <row r="3091" spans="2:16" x14ac:dyDescent="0.25">
      <c r="B3091" s="23"/>
      <c r="E3091" s="23"/>
      <c r="G3091" s="23"/>
      <c r="H3091" s="23"/>
      <c r="J3091" s="23"/>
      <c r="K3091" s="23"/>
      <c r="M3091" s="23"/>
      <c r="N3091" s="23"/>
      <c r="P3091" s="23"/>
    </row>
    <row r="3092" spans="2:16" x14ac:dyDescent="0.25">
      <c r="B3092" s="23"/>
      <c r="E3092" s="23"/>
      <c r="G3092" s="23"/>
      <c r="H3092" s="23"/>
      <c r="J3092" s="23"/>
      <c r="K3092" s="23"/>
      <c r="M3092" s="23"/>
      <c r="N3092" s="23"/>
      <c r="P3092" s="23"/>
    </row>
    <row r="3093" spans="2:16" x14ac:dyDescent="0.25">
      <c r="B3093" s="23"/>
      <c r="E3093" s="23"/>
      <c r="G3093" s="23"/>
      <c r="H3093" s="23"/>
      <c r="J3093" s="23"/>
      <c r="K3093" s="23"/>
      <c r="M3093" s="23"/>
      <c r="N3093" s="23"/>
      <c r="P3093" s="23"/>
    </row>
    <row r="3094" spans="2:16" x14ac:dyDescent="0.25">
      <c r="B3094" s="23"/>
      <c r="E3094" s="23"/>
      <c r="G3094" s="23"/>
      <c r="H3094" s="23"/>
      <c r="J3094" s="23"/>
      <c r="K3094" s="23"/>
      <c r="M3094" s="23"/>
      <c r="N3094" s="23"/>
      <c r="P3094" s="23"/>
    </row>
    <row r="3095" spans="2:16" x14ac:dyDescent="0.25">
      <c r="B3095" s="23"/>
      <c r="E3095" s="23"/>
      <c r="G3095" s="23"/>
      <c r="H3095" s="23"/>
      <c r="J3095" s="23"/>
      <c r="K3095" s="23"/>
      <c r="M3095" s="23"/>
      <c r="N3095" s="23"/>
      <c r="P3095" s="23"/>
    </row>
    <row r="3096" spans="2:16" x14ac:dyDescent="0.25">
      <c r="B3096" s="23"/>
      <c r="E3096" s="23"/>
      <c r="G3096" s="23"/>
      <c r="H3096" s="23"/>
      <c r="J3096" s="23"/>
      <c r="K3096" s="23"/>
      <c r="M3096" s="23"/>
      <c r="N3096" s="23"/>
      <c r="P3096" s="23"/>
    </row>
    <row r="3097" spans="2:16" x14ac:dyDescent="0.25">
      <c r="B3097" s="23"/>
      <c r="E3097" s="23"/>
      <c r="G3097" s="23"/>
      <c r="H3097" s="23"/>
      <c r="J3097" s="23"/>
      <c r="K3097" s="23"/>
      <c r="M3097" s="23"/>
      <c r="N3097" s="23"/>
      <c r="P3097" s="23"/>
    </row>
    <row r="3098" spans="2:16" x14ac:dyDescent="0.25">
      <c r="B3098" s="23"/>
      <c r="E3098" s="23"/>
      <c r="G3098" s="23"/>
      <c r="H3098" s="23"/>
      <c r="J3098" s="23"/>
      <c r="K3098" s="23"/>
      <c r="M3098" s="23"/>
      <c r="N3098" s="23"/>
      <c r="P3098" s="23"/>
    </row>
    <row r="3099" spans="2:16" x14ac:dyDescent="0.25">
      <c r="B3099" s="23"/>
      <c r="E3099" s="23"/>
      <c r="G3099" s="23"/>
      <c r="H3099" s="23"/>
      <c r="J3099" s="23"/>
      <c r="K3099" s="23"/>
      <c r="M3099" s="23"/>
      <c r="N3099" s="23"/>
      <c r="P3099" s="23"/>
    </row>
    <row r="3100" spans="2:16" x14ac:dyDescent="0.25">
      <c r="B3100" s="23"/>
      <c r="E3100" s="23"/>
      <c r="G3100" s="23"/>
      <c r="H3100" s="23"/>
      <c r="J3100" s="23"/>
      <c r="K3100" s="23"/>
      <c r="M3100" s="23"/>
      <c r="N3100" s="23"/>
      <c r="P3100" s="23"/>
    </row>
    <row r="3101" spans="2:16" x14ac:dyDescent="0.25">
      <c r="B3101" s="23"/>
      <c r="E3101" s="23"/>
      <c r="G3101" s="23"/>
      <c r="H3101" s="23"/>
      <c r="J3101" s="23"/>
      <c r="K3101" s="23"/>
      <c r="M3101" s="23"/>
      <c r="N3101" s="23"/>
      <c r="P3101" s="23"/>
    </row>
    <row r="3102" spans="2:16" x14ac:dyDescent="0.25">
      <c r="B3102" s="23"/>
      <c r="E3102" s="23"/>
      <c r="G3102" s="23"/>
      <c r="H3102" s="23"/>
      <c r="J3102" s="23"/>
      <c r="K3102" s="23"/>
      <c r="M3102" s="23"/>
      <c r="N3102" s="23"/>
      <c r="P3102" s="23"/>
    </row>
    <row r="3103" spans="2:16" x14ac:dyDescent="0.25">
      <c r="B3103" s="23"/>
      <c r="E3103" s="23"/>
      <c r="G3103" s="23"/>
      <c r="H3103" s="23"/>
      <c r="J3103" s="23"/>
      <c r="K3103" s="23"/>
      <c r="M3103" s="23"/>
      <c r="N3103" s="23"/>
      <c r="P3103" s="23"/>
    </row>
    <row r="3104" spans="2:16" x14ac:dyDescent="0.25">
      <c r="B3104" s="23"/>
      <c r="E3104" s="23"/>
      <c r="G3104" s="23"/>
      <c r="H3104" s="23"/>
      <c r="J3104" s="23"/>
      <c r="K3104" s="23"/>
      <c r="M3104" s="23"/>
      <c r="N3104" s="23"/>
      <c r="P3104" s="23"/>
    </row>
    <row r="3105" spans="2:16" x14ac:dyDescent="0.25">
      <c r="B3105" s="23"/>
      <c r="E3105" s="23"/>
      <c r="G3105" s="23"/>
      <c r="H3105" s="23"/>
      <c r="J3105" s="23"/>
      <c r="K3105" s="23"/>
      <c r="M3105" s="23"/>
      <c r="N3105" s="23"/>
      <c r="P3105" s="23"/>
    </row>
    <row r="3106" spans="2:16" x14ac:dyDescent="0.25">
      <c r="B3106" s="23"/>
      <c r="E3106" s="23"/>
      <c r="G3106" s="23"/>
      <c r="H3106" s="23"/>
      <c r="J3106" s="23"/>
      <c r="K3106" s="23"/>
      <c r="M3106" s="23"/>
      <c r="N3106" s="23"/>
      <c r="P3106" s="23"/>
    </row>
    <row r="3107" spans="2:16" x14ac:dyDescent="0.25">
      <c r="B3107" s="23"/>
      <c r="E3107" s="23"/>
      <c r="G3107" s="23"/>
      <c r="H3107" s="23"/>
      <c r="J3107" s="23"/>
      <c r="K3107" s="23"/>
      <c r="M3107" s="23"/>
      <c r="N3107" s="23"/>
      <c r="P3107" s="23"/>
    </row>
    <row r="3108" spans="2:16" x14ac:dyDescent="0.25">
      <c r="B3108" s="23"/>
      <c r="E3108" s="23"/>
      <c r="G3108" s="23"/>
      <c r="H3108" s="23"/>
      <c r="J3108" s="23"/>
      <c r="K3108" s="23"/>
      <c r="M3108" s="23"/>
      <c r="N3108" s="23"/>
      <c r="P3108" s="23"/>
    </row>
    <row r="3109" spans="2:16" x14ac:dyDescent="0.25">
      <c r="B3109" s="23"/>
      <c r="E3109" s="23"/>
      <c r="G3109" s="23"/>
      <c r="H3109" s="23"/>
      <c r="J3109" s="23"/>
      <c r="K3109" s="23"/>
      <c r="M3109" s="23"/>
      <c r="N3109" s="23"/>
      <c r="P3109" s="23"/>
    </row>
    <row r="3110" spans="2:16" x14ac:dyDescent="0.25">
      <c r="B3110" s="23"/>
      <c r="E3110" s="23"/>
      <c r="G3110" s="23"/>
      <c r="H3110" s="23"/>
      <c r="J3110" s="23"/>
      <c r="K3110" s="23"/>
      <c r="M3110" s="23"/>
      <c r="N3110" s="23"/>
      <c r="P3110" s="23"/>
    </row>
    <row r="3111" spans="2:16" x14ac:dyDescent="0.25">
      <c r="B3111" s="23"/>
      <c r="E3111" s="23"/>
      <c r="G3111" s="23"/>
      <c r="H3111" s="23"/>
      <c r="J3111" s="23"/>
      <c r="K3111" s="23"/>
      <c r="M3111" s="23"/>
      <c r="N3111" s="23"/>
      <c r="P3111" s="23"/>
    </row>
    <row r="3112" spans="2:16" x14ac:dyDescent="0.25">
      <c r="B3112" s="23"/>
      <c r="E3112" s="23"/>
      <c r="G3112" s="23"/>
      <c r="H3112" s="23"/>
      <c r="J3112" s="23"/>
      <c r="K3112" s="23"/>
      <c r="M3112" s="23"/>
      <c r="N3112" s="23"/>
      <c r="P3112" s="23"/>
    </row>
    <row r="3113" spans="2:16" x14ac:dyDescent="0.25">
      <c r="B3113" s="23"/>
      <c r="E3113" s="23"/>
      <c r="G3113" s="23"/>
      <c r="H3113" s="23"/>
      <c r="J3113" s="23"/>
      <c r="K3113" s="23"/>
      <c r="M3113" s="23"/>
      <c r="N3113" s="23"/>
      <c r="P3113" s="23"/>
    </row>
    <row r="3114" spans="2:16" x14ac:dyDescent="0.25">
      <c r="B3114" s="23"/>
      <c r="E3114" s="23"/>
      <c r="G3114" s="23"/>
      <c r="H3114" s="23"/>
      <c r="J3114" s="23"/>
      <c r="K3114" s="23"/>
      <c r="M3114" s="23"/>
      <c r="N3114" s="23"/>
      <c r="P3114" s="23"/>
    </row>
    <row r="3115" spans="2:16" x14ac:dyDescent="0.25">
      <c r="B3115" s="23"/>
      <c r="E3115" s="23"/>
      <c r="G3115" s="23"/>
      <c r="H3115" s="23"/>
      <c r="J3115" s="23"/>
      <c r="K3115" s="23"/>
      <c r="M3115" s="23"/>
      <c r="N3115" s="23"/>
      <c r="P3115" s="23"/>
    </row>
    <row r="3116" spans="2:16" x14ac:dyDescent="0.25">
      <c r="B3116" s="23"/>
      <c r="E3116" s="23"/>
      <c r="G3116" s="23"/>
      <c r="H3116" s="23"/>
      <c r="J3116" s="23"/>
      <c r="K3116" s="23"/>
      <c r="M3116" s="23"/>
      <c r="N3116" s="23"/>
      <c r="P3116" s="23"/>
    </row>
    <row r="3117" spans="2:16" x14ac:dyDescent="0.25">
      <c r="B3117" s="23"/>
      <c r="E3117" s="23"/>
      <c r="G3117" s="23"/>
      <c r="H3117" s="23"/>
      <c r="J3117" s="23"/>
      <c r="K3117" s="23"/>
      <c r="M3117" s="23"/>
      <c r="N3117" s="23"/>
      <c r="P3117" s="23"/>
    </row>
    <row r="3118" spans="2:16" x14ac:dyDescent="0.25">
      <c r="B3118" s="23"/>
      <c r="E3118" s="23"/>
      <c r="G3118" s="23"/>
      <c r="H3118" s="23"/>
      <c r="J3118" s="23"/>
      <c r="K3118" s="23"/>
      <c r="M3118" s="23"/>
      <c r="N3118" s="23"/>
      <c r="P3118" s="23"/>
    </row>
    <row r="3119" spans="2:16" x14ac:dyDescent="0.25">
      <c r="B3119" s="23"/>
      <c r="E3119" s="23"/>
      <c r="G3119" s="23"/>
      <c r="H3119" s="23"/>
      <c r="J3119" s="23"/>
      <c r="K3119" s="23"/>
      <c r="M3119" s="23"/>
      <c r="N3119" s="23"/>
      <c r="P3119" s="23"/>
    </row>
    <row r="3120" spans="2:16" x14ac:dyDescent="0.25">
      <c r="B3120" s="23"/>
      <c r="E3120" s="23"/>
      <c r="G3120" s="23"/>
      <c r="H3120" s="23"/>
      <c r="J3120" s="23"/>
      <c r="K3120" s="23"/>
      <c r="M3120" s="23"/>
      <c r="N3120" s="23"/>
      <c r="P3120" s="23"/>
    </row>
    <row r="3121" spans="2:16" x14ac:dyDescent="0.25">
      <c r="B3121" s="23"/>
      <c r="E3121" s="23"/>
      <c r="G3121" s="23"/>
      <c r="H3121" s="23"/>
      <c r="J3121" s="23"/>
      <c r="K3121" s="23"/>
      <c r="M3121" s="23"/>
      <c r="N3121" s="23"/>
      <c r="P3121" s="23"/>
    </row>
    <row r="3122" spans="2:16" x14ac:dyDescent="0.25">
      <c r="B3122" s="23"/>
      <c r="E3122" s="23"/>
      <c r="G3122" s="23"/>
      <c r="H3122" s="23"/>
      <c r="J3122" s="23"/>
      <c r="K3122" s="23"/>
      <c r="M3122" s="23"/>
      <c r="N3122" s="23"/>
      <c r="P3122" s="23"/>
    </row>
    <row r="3123" spans="2:16" x14ac:dyDescent="0.25">
      <c r="B3123" s="23"/>
      <c r="E3123" s="23"/>
      <c r="G3123" s="23"/>
      <c r="H3123" s="23"/>
      <c r="J3123" s="23"/>
      <c r="K3123" s="23"/>
      <c r="M3123" s="23"/>
      <c r="N3123" s="23"/>
      <c r="P3123" s="23"/>
    </row>
    <row r="3124" spans="2:16" x14ac:dyDescent="0.25">
      <c r="B3124" s="23"/>
      <c r="E3124" s="23"/>
      <c r="G3124" s="23"/>
      <c r="H3124" s="23"/>
      <c r="J3124" s="23"/>
      <c r="K3124" s="23"/>
      <c r="M3124" s="23"/>
      <c r="N3124" s="23"/>
      <c r="P3124" s="23"/>
    </row>
    <row r="3125" spans="2:16" x14ac:dyDescent="0.25">
      <c r="B3125" s="23"/>
      <c r="E3125" s="23"/>
      <c r="G3125" s="23"/>
      <c r="H3125" s="23"/>
      <c r="J3125" s="23"/>
      <c r="K3125" s="23"/>
      <c r="M3125" s="23"/>
      <c r="N3125" s="23"/>
      <c r="P3125" s="23"/>
    </row>
    <row r="3126" spans="2:16" x14ac:dyDescent="0.25">
      <c r="B3126" s="23"/>
      <c r="E3126" s="23"/>
      <c r="G3126" s="23"/>
      <c r="H3126" s="23"/>
      <c r="J3126" s="23"/>
      <c r="K3126" s="23"/>
      <c r="M3126" s="23"/>
      <c r="N3126" s="23"/>
      <c r="P3126" s="23"/>
    </row>
    <row r="3127" spans="2:16" x14ac:dyDescent="0.25">
      <c r="B3127" s="23"/>
      <c r="E3127" s="23"/>
      <c r="G3127" s="23"/>
      <c r="H3127" s="23"/>
      <c r="J3127" s="23"/>
      <c r="K3127" s="23"/>
      <c r="M3127" s="23"/>
      <c r="N3127" s="23"/>
      <c r="P3127" s="23"/>
    </row>
    <row r="3128" spans="2:16" x14ac:dyDescent="0.25">
      <c r="B3128" s="23"/>
      <c r="E3128" s="23"/>
      <c r="G3128" s="23"/>
      <c r="H3128" s="23"/>
      <c r="J3128" s="23"/>
      <c r="K3128" s="23"/>
      <c r="M3128" s="23"/>
      <c r="N3128" s="23"/>
      <c r="P3128" s="23"/>
    </row>
    <row r="3129" spans="2:16" x14ac:dyDescent="0.25">
      <c r="B3129" s="23"/>
      <c r="E3129" s="23"/>
      <c r="G3129" s="23"/>
      <c r="H3129" s="23"/>
      <c r="J3129" s="23"/>
      <c r="K3129" s="23"/>
      <c r="M3129" s="23"/>
      <c r="N3129" s="23"/>
      <c r="P3129" s="23"/>
    </row>
    <row r="3130" spans="2:16" x14ac:dyDescent="0.25">
      <c r="B3130" s="23"/>
      <c r="E3130" s="23"/>
      <c r="G3130" s="23"/>
      <c r="H3130" s="23"/>
      <c r="J3130" s="23"/>
      <c r="K3130" s="23"/>
      <c r="M3130" s="23"/>
      <c r="N3130" s="23"/>
      <c r="P3130" s="23"/>
    </row>
    <row r="3131" spans="2:16" x14ac:dyDescent="0.25">
      <c r="B3131" s="23"/>
      <c r="E3131" s="23"/>
      <c r="G3131" s="23"/>
      <c r="H3131" s="23"/>
      <c r="J3131" s="23"/>
      <c r="K3131" s="23"/>
      <c r="M3131" s="23"/>
      <c r="N3131" s="23"/>
      <c r="P3131" s="23"/>
    </row>
    <row r="3132" spans="2:16" x14ac:dyDescent="0.25">
      <c r="B3132" s="23"/>
      <c r="E3132" s="23"/>
      <c r="G3132" s="23"/>
      <c r="H3132" s="23"/>
      <c r="J3132" s="23"/>
      <c r="K3132" s="23"/>
      <c r="M3132" s="23"/>
      <c r="N3132" s="23"/>
      <c r="P3132" s="23"/>
    </row>
    <row r="3133" spans="2:16" x14ac:dyDescent="0.25">
      <c r="B3133" s="23"/>
      <c r="E3133" s="23"/>
      <c r="G3133" s="23"/>
      <c r="H3133" s="23"/>
      <c r="J3133" s="23"/>
      <c r="K3133" s="23"/>
      <c r="M3133" s="23"/>
      <c r="N3133" s="23"/>
      <c r="P3133" s="23"/>
    </row>
    <row r="3134" spans="2:16" x14ac:dyDescent="0.25">
      <c r="B3134" s="23"/>
      <c r="E3134" s="23"/>
      <c r="G3134" s="23"/>
      <c r="H3134" s="23"/>
      <c r="J3134" s="23"/>
      <c r="K3134" s="23"/>
      <c r="M3134" s="23"/>
      <c r="N3134" s="23"/>
      <c r="P3134" s="23"/>
    </row>
    <row r="3135" spans="2:16" x14ac:dyDescent="0.25">
      <c r="B3135" s="23"/>
      <c r="E3135" s="23"/>
      <c r="G3135" s="23"/>
      <c r="H3135" s="23"/>
      <c r="J3135" s="23"/>
      <c r="K3135" s="23"/>
      <c r="M3135" s="23"/>
      <c r="N3135" s="23"/>
      <c r="P3135" s="23"/>
    </row>
    <row r="3136" spans="2:16" x14ac:dyDescent="0.25">
      <c r="B3136" s="23"/>
      <c r="E3136" s="23"/>
      <c r="G3136" s="23"/>
      <c r="H3136" s="23"/>
      <c r="J3136" s="23"/>
      <c r="K3136" s="23"/>
      <c r="M3136" s="23"/>
      <c r="N3136" s="23"/>
      <c r="P3136" s="23"/>
    </row>
    <row r="3137" spans="2:16" x14ac:dyDescent="0.25">
      <c r="B3137" s="23"/>
      <c r="E3137" s="23"/>
      <c r="G3137" s="23"/>
      <c r="H3137" s="23"/>
      <c r="J3137" s="23"/>
      <c r="K3137" s="23"/>
      <c r="M3137" s="23"/>
      <c r="N3137" s="23"/>
      <c r="P3137" s="23"/>
    </row>
    <row r="3138" spans="2:16" x14ac:dyDescent="0.25">
      <c r="B3138" s="23"/>
      <c r="E3138" s="23"/>
      <c r="G3138" s="23"/>
      <c r="H3138" s="23"/>
      <c r="J3138" s="23"/>
      <c r="K3138" s="23"/>
      <c r="M3138" s="23"/>
      <c r="N3138" s="23"/>
      <c r="P3138" s="23"/>
    </row>
    <row r="3139" spans="2:16" x14ac:dyDescent="0.25">
      <c r="B3139" s="23"/>
      <c r="E3139" s="23"/>
      <c r="G3139" s="23"/>
      <c r="H3139" s="23"/>
      <c r="J3139" s="23"/>
      <c r="K3139" s="23"/>
      <c r="M3139" s="23"/>
      <c r="N3139" s="23"/>
      <c r="P3139" s="23"/>
    </row>
    <row r="3140" spans="2:16" x14ac:dyDescent="0.25">
      <c r="B3140" s="23"/>
      <c r="E3140" s="23"/>
      <c r="G3140" s="23"/>
      <c r="H3140" s="23"/>
      <c r="J3140" s="23"/>
      <c r="K3140" s="23"/>
      <c r="M3140" s="23"/>
      <c r="N3140" s="23"/>
      <c r="P3140" s="23"/>
    </row>
    <row r="3141" spans="2:16" x14ac:dyDescent="0.25">
      <c r="B3141" s="23"/>
      <c r="E3141" s="23"/>
      <c r="G3141" s="23"/>
      <c r="H3141" s="23"/>
      <c r="J3141" s="23"/>
      <c r="K3141" s="23"/>
      <c r="M3141" s="23"/>
      <c r="N3141" s="23"/>
      <c r="P3141" s="23"/>
    </row>
    <row r="3142" spans="2:16" x14ac:dyDescent="0.25">
      <c r="B3142" s="23"/>
      <c r="E3142" s="23"/>
      <c r="G3142" s="23"/>
      <c r="H3142" s="23"/>
      <c r="J3142" s="23"/>
      <c r="K3142" s="23"/>
      <c r="M3142" s="23"/>
      <c r="N3142" s="23"/>
      <c r="P3142" s="23"/>
    </row>
    <row r="3143" spans="2:16" x14ac:dyDescent="0.25">
      <c r="B3143" s="23"/>
      <c r="E3143" s="23"/>
      <c r="G3143" s="23"/>
      <c r="H3143" s="23"/>
      <c r="J3143" s="23"/>
      <c r="K3143" s="23"/>
      <c r="M3143" s="23"/>
      <c r="N3143" s="23"/>
      <c r="P3143" s="23"/>
    </row>
    <row r="3144" spans="2:16" x14ac:dyDescent="0.25">
      <c r="B3144" s="23"/>
      <c r="E3144" s="23"/>
      <c r="G3144" s="23"/>
      <c r="H3144" s="23"/>
      <c r="J3144" s="23"/>
      <c r="K3144" s="23"/>
      <c r="M3144" s="23"/>
      <c r="N3144" s="23"/>
      <c r="P3144" s="23"/>
    </row>
    <row r="3145" spans="2:16" x14ac:dyDescent="0.25">
      <c r="B3145" s="23"/>
      <c r="E3145" s="23"/>
      <c r="G3145" s="23"/>
      <c r="H3145" s="23"/>
      <c r="J3145" s="23"/>
      <c r="K3145" s="23"/>
      <c r="M3145" s="23"/>
      <c r="N3145" s="23"/>
      <c r="P3145" s="23"/>
    </row>
    <row r="3146" spans="2:16" x14ac:dyDescent="0.25">
      <c r="B3146" s="23"/>
      <c r="E3146" s="23"/>
      <c r="G3146" s="23"/>
      <c r="H3146" s="23"/>
      <c r="J3146" s="23"/>
      <c r="K3146" s="23"/>
      <c r="M3146" s="23"/>
      <c r="N3146" s="23"/>
      <c r="P3146" s="23"/>
    </row>
    <row r="3147" spans="2:16" x14ac:dyDescent="0.25">
      <c r="B3147" s="23"/>
      <c r="E3147" s="23"/>
      <c r="G3147" s="23"/>
      <c r="H3147" s="23"/>
      <c r="J3147" s="23"/>
      <c r="K3147" s="23"/>
      <c r="M3147" s="23"/>
      <c r="N3147" s="23"/>
      <c r="P3147" s="23"/>
    </row>
    <row r="3148" spans="2:16" x14ac:dyDescent="0.25">
      <c r="B3148" s="23"/>
      <c r="E3148" s="23"/>
      <c r="G3148" s="23"/>
      <c r="H3148" s="23"/>
      <c r="J3148" s="23"/>
      <c r="K3148" s="23"/>
      <c r="M3148" s="23"/>
      <c r="N3148" s="23"/>
      <c r="P3148" s="23"/>
    </row>
    <row r="3149" spans="2:16" x14ac:dyDescent="0.25">
      <c r="B3149" s="23"/>
      <c r="E3149" s="23"/>
      <c r="G3149" s="23"/>
      <c r="H3149" s="23"/>
      <c r="J3149" s="23"/>
      <c r="K3149" s="23"/>
      <c r="M3149" s="23"/>
      <c r="N3149" s="23"/>
      <c r="P3149" s="23"/>
    </row>
    <row r="3150" spans="2:16" x14ac:dyDescent="0.25">
      <c r="B3150" s="23"/>
      <c r="E3150" s="23"/>
      <c r="G3150" s="23"/>
      <c r="H3150" s="23"/>
      <c r="J3150" s="23"/>
      <c r="K3150" s="23"/>
      <c r="M3150" s="23"/>
      <c r="N3150" s="23"/>
      <c r="P3150" s="23"/>
    </row>
    <row r="3151" spans="2:16" x14ac:dyDescent="0.25">
      <c r="B3151" s="23"/>
      <c r="E3151" s="23"/>
      <c r="G3151" s="23"/>
      <c r="H3151" s="23"/>
      <c r="J3151" s="23"/>
      <c r="K3151" s="23"/>
      <c r="M3151" s="23"/>
      <c r="N3151" s="23"/>
      <c r="P3151" s="23"/>
    </row>
    <row r="3152" spans="2:16" x14ac:dyDescent="0.25">
      <c r="B3152" s="23"/>
      <c r="E3152" s="23"/>
      <c r="G3152" s="23"/>
      <c r="H3152" s="23"/>
      <c r="J3152" s="23"/>
      <c r="K3152" s="23"/>
      <c r="M3152" s="23"/>
      <c r="N3152" s="23"/>
      <c r="P3152" s="23"/>
    </row>
    <row r="3153" spans="2:16" x14ac:dyDescent="0.25">
      <c r="B3153" s="23"/>
      <c r="E3153" s="23"/>
      <c r="G3153" s="23"/>
      <c r="H3153" s="23"/>
      <c r="J3153" s="23"/>
      <c r="K3153" s="23"/>
      <c r="M3153" s="23"/>
      <c r="N3153" s="23"/>
      <c r="P3153" s="23"/>
    </row>
    <row r="3154" spans="2:16" x14ac:dyDescent="0.25">
      <c r="B3154" s="23"/>
      <c r="E3154" s="23"/>
      <c r="G3154" s="23"/>
      <c r="H3154" s="23"/>
      <c r="J3154" s="23"/>
      <c r="K3154" s="23"/>
      <c r="M3154" s="23"/>
      <c r="N3154" s="23"/>
      <c r="P3154" s="23"/>
    </row>
    <row r="3155" spans="2:16" x14ac:dyDescent="0.25">
      <c r="B3155" s="23"/>
      <c r="E3155" s="23"/>
      <c r="G3155" s="23"/>
      <c r="H3155" s="23"/>
      <c r="J3155" s="23"/>
      <c r="K3155" s="23"/>
      <c r="M3155" s="23"/>
      <c r="N3155" s="23"/>
      <c r="P3155" s="23"/>
    </row>
    <row r="3156" spans="2:16" x14ac:dyDescent="0.25">
      <c r="B3156" s="23"/>
      <c r="E3156" s="23"/>
      <c r="G3156" s="23"/>
      <c r="H3156" s="23"/>
      <c r="J3156" s="23"/>
      <c r="K3156" s="23"/>
      <c r="M3156" s="23"/>
      <c r="N3156" s="23"/>
      <c r="P3156" s="23"/>
    </row>
    <row r="3157" spans="2:16" x14ac:dyDescent="0.25">
      <c r="B3157" s="23"/>
      <c r="E3157" s="23"/>
      <c r="G3157" s="23"/>
      <c r="H3157" s="23"/>
      <c r="J3157" s="23"/>
      <c r="K3157" s="23"/>
      <c r="M3157" s="23"/>
      <c r="N3157" s="23"/>
      <c r="P3157" s="23"/>
    </row>
    <row r="3158" spans="2:16" x14ac:dyDescent="0.25">
      <c r="B3158" s="23"/>
      <c r="E3158" s="23"/>
      <c r="G3158" s="23"/>
      <c r="H3158" s="23"/>
      <c r="J3158" s="23"/>
      <c r="K3158" s="23"/>
      <c r="M3158" s="23"/>
      <c r="N3158" s="23"/>
      <c r="P3158" s="23"/>
    </row>
    <row r="3159" spans="2:16" x14ac:dyDescent="0.25">
      <c r="B3159" s="23"/>
      <c r="E3159" s="23"/>
      <c r="G3159" s="23"/>
      <c r="H3159" s="23"/>
      <c r="J3159" s="23"/>
      <c r="K3159" s="23"/>
      <c r="M3159" s="23"/>
      <c r="N3159" s="23"/>
      <c r="P3159" s="23"/>
    </row>
    <row r="3160" spans="2:16" x14ac:dyDescent="0.25">
      <c r="B3160" s="23"/>
      <c r="E3160" s="23"/>
      <c r="G3160" s="23"/>
      <c r="H3160" s="23"/>
      <c r="J3160" s="23"/>
      <c r="K3160" s="23"/>
      <c r="M3160" s="23"/>
      <c r="N3160" s="23"/>
      <c r="P3160" s="23"/>
    </row>
    <row r="3161" spans="2:16" x14ac:dyDescent="0.25">
      <c r="B3161" s="23"/>
      <c r="E3161" s="23"/>
      <c r="G3161" s="23"/>
      <c r="H3161" s="23"/>
      <c r="J3161" s="23"/>
      <c r="K3161" s="23"/>
      <c r="M3161" s="23"/>
      <c r="N3161" s="23"/>
      <c r="P3161" s="23"/>
    </row>
    <row r="3162" spans="2:16" x14ac:dyDescent="0.25">
      <c r="B3162" s="23"/>
      <c r="E3162" s="23"/>
      <c r="G3162" s="23"/>
      <c r="H3162" s="23"/>
      <c r="J3162" s="23"/>
      <c r="K3162" s="23"/>
      <c r="M3162" s="23"/>
      <c r="N3162" s="23"/>
      <c r="P3162" s="23"/>
    </row>
    <row r="3163" spans="2:16" x14ac:dyDescent="0.25">
      <c r="B3163" s="23"/>
      <c r="E3163" s="23"/>
      <c r="G3163" s="23"/>
      <c r="H3163" s="23"/>
      <c r="J3163" s="23"/>
      <c r="K3163" s="23"/>
      <c r="M3163" s="23"/>
      <c r="N3163" s="23"/>
      <c r="P3163" s="23"/>
    </row>
    <row r="3164" spans="2:16" x14ac:dyDescent="0.25">
      <c r="B3164" s="23"/>
      <c r="E3164" s="23"/>
      <c r="G3164" s="23"/>
      <c r="H3164" s="23"/>
      <c r="J3164" s="23"/>
      <c r="K3164" s="23"/>
      <c r="M3164" s="23"/>
      <c r="N3164" s="23"/>
      <c r="P3164" s="23"/>
    </row>
    <row r="3165" spans="2:16" x14ac:dyDescent="0.25">
      <c r="B3165" s="23"/>
      <c r="E3165" s="23"/>
      <c r="G3165" s="23"/>
      <c r="H3165" s="23"/>
      <c r="J3165" s="23"/>
      <c r="K3165" s="23"/>
      <c r="M3165" s="23"/>
      <c r="N3165" s="23"/>
      <c r="P3165" s="23"/>
    </row>
    <row r="3166" spans="2:16" x14ac:dyDescent="0.25">
      <c r="B3166" s="23"/>
      <c r="E3166" s="23"/>
      <c r="G3166" s="23"/>
      <c r="H3166" s="23"/>
      <c r="J3166" s="23"/>
      <c r="K3166" s="23"/>
      <c r="M3166" s="23"/>
      <c r="N3166" s="23"/>
      <c r="P3166" s="23"/>
    </row>
    <row r="3167" spans="2:16" x14ac:dyDescent="0.25">
      <c r="B3167" s="23"/>
      <c r="E3167" s="23"/>
      <c r="G3167" s="23"/>
      <c r="H3167" s="23"/>
      <c r="J3167" s="23"/>
      <c r="K3167" s="23"/>
      <c r="M3167" s="23"/>
      <c r="N3167" s="23"/>
      <c r="P3167" s="23"/>
    </row>
    <row r="3168" spans="2:16" x14ac:dyDescent="0.25">
      <c r="B3168" s="23"/>
      <c r="E3168" s="23"/>
      <c r="G3168" s="23"/>
      <c r="H3168" s="23"/>
      <c r="J3168" s="23"/>
      <c r="K3168" s="23"/>
      <c r="M3168" s="23"/>
      <c r="N3168" s="23"/>
      <c r="P3168" s="23"/>
    </row>
    <row r="3169" spans="2:16" x14ac:dyDescent="0.25">
      <c r="B3169" s="23"/>
      <c r="E3169" s="23"/>
      <c r="G3169" s="23"/>
      <c r="H3169" s="23"/>
      <c r="J3169" s="23"/>
      <c r="K3169" s="23"/>
      <c r="M3169" s="23"/>
      <c r="N3169" s="23"/>
      <c r="P3169" s="23"/>
    </row>
    <row r="3170" spans="2:16" x14ac:dyDescent="0.25">
      <c r="B3170" s="23"/>
      <c r="E3170" s="23"/>
      <c r="G3170" s="23"/>
      <c r="H3170" s="23"/>
      <c r="J3170" s="23"/>
      <c r="K3170" s="23"/>
      <c r="M3170" s="23"/>
      <c r="N3170" s="23"/>
      <c r="P3170" s="23"/>
    </row>
    <row r="3171" spans="2:16" x14ac:dyDescent="0.25">
      <c r="B3171" s="23"/>
      <c r="E3171" s="23"/>
      <c r="G3171" s="23"/>
      <c r="H3171" s="23"/>
      <c r="J3171" s="23"/>
      <c r="K3171" s="23"/>
      <c r="M3171" s="23"/>
      <c r="N3171" s="23"/>
      <c r="P3171" s="23"/>
    </row>
    <row r="3172" spans="2:16" x14ac:dyDescent="0.25">
      <c r="B3172" s="23"/>
      <c r="E3172" s="23"/>
      <c r="G3172" s="23"/>
      <c r="H3172" s="23"/>
      <c r="J3172" s="23"/>
      <c r="K3172" s="23"/>
      <c r="M3172" s="23"/>
      <c r="N3172" s="23"/>
      <c r="P3172" s="23"/>
    </row>
    <row r="3173" spans="2:16" x14ac:dyDescent="0.25">
      <c r="B3173" s="23"/>
      <c r="E3173" s="23"/>
      <c r="G3173" s="23"/>
      <c r="H3173" s="23"/>
      <c r="J3173" s="23"/>
      <c r="K3173" s="23"/>
      <c r="M3173" s="23"/>
      <c r="N3173" s="23"/>
      <c r="P3173" s="23"/>
    </row>
    <row r="3174" spans="2:16" x14ac:dyDescent="0.25">
      <c r="B3174" s="23"/>
      <c r="E3174" s="23"/>
      <c r="G3174" s="23"/>
      <c r="H3174" s="23"/>
      <c r="J3174" s="23"/>
      <c r="K3174" s="23"/>
      <c r="M3174" s="23"/>
      <c r="N3174" s="23"/>
      <c r="P3174" s="23"/>
    </row>
    <row r="3175" spans="2:16" x14ac:dyDescent="0.25">
      <c r="B3175" s="23"/>
      <c r="E3175" s="23"/>
      <c r="G3175" s="23"/>
      <c r="H3175" s="23"/>
      <c r="J3175" s="23"/>
      <c r="K3175" s="23"/>
      <c r="M3175" s="23"/>
      <c r="N3175" s="23"/>
      <c r="P3175" s="23"/>
    </row>
    <row r="3176" spans="2:16" x14ac:dyDescent="0.25">
      <c r="B3176" s="23"/>
      <c r="E3176" s="23"/>
      <c r="G3176" s="23"/>
      <c r="H3176" s="23"/>
      <c r="J3176" s="23"/>
      <c r="K3176" s="23"/>
      <c r="M3176" s="23"/>
      <c r="N3176" s="23"/>
      <c r="P3176" s="23"/>
    </row>
    <row r="3177" spans="2:16" x14ac:dyDescent="0.25">
      <c r="B3177" s="23"/>
      <c r="E3177" s="23"/>
      <c r="G3177" s="23"/>
      <c r="H3177" s="23"/>
      <c r="J3177" s="23"/>
      <c r="K3177" s="23"/>
      <c r="M3177" s="23"/>
      <c r="N3177" s="23"/>
      <c r="P3177" s="23"/>
    </row>
    <row r="3178" spans="2:16" x14ac:dyDescent="0.25">
      <c r="B3178" s="23"/>
      <c r="E3178" s="23"/>
      <c r="G3178" s="23"/>
      <c r="H3178" s="23"/>
      <c r="J3178" s="23"/>
      <c r="K3178" s="23"/>
      <c r="M3178" s="23"/>
      <c r="N3178" s="23"/>
      <c r="P3178" s="23"/>
    </row>
    <row r="3179" spans="2:16" x14ac:dyDescent="0.25">
      <c r="B3179" s="23"/>
      <c r="E3179" s="23"/>
      <c r="G3179" s="23"/>
      <c r="H3179" s="23"/>
      <c r="J3179" s="23"/>
      <c r="K3179" s="23"/>
      <c r="M3179" s="23"/>
      <c r="N3179" s="23"/>
      <c r="P3179" s="23"/>
    </row>
    <row r="3180" spans="2:16" x14ac:dyDescent="0.25">
      <c r="B3180" s="23"/>
      <c r="E3180" s="23"/>
      <c r="G3180" s="23"/>
      <c r="H3180" s="23"/>
      <c r="J3180" s="23"/>
      <c r="K3180" s="23"/>
      <c r="M3180" s="23"/>
      <c r="N3180" s="23"/>
      <c r="P3180" s="23"/>
    </row>
    <row r="3181" spans="2:16" x14ac:dyDescent="0.25">
      <c r="B3181" s="23"/>
      <c r="E3181" s="23"/>
      <c r="G3181" s="23"/>
      <c r="H3181" s="23"/>
      <c r="J3181" s="23"/>
      <c r="K3181" s="23"/>
      <c r="M3181" s="23"/>
      <c r="N3181" s="23"/>
      <c r="P3181" s="23"/>
    </row>
    <row r="3182" spans="2:16" x14ac:dyDescent="0.25">
      <c r="B3182" s="23"/>
      <c r="E3182" s="23"/>
      <c r="G3182" s="23"/>
      <c r="H3182" s="23"/>
      <c r="J3182" s="23"/>
      <c r="K3182" s="23"/>
      <c r="M3182" s="23"/>
      <c r="N3182" s="23"/>
      <c r="P3182" s="23"/>
    </row>
    <row r="3183" spans="2:16" x14ac:dyDescent="0.25">
      <c r="B3183" s="23"/>
      <c r="E3183" s="23"/>
      <c r="G3183" s="23"/>
      <c r="H3183" s="23"/>
      <c r="J3183" s="23"/>
      <c r="K3183" s="23"/>
      <c r="M3183" s="23"/>
      <c r="N3183" s="23"/>
      <c r="P3183" s="23"/>
    </row>
    <row r="3184" spans="2:16" x14ac:dyDescent="0.25">
      <c r="B3184" s="23"/>
      <c r="E3184" s="23"/>
      <c r="G3184" s="23"/>
      <c r="H3184" s="23"/>
      <c r="J3184" s="23"/>
      <c r="K3184" s="23"/>
      <c r="M3184" s="23"/>
      <c r="N3184" s="23"/>
      <c r="P3184" s="23"/>
    </row>
    <row r="3185" spans="2:16" x14ac:dyDescent="0.25">
      <c r="B3185" s="23"/>
      <c r="E3185" s="23"/>
      <c r="G3185" s="23"/>
      <c r="H3185" s="23"/>
      <c r="J3185" s="23"/>
      <c r="K3185" s="23"/>
      <c r="M3185" s="23"/>
      <c r="N3185" s="23"/>
      <c r="P3185" s="23"/>
    </row>
    <row r="3186" spans="2:16" x14ac:dyDescent="0.25">
      <c r="B3186" s="23"/>
      <c r="E3186" s="23"/>
      <c r="G3186" s="23"/>
      <c r="H3186" s="23"/>
      <c r="J3186" s="23"/>
      <c r="K3186" s="23"/>
      <c r="M3186" s="23"/>
      <c r="N3186" s="23"/>
      <c r="P3186" s="23"/>
    </row>
    <row r="3187" spans="2:16" x14ac:dyDescent="0.25">
      <c r="B3187" s="23"/>
      <c r="E3187" s="23"/>
      <c r="G3187" s="23"/>
      <c r="H3187" s="23"/>
      <c r="J3187" s="23"/>
      <c r="K3187" s="23"/>
      <c r="M3187" s="23"/>
      <c r="N3187" s="23"/>
      <c r="P3187" s="23"/>
    </row>
    <row r="3188" spans="2:16" x14ac:dyDescent="0.25">
      <c r="B3188" s="23"/>
      <c r="E3188" s="23"/>
      <c r="G3188" s="23"/>
      <c r="H3188" s="23"/>
      <c r="J3188" s="23"/>
      <c r="K3188" s="23"/>
      <c r="M3188" s="23"/>
      <c r="N3188" s="23"/>
      <c r="P3188" s="23"/>
    </row>
    <row r="3189" spans="2:16" x14ac:dyDescent="0.25">
      <c r="B3189" s="23"/>
      <c r="E3189" s="23"/>
      <c r="G3189" s="23"/>
      <c r="H3189" s="23"/>
      <c r="J3189" s="23"/>
      <c r="K3189" s="23"/>
      <c r="M3189" s="23"/>
      <c r="N3189" s="23"/>
      <c r="P3189" s="23"/>
    </row>
    <row r="3190" spans="2:16" x14ac:dyDescent="0.25">
      <c r="B3190" s="23"/>
      <c r="E3190" s="23"/>
      <c r="G3190" s="23"/>
      <c r="H3190" s="23"/>
      <c r="J3190" s="23"/>
      <c r="K3190" s="23"/>
      <c r="M3190" s="23"/>
      <c r="N3190" s="23"/>
      <c r="P3190" s="23"/>
    </row>
    <row r="3191" spans="2:16" x14ac:dyDescent="0.25">
      <c r="B3191" s="23"/>
      <c r="E3191" s="23"/>
      <c r="G3191" s="23"/>
      <c r="H3191" s="23"/>
      <c r="J3191" s="23"/>
      <c r="K3191" s="23"/>
      <c r="M3191" s="23"/>
      <c r="N3191" s="23"/>
      <c r="P3191" s="23"/>
    </row>
    <row r="3192" spans="2:16" x14ac:dyDescent="0.25">
      <c r="B3192" s="23"/>
      <c r="E3192" s="23"/>
      <c r="G3192" s="23"/>
      <c r="H3192" s="23"/>
      <c r="J3192" s="23"/>
      <c r="K3192" s="23"/>
      <c r="M3192" s="23"/>
      <c r="N3192" s="23"/>
      <c r="P3192" s="23"/>
    </row>
    <row r="3193" spans="2:16" x14ac:dyDescent="0.25">
      <c r="B3193" s="23"/>
      <c r="E3193" s="23"/>
      <c r="G3193" s="23"/>
      <c r="H3193" s="23"/>
      <c r="J3193" s="23"/>
      <c r="K3193" s="23"/>
      <c r="M3193" s="23"/>
      <c r="N3193" s="23"/>
      <c r="P3193" s="23"/>
    </row>
    <row r="3194" spans="2:16" x14ac:dyDescent="0.25">
      <c r="B3194" s="23"/>
      <c r="E3194" s="23"/>
      <c r="G3194" s="23"/>
      <c r="H3194" s="23"/>
      <c r="J3194" s="23"/>
      <c r="K3194" s="23"/>
      <c r="M3194" s="23"/>
      <c r="N3194" s="23"/>
      <c r="P3194" s="23"/>
    </row>
    <row r="3195" spans="2:16" x14ac:dyDescent="0.25">
      <c r="B3195" s="23"/>
      <c r="E3195" s="23"/>
      <c r="G3195" s="23"/>
      <c r="H3195" s="23"/>
      <c r="J3195" s="23"/>
      <c r="K3195" s="23"/>
      <c r="M3195" s="23"/>
      <c r="N3195" s="23"/>
      <c r="P3195" s="23"/>
    </row>
    <row r="3196" spans="2:16" x14ac:dyDescent="0.25">
      <c r="B3196" s="23"/>
      <c r="E3196" s="23"/>
      <c r="G3196" s="23"/>
      <c r="H3196" s="23"/>
      <c r="J3196" s="23"/>
      <c r="K3196" s="23"/>
      <c r="M3196" s="23"/>
      <c r="N3196" s="23"/>
      <c r="P3196" s="23"/>
    </row>
    <row r="3197" spans="2:16" x14ac:dyDescent="0.25">
      <c r="B3197" s="23"/>
      <c r="E3197" s="23"/>
      <c r="G3197" s="23"/>
      <c r="H3197" s="23"/>
      <c r="J3197" s="23"/>
      <c r="K3197" s="23"/>
      <c r="M3197" s="23"/>
      <c r="N3197" s="23"/>
      <c r="P3197" s="23"/>
    </row>
    <row r="3198" spans="2:16" x14ac:dyDescent="0.25">
      <c r="B3198" s="23"/>
      <c r="E3198" s="23"/>
      <c r="G3198" s="23"/>
      <c r="H3198" s="23"/>
      <c r="J3198" s="23"/>
      <c r="K3198" s="23"/>
      <c r="M3198" s="23"/>
      <c r="N3198" s="23"/>
      <c r="P3198" s="23"/>
    </row>
    <row r="3199" spans="2:16" x14ac:dyDescent="0.25">
      <c r="B3199" s="23"/>
      <c r="E3199" s="23"/>
      <c r="G3199" s="23"/>
      <c r="H3199" s="23"/>
      <c r="J3199" s="23"/>
      <c r="K3199" s="23"/>
      <c r="M3199" s="23"/>
      <c r="N3199" s="23"/>
      <c r="P3199" s="23"/>
    </row>
    <row r="3200" spans="2:16" x14ac:dyDescent="0.25">
      <c r="B3200" s="23"/>
      <c r="E3200" s="23"/>
      <c r="G3200" s="23"/>
      <c r="H3200" s="23"/>
      <c r="J3200" s="23"/>
      <c r="K3200" s="23"/>
      <c r="M3200" s="23"/>
      <c r="N3200" s="23"/>
      <c r="P3200" s="23"/>
    </row>
    <row r="3201" spans="2:16" x14ac:dyDescent="0.25">
      <c r="B3201" s="23"/>
      <c r="E3201" s="23"/>
      <c r="G3201" s="23"/>
      <c r="H3201" s="23"/>
      <c r="J3201" s="23"/>
      <c r="K3201" s="23"/>
      <c r="M3201" s="23"/>
      <c r="N3201" s="23"/>
      <c r="P3201" s="23"/>
    </row>
    <row r="3202" spans="2:16" x14ac:dyDescent="0.25">
      <c r="B3202" s="23"/>
      <c r="E3202" s="23"/>
      <c r="G3202" s="23"/>
      <c r="H3202" s="23"/>
      <c r="J3202" s="23"/>
      <c r="K3202" s="23"/>
      <c r="M3202" s="23"/>
      <c r="N3202" s="23"/>
      <c r="P3202" s="23"/>
    </row>
    <row r="3203" spans="2:16" x14ac:dyDescent="0.25">
      <c r="B3203" s="23"/>
      <c r="E3203" s="23"/>
      <c r="G3203" s="23"/>
      <c r="H3203" s="23"/>
      <c r="J3203" s="23"/>
      <c r="K3203" s="23"/>
      <c r="M3203" s="23"/>
      <c r="N3203" s="23"/>
      <c r="P3203" s="23"/>
    </row>
    <row r="3204" spans="2:16" x14ac:dyDescent="0.25">
      <c r="B3204" s="23"/>
      <c r="E3204" s="23"/>
      <c r="G3204" s="23"/>
      <c r="H3204" s="23"/>
      <c r="J3204" s="23"/>
      <c r="K3204" s="23"/>
      <c r="M3204" s="23"/>
      <c r="N3204" s="23"/>
      <c r="P3204" s="23"/>
    </row>
    <row r="3205" spans="2:16" x14ac:dyDescent="0.25">
      <c r="B3205" s="23"/>
      <c r="E3205" s="23"/>
      <c r="G3205" s="23"/>
      <c r="H3205" s="23"/>
      <c r="J3205" s="23"/>
      <c r="K3205" s="23"/>
      <c r="M3205" s="23"/>
      <c r="N3205" s="23"/>
      <c r="P3205" s="23"/>
    </row>
    <row r="3206" spans="2:16" x14ac:dyDescent="0.25">
      <c r="B3206" s="23"/>
      <c r="E3206" s="23"/>
      <c r="G3206" s="23"/>
      <c r="H3206" s="23"/>
      <c r="J3206" s="23"/>
      <c r="K3206" s="23"/>
      <c r="M3206" s="23"/>
      <c r="N3206" s="23"/>
      <c r="P3206" s="23"/>
    </row>
    <row r="3207" spans="2:16" x14ac:dyDescent="0.25">
      <c r="B3207" s="23"/>
      <c r="E3207" s="23"/>
      <c r="G3207" s="23"/>
      <c r="H3207" s="23"/>
      <c r="J3207" s="23"/>
      <c r="K3207" s="23"/>
      <c r="M3207" s="23"/>
      <c r="N3207" s="23"/>
      <c r="P3207" s="23"/>
    </row>
    <row r="3208" spans="2:16" x14ac:dyDescent="0.25">
      <c r="B3208" s="23"/>
      <c r="E3208" s="23"/>
      <c r="G3208" s="23"/>
      <c r="H3208" s="23"/>
      <c r="J3208" s="23"/>
      <c r="K3208" s="23"/>
      <c r="M3208" s="23"/>
      <c r="N3208" s="23"/>
      <c r="P3208" s="23"/>
    </row>
    <row r="3209" spans="2:16" x14ac:dyDescent="0.25">
      <c r="B3209" s="23"/>
      <c r="E3209" s="23"/>
      <c r="G3209" s="23"/>
      <c r="H3209" s="23"/>
      <c r="J3209" s="23"/>
      <c r="K3209" s="23"/>
      <c r="M3209" s="23"/>
      <c r="N3209" s="23"/>
      <c r="P3209" s="23"/>
    </row>
    <row r="3210" spans="2:16" x14ac:dyDescent="0.25">
      <c r="B3210" s="23"/>
      <c r="E3210" s="23"/>
      <c r="G3210" s="23"/>
      <c r="H3210" s="23"/>
      <c r="J3210" s="23"/>
      <c r="K3210" s="23"/>
      <c r="M3210" s="23"/>
      <c r="N3210" s="23"/>
      <c r="P3210" s="23"/>
    </row>
    <row r="3211" spans="2:16" x14ac:dyDescent="0.25">
      <c r="B3211" s="23"/>
      <c r="E3211" s="23"/>
      <c r="G3211" s="23"/>
      <c r="H3211" s="23"/>
      <c r="J3211" s="23"/>
      <c r="K3211" s="23"/>
      <c r="M3211" s="23"/>
      <c r="N3211" s="23"/>
      <c r="P3211" s="23"/>
    </row>
    <row r="3212" spans="2:16" x14ac:dyDescent="0.25">
      <c r="B3212" s="23"/>
      <c r="E3212" s="23"/>
      <c r="G3212" s="23"/>
      <c r="H3212" s="23"/>
      <c r="J3212" s="23"/>
      <c r="K3212" s="23"/>
      <c r="M3212" s="23"/>
      <c r="N3212" s="23"/>
      <c r="P3212" s="23"/>
    </row>
    <row r="3213" spans="2:16" x14ac:dyDescent="0.25">
      <c r="B3213" s="23"/>
      <c r="E3213" s="23"/>
      <c r="G3213" s="23"/>
      <c r="H3213" s="23"/>
      <c r="J3213" s="23"/>
      <c r="K3213" s="23"/>
      <c r="M3213" s="23"/>
      <c r="N3213" s="23"/>
      <c r="P3213" s="23"/>
    </row>
    <row r="3214" spans="2:16" x14ac:dyDescent="0.25">
      <c r="B3214" s="23"/>
      <c r="E3214" s="23"/>
      <c r="G3214" s="23"/>
      <c r="H3214" s="23"/>
      <c r="J3214" s="23"/>
      <c r="K3214" s="23"/>
      <c r="M3214" s="23"/>
      <c r="N3214" s="23"/>
      <c r="P3214" s="23"/>
    </row>
    <row r="3215" spans="2:16" x14ac:dyDescent="0.25">
      <c r="B3215" s="23"/>
      <c r="E3215" s="23"/>
      <c r="G3215" s="23"/>
      <c r="H3215" s="23"/>
      <c r="J3215" s="23"/>
      <c r="K3215" s="23"/>
      <c r="M3215" s="23"/>
      <c r="N3215" s="23"/>
      <c r="P3215" s="23"/>
    </row>
    <row r="3216" spans="2:16" x14ac:dyDescent="0.25">
      <c r="B3216" s="23"/>
      <c r="E3216" s="23"/>
      <c r="G3216" s="23"/>
      <c r="H3216" s="23"/>
      <c r="J3216" s="23"/>
      <c r="K3216" s="23"/>
      <c r="M3216" s="23"/>
      <c r="N3216" s="23"/>
      <c r="P3216" s="23"/>
    </row>
    <row r="3217" spans="2:16" x14ac:dyDescent="0.25">
      <c r="B3217" s="23"/>
      <c r="E3217" s="23"/>
      <c r="G3217" s="23"/>
      <c r="H3217" s="23"/>
      <c r="J3217" s="23"/>
      <c r="K3217" s="23"/>
      <c r="M3217" s="23"/>
      <c r="N3217" s="23"/>
      <c r="P3217" s="23"/>
    </row>
    <row r="3218" spans="2:16" x14ac:dyDescent="0.25">
      <c r="B3218" s="23"/>
      <c r="E3218" s="23"/>
      <c r="G3218" s="23"/>
      <c r="H3218" s="23"/>
      <c r="J3218" s="23"/>
      <c r="K3218" s="23"/>
      <c r="M3218" s="23"/>
      <c r="N3218" s="23"/>
      <c r="P3218" s="23"/>
    </row>
    <row r="3219" spans="2:16" x14ac:dyDescent="0.25">
      <c r="B3219" s="23"/>
      <c r="E3219" s="23"/>
      <c r="G3219" s="23"/>
      <c r="H3219" s="23"/>
      <c r="J3219" s="23"/>
      <c r="K3219" s="23"/>
      <c r="M3219" s="23"/>
      <c r="N3219" s="23"/>
      <c r="P3219" s="23"/>
    </row>
    <row r="3220" spans="2:16" x14ac:dyDescent="0.25">
      <c r="B3220" s="23"/>
      <c r="E3220" s="23"/>
      <c r="G3220" s="23"/>
      <c r="H3220" s="23"/>
      <c r="J3220" s="23"/>
      <c r="K3220" s="23"/>
      <c r="M3220" s="23"/>
      <c r="N3220" s="23"/>
      <c r="P3220" s="23"/>
    </row>
    <row r="3221" spans="2:16" x14ac:dyDescent="0.25">
      <c r="B3221" s="23"/>
      <c r="E3221" s="23"/>
      <c r="G3221" s="23"/>
      <c r="H3221" s="23"/>
      <c r="J3221" s="23"/>
      <c r="K3221" s="23"/>
      <c r="M3221" s="23"/>
      <c r="N3221" s="23"/>
      <c r="P3221" s="23"/>
    </row>
    <row r="3222" spans="2:16" x14ac:dyDescent="0.25">
      <c r="B3222" s="23"/>
      <c r="E3222" s="23"/>
      <c r="G3222" s="23"/>
      <c r="H3222" s="23"/>
      <c r="J3222" s="23"/>
      <c r="K3222" s="23"/>
      <c r="M3222" s="23"/>
      <c r="N3222" s="23"/>
      <c r="P3222" s="23"/>
    </row>
    <row r="3223" spans="2:16" x14ac:dyDescent="0.25">
      <c r="B3223" s="23"/>
      <c r="E3223" s="23"/>
      <c r="G3223" s="23"/>
      <c r="H3223" s="23"/>
      <c r="J3223" s="23"/>
      <c r="K3223" s="23"/>
      <c r="M3223" s="23"/>
      <c r="N3223" s="23"/>
      <c r="P3223" s="23"/>
    </row>
    <row r="3224" spans="2:16" x14ac:dyDescent="0.25">
      <c r="B3224" s="23"/>
      <c r="E3224" s="23"/>
      <c r="G3224" s="23"/>
      <c r="H3224" s="23"/>
      <c r="J3224" s="23"/>
      <c r="K3224" s="23"/>
      <c r="M3224" s="23"/>
      <c r="N3224" s="23"/>
      <c r="P3224" s="23"/>
    </row>
    <row r="3225" spans="2:16" x14ac:dyDescent="0.25">
      <c r="B3225" s="23"/>
      <c r="E3225" s="23"/>
      <c r="G3225" s="23"/>
      <c r="H3225" s="23"/>
      <c r="J3225" s="23"/>
      <c r="K3225" s="23"/>
      <c r="M3225" s="23"/>
      <c r="N3225" s="23"/>
      <c r="P3225" s="23"/>
    </row>
    <row r="3226" spans="2:16" x14ac:dyDescent="0.25">
      <c r="B3226" s="23"/>
      <c r="E3226" s="23"/>
      <c r="G3226" s="23"/>
      <c r="H3226" s="23"/>
      <c r="J3226" s="23"/>
      <c r="K3226" s="23"/>
      <c r="M3226" s="23"/>
      <c r="N3226" s="23"/>
      <c r="P3226" s="23"/>
    </row>
    <row r="3227" spans="2:16" x14ac:dyDescent="0.25">
      <c r="B3227" s="23"/>
      <c r="E3227" s="23"/>
      <c r="G3227" s="23"/>
      <c r="H3227" s="23"/>
      <c r="J3227" s="23"/>
      <c r="K3227" s="23"/>
      <c r="M3227" s="23"/>
      <c r="N3227" s="23"/>
      <c r="P3227" s="23"/>
    </row>
    <row r="3228" spans="2:16" x14ac:dyDescent="0.25">
      <c r="B3228" s="23"/>
      <c r="E3228" s="23"/>
      <c r="G3228" s="23"/>
      <c r="H3228" s="23"/>
      <c r="J3228" s="23"/>
      <c r="K3228" s="23"/>
      <c r="M3228" s="23"/>
      <c r="N3228" s="23"/>
      <c r="P3228" s="23"/>
    </row>
    <row r="3229" spans="2:16" x14ac:dyDescent="0.25">
      <c r="B3229" s="23"/>
      <c r="E3229" s="23"/>
      <c r="G3229" s="23"/>
      <c r="H3229" s="23"/>
      <c r="J3229" s="23"/>
      <c r="K3229" s="23"/>
      <c r="M3229" s="23"/>
      <c r="N3229" s="23"/>
      <c r="P3229" s="23"/>
    </row>
    <row r="3230" spans="2:16" x14ac:dyDescent="0.25">
      <c r="B3230" s="23"/>
      <c r="E3230" s="23"/>
      <c r="G3230" s="23"/>
      <c r="H3230" s="23"/>
      <c r="J3230" s="23"/>
      <c r="K3230" s="23"/>
      <c r="M3230" s="23"/>
      <c r="N3230" s="23"/>
      <c r="P3230" s="23"/>
    </row>
    <row r="3231" spans="2:16" x14ac:dyDescent="0.25">
      <c r="B3231" s="23"/>
      <c r="E3231" s="23"/>
      <c r="G3231" s="23"/>
      <c r="H3231" s="23"/>
      <c r="J3231" s="23"/>
      <c r="K3231" s="23"/>
      <c r="M3231" s="23"/>
      <c r="N3231" s="23"/>
      <c r="P3231" s="23"/>
    </row>
    <row r="3232" spans="2:16" x14ac:dyDescent="0.25">
      <c r="B3232" s="23"/>
      <c r="E3232" s="23"/>
      <c r="G3232" s="23"/>
      <c r="H3232" s="23"/>
      <c r="J3232" s="23"/>
      <c r="K3232" s="23"/>
      <c r="M3232" s="23"/>
      <c r="N3232" s="23"/>
      <c r="P3232" s="23"/>
    </row>
    <row r="3233" spans="2:16" x14ac:dyDescent="0.25">
      <c r="B3233" s="23"/>
      <c r="E3233" s="23"/>
      <c r="G3233" s="23"/>
      <c r="H3233" s="23"/>
      <c r="J3233" s="23"/>
      <c r="K3233" s="23"/>
      <c r="M3233" s="23"/>
      <c r="N3233" s="23"/>
      <c r="P3233" s="23"/>
    </row>
    <row r="3234" spans="2:16" x14ac:dyDescent="0.25">
      <c r="B3234" s="23"/>
      <c r="E3234" s="23"/>
      <c r="G3234" s="23"/>
      <c r="H3234" s="23"/>
      <c r="J3234" s="23"/>
      <c r="K3234" s="23"/>
      <c r="M3234" s="23"/>
      <c r="N3234" s="23"/>
      <c r="P3234" s="23"/>
    </row>
    <row r="3235" spans="2:16" x14ac:dyDescent="0.25">
      <c r="B3235" s="23"/>
      <c r="E3235" s="23"/>
      <c r="G3235" s="23"/>
      <c r="H3235" s="23"/>
      <c r="J3235" s="23"/>
      <c r="K3235" s="23"/>
      <c r="M3235" s="23"/>
      <c r="N3235" s="23"/>
      <c r="P3235" s="23"/>
    </row>
    <row r="3236" spans="2:16" x14ac:dyDescent="0.25">
      <c r="B3236" s="23"/>
      <c r="E3236" s="23"/>
      <c r="G3236" s="23"/>
      <c r="H3236" s="23"/>
      <c r="J3236" s="23"/>
      <c r="K3236" s="23"/>
      <c r="M3236" s="23"/>
      <c r="N3236" s="23"/>
      <c r="P3236" s="23"/>
    </row>
    <row r="3237" spans="2:16" x14ac:dyDescent="0.25">
      <c r="B3237" s="23"/>
      <c r="E3237" s="23"/>
      <c r="G3237" s="23"/>
      <c r="H3237" s="23"/>
      <c r="J3237" s="23"/>
      <c r="K3237" s="23"/>
      <c r="M3237" s="23"/>
      <c r="N3237" s="23"/>
      <c r="P3237" s="23"/>
    </row>
    <row r="3238" spans="2:16" x14ac:dyDescent="0.25">
      <c r="B3238" s="23"/>
      <c r="E3238" s="23"/>
      <c r="G3238" s="23"/>
      <c r="H3238" s="23"/>
      <c r="J3238" s="23"/>
      <c r="K3238" s="23"/>
      <c r="M3238" s="23"/>
      <c r="N3238" s="23"/>
      <c r="P3238" s="23"/>
    </row>
    <row r="3239" spans="2:16" x14ac:dyDescent="0.25">
      <c r="B3239" s="23"/>
      <c r="E3239" s="23"/>
      <c r="G3239" s="23"/>
      <c r="H3239" s="23"/>
      <c r="J3239" s="23"/>
      <c r="K3239" s="23"/>
      <c r="M3239" s="23"/>
      <c r="N3239" s="23"/>
      <c r="P3239" s="23"/>
    </row>
    <row r="3240" spans="2:16" x14ac:dyDescent="0.25">
      <c r="B3240" s="23"/>
      <c r="E3240" s="23"/>
      <c r="G3240" s="23"/>
      <c r="H3240" s="23"/>
      <c r="J3240" s="23"/>
      <c r="K3240" s="23"/>
      <c r="M3240" s="23"/>
      <c r="N3240" s="23"/>
      <c r="P3240" s="23"/>
    </row>
    <row r="3241" spans="2:16" x14ac:dyDescent="0.25">
      <c r="B3241" s="23"/>
      <c r="E3241" s="23"/>
      <c r="G3241" s="23"/>
      <c r="H3241" s="23"/>
      <c r="J3241" s="23"/>
      <c r="K3241" s="23"/>
      <c r="M3241" s="23"/>
      <c r="N3241" s="23"/>
      <c r="P3241" s="23"/>
    </row>
    <row r="3242" spans="2:16" x14ac:dyDescent="0.25">
      <c r="B3242" s="23"/>
      <c r="E3242" s="23"/>
      <c r="G3242" s="23"/>
      <c r="H3242" s="23"/>
      <c r="J3242" s="23"/>
      <c r="K3242" s="23"/>
      <c r="M3242" s="23"/>
      <c r="N3242" s="23"/>
      <c r="P3242" s="23"/>
    </row>
    <row r="3243" spans="2:16" x14ac:dyDescent="0.25">
      <c r="B3243" s="23"/>
      <c r="E3243" s="23"/>
      <c r="G3243" s="23"/>
      <c r="H3243" s="23"/>
      <c r="J3243" s="23"/>
      <c r="K3243" s="23"/>
      <c r="M3243" s="23"/>
      <c r="N3243" s="23"/>
      <c r="P3243" s="23"/>
    </row>
    <row r="3244" spans="2:16" x14ac:dyDescent="0.25">
      <c r="B3244" s="23"/>
      <c r="E3244" s="23"/>
      <c r="G3244" s="23"/>
      <c r="H3244" s="23"/>
      <c r="J3244" s="23"/>
      <c r="K3244" s="23"/>
      <c r="M3244" s="23"/>
      <c r="N3244" s="23"/>
      <c r="P3244" s="23"/>
    </row>
    <row r="3245" spans="2:16" x14ac:dyDescent="0.25">
      <c r="B3245" s="23"/>
      <c r="E3245" s="23"/>
      <c r="G3245" s="23"/>
      <c r="H3245" s="23"/>
      <c r="J3245" s="23"/>
      <c r="K3245" s="23"/>
      <c r="M3245" s="23"/>
      <c r="N3245" s="23"/>
      <c r="P3245" s="23"/>
    </row>
    <row r="3246" spans="2:16" x14ac:dyDescent="0.25">
      <c r="B3246" s="23"/>
      <c r="E3246" s="23"/>
      <c r="G3246" s="23"/>
      <c r="H3246" s="23"/>
      <c r="J3246" s="23"/>
      <c r="K3246" s="23"/>
      <c r="M3246" s="23"/>
      <c r="N3246" s="23"/>
      <c r="P3246" s="23"/>
    </row>
    <row r="3247" spans="2:16" x14ac:dyDescent="0.25">
      <c r="B3247" s="23"/>
      <c r="E3247" s="23"/>
      <c r="G3247" s="23"/>
      <c r="H3247" s="23"/>
      <c r="J3247" s="23"/>
      <c r="K3247" s="23"/>
      <c r="M3247" s="23"/>
      <c r="N3247" s="23"/>
      <c r="P3247" s="23"/>
    </row>
    <row r="3248" spans="2:16" x14ac:dyDescent="0.25">
      <c r="B3248" s="23"/>
      <c r="E3248" s="23"/>
      <c r="G3248" s="23"/>
      <c r="H3248" s="23"/>
      <c r="J3248" s="23"/>
      <c r="K3248" s="23"/>
      <c r="M3248" s="23"/>
      <c r="N3248" s="23"/>
      <c r="P3248" s="23"/>
    </row>
    <row r="3249" spans="2:16" x14ac:dyDescent="0.25">
      <c r="B3249" s="23"/>
      <c r="E3249" s="23"/>
      <c r="G3249" s="23"/>
      <c r="H3249" s="23"/>
      <c r="J3249" s="23"/>
      <c r="K3249" s="23"/>
      <c r="M3249" s="23"/>
      <c r="N3249" s="23"/>
      <c r="P3249" s="23"/>
    </row>
    <row r="3250" spans="2:16" x14ac:dyDescent="0.25">
      <c r="B3250" s="23"/>
      <c r="E3250" s="23"/>
      <c r="G3250" s="23"/>
      <c r="H3250" s="23"/>
      <c r="J3250" s="23"/>
      <c r="K3250" s="23"/>
      <c r="M3250" s="23"/>
      <c r="N3250" s="23"/>
      <c r="P3250" s="23"/>
    </row>
    <row r="3251" spans="2:16" x14ac:dyDescent="0.25">
      <c r="B3251" s="23"/>
      <c r="E3251" s="23"/>
      <c r="G3251" s="23"/>
      <c r="H3251" s="23"/>
      <c r="J3251" s="23"/>
      <c r="K3251" s="23"/>
      <c r="M3251" s="23"/>
      <c r="N3251" s="23"/>
      <c r="P3251" s="23"/>
    </row>
    <row r="3252" spans="2:16" x14ac:dyDescent="0.25">
      <c r="B3252" s="23"/>
      <c r="E3252" s="23"/>
      <c r="G3252" s="23"/>
      <c r="H3252" s="23"/>
      <c r="J3252" s="23"/>
      <c r="K3252" s="23"/>
      <c r="M3252" s="23"/>
      <c r="N3252" s="23"/>
      <c r="P3252" s="23"/>
    </row>
    <row r="3253" spans="2:16" x14ac:dyDescent="0.25">
      <c r="B3253" s="23"/>
      <c r="E3253" s="23"/>
      <c r="G3253" s="23"/>
      <c r="H3253" s="23"/>
      <c r="J3253" s="23"/>
      <c r="K3253" s="23"/>
      <c r="M3253" s="23"/>
      <c r="N3253" s="23"/>
      <c r="P3253" s="23"/>
    </row>
    <row r="3254" spans="2:16" x14ac:dyDescent="0.25">
      <c r="B3254" s="23"/>
      <c r="E3254" s="23"/>
      <c r="G3254" s="23"/>
      <c r="H3254" s="23"/>
      <c r="J3254" s="23"/>
      <c r="K3254" s="23"/>
      <c r="M3254" s="23"/>
      <c r="N3254" s="23"/>
      <c r="P3254" s="23"/>
    </row>
    <row r="3255" spans="2:16" x14ac:dyDescent="0.25">
      <c r="B3255" s="23"/>
      <c r="E3255" s="23"/>
      <c r="G3255" s="23"/>
      <c r="H3255" s="23"/>
      <c r="J3255" s="23"/>
      <c r="K3255" s="23"/>
      <c r="M3255" s="23"/>
      <c r="N3255" s="23"/>
      <c r="P3255" s="23"/>
    </row>
    <row r="3256" spans="2:16" x14ac:dyDescent="0.25">
      <c r="B3256" s="23"/>
      <c r="E3256" s="23"/>
      <c r="G3256" s="23"/>
      <c r="H3256" s="23"/>
      <c r="J3256" s="23"/>
      <c r="K3256" s="23"/>
      <c r="M3256" s="23"/>
      <c r="N3256" s="23"/>
      <c r="P3256" s="23"/>
    </row>
    <row r="3257" spans="2:16" x14ac:dyDescent="0.25">
      <c r="B3257" s="23"/>
      <c r="E3257" s="23"/>
      <c r="G3257" s="23"/>
      <c r="H3257" s="23"/>
      <c r="J3257" s="23"/>
      <c r="K3257" s="23"/>
      <c r="M3257" s="23"/>
      <c r="N3257" s="23"/>
      <c r="P3257" s="23"/>
    </row>
    <row r="3258" spans="2:16" x14ac:dyDescent="0.25">
      <c r="B3258" s="23"/>
      <c r="E3258" s="23"/>
      <c r="G3258" s="23"/>
      <c r="H3258" s="23"/>
      <c r="J3258" s="23"/>
      <c r="K3258" s="23"/>
      <c r="M3258" s="23"/>
      <c r="N3258" s="23"/>
      <c r="P3258" s="23"/>
    </row>
    <row r="3259" spans="2:16" x14ac:dyDescent="0.25">
      <c r="B3259" s="23"/>
      <c r="E3259" s="23"/>
      <c r="G3259" s="23"/>
      <c r="H3259" s="23"/>
      <c r="J3259" s="23"/>
      <c r="K3259" s="23"/>
      <c r="M3259" s="23"/>
      <c r="N3259" s="23"/>
      <c r="P3259" s="23"/>
    </row>
    <row r="3260" spans="2:16" x14ac:dyDescent="0.25">
      <c r="B3260" s="23"/>
      <c r="E3260" s="23"/>
      <c r="G3260" s="23"/>
      <c r="H3260" s="23"/>
      <c r="J3260" s="23"/>
      <c r="K3260" s="23"/>
      <c r="M3260" s="23"/>
      <c r="N3260" s="23"/>
      <c r="P3260" s="23"/>
    </row>
    <row r="3261" spans="2:16" x14ac:dyDescent="0.25">
      <c r="B3261" s="23"/>
      <c r="E3261" s="23"/>
      <c r="G3261" s="23"/>
      <c r="H3261" s="23"/>
      <c r="J3261" s="23"/>
      <c r="K3261" s="23"/>
      <c r="M3261" s="23"/>
      <c r="N3261" s="23"/>
      <c r="P3261" s="23"/>
    </row>
    <row r="3262" spans="2:16" x14ac:dyDescent="0.25">
      <c r="B3262" s="23"/>
      <c r="E3262" s="23"/>
      <c r="G3262" s="23"/>
      <c r="H3262" s="23"/>
      <c r="J3262" s="23"/>
      <c r="K3262" s="23"/>
      <c r="M3262" s="23"/>
      <c r="N3262" s="23"/>
      <c r="P3262" s="23"/>
    </row>
    <row r="3263" spans="2:16" x14ac:dyDescent="0.25">
      <c r="B3263" s="23"/>
      <c r="E3263" s="23"/>
      <c r="G3263" s="23"/>
      <c r="H3263" s="23"/>
      <c r="J3263" s="23"/>
      <c r="K3263" s="23"/>
      <c r="M3263" s="23"/>
      <c r="N3263" s="23"/>
      <c r="P3263" s="23"/>
    </row>
    <row r="3264" spans="2:16" x14ac:dyDescent="0.25">
      <c r="B3264" s="23"/>
      <c r="E3264" s="23"/>
      <c r="G3264" s="23"/>
      <c r="H3264" s="23"/>
      <c r="J3264" s="23"/>
      <c r="K3264" s="23"/>
      <c r="M3264" s="23"/>
      <c r="N3264" s="23"/>
      <c r="P3264" s="23"/>
    </row>
    <row r="3265" spans="2:16" x14ac:dyDescent="0.25">
      <c r="B3265" s="23"/>
      <c r="E3265" s="23"/>
      <c r="G3265" s="23"/>
      <c r="H3265" s="23"/>
      <c r="J3265" s="23"/>
      <c r="K3265" s="23"/>
      <c r="M3265" s="23"/>
      <c r="N3265" s="23"/>
      <c r="P3265" s="23"/>
    </row>
    <row r="3266" spans="2:16" x14ac:dyDescent="0.25">
      <c r="B3266" s="23"/>
      <c r="E3266" s="23"/>
      <c r="G3266" s="23"/>
      <c r="H3266" s="23"/>
      <c r="J3266" s="23"/>
      <c r="K3266" s="23"/>
      <c r="M3266" s="23"/>
      <c r="N3266" s="23"/>
      <c r="P3266" s="23"/>
    </row>
    <row r="3267" spans="2:16" x14ac:dyDescent="0.25">
      <c r="B3267" s="23"/>
      <c r="E3267" s="23"/>
      <c r="G3267" s="23"/>
      <c r="H3267" s="23"/>
      <c r="J3267" s="23"/>
      <c r="K3267" s="23"/>
      <c r="M3267" s="23"/>
      <c r="N3267" s="23"/>
      <c r="P3267" s="23"/>
    </row>
    <row r="3268" spans="2:16" x14ac:dyDescent="0.25">
      <c r="B3268" s="23"/>
      <c r="E3268" s="23"/>
      <c r="G3268" s="23"/>
      <c r="H3268" s="23"/>
      <c r="J3268" s="23"/>
      <c r="K3268" s="23"/>
      <c r="M3268" s="23"/>
      <c r="N3268" s="23"/>
      <c r="P3268" s="23"/>
    </row>
    <row r="3269" spans="2:16" x14ac:dyDescent="0.25">
      <c r="B3269" s="23"/>
      <c r="E3269" s="23"/>
      <c r="G3269" s="23"/>
      <c r="H3269" s="23"/>
      <c r="J3269" s="23"/>
      <c r="K3269" s="23"/>
      <c r="M3269" s="23"/>
      <c r="N3269" s="23"/>
      <c r="P3269" s="23"/>
    </row>
    <row r="3270" spans="2:16" x14ac:dyDescent="0.25">
      <c r="B3270" s="23"/>
      <c r="E3270" s="23"/>
      <c r="G3270" s="23"/>
      <c r="H3270" s="23"/>
      <c r="J3270" s="23"/>
      <c r="K3270" s="23"/>
      <c r="M3270" s="23"/>
      <c r="N3270" s="23"/>
      <c r="P3270" s="23"/>
    </row>
    <row r="3271" spans="2:16" x14ac:dyDescent="0.25">
      <c r="B3271" s="23"/>
      <c r="E3271" s="23"/>
      <c r="G3271" s="23"/>
      <c r="H3271" s="23"/>
      <c r="J3271" s="23"/>
      <c r="K3271" s="23"/>
      <c r="M3271" s="23"/>
      <c r="N3271" s="23"/>
      <c r="P3271" s="23"/>
    </row>
    <row r="3272" spans="2:16" x14ac:dyDescent="0.25">
      <c r="B3272" s="23"/>
      <c r="E3272" s="23"/>
      <c r="G3272" s="23"/>
      <c r="H3272" s="23"/>
      <c r="J3272" s="23"/>
      <c r="K3272" s="23"/>
      <c r="M3272" s="23"/>
      <c r="N3272" s="23"/>
      <c r="P3272" s="23"/>
    </row>
    <row r="3273" spans="2:16" x14ac:dyDescent="0.25">
      <c r="B3273" s="23"/>
      <c r="E3273" s="23"/>
      <c r="G3273" s="23"/>
      <c r="H3273" s="23"/>
      <c r="J3273" s="23"/>
      <c r="K3273" s="23"/>
      <c r="M3273" s="23"/>
      <c r="N3273" s="23"/>
      <c r="P3273" s="23"/>
    </row>
    <row r="3274" spans="2:16" x14ac:dyDescent="0.25">
      <c r="B3274" s="23"/>
      <c r="E3274" s="23"/>
      <c r="G3274" s="23"/>
      <c r="H3274" s="23"/>
      <c r="J3274" s="23"/>
      <c r="K3274" s="23"/>
      <c r="M3274" s="23"/>
      <c r="N3274" s="23"/>
      <c r="P3274" s="23"/>
    </row>
    <row r="3275" spans="2:16" x14ac:dyDescent="0.25">
      <c r="B3275" s="23"/>
      <c r="E3275" s="23"/>
      <c r="G3275" s="23"/>
      <c r="H3275" s="23"/>
      <c r="J3275" s="23"/>
      <c r="K3275" s="23"/>
      <c r="M3275" s="23"/>
      <c r="N3275" s="23"/>
      <c r="P3275" s="23"/>
    </row>
    <row r="3276" spans="2:16" x14ac:dyDescent="0.25">
      <c r="B3276" s="23"/>
      <c r="E3276" s="23"/>
      <c r="G3276" s="23"/>
      <c r="H3276" s="23"/>
      <c r="J3276" s="23"/>
      <c r="K3276" s="23"/>
      <c r="M3276" s="23"/>
      <c r="N3276" s="23"/>
      <c r="P3276" s="23"/>
    </row>
    <row r="3277" spans="2:16" x14ac:dyDescent="0.25">
      <c r="B3277" s="23"/>
      <c r="E3277" s="23"/>
      <c r="G3277" s="23"/>
      <c r="H3277" s="23"/>
      <c r="J3277" s="23"/>
      <c r="K3277" s="23"/>
      <c r="M3277" s="23"/>
      <c r="N3277" s="23"/>
      <c r="P3277" s="23"/>
    </row>
    <row r="3278" spans="2:16" x14ac:dyDescent="0.25">
      <c r="B3278" s="23"/>
      <c r="E3278" s="23"/>
      <c r="G3278" s="23"/>
      <c r="H3278" s="23"/>
      <c r="J3278" s="23"/>
      <c r="K3278" s="23"/>
      <c r="M3278" s="23"/>
      <c r="N3278" s="23"/>
      <c r="P3278" s="23"/>
    </row>
    <row r="3279" spans="2:16" x14ac:dyDescent="0.25">
      <c r="B3279" s="23"/>
      <c r="E3279" s="23"/>
      <c r="G3279" s="23"/>
      <c r="H3279" s="23"/>
      <c r="J3279" s="23"/>
      <c r="K3279" s="23"/>
      <c r="M3279" s="23"/>
      <c r="N3279" s="23"/>
      <c r="P3279" s="23"/>
    </row>
    <row r="3280" spans="2:16" x14ac:dyDescent="0.25">
      <c r="B3280" s="23"/>
      <c r="E3280" s="23"/>
      <c r="G3280" s="23"/>
      <c r="H3280" s="23"/>
      <c r="J3280" s="23"/>
      <c r="K3280" s="23"/>
      <c r="M3280" s="23"/>
      <c r="N3280" s="23"/>
      <c r="P3280" s="23"/>
    </row>
    <row r="3281" spans="2:16" x14ac:dyDescent="0.25">
      <c r="B3281" s="23"/>
      <c r="E3281" s="23"/>
      <c r="G3281" s="23"/>
      <c r="H3281" s="23"/>
      <c r="J3281" s="23"/>
      <c r="K3281" s="23"/>
      <c r="M3281" s="23"/>
      <c r="N3281" s="23"/>
      <c r="P3281" s="23"/>
    </row>
    <row r="3282" spans="2:16" x14ac:dyDescent="0.25">
      <c r="B3282" s="23"/>
      <c r="E3282" s="23"/>
      <c r="G3282" s="23"/>
      <c r="H3282" s="23"/>
      <c r="J3282" s="23"/>
      <c r="K3282" s="23"/>
      <c r="M3282" s="23"/>
      <c r="N3282" s="23"/>
      <c r="P3282" s="23"/>
    </row>
    <row r="3283" spans="2:16" x14ac:dyDescent="0.25">
      <c r="B3283" s="23"/>
      <c r="E3283" s="23"/>
      <c r="G3283" s="23"/>
      <c r="H3283" s="23"/>
      <c r="J3283" s="23"/>
      <c r="K3283" s="23"/>
      <c r="M3283" s="23"/>
      <c r="N3283" s="23"/>
      <c r="P3283" s="23"/>
    </row>
    <row r="3284" spans="2:16" x14ac:dyDescent="0.25">
      <c r="B3284" s="23"/>
      <c r="E3284" s="23"/>
      <c r="G3284" s="23"/>
      <c r="H3284" s="23"/>
      <c r="J3284" s="23"/>
      <c r="K3284" s="23"/>
      <c r="M3284" s="23"/>
      <c r="N3284" s="23"/>
      <c r="P3284" s="23"/>
    </row>
    <row r="3285" spans="2:16" x14ac:dyDescent="0.25">
      <c r="B3285" s="23"/>
      <c r="E3285" s="23"/>
      <c r="G3285" s="23"/>
      <c r="H3285" s="23"/>
      <c r="J3285" s="23"/>
      <c r="K3285" s="23"/>
      <c r="M3285" s="23"/>
      <c r="N3285" s="23"/>
      <c r="P3285" s="23"/>
    </row>
    <row r="3286" spans="2:16" x14ac:dyDescent="0.25">
      <c r="B3286" s="23"/>
      <c r="E3286" s="23"/>
      <c r="G3286" s="23"/>
      <c r="H3286" s="23"/>
      <c r="J3286" s="23"/>
      <c r="K3286" s="23"/>
      <c r="M3286" s="23"/>
      <c r="N3286" s="23"/>
      <c r="P3286" s="23"/>
    </row>
    <row r="3287" spans="2:16" x14ac:dyDescent="0.25">
      <c r="B3287" s="23"/>
      <c r="E3287" s="23"/>
      <c r="G3287" s="23"/>
      <c r="H3287" s="23"/>
      <c r="J3287" s="23"/>
      <c r="K3287" s="23"/>
      <c r="M3287" s="23"/>
      <c r="N3287" s="23"/>
      <c r="P3287" s="23"/>
    </row>
    <row r="3288" spans="2:16" x14ac:dyDescent="0.25">
      <c r="B3288" s="23"/>
      <c r="E3288" s="23"/>
      <c r="G3288" s="23"/>
      <c r="H3288" s="23"/>
      <c r="J3288" s="23"/>
      <c r="K3288" s="23"/>
      <c r="M3288" s="23"/>
      <c r="N3288" s="23"/>
      <c r="P3288" s="23"/>
    </row>
    <row r="3289" spans="2:16" x14ac:dyDescent="0.25">
      <c r="B3289" s="23"/>
      <c r="E3289" s="23"/>
      <c r="G3289" s="23"/>
      <c r="H3289" s="23"/>
      <c r="J3289" s="23"/>
      <c r="K3289" s="23"/>
      <c r="M3289" s="23"/>
      <c r="N3289" s="23"/>
      <c r="P3289" s="23"/>
    </row>
    <row r="3290" spans="2:16" x14ac:dyDescent="0.25">
      <c r="B3290" s="23"/>
      <c r="E3290" s="23"/>
      <c r="G3290" s="23"/>
      <c r="H3290" s="23"/>
      <c r="J3290" s="23"/>
      <c r="K3290" s="23"/>
      <c r="M3290" s="23"/>
      <c r="N3290" s="23"/>
      <c r="P3290" s="23"/>
    </row>
    <row r="3291" spans="2:16" x14ac:dyDescent="0.25">
      <c r="B3291" s="23"/>
      <c r="E3291" s="23"/>
      <c r="G3291" s="23"/>
      <c r="H3291" s="23"/>
      <c r="J3291" s="23"/>
      <c r="K3291" s="23"/>
      <c r="M3291" s="23"/>
      <c r="N3291" s="23"/>
      <c r="P3291" s="23"/>
    </row>
    <row r="3292" spans="2:16" x14ac:dyDescent="0.25">
      <c r="B3292" s="23"/>
      <c r="E3292" s="23"/>
      <c r="G3292" s="23"/>
      <c r="H3292" s="23"/>
      <c r="J3292" s="23"/>
      <c r="K3292" s="23"/>
      <c r="M3292" s="23"/>
      <c r="N3292" s="23"/>
      <c r="P3292" s="23"/>
    </row>
    <row r="3293" spans="2:16" x14ac:dyDescent="0.25">
      <c r="B3293" s="23"/>
      <c r="E3293" s="23"/>
      <c r="G3293" s="23"/>
      <c r="H3293" s="23"/>
      <c r="J3293" s="23"/>
      <c r="K3293" s="23"/>
      <c r="M3293" s="23"/>
      <c r="N3293" s="23"/>
      <c r="P3293" s="23"/>
    </row>
    <row r="3294" spans="2:16" x14ac:dyDescent="0.25">
      <c r="B3294" s="23"/>
      <c r="E3294" s="23"/>
      <c r="G3294" s="23"/>
      <c r="H3294" s="23"/>
      <c r="J3294" s="23"/>
      <c r="K3294" s="23"/>
      <c r="M3294" s="23"/>
      <c r="N3294" s="23"/>
      <c r="P3294" s="23"/>
    </row>
    <row r="3295" spans="2:16" x14ac:dyDescent="0.25">
      <c r="B3295" s="23"/>
      <c r="E3295" s="23"/>
      <c r="G3295" s="23"/>
      <c r="H3295" s="23"/>
      <c r="J3295" s="23"/>
      <c r="K3295" s="23"/>
      <c r="M3295" s="23"/>
      <c r="N3295" s="23"/>
      <c r="P3295" s="23"/>
    </row>
    <row r="3296" spans="2:16" x14ac:dyDescent="0.25">
      <c r="B3296" s="23"/>
      <c r="E3296" s="23"/>
      <c r="G3296" s="23"/>
      <c r="H3296" s="23"/>
      <c r="J3296" s="23"/>
      <c r="K3296" s="23"/>
      <c r="M3296" s="23"/>
      <c r="N3296" s="23"/>
      <c r="P3296" s="23"/>
    </row>
    <row r="3297" spans="2:16" x14ac:dyDescent="0.25">
      <c r="B3297" s="23"/>
      <c r="E3297" s="23"/>
      <c r="G3297" s="23"/>
      <c r="H3297" s="23"/>
      <c r="J3297" s="23"/>
      <c r="K3297" s="23"/>
      <c r="M3297" s="23"/>
      <c r="N3297" s="23"/>
      <c r="P3297" s="23"/>
    </row>
    <row r="3298" spans="2:16" x14ac:dyDescent="0.25">
      <c r="B3298" s="23"/>
      <c r="E3298" s="23"/>
      <c r="G3298" s="23"/>
      <c r="H3298" s="23"/>
      <c r="J3298" s="23"/>
      <c r="K3298" s="23"/>
      <c r="M3298" s="23"/>
      <c r="N3298" s="23"/>
      <c r="P3298" s="23"/>
    </row>
    <row r="3299" spans="2:16" x14ac:dyDescent="0.25">
      <c r="B3299" s="23"/>
      <c r="E3299" s="23"/>
      <c r="G3299" s="23"/>
      <c r="H3299" s="23"/>
      <c r="J3299" s="23"/>
      <c r="K3299" s="23"/>
      <c r="M3299" s="23"/>
      <c r="N3299" s="23"/>
      <c r="P3299" s="23"/>
    </row>
    <row r="3300" spans="2:16" x14ac:dyDescent="0.25">
      <c r="B3300" s="23"/>
      <c r="E3300" s="23"/>
      <c r="G3300" s="23"/>
      <c r="H3300" s="23"/>
      <c r="J3300" s="23"/>
      <c r="K3300" s="23"/>
      <c r="M3300" s="23"/>
      <c r="N3300" s="23"/>
      <c r="P3300" s="23"/>
    </row>
    <row r="3301" spans="2:16" x14ac:dyDescent="0.25">
      <c r="B3301" s="23"/>
      <c r="E3301" s="23"/>
      <c r="G3301" s="23"/>
      <c r="H3301" s="23"/>
      <c r="J3301" s="23"/>
      <c r="K3301" s="23"/>
      <c r="M3301" s="23"/>
      <c r="N3301" s="23"/>
      <c r="P3301" s="23"/>
    </row>
    <row r="3302" spans="2:16" x14ac:dyDescent="0.25">
      <c r="B3302" s="23"/>
      <c r="E3302" s="23"/>
      <c r="G3302" s="23"/>
      <c r="H3302" s="23"/>
      <c r="J3302" s="23"/>
      <c r="K3302" s="23"/>
      <c r="M3302" s="23"/>
      <c r="N3302" s="23"/>
      <c r="P3302" s="23"/>
    </row>
    <row r="3303" spans="2:16" x14ac:dyDescent="0.25">
      <c r="B3303" s="23"/>
      <c r="E3303" s="23"/>
      <c r="G3303" s="23"/>
      <c r="H3303" s="23"/>
      <c r="J3303" s="23"/>
      <c r="K3303" s="23"/>
      <c r="M3303" s="23"/>
      <c r="N3303" s="23"/>
      <c r="P3303" s="23"/>
    </row>
    <row r="3304" spans="2:16" x14ac:dyDescent="0.25">
      <c r="B3304" s="23"/>
      <c r="E3304" s="23"/>
      <c r="G3304" s="23"/>
      <c r="H3304" s="23"/>
      <c r="J3304" s="23"/>
      <c r="K3304" s="23"/>
      <c r="M3304" s="23"/>
      <c r="N3304" s="23"/>
      <c r="P3304" s="23"/>
    </row>
    <row r="3305" spans="2:16" x14ac:dyDescent="0.25">
      <c r="B3305" s="23"/>
      <c r="E3305" s="23"/>
      <c r="G3305" s="23"/>
      <c r="H3305" s="23"/>
      <c r="J3305" s="23"/>
      <c r="K3305" s="23"/>
      <c r="M3305" s="23"/>
      <c r="N3305" s="23"/>
      <c r="P3305" s="23"/>
    </row>
    <row r="3306" spans="2:16" x14ac:dyDescent="0.25">
      <c r="B3306" s="23"/>
      <c r="E3306" s="23"/>
      <c r="G3306" s="23"/>
      <c r="H3306" s="23"/>
      <c r="J3306" s="23"/>
      <c r="K3306" s="23"/>
      <c r="M3306" s="23"/>
      <c r="N3306" s="23"/>
      <c r="P3306" s="23"/>
    </row>
    <row r="3307" spans="2:16" x14ac:dyDescent="0.25">
      <c r="B3307" s="23"/>
      <c r="E3307" s="23"/>
      <c r="G3307" s="23"/>
      <c r="H3307" s="23"/>
      <c r="J3307" s="23"/>
      <c r="K3307" s="23"/>
      <c r="M3307" s="23"/>
      <c r="N3307" s="23"/>
      <c r="P3307" s="23"/>
    </row>
    <row r="3308" spans="2:16" x14ac:dyDescent="0.25">
      <c r="B3308" s="23"/>
      <c r="E3308" s="23"/>
      <c r="G3308" s="23"/>
      <c r="H3308" s="23"/>
      <c r="J3308" s="23"/>
      <c r="K3308" s="23"/>
      <c r="M3308" s="23"/>
      <c r="N3308" s="23"/>
      <c r="P3308" s="23"/>
    </row>
    <row r="3309" spans="2:16" x14ac:dyDescent="0.25">
      <c r="B3309" s="23"/>
      <c r="E3309" s="23"/>
      <c r="G3309" s="23"/>
      <c r="H3309" s="23"/>
      <c r="J3309" s="23"/>
      <c r="K3309" s="23"/>
      <c r="M3309" s="23"/>
      <c r="N3309" s="23"/>
      <c r="P3309" s="23"/>
    </row>
    <row r="3310" spans="2:16" x14ac:dyDescent="0.25">
      <c r="B3310" s="23"/>
      <c r="E3310" s="23"/>
      <c r="G3310" s="23"/>
      <c r="H3310" s="23"/>
      <c r="J3310" s="23"/>
      <c r="K3310" s="23"/>
      <c r="M3310" s="23"/>
      <c r="N3310" s="23"/>
      <c r="P3310" s="23"/>
    </row>
    <row r="3311" spans="2:16" x14ac:dyDescent="0.25">
      <c r="B3311" s="23"/>
      <c r="E3311" s="23"/>
      <c r="G3311" s="23"/>
      <c r="H3311" s="23"/>
      <c r="J3311" s="23"/>
      <c r="K3311" s="23"/>
      <c r="M3311" s="23"/>
      <c r="N3311" s="23"/>
      <c r="P3311" s="23"/>
    </row>
    <row r="3312" spans="2:16" x14ac:dyDescent="0.25">
      <c r="B3312" s="23"/>
      <c r="E3312" s="23"/>
      <c r="G3312" s="23"/>
      <c r="H3312" s="23"/>
      <c r="J3312" s="23"/>
      <c r="K3312" s="23"/>
      <c r="M3312" s="23"/>
      <c r="N3312" s="23"/>
      <c r="P3312" s="23"/>
    </row>
    <row r="3313" spans="2:16" x14ac:dyDescent="0.25">
      <c r="B3313" s="23"/>
      <c r="E3313" s="23"/>
      <c r="G3313" s="23"/>
      <c r="H3313" s="23"/>
      <c r="J3313" s="23"/>
      <c r="K3313" s="23"/>
      <c r="M3313" s="23"/>
      <c r="N3313" s="23"/>
      <c r="P3313" s="23"/>
    </row>
    <row r="3314" spans="2:16" x14ac:dyDescent="0.25">
      <c r="B3314" s="23"/>
      <c r="E3314" s="23"/>
      <c r="G3314" s="23"/>
      <c r="H3314" s="23"/>
      <c r="J3314" s="23"/>
      <c r="K3314" s="23"/>
      <c r="M3314" s="23"/>
      <c r="N3314" s="23"/>
      <c r="P3314" s="23"/>
    </row>
    <row r="3315" spans="2:16" x14ac:dyDescent="0.25">
      <c r="B3315" s="23"/>
      <c r="E3315" s="23"/>
      <c r="G3315" s="23"/>
      <c r="H3315" s="23"/>
      <c r="J3315" s="23"/>
      <c r="K3315" s="23"/>
      <c r="M3315" s="23"/>
      <c r="N3315" s="23"/>
      <c r="P3315" s="23"/>
    </row>
    <row r="3316" spans="2:16" x14ac:dyDescent="0.25">
      <c r="B3316" s="23"/>
      <c r="E3316" s="23"/>
      <c r="G3316" s="23"/>
      <c r="H3316" s="23"/>
      <c r="J3316" s="23"/>
      <c r="K3316" s="23"/>
      <c r="M3316" s="23"/>
      <c r="N3316" s="23"/>
      <c r="P3316" s="23"/>
    </row>
    <row r="3317" spans="2:16" x14ac:dyDescent="0.25">
      <c r="B3317" s="23"/>
      <c r="E3317" s="23"/>
      <c r="G3317" s="23"/>
      <c r="H3317" s="23"/>
      <c r="J3317" s="23"/>
      <c r="K3317" s="23"/>
      <c r="M3317" s="23"/>
      <c r="N3317" s="23"/>
      <c r="P3317" s="23"/>
    </row>
    <row r="3318" spans="2:16" x14ac:dyDescent="0.25">
      <c r="B3318" s="23"/>
      <c r="E3318" s="23"/>
      <c r="G3318" s="23"/>
      <c r="H3318" s="23"/>
      <c r="J3318" s="23"/>
      <c r="K3318" s="23"/>
      <c r="M3318" s="23"/>
      <c r="N3318" s="23"/>
      <c r="P3318" s="23"/>
    </row>
    <row r="3319" spans="2:16" x14ac:dyDescent="0.25">
      <c r="B3319" s="23"/>
      <c r="E3319" s="23"/>
      <c r="G3319" s="23"/>
      <c r="H3319" s="23"/>
      <c r="J3319" s="23"/>
      <c r="K3319" s="23"/>
      <c r="M3319" s="23"/>
      <c r="N3319" s="23"/>
      <c r="P3319" s="23"/>
    </row>
    <row r="3320" spans="2:16" x14ac:dyDescent="0.25">
      <c r="B3320" s="23"/>
      <c r="E3320" s="23"/>
      <c r="G3320" s="23"/>
      <c r="H3320" s="23"/>
      <c r="J3320" s="23"/>
      <c r="K3320" s="23"/>
      <c r="M3320" s="23"/>
      <c r="N3320" s="23"/>
      <c r="P3320" s="23"/>
    </row>
    <row r="3321" spans="2:16" x14ac:dyDescent="0.25">
      <c r="B3321" s="23"/>
      <c r="E3321" s="23"/>
      <c r="G3321" s="23"/>
      <c r="H3321" s="23"/>
      <c r="J3321" s="23"/>
      <c r="K3321" s="23"/>
      <c r="M3321" s="23"/>
      <c r="N3321" s="23"/>
      <c r="P3321" s="23"/>
    </row>
    <row r="3322" spans="2:16" x14ac:dyDescent="0.25">
      <c r="B3322" s="23"/>
      <c r="E3322" s="23"/>
      <c r="G3322" s="23"/>
      <c r="H3322" s="23"/>
      <c r="J3322" s="23"/>
      <c r="K3322" s="23"/>
      <c r="M3322" s="23"/>
      <c r="N3322" s="23"/>
      <c r="P3322" s="23"/>
    </row>
    <row r="3323" spans="2:16" x14ac:dyDescent="0.25">
      <c r="B3323" s="23"/>
      <c r="E3323" s="23"/>
      <c r="G3323" s="23"/>
      <c r="H3323" s="23"/>
      <c r="J3323" s="23"/>
      <c r="K3323" s="23"/>
      <c r="M3323" s="23"/>
      <c r="N3323" s="23"/>
      <c r="P3323" s="23"/>
    </row>
    <row r="3324" spans="2:16" x14ac:dyDescent="0.25">
      <c r="B3324" s="23"/>
      <c r="E3324" s="23"/>
      <c r="G3324" s="23"/>
      <c r="H3324" s="23"/>
      <c r="J3324" s="23"/>
      <c r="K3324" s="23"/>
      <c r="M3324" s="23"/>
      <c r="N3324" s="23"/>
      <c r="P3324" s="23"/>
    </row>
    <row r="3325" spans="2:16" x14ac:dyDescent="0.25">
      <c r="B3325" s="23"/>
      <c r="E3325" s="23"/>
      <c r="G3325" s="23"/>
      <c r="H3325" s="23"/>
      <c r="J3325" s="23"/>
      <c r="K3325" s="23"/>
      <c r="M3325" s="23"/>
      <c r="N3325" s="23"/>
      <c r="P3325" s="23"/>
    </row>
    <row r="3326" spans="2:16" x14ac:dyDescent="0.25">
      <c r="B3326" s="23"/>
      <c r="E3326" s="23"/>
      <c r="G3326" s="23"/>
      <c r="H3326" s="23"/>
      <c r="J3326" s="23"/>
      <c r="K3326" s="23"/>
      <c r="M3326" s="23"/>
      <c r="N3326" s="23"/>
      <c r="P3326" s="23"/>
    </row>
    <row r="3327" spans="2:16" x14ac:dyDescent="0.25">
      <c r="B3327" s="23"/>
      <c r="E3327" s="23"/>
      <c r="G3327" s="23"/>
      <c r="H3327" s="23"/>
      <c r="J3327" s="23"/>
      <c r="K3327" s="23"/>
      <c r="M3327" s="23"/>
      <c r="N3327" s="23"/>
      <c r="P3327" s="23"/>
    </row>
    <row r="3328" spans="2:16" x14ac:dyDescent="0.25">
      <c r="B3328" s="23"/>
      <c r="E3328" s="23"/>
      <c r="G3328" s="23"/>
      <c r="H3328" s="23"/>
      <c r="J3328" s="23"/>
      <c r="K3328" s="23"/>
      <c r="M3328" s="23"/>
      <c r="N3328" s="23"/>
      <c r="P3328" s="23"/>
    </row>
    <row r="3329" spans="2:16" x14ac:dyDescent="0.25">
      <c r="B3329" s="23"/>
      <c r="E3329" s="23"/>
      <c r="G3329" s="23"/>
      <c r="H3329" s="23"/>
      <c r="J3329" s="23"/>
      <c r="K3329" s="23"/>
      <c r="M3329" s="23"/>
      <c r="N3329" s="23"/>
      <c r="P3329" s="23"/>
    </row>
    <row r="3330" spans="2:16" x14ac:dyDescent="0.25">
      <c r="B3330" s="23"/>
      <c r="E3330" s="23"/>
      <c r="G3330" s="23"/>
      <c r="H3330" s="23"/>
      <c r="J3330" s="23"/>
      <c r="K3330" s="23"/>
      <c r="M3330" s="23"/>
      <c r="N3330" s="23"/>
      <c r="P3330" s="23"/>
    </row>
    <row r="3331" spans="2:16" x14ac:dyDescent="0.25">
      <c r="B3331" s="23"/>
      <c r="E3331" s="23"/>
      <c r="G3331" s="23"/>
      <c r="H3331" s="23"/>
      <c r="J3331" s="23"/>
      <c r="K3331" s="23"/>
      <c r="M3331" s="23"/>
      <c r="N3331" s="23"/>
      <c r="P3331" s="23"/>
    </row>
    <row r="3332" spans="2:16" x14ac:dyDescent="0.25">
      <c r="B3332" s="23"/>
      <c r="E3332" s="23"/>
      <c r="G3332" s="23"/>
      <c r="H3332" s="23"/>
      <c r="J3332" s="23"/>
      <c r="K3332" s="23"/>
      <c r="M3332" s="23"/>
      <c r="N3332" s="23"/>
      <c r="P3332" s="23"/>
    </row>
    <row r="3333" spans="2:16" x14ac:dyDescent="0.25">
      <c r="B3333" s="23"/>
      <c r="E3333" s="23"/>
      <c r="G3333" s="23"/>
      <c r="H3333" s="23"/>
      <c r="J3333" s="23"/>
      <c r="K3333" s="23"/>
      <c r="M3333" s="23"/>
      <c r="N3333" s="23"/>
      <c r="P3333" s="23"/>
    </row>
    <row r="3334" spans="2:16" x14ac:dyDescent="0.25">
      <c r="B3334" s="23"/>
      <c r="E3334" s="23"/>
      <c r="G3334" s="23"/>
      <c r="H3334" s="23"/>
      <c r="J3334" s="23"/>
      <c r="K3334" s="23"/>
      <c r="M3334" s="23"/>
      <c r="N3334" s="23"/>
      <c r="P3334" s="23"/>
    </row>
    <row r="3335" spans="2:16" x14ac:dyDescent="0.25">
      <c r="B3335" s="23"/>
      <c r="E3335" s="23"/>
      <c r="G3335" s="23"/>
      <c r="H3335" s="23"/>
      <c r="J3335" s="23"/>
      <c r="K3335" s="23"/>
      <c r="M3335" s="23"/>
      <c r="N3335" s="23"/>
      <c r="P3335" s="23"/>
    </row>
    <row r="3336" spans="2:16" x14ac:dyDescent="0.25">
      <c r="B3336" s="23"/>
      <c r="E3336" s="23"/>
      <c r="G3336" s="23"/>
      <c r="H3336" s="23"/>
      <c r="J3336" s="23"/>
      <c r="K3336" s="23"/>
      <c r="M3336" s="23"/>
      <c r="N3336" s="23"/>
      <c r="P3336" s="23"/>
    </row>
    <row r="3337" spans="2:16" x14ac:dyDescent="0.25">
      <c r="B3337" s="23"/>
      <c r="E3337" s="23"/>
      <c r="G3337" s="23"/>
      <c r="H3337" s="23"/>
      <c r="J3337" s="23"/>
      <c r="K3337" s="23"/>
      <c r="M3337" s="23"/>
      <c r="N3337" s="23"/>
      <c r="P3337" s="23"/>
    </row>
    <row r="3338" spans="2:16" x14ac:dyDescent="0.25">
      <c r="B3338" s="23"/>
      <c r="E3338" s="23"/>
      <c r="G3338" s="23"/>
      <c r="H3338" s="23"/>
      <c r="J3338" s="23"/>
      <c r="K3338" s="23"/>
      <c r="M3338" s="23"/>
      <c r="N3338" s="23"/>
      <c r="P3338" s="23"/>
    </row>
    <row r="3339" spans="2:16" x14ac:dyDescent="0.25">
      <c r="B3339" s="23"/>
      <c r="E3339" s="23"/>
      <c r="G3339" s="23"/>
      <c r="H3339" s="23"/>
      <c r="J3339" s="23"/>
      <c r="K3339" s="23"/>
      <c r="M3339" s="23"/>
      <c r="N3339" s="23"/>
      <c r="P3339" s="23"/>
    </row>
    <row r="3340" spans="2:16" x14ac:dyDescent="0.25">
      <c r="B3340" s="23"/>
      <c r="E3340" s="23"/>
      <c r="G3340" s="23"/>
      <c r="H3340" s="23"/>
      <c r="J3340" s="23"/>
      <c r="K3340" s="23"/>
      <c r="M3340" s="23"/>
      <c r="N3340" s="23"/>
      <c r="P3340" s="23"/>
    </row>
    <row r="3341" spans="2:16" x14ac:dyDescent="0.25">
      <c r="B3341" s="23"/>
      <c r="E3341" s="23"/>
      <c r="G3341" s="23"/>
      <c r="H3341" s="23"/>
      <c r="J3341" s="23"/>
      <c r="K3341" s="23"/>
      <c r="M3341" s="23"/>
      <c r="N3341" s="23"/>
      <c r="P3341" s="23"/>
    </row>
    <row r="3342" spans="2:16" x14ac:dyDescent="0.25">
      <c r="B3342" s="23"/>
      <c r="E3342" s="23"/>
      <c r="G3342" s="23"/>
      <c r="H3342" s="23"/>
      <c r="J3342" s="23"/>
      <c r="K3342" s="23"/>
      <c r="M3342" s="23"/>
      <c r="N3342" s="23"/>
      <c r="P3342" s="23"/>
    </row>
    <row r="3343" spans="2:16" x14ac:dyDescent="0.25">
      <c r="B3343" s="23"/>
      <c r="E3343" s="23"/>
      <c r="G3343" s="23"/>
      <c r="H3343" s="23"/>
      <c r="J3343" s="23"/>
      <c r="K3343" s="23"/>
      <c r="M3343" s="23"/>
      <c r="N3343" s="23"/>
      <c r="P3343" s="23"/>
    </row>
    <row r="3344" spans="2:16" x14ac:dyDescent="0.25">
      <c r="B3344" s="23"/>
      <c r="E3344" s="23"/>
      <c r="G3344" s="23"/>
      <c r="H3344" s="23"/>
      <c r="J3344" s="23"/>
      <c r="K3344" s="23"/>
      <c r="M3344" s="23"/>
      <c r="N3344" s="23"/>
      <c r="P3344" s="23"/>
    </row>
    <row r="3345" spans="2:16" x14ac:dyDescent="0.25">
      <c r="B3345" s="23"/>
      <c r="E3345" s="23"/>
      <c r="G3345" s="23"/>
      <c r="H3345" s="23"/>
      <c r="J3345" s="23"/>
      <c r="K3345" s="23"/>
      <c r="M3345" s="23"/>
      <c r="N3345" s="23"/>
      <c r="P3345" s="23"/>
    </row>
    <row r="3346" spans="2:16" x14ac:dyDescent="0.25">
      <c r="B3346" s="23"/>
      <c r="E3346" s="23"/>
      <c r="G3346" s="23"/>
      <c r="H3346" s="23"/>
      <c r="J3346" s="23"/>
      <c r="K3346" s="23"/>
      <c r="M3346" s="23"/>
      <c r="N3346" s="23"/>
      <c r="P3346" s="23"/>
    </row>
    <row r="3347" spans="2:16" x14ac:dyDescent="0.25">
      <c r="B3347" s="23"/>
      <c r="E3347" s="23"/>
      <c r="G3347" s="23"/>
      <c r="H3347" s="23"/>
      <c r="J3347" s="23"/>
      <c r="K3347" s="23"/>
      <c r="M3347" s="23"/>
      <c r="N3347" s="23"/>
      <c r="P3347" s="23"/>
    </row>
    <row r="3348" spans="2:16" x14ac:dyDescent="0.25">
      <c r="B3348" s="23"/>
      <c r="E3348" s="23"/>
      <c r="G3348" s="23"/>
      <c r="H3348" s="23"/>
      <c r="J3348" s="23"/>
      <c r="K3348" s="23"/>
      <c r="M3348" s="23"/>
      <c r="N3348" s="23"/>
      <c r="P3348" s="23"/>
    </row>
    <row r="3349" spans="2:16" x14ac:dyDescent="0.25">
      <c r="B3349" s="23"/>
      <c r="E3349" s="23"/>
      <c r="G3349" s="23"/>
      <c r="H3349" s="23"/>
      <c r="J3349" s="23"/>
      <c r="K3349" s="23"/>
      <c r="M3349" s="23"/>
      <c r="N3349" s="23"/>
      <c r="P3349" s="23"/>
    </row>
    <row r="3350" spans="2:16" x14ac:dyDescent="0.25">
      <c r="B3350" s="23"/>
      <c r="E3350" s="23"/>
      <c r="G3350" s="23"/>
      <c r="H3350" s="23"/>
      <c r="J3350" s="23"/>
      <c r="K3350" s="23"/>
      <c r="M3350" s="23"/>
      <c r="N3350" s="23"/>
      <c r="P3350" s="23"/>
    </row>
    <row r="3351" spans="2:16" x14ac:dyDescent="0.25">
      <c r="B3351" s="23"/>
      <c r="E3351" s="23"/>
      <c r="G3351" s="23"/>
      <c r="H3351" s="23"/>
      <c r="J3351" s="23"/>
      <c r="K3351" s="23"/>
      <c r="M3351" s="23"/>
      <c r="N3351" s="23"/>
      <c r="P3351" s="23"/>
    </row>
    <row r="3352" spans="2:16" x14ac:dyDescent="0.25">
      <c r="B3352" s="23"/>
      <c r="E3352" s="23"/>
      <c r="G3352" s="23"/>
      <c r="H3352" s="23"/>
      <c r="J3352" s="23"/>
      <c r="K3352" s="23"/>
      <c r="M3352" s="23"/>
      <c r="N3352" s="23"/>
      <c r="P3352" s="23"/>
    </row>
    <row r="3353" spans="2:16" x14ac:dyDescent="0.25">
      <c r="B3353" s="23"/>
      <c r="E3353" s="23"/>
      <c r="G3353" s="23"/>
      <c r="H3353" s="23"/>
      <c r="J3353" s="23"/>
      <c r="K3353" s="23"/>
      <c r="M3353" s="23"/>
      <c r="N3353" s="23"/>
      <c r="P3353" s="23"/>
    </row>
    <row r="3354" spans="2:16" x14ac:dyDescent="0.25">
      <c r="B3354" s="23"/>
      <c r="E3354" s="23"/>
      <c r="G3354" s="23"/>
      <c r="H3354" s="23"/>
      <c r="J3354" s="23"/>
      <c r="K3354" s="23"/>
      <c r="M3354" s="23"/>
      <c r="N3354" s="23"/>
      <c r="P3354" s="23"/>
    </row>
    <row r="3355" spans="2:16" x14ac:dyDescent="0.25">
      <c r="B3355" s="23"/>
      <c r="E3355" s="23"/>
      <c r="G3355" s="23"/>
      <c r="H3355" s="23"/>
      <c r="J3355" s="23"/>
      <c r="K3355" s="23"/>
      <c r="M3355" s="23"/>
      <c r="N3355" s="23"/>
      <c r="P3355" s="23"/>
    </row>
    <row r="3356" spans="2:16" x14ac:dyDescent="0.25">
      <c r="B3356" s="23"/>
      <c r="E3356" s="23"/>
      <c r="G3356" s="23"/>
      <c r="H3356" s="23"/>
      <c r="J3356" s="23"/>
      <c r="K3356" s="23"/>
      <c r="M3356" s="23"/>
      <c r="N3356" s="23"/>
      <c r="P3356" s="23"/>
    </row>
    <row r="3357" spans="2:16" x14ac:dyDescent="0.25">
      <c r="B3357" s="23"/>
      <c r="E3357" s="23"/>
      <c r="G3357" s="23"/>
      <c r="H3357" s="23"/>
      <c r="J3357" s="23"/>
      <c r="K3357" s="23"/>
      <c r="M3357" s="23"/>
      <c r="N3357" s="23"/>
      <c r="P3357" s="23"/>
    </row>
    <row r="3358" spans="2:16" x14ac:dyDescent="0.25">
      <c r="B3358" s="23"/>
      <c r="E3358" s="23"/>
      <c r="G3358" s="23"/>
      <c r="H3358" s="23"/>
      <c r="J3358" s="23"/>
      <c r="K3358" s="23"/>
      <c r="M3358" s="23"/>
      <c r="N3358" s="23"/>
      <c r="P3358" s="23"/>
    </row>
    <row r="3359" spans="2:16" x14ac:dyDescent="0.25">
      <c r="B3359" s="23"/>
      <c r="E3359" s="23"/>
      <c r="G3359" s="23"/>
      <c r="H3359" s="23"/>
      <c r="J3359" s="23"/>
      <c r="K3359" s="23"/>
      <c r="M3359" s="23"/>
      <c r="N3359" s="23"/>
      <c r="P3359" s="23"/>
    </row>
    <row r="3360" spans="2:16" x14ac:dyDescent="0.25">
      <c r="B3360" s="23"/>
      <c r="E3360" s="23"/>
      <c r="G3360" s="23"/>
      <c r="H3360" s="23"/>
      <c r="J3360" s="23"/>
      <c r="K3360" s="23"/>
      <c r="M3360" s="23"/>
      <c r="N3360" s="23"/>
      <c r="P3360" s="23"/>
    </row>
    <row r="3361" spans="2:16" x14ac:dyDescent="0.25">
      <c r="B3361" s="23"/>
      <c r="E3361" s="23"/>
      <c r="G3361" s="23"/>
      <c r="H3361" s="23"/>
      <c r="J3361" s="23"/>
      <c r="K3361" s="23"/>
      <c r="M3361" s="23"/>
      <c r="N3361" s="23"/>
      <c r="P3361" s="23"/>
    </row>
    <row r="3362" spans="2:16" x14ac:dyDescent="0.25">
      <c r="B3362" s="23"/>
      <c r="E3362" s="23"/>
      <c r="G3362" s="23"/>
      <c r="H3362" s="23"/>
      <c r="J3362" s="23"/>
      <c r="K3362" s="23"/>
      <c r="M3362" s="23"/>
      <c r="N3362" s="23"/>
      <c r="P3362" s="23"/>
    </row>
    <row r="3363" spans="2:16" x14ac:dyDescent="0.25">
      <c r="B3363" s="23"/>
      <c r="E3363" s="23"/>
      <c r="G3363" s="23"/>
      <c r="H3363" s="23"/>
      <c r="J3363" s="23"/>
      <c r="K3363" s="23"/>
      <c r="M3363" s="23"/>
      <c r="N3363" s="23"/>
      <c r="P3363" s="23"/>
    </row>
    <row r="3364" spans="2:16" x14ac:dyDescent="0.25">
      <c r="B3364" s="23"/>
      <c r="E3364" s="23"/>
      <c r="G3364" s="23"/>
      <c r="H3364" s="23"/>
      <c r="J3364" s="23"/>
      <c r="K3364" s="23"/>
      <c r="M3364" s="23"/>
      <c r="N3364" s="23"/>
      <c r="P3364" s="23"/>
    </row>
    <row r="3365" spans="2:16" x14ac:dyDescent="0.25">
      <c r="B3365" s="23"/>
      <c r="E3365" s="23"/>
      <c r="G3365" s="23"/>
      <c r="H3365" s="23"/>
      <c r="J3365" s="23"/>
      <c r="K3365" s="23"/>
      <c r="M3365" s="23"/>
      <c r="N3365" s="23"/>
      <c r="P3365" s="23"/>
    </row>
    <row r="3366" spans="2:16" x14ac:dyDescent="0.25">
      <c r="B3366" s="23"/>
      <c r="E3366" s="23"/>
      <c r="G3366" s="23"/>
      <c r="H3366" s="23"/>
      <c r="J3366" s="23"/>
      <c r="K3366" s="23"/>
      <c r="M3366" s="23"/>
      <c r="N3366" s="23"/>
      <c r="P3366" s="23"/>
    </row>
    <row r="3367" spans="2:16" x14ac:dyDescent="0.25">
      <c r="B3367" s="23"/>
      <c r="E3367" s="23"/>
      <c r="G3367" s="23"/>
      <c r="H3367" s="23"/>
      <c r="J3367" s="23"/>
      <c r="K3367" s="23"/>
      <c r="M3367" s="23"/>
      <c r="N3367" s="23"/>
      <c r="P3367" s="23"/>
    </row>
    <row r="3368" spans="2:16" x14ac:dyDescent="0.25">
      <c r="B3368" s="23"/>
      <c r="E3368" s="23"/>
      <c r="G3368" s="23"/>
      <c r="H3368" s="23"/>
      <c r="J3368" s="23"/>
      <c r="K3368" s="23"/>
      <c r="M3368" s="23"/>
      <c r="N3368" s="23"/>
      <c r="P3368" s="23"/>
    </row>
    <row r="3369" spans="2:16" x14ac:dyDescent="0.25">
      <c r="B3369" s="23"/>
      <c r="E3369" s="23"/>
      <c r="G3369" s="23"/>
      <c r="H3369" s="23"/>
      <c r="J3369" s="23"/>
      <c r="K3369" s="23"/>
      <c r="M3369" s="23"/>
      <c r="N3369" s="23"/>
      <c r="P3369" s="23"/>
    </row>
    <row r="3370" spans="2:16" x14ac:dyDescent="0.25">
      <c r="B3370" s="23"/>
      <c r="E3370" s="23"/>
      <c r="G3370" s="23"/>
      <c r="H3370" s="23"/>
      <c r="J3370" s="23"/>
      <c r="K3370" s="23"/>
      <c r="M3370" s="23"/>
      <c r="N3370" s="23"/>
      <c r="P3370" s="23"/>
    </row>
    <row r="3371" spans="2:16" x14ac:dyDescent="0.25">
      <c r="B3371" s="23"/>
      <c r="E3371" s="23"/>
      <c r="G3371" s="23"/>
      <c r="H3371" s="23"/>
      <c r="J3371" s="23"/>
      <c r="K3371" s="23"/>
      <c r="M3371" s="23"/>
      <c r="N3371" s="23"/>
      <c r="P3371" s="23"/>
    </row>
    <row r="3372" spans="2:16" x14ac:dyDescent="0.25">
      <c r="B3372" s="23"/>
      <c r="E3372" s="23"/>
      <c r="G3372" s="23"/>
      <c r="H3372" s="23"/>
      <c r="J3372" s="23"/>
      <c r="K3372" s="23"/>
      <c r="M3372" s="23"/>
      <c r="N3372" s="23"/>
      <c r="P3372" s="23"/>
    </row>
    <row r="3373" spans="2:16" x14ac:dyDescent="0.25">
      <c r="B3373" s="23"/>
      <c r="E3373" s="23"/>
      <c r="G3373" s="23"/>
      <c r="H3373" s="23"/>
      <c r="J3373" s="23"/>
      <c r="K3373" s="23"/>
      <c r="M3373" s="23"/>
      <c r="N3373" s="23"/>
      <c r="P3373" s="23"/>
    </row>
    <row r="3374" spans="2:16" x14ac:dyDescent="0.25">
      <c r="B3374" s="23"/>
      <c r="E3374" s="23"/>
      <c r="G3374" s="23"/>
      <c r="H3374" s="23"/>
      <c r="J3374" s="23"/>
      <c r="K3374" s="23"/>
      <c r="M3374" s="23"/>
      <c r="N3374" s="23"/>
      <c r="P3374" s="23"/>
    </row>
    <row r="3375" spans="2:16" x14ac:dyDescent="0.25">
      <c r="B3375" s="23"/>
      <c r="E3375" s="23"/>
      <c r="G3375" s="23"/>
      <c r="H3375" s="23"/>
      <c r="J3375" s="23"/>
      <c r="K3375" s="23"/>
      <c r="M3375" s="23"/>
      <c r="N3375" s="23"/>
      <c r="P3375" s="23"/>
    </row>
    <row r="3376" spans="2:16" x14ac:dyDescent="0.25">
      <c r="B3376" s="23"/>
      <c r="E3376" s="23"/>
      <c r="G3376" s="23"/>
      <c r="H3376" s="23"/>
      <c r="J3376" s="23"/>
      <c r="K3376" s="23"/>
      <c r="M3376" s="23"/>
      <c r="N3376" s="23"/>
      <c r="P3376" s="23"/>
    </row>
    <row r="3377" spans="2:16" x14ac:dyDescent="0.25">
      <c r="B3377" s="23"/>
      <c r="E3377" s="23"/>
      <c r="G3377" s="23"/>
      <c r="H3377" s="23"/>
      <c r="J3377" s="23"/>
      <c r="K3377" s="23"/>
      <c r="M3377" s="23"/>
      <c r="N3377" s="23"/>
      <c r="P3377" s="23"/>
    </row>
    <row r="3378" spans="2:16" x14ac:dyDescent="0.25">
      <c r="B3378" s="23"/>
      <c r="E3378" s="23"/>
      <c r="G3378" s="23"/>
      <c r="H3378" s="23"/>
      <c r="J3378" s="23"/>
      <c r="K3378" s="23"/>
      <c r="M3378" s="23"/>
      <c r="N3378" s="23"/>
      <c r="P3378" s="23"/>
    </row>
    <row r="3379" spans="2:16" x14ac:dyDescent="0.25">
      <c r="B3379" s="23"/>
      <c r="E3379" s="23"/>
      <c r="G3379" s="23"/>
      <c r="H3379" s="23"/>
      <c r="J3379" s="23"/>
      <c r="K3379" s="23"/>
      <c r="M3379" s="23"/>
      <c r="N3379" s="23"/>
      <c r="P3379" s="23"/>
    </row>
    <row r="3380" spans="2:16" x14ac:dyDescent="0.25">
      <c r="B3380" s="23"/>
      <c r="E3380" s="23"/>
      <c r="G3380" s="23"/>
      <c r="H3380" s="23"/>
      <c r="J3380" s="23"/>
      <c r="K3380" s="23"/>
      <c r="M3380" s="23"/>
      <c r="N3380" s="23"/>
      <c r="P3380" s="23"/>
    </row>
    <row r="3381" spans="2:16" x14ac:dyDescent="0.25">
      <c r="B3381" s="23"/>
      <c r="E3381" s="23"/>
      <c r="G3381" s="23"/>
      <c r="H3381" s="23"/>
      <c r="J3381" s="23"/>
      <c r="K3381" s="23"/>
      <c r="M3381" s="23"/>
      <c r="N3381" s="23"/>
      <c r="P3381" s="23"/>
    </row>
    <row r="3382" spans="2:16" x14ac:dyDescent="0.25">
      <c r="B3382" s="23"/>
      <c r="E3382" s="23"/>
      <c r="G3382" s="23"/>
      <c r="H3382" s="23"/>
      <c r="J3382" s="23"/>
      <c r="K3382" s="23"/>
      <c r="M3382" s="23"/>
      <c r="N3382" s="23"/>
      <c r="P3382" s="23"/>
    </row>
    <row r="3383" spans="2:16" x14ac:dyDescent="0.25">
      <c r="B3383" s="23"/>
      <c r="E3383" s="23"/>
      <c r="G3383" s="23"/>
      <c r="H3383" s="23"/>
      <c r="J3383" s="23"/>
      <c r="K3383" s="23"/>
      <c r="M3383" s="23"/>
      <c r="N3383" s="23"/>
      <c r="P3383" s="23"/>
    </row>
    <row r="3384" spans="2:16" x14ac:dyDescent="0.25">
      <c r="B3384" s="23"/>
      <c r="E3384" s="23"/>
      <c r="G3384" s="23"/>
      <c r="H3384" s="23"/>
      <c r="J3384" s="23"/>
      <c r="K3384" s="23"/>
      <c r="M3384" s="23"/>
      <c r="N3384" s="23"/>
      <c r="P3384" s="23"/>
    </row>
    <row r="3385" spans="2:16" x14ac:dyDescent="0.25">
      <c r="B3385" s="23"/>
      <c r="E3385" s="23"/>
      <c r="G3385" s="23"/>
      <c r="H3385" s="23"/>
      <c r="J3385" s="23"/>
      <c r="K3385" s="23"/>
      <c r="M3385" s="23"/>
      <c r="N3385" s="23"/>
      <c r="P3385" s="23"/>
    </row>
    <row r="3386" spans="2:16" x14ac:dyDescent="0.25">
      <c r="B3386" s="23"/>
      <c r="E3386" s="23"/>
      <c r="G3386" s="23"/>
      <c r="H3386" s="23"/>
      <c r="J3386" s="23"/>
      <c r="K3386" s="23"/>
      <c r="M3386" s="23"/>
      <c r="N3386" s="23"/>
      <c r="P3386" s="23"/>
    </row>
    <row r="3387" spans="2:16" x14ac:dyDescent="0.25">
      <c r="B3387" s="23"/>
      <c r="E3387" s="23"/>
      <c r="G3387" s="23"/>
      <c r="H3387" s="23"/>
      <c r="J3387" s="23"/>
      <c r="K3387" s="23"/>
      <c r="M3387" s="23"/>
      <c r="N3387" s="23"/>
      <c r="P3387" s="23"/>
    </row>
    <row r="3388" spans="2:16" x14ac:dyDescent="0.25">
      <c r="B3388" s="23"/>
      <c r="E3388" s="23"/>
      <c r="G3388" s="23"/>
      <c r="H3388" s="23"/>
      <c r="J3388" s="23"/>
      <c r="K3388" s="23"/>
      <c r="M3388" s="23"/>
      <c r="N3388" s="23"/>
      <c r="P3388" s="23"/>
    </row>
    <row r="3389" spans="2:16" x14ac:dyDescent="0.25">
      <c r="B3389" s="23"/>
      <c r="E3389" s="23"/>
      <c r="G3389" s="23"/>
      <c r="H3389" s="23"/>
      <c r="J3389" s="23"/>
      <c r="K3389" s="23"/>
      <c r="M3389" s="23"/>
      <c r="N3389" s="23"/>
      <c r="P3389" s="23"/>
    </row>
    <row r="3390" spans="2:16" x14ac:dyDescent="0.25">
      <c r="B3390" s="23"/>
      <c r="E3390" s="23"/>
      <c r="G3390" s="23"/>
      <c r="H3390" s="23"/>
      <c r="J3390" s="23"/>
      <c r="K3390" s="23"/>
      <c r="M3390" s="23"/>
      <c r="N3390" s="23"/>
      <c r="P3390" s="23"/>
    </row>
    <row r="3391" spans="2:16" x14ac:dyDescent="0.25">
      <c r="B3391" s="23"/>
      <c r="E3391" s="23"/>
      <c r="G3391" s="23"/>
      <c r="H3391" s="23"/>
      <c r="J3391" s="23"/>
      <c r="K3391" s="23"/>
      <c r="M3391" s="23"/>
      <c r="N3391" s="23"/>
      <c r="P3391" s="23"/>
    </row>
    <row r="3392" spans="2:16" x14ac:dyDescent="0.25">
      <c r="B3392" s="23"/>
      <c r="E3392" s="23"/>
      <c r="G3392" s="23"/>
      <c r="H3392" s="23"/>
      <c r="J3392" s="23"/>
      <c r="K3392" s="23"/>
      <c r="M3392" s="23"/>
      <c r="N3392" s="23"/>
      <c r="P3392" s="23"/>
    </row>
    <row r="3393" spans="2:16" x14ac:dyDescent="0.25">
      <c r="B3393" s="23"/>
      <c r="E3393" s="23"/>
      <c r="G3393" s="23"/>
      <c r="H3393" s="23"/>
      <c r="J3393" s="23"/>
      <c r="K3393" s="23"/>
      <c r="M3393" s="23"/>
      <c r="N3393" s="23"/>
      <c r="P3393" s="23"/>
    </row>
    <row r="3394" spans="2:16" x14ac:dyDescent="0.25">
      <c r="B3394" s="23"/>
      <c r="E3394" s="23"/>
      <c r="G3394" s="23"/>
      <c r="H3394" s="23"/>
      <c r="J3394" s="23"/>
      <c r="K3394" s="23"/>
      <c r="M3394" s="23"/>
      <c r="N3394" s="23"/>
      <c r="P3394" s="23"/>
    </row>
    <row r="3395" spans="2:16" x14ac:dyDescent="0.25">
      <c r="B3395" s="23"/>
      <c r="E3395" s="23"/>
      <c r="G3395" s="23"/>
      <c r="H3395" s="23"/>
      <c r="J3395" s="23"/>
      <c r="K3395" s="23"/>
      <c r="M3395" s="23"/>
      <c r="N3395" s="23"/>
      <c r="P3395" s="23"/>
    </row>
    <row r="3396" spans="2:16" x14ac:dyDescent="0.25">
      <c r="B3396" s="23"/>
      <c r="E3396" s="23"/>
      <c r="G3396" s="23"/>
      <c r="H3396" s="23"/>
      <c r="J3396" s="23"/>
      <c r="K3396" s="23"/>
      <c r="M3396" s="23"/>
      <c r="N3396" s="23"/>
      <c r="P3396" s="23"/>
    </row>
    <row r="3397" spans="2:16" x14ac:dyDescent="0.25">
      <c r="B3397" s="23"/>
      <c r="E3397" s="23"/>
      <c r="G3397" s="23"/>
      <c r="H3397" s="23"/>
      <c r="J3397" s="23"/>
      <c r="K3397" s="23"/>
      <c r="M3397" s="23"/>
      <c r="N3397" s="23"/>
      <c r="P3397" s="23"/>
    </row>
    <row r="3398" spans="2:16" x14ac:dyDescent="0.25">
      <c r="B3398" s="23"/>
      <c r="E3398" s="23"/>
      <c r="G3398" s="23"/>
      <c r="H3398" s="23"/>
      <c r="J3398" s="23"/>
      <c r="K3398" s="23"/>
      <c r="M3398" s="23"/>
      <c r="N3398" s="23"/>
      <c r="P3398" s="23"/>
    </row>
    <row r="3399" spans="2:16" x14ac:dyDescent="0.25">
      <c r="B3399" s="23"/>
      <c r="E3399" s="23"/>
      <c r="G3399" s="23"/>
      <c r="H3399" s="23"/>
      <c r="J3399" s="23"/>
      <c r="K3399" s="23"/>
      <c r="M3399" s="23"/>
      <c r="N3399" s="23"/>
      <c r="P3399" s="23"/>
    </row>
    <row r="3400" spans="2:16" x14ac:dyDescent="0.25">
      <c r="B3400" s="23"/>
      <c r="E3400" s="23"/>
      <c r="G3400" s="23"/>
      <c r="H3400" s="23"/>
      <c r="J3400" s="23"/>
      <c r="K3400" s="23"/>
      <c r="M3400" s="23"/>
      <c r="N3400" s="23"/>
      <c r="P3400" s="23"/>
    </row>
    <row r="3401" spans="2:16" x14ac:dyDescent="0.25">
      <c r="B3401" s="23"/>
      <c r="E3401" s="23"/>
      <c r="G3401" s="23"/>
      <c r="H3401" s="23"/>
      <c r="J3401" s="23"/>
      <c r="K3401" s="23"/>
      <c r="M3401" s="23"/>
      <c r="N3401" s="23"/>
      <c r="P3401" s="23"/>
    </row>
    <row r="3402" spans="2:16" x14ac:dyDescent="0.25">
      <c r="B3402" s="23"/>
      <c r="E3402" s="23"/>
      <c r="G3402" s="23"/>
      <c r="H3402" s="23"/>
      <c r="J3402" s="23"/>
      <c r="K3402" s="23"/>
      <c r="M3402" s="23"/>
      <c r="N3402" s="23"/>
      <c r="P3402" s="23"/>
    </row>
    <row r="3403" spans="2:16" x14ac:dyDescent="0.25">
      <c r="B3403" s="23"/>
      <c r="E3403" s="23"/>
      <c r="G3403" s="23"/>
      <c r="H3403" s="23"/>
      <c r="J3403" s="23"/>
      <c r="K3403" s="23"/>
      <c r="M3403" s="23"/>
      <c r="N3403" s="23"/>
      <c r="P3403" s="23"/>
    </row>
    <row r="3404" spans="2:16" x14ac:dyDescent="0.25">
      <c r="B3404" s="23"/>
      <c r="E3404" s="23"/>
      <c r="G3404" s="23"/>
      <c r="H3404" s="23"/>
      <c r="J3404" s="23"/>
      <c r="K3404" s="23"/>
      <c r="M3404" s="23"/>
      <c r="N3404" s="23"/>
      <c r="P3404" s="23"/>
    </row>
    <row r="3405" spans="2:16" x14ac:dyDescent="0.25">
      <c r="B3405" s="23"/>
      <c r="E3405" s="23"/>
      <c r="G3405" s="23"/>
      <c r="H3405" s="23"/>
      <c r="J3405" s="23"/>
      <c r="K3405" s="23"/>
      <c r="M3405" s="23"/>
      <c r="N3405" s="23"/>
      <c r="P3405" s="23"/>
    </row>
    <row r="3406" spans="2:16" x14ac:dyDescent="0.25">
      <c r="B3406" s="23"/>
      <c r="E3406" s="23"/>
      <c r="G3406" s="23"/>
      <c r="H3406" s="23"/>
      <c r="J3406" s="23"/>
      <c r="K3406" s="23"/>
      <c r="M3406" s="23"/>
      <c r="N3406" s="23"/>
      <c r="P3406" s="23"/>
    </row>
    <row r="3407" spans="2:16" x14ac:dyDescent="0.25">
      <c r="B3407" s="23"/>
      <c r="E3407" s="23"/>
      <c r="G3407" s="23"/>
      <c r="H3407" s="23"/>
      <c r="J3407" s="23"/>
      <c r="K3407" s="23"/>
      <c r="M3407" s="23"/>
      <c r="N3407" s="23"/>
      <c r="P3407" s="23"/>
    </row>
    <row r="3408" spans="2:16" x14ac:dyDescent="0.25">
      <c r="B3408" s="23"/>
      <c r="E3408" s="23"/>
      <c r="G3408" s="23"/>
      <c r="H3408" s="23"/>
      <c r="J3408" s="23"/>
      <c r="K3408" s="23"/>
      <c r="M3408" s="23"/>
      <c r="N3408" s="23"/>
      <c r="P3408" s="23"/>
    </row>
    <row r="3409" spans="2:16" x14ac:dyDescent="0.25">
      <c r="B3409" s="23"/>
      <c r="E3409" s="23"/>
      <c r="G3409" s="23"/>
      <c r="H3409" s="23"/>
      <c r="J3409" s="23"/>
      <c r="K3409" s="23"/>
      <c r="M3409" s="23"/>
      <c r="N3409" s="23"/>
      <c r="P3409" s="23"/>
    </row>
    <row r="3410" spans="2:16" x14ac:dyDescent="0.25">
      <c r="B3410" s="23"/>
      <c r="E3410" s="23"/>
      <c r="G3410" s="23"/>
      <c r="H3410" s="23"/>
      <c r="J3410" s="23"/>
      <c r="K3410" s="23"/>
      <c r="M3410" s="23"/>
      <c r="N3410" s="23"/>
      <c r="P3410" s="23"/>
    </row>
    <row r="3411" spans="2:16" x14ac:dyDescent="0.25">
      <c r="B3411" s="23"/>
      <c r="E3411" s="23"/>
      <c r="G3411" s="23"/>
      <c r="H3411" s="23"/>
      <c r="J3411" s="23"/>
      <c r="K3411" s="23"/>
      <c r="M3411" s="23"/>
      <c r="N3411" s="23"/>
      <c r="P3411" s="23"/>
    </row>
    <row r="3412" spans="2:16" x14ac:dyDescent="0.25">
      <c r="B3412" s="23"/>
      <c r="E3412" s="23"/>
      <c r="G3412" s="23"/>
      <c r="H3412" s="23"/>
      <c r="J3412" s="23"/>
      <c r="K3412" s="23"/>
      <c r="M3412" s="23"/>
      <c r="N3412" s="23"/>
      <c r="P3412" s="23"/>
    </row>
    <row r="3413" spans="2:16" x14ac:dyDescent="0.25">
      <c r="B3413" s="23"/>
      <c r="E3413" s="23"/>
      <c r="G3413" s="23"/>
      <c r="H3413" s="23"/>
      <c r="J3413" s="23"/>
      <c r="K3413" s="23"/>
      <c r="M3413" s="23"/>
      <c r="N3413" s="23"/>
      <c r="P3413" s="23"/>
    </row>
    <row r="3414" spans="2:16" x14ac:dyDescent="0.25">
      <c r="B3414" s="23"/>
      <c r="E3414" s="23"/>
      <c r="G3414" s="23"/>
      <c r="H3414" s="23"/>
      <c r="J3414" s="23"/>
      <c r="K3414" s="23"/>
      <c r="M3414" s="23"/>
      <c r="N3414" s="23"/>
      <c r="P3414" s="23"/>
    </row>
    <row r="3415" spans="2:16" x14ac:dyDescent="0.25">
      <c r="B3415" s="23"/>
      <c r="E3415" s="23"/>
      <c r="G3415" s="23"/>
      <c r="H3415" s="23"/>
      <c r="J3415" s="23"/>
      <c r="K3415" s="23"/>
      <c r="M3415" s="23"/>
      <c r="N3415" s="23"/>
      <c r="P3415" s="23"/>
    </row>
    <row r="3416" spans="2:16" x14ac:dyDescent="0.25">
      <c r="B3416" s="23"/>
      <c r="E3416" s="23"/>
      <c r="G3416" s="23"/>
      <c r="H3416" s="23"/>
      <c r="J3416" s="23"/>
      <c r="K3416" s="23"/>
      <c r="M3416" s="23"/>
      <c r="N3416" s="23"/>
      <c r="P3416" s="23"/>
    </row>
    <row r="3417" spans="2:16" x14ac:dyDescent="0.25">
      <c r="B3417" s="23"/>
      <c r="E3417" s="23"/>
      <c r="G3417" s="23"/>
      <c r="H3417" s="23"/>
      <c r="J3417" s="23"/>
      <c r="K3417" s="23"/>
      <c r="M3417" s="23"/>
      <c r="N3417" s="23"/>
      <c r="P3417" s="23"/>
    </row>
    <row r="3418" spans="2:16" x14ac:dyDescent="0.25">
      <c r="B3418" s="23"/>
      <c r="E3418" s="23"/>
      <c r="G3418" s="23"/>
      <c r="H3418" s="23"/>
      <c r="J3418" s="23"/>
      <c r="K3418" s="23"/>
      <c r="M3418" s="23"/>
      <c r="N3418" s="23"/>
      <c r="P3418" s="23"/>
    </row>
    <row r="3419" spans="2:16" x14ac:dyDescent="0.25">
      <c r="B3419" s="23"/>
      <c r="E3419" s="23"/>
      <c r="G3419" s="23"/>
      <c r="H3419" s="23"/>
      <c r="J3419" s="23"/>
      <c r="K3419" s="23"/>
      <c r="M3419" s="23"/>
      <c r="N3419" s="23"/>
      <c r="P3419" s="23"/>
    </row>
    <row r="3420" spans="2:16" x14ac:dyDescent="0.25">
      <c r="B3420" s="23"/>
      <c r="E3420" s="23"/>
      <c r="G3420" s="23"/>
      <c r="H3420" s="23"/>
      <c r="J3420" s="23"/>
      <c r="K3420" s="23"/>
      <c r="M3420" s="23"/>
      <c r="N3420" s="23"/>
      <c r="P3420" s="23"/>
    </row>
    <row r="3421" spans="2:16" x14ac:dyDescent="0.25">
      <c r="B3421" s="23"/>
      <c r="E3421" s="23"/>
      <c r="G3421" s="23"/>
      <c r="H3421" s="23"/>
      <c r="J3421" s="23"/>
      <c r="K3421" s="23"/>
      <c r="M3421" s="23"/>
      <c r="N3421" s="23"/>
      <c r="P3421" s="23"/>
    </row>
    <row r="3422" spans="2:16" x14ac:dyDescent="0.25">
      <c r="B3422" s="23"/>
      <c r="E3422" s="23"/>
      <c r="G3422" s="23"/>
      <c r="H3422" s="23"/>
      <c r="J3422" s="23"/>
      <c r="K3422" s="23"/>
      <c r="M3422" s="23"/>
      <c r="N3422" s="23"/>
      <c r="P3422" s="23"/>
    </row>
    <row r="3423" spans="2:16" x14ac:dyDescent="0.25">
      <c r="B3423" s="23"/>
      <c r="E3423" s="23"/>
      <c r="G3423" s="23"/>
      <c r="H3423" s="23"/>
      <c r="J3423" s="23"/>
      <c r="K3423" s="23"/>
      <c r="M3423" s="23"/>
      <c r="N3423" s="23"/>
      <c r="P3423" s="23"/>
    </row>
    <row r="3424" spans="2:16" x14ac:dyDescent="0.25">
      <c r="B3424" s="23"/>
      <c r="E3424" s="23"/>
      <c r="G3424" s="23"/>
      <c r="H3424" s="23"/>
      <c r="J3424" s="23"/>
      <c r="K3424" s="23"/>
      <c r="M3424" s="23"/>
      <c r="N3424" s="23"/>
      <c r="P3424" s="23"/>
    </row>
    <row r="3425" spans="2:16" x14ac:dyDescent="0.25">
      <c r="B3425" s="23"/>
      <c r="E3425" s="23"/>
      <c r="G3425" s="23"/>
      <c r="H3425" s="23"/>
      <c r="J3425" s="23"/>
      <c r="K3425" s="23"/>
      <c r="M3425" s="23"/>
      <c r="N3425" s="23"/>
      <c r="P3425" s="23"/>
    </row>
    <row r="3426" spans="2:16" x14ac:dyDescent="0.25">
      <c r="B3426" s="23"/>
      <c r="E3426" s="23"/>
      <c r="G3426" s="23"/>
      <c r="H3426" s="23"/>
      <c r="J3426" s="23"/>
      <c r="K3426" s="23"/>
      <c r="M3426" s="23"/>
      <c r="N3426" s="23"/>
      <c r="P3426" s="23"/>
    </row>
    <row r="3427" spans="2:16" x14ac:dyDescent="0.25">
      <c r="B3427" s="23"/>
      <c r="E3427" s="23"/>
      <c r="G3427" s="23"/>
      <c r="H3427" s="23"/>
      <c r="J3427" s="23"/>
      <c r="K3427" s="23"/>
      <c r="M3427" s="23"/>
      <c r="N3427" s="23"/>
      <c r="P3427" s="23"/>
    </row>
    <row r="3428" spans="2:16" x14ac:dyDescent="0.25">
      <c r="B3428" s="23"/>
      <c r="E3428" s="23"/>
      <c r="G3428" s="23"/>
      <c r="H3428" s="23"/>
      <c r="J3428" s="23"/>
      <c r="K3428" s="23"/>
      <c r="M3428" s="23"/>
      <c r="N3428" s="23"/>
      <c r="P3428" s="23"/>
    </row>
    <row r="3429" spans="2:16" x14ac:dyDescent="0.25">
      <c r="B3429" s="23"/>
      <c r="E3429" s="23"/>
      <c r="G3429" s="23"/>
      <c r="H3429" s="23"/>
      <c r="J3429" s="23"/>
      <c r="K3429" s="23"/>
      <c r="M3429" s="23"/>
      <c r="N3429" s="23"/>
      <c r="P3429" s="23"/>
    </row>
    <row r="3430" spans="2:16" x14ac:dyDescent="0.25">
      <c r="B3430" s="23"/>
      <c r="E3430" s="23"/>
      <c r="G3430" s="23"/>
      <c r="H3430" s="23"/>
      <c r="J3430" s="23"/>
      <c r="K3430" s="23"/>
      <c r="M3430" s="23"/>
      <c r="N3430" s="23"/>
      <c r="P3430" s="23"/>
    </row>
    <row r="3431" spans="2:16" x14ac:dyDescent="0.25">
      <c r="B3431" s="23"/>
      <c r="E3431" s="23"/>
      <c r="G3431" s="23"/>
      <c r="H3431" s="23"/>
      <c r="J3431" s="23"/>
      <c r="K3431" s="23"/>
      <c r="M3431" s="23"/>
      <c r="N3431" s="23"/>
      <c r="P3431" s="23"/>
    </row>
    <row r="3432" spans="2:16" x14ac:dyDescent="0.25">
      <c r="B3432" s="23"/>
      <c r="E3432" s="23"/>
      <c r="G3432" s="23"/>
      <c r="H3432" s="23"/>
      <c r="J3432" s="23"/>
      <c r="K3432" s="23"/>
      <c r="M3432" s="23"/>
      <c r="N3432" s="23"/>
      <c r="P3432" s="23"/>
    </row>
    <row r="3433" spans="2:16" x14ac:dyDescent="0.25">
      <c r="B3433" s="23"/>
      <c r="E3433" s="23"/>
      <c r="G3433" s="23"/>
      <c r="H3433" s="23"/>
      <c r="J3433" s="23"/>
      <c r="K3433" s="23"/>
      <c r="M3433" s="23"/>
      <c r="N3433" s="23"/>
      <c r="P3433" s="23"/>
    </row>
    <row r="3434" spans="2:16" x14ac:dyDescent="0.25">
      <c r="B3434" s="23"/>
      <c r="E3434" s="23"/>
      <c r="G3434" s="23"/>
      <c r="H3434" s="23"/>
      <c r="J3434" s="23"/>
      <c r="K3434" s="23"/>
      <c r="M3434" s="23"/>
      <c r="N3434" s="23"/>
      <c r="P3434" s="23"/>
    </row>
    <row r="3435" spans="2:16" x14ac:dyDescent="0.25">
      <c r="B3435" s="23"/>
      <c r="E3435" s="23"/>
      <c r="G3435" s="23"/>
      <c r="H3435" s="23"/>
      <c r="J3435" s="23"/>
      <c r="K3435" s="23"/>
      <c r="M3435" s="23"/>
      <c r="N3435" s="23"/>
      <c r="P3435" s="23"/>
    </row>
    <row r="3436" spans="2:16" x14ac:dyDescent="0.25">
      <c r="B3436" s="23"/>
      <c r="E3436" s="23"/>
      <c r="G3436" s="23"/>
      <c r="H3436" s="23"/>
      <c r="J3436" s="23"/>
      <c r="K3436" s="23"/>
      <c r="M3436" s="23"/>
      <c r="N3436" s="23"/>
      <c r="P3436" s="23"/>
    </row>
    <row r="3437" spans="2:16" x14ac:dyDescent="0.25">
      <c r="B3437" s="23"/>
      <c r="E3437" s="23"/>
      <c r="G3437" s="23"/>
      <c r="H3437" s="23"/>
      <c r="J3437" s="23"/>
      <c r="K3437" s="23"/>
      <c r="M3437" s="23"/>
      <c r="N3437" s="23"/>
      <c r="P3437" s="23"/>
    </row>
    <row r="3438" spans="2:16" x14ac:dyDescent="0.25">
      <c r="B3438" s="23"/>
      <c r="E3438" s="23"/>
      <c r="G3438" s="23"/>
      <c r="H3438" s="23"/>
      <c r="J3438" s="23"/>
      <c r="K3438" s="23"/>
      <c r="M3438" s="23"/>
      <c r="N3438" s="23"/>
      <c r="P3438" s="23"/>
    </row>
    <row r="3439" spans="2:16" x14ac:dyDescent="0.25">
      <c r="B3439" s="23"/>
      <c r="E3439" s="23"/>
      <c r="G3439" s="23"/>
      <c r="H3439" s="23"/>
      <c r="J3439" s="23"/>
      <c r="K3439" s="23"/>
      <c r="M3439" s="23"/>
      <c r="N3439" s="23"/>
      <c r="P3439" s="23"/>
    </row>
    <row r="3440" spans="2:16" x14ac:dyDescent="0.25">
      <c r="B3440" s="23"/>
      <c r="E3440" s="23"/>
      <c r="G3440" s="23"/>
      <c r="H3440" s="23"/>
      <c r="J3440" s="23"/>
      <c r="K3440" s="23"/>
      <c r="M3440" s="23"/>
      <c r="N3440" s="23"/>
      <c r="P3440" s="23"/>
    </row>
    <row r="3441" spans="2:16" x14ac:dyDescent="0.25">
      <c r="B3441" s="23"/>
      <c r="E3441" s="23"/>
      <c r="G3441" s="23"/>
      <c r="H3441" s="23"/>
      <c r="J3441" s="23"/>
      <c r="K3441" s="23"/>
      <c r="M3441" s="23"/>
      <c r="N3441" s="23"/>
      <c r="P3441" s="23"/>
    </row>
    <row r="3442" spans="2:16" x14ac:dyDescent="0.25">
      <c r="B3442" s="23"/>
      <c r="E3442" s="23"/>
      <c r="G3442" s="23"/>
      <c r="H3442" s="23"/>
      <c r="J3442" s="23"/>
      <c r="K3442" s="23"/>
      <c r="M3442" s="23"/>
      <c r="N3442" s="23"/>
      <c r="P3442" s="23"/>
    </row>
    <row r="3443" spans="2:16" x14ac:dyDescent="0.25">
      <c r="B3443" s="23"/>
      <c r="E3443" s="23"/>
      <c r="G3443" s="23"/>
      <c r="H3443" s="23"/>
      <c r="J3443" s="23"/>
      <c r="K3443" s="23"/>
      <c r="M3443" s="23"/>
      <c r="N3443" s="23"/>
      <c r="P3443" s="23"/>
    </row>
    <row r="3444" spans="2:16" x14ac:dyDescent="0.25">
      <c r="B3444" s="23"/>
      <c r="E3444" s="23"/>
      <c r="G3444" s="23"/>
      <c r="H3444" s="23"/>
      <c r="J3444" s="23"/>
      <c r="K3444" s="23"/>
      <c r="M3444" s="23"/>
      <c r="N3444" s="23"/>
      <c r="P3444" s="23"/>
    </row>
    <row r="3445" spans="2:16" x14ac:dyDescent="0.25">
      <c r="B3445" s="23"/>
      <c r="E3445" s="23"/>
      <c r="G3445" s="23"/>
      <c r="H3445" s="23"/>
      <c r="J3445" s="23"/>
      <c r="K3445" s="23"/>
      <c r="M3445" s="23"/>
      <c r="N3445" s="23"/>
      <c r="P3445" s="23"/>
    </row>
    <row r="3446" spans="2:16" x14ac:dyDescent="0.25">
      <c r="B3446" s="23"/>
      <c r="E3446" s="23"/>
      <c r="G3446" s="23"/>
      <c r="H3446" s="23"/>
      <c r="J3446" s="23"/>
      <c r="K3446" s="23"/>
      <c r="M3446" s="23"/>
      <c r="N3446" s="23"/>
      <c r="P3446" s="23"/>
    </row>
    <row r="3447" spans="2:16" x14ac:dyDescent="0.25">
      <c r="B3447" s="23"/>
      <c r="E3447" s="23"/>
      <c r="G3447" s="23"/>
      <c r="H3447" s="23"/>
      <c r="J3447" s="23"/>
      <c r="K3447" s="23"/>
      <c r="M3447" s="23"/>
      <c r="N3447" s="23"/>
      <c r="P3447" s="23"/>
    </row>
    <row r="3448" spans="2:16" x14ac:dyDescent="0.25">
      <c r="B3448" s="23"/>
      <c r="E3448" s="23"/>
      <c r="G3448" s="23"/>
      <c r="H3448" s="23"/>
      <c r="J3448" s="23"/>
      <c r="K3448" s="23"/>
      <c r="M3448" s="23"/>
      <c r="N3448" s="23"/>
      <c r="P3448" s="23"/>
    </row>
    <row r="3449" spans="2:16" x14ac:dyDescent="0.25">
      <c r="B3449" s="23"/>
      <c r="E3449" s="23"/>
      <c r="G3449" s="23"/>
      <c r="H3449" s="23"/>
      <c r="J3449" s="23"/>
      <c r="K3449" s="23"/>
      <c r="M3449" s="23"/>
      <c r="N3449" s="23"/>
      <c r="P3449" s="23"/>
    </row>
    <row r="3450" spans="2:16" x14ac:dyDescent="0.25">
      <c r="B3450" s="23"/>
      <c r="E3450" s="23"/>
      <c r="G3450" s="23"/>
      <c r="H3450" s="23"/>
      <c r="J3450" s="23"/>
      <c r="K3450" s="23"/>
      <c r="M3450" s="23"/>
      <c r="N3450" s="23"/>
      <c r="P3450" s="23"/>
    </row>
    <row r="3451" spans="2:16" x14ac:dyDescent="0.25">
      <c r="B3451" s="23"/>
      <c r="E3451" s="23"/>
      <c r="G3451" s="23"/>
      <c r="H3451" s="23"/>
      <c r="J3451" s="23"/>
      <c r="K3451" s="23"/>
      <c r="M3451" s="23"/>
      <c r="N3451" s="23"/>
      <c r="P3451" s="23"/>
    </row>
    <row r="3452" spans="2:16" x14ac:dyDescent="0.25">
      <c r="B3452" s="23"/>
      <c r="E3452" s="23"/>
      <c r="G3452" s="23"/>
      <c r="H3452" s="23"/>
      <c r="J3452" s="23"/>
      <c r="K3452" s="23"/>
      <c r="M3452" s="23"/>
      <c r="N3452" s="23"/>
      <c r="P3452" s="23"/>
    </row>
    <row r="3453" spans="2:16" x14ac:dyDescent="0.25">
      <c r="B3453" s="23"/>
      <c r="E3453" s="23"/>
      <c r="G3453" s="23"/>
      <c r="H3453" s="23"/>
      <c r="J3453" s="23"/>
      <c r="K3453" s="23"/>
      <c r="M3453" s="23"/>
      <c r="N3453" s="23"/>
      <c r="P3453" s="23"/>
    </row>
    <row r="3454" spans="2:16" x14ac:dyDescent="0.25">
      <c r="B3454" s="23"/>
      <c r="E3454" s="23"/>
      <c r="G3454" s="23"/>
      <c r="H3454" s="23"/>
      <c r="J3454" s="23"/>
      <c r="K3454" s="23"/>
      <c r="M3454" s="23"/>
      <c r="N3454" s="23"/>
      <c r="P3454" s="23"/>
    </row>
    <row r="3455" spans="2:16" x14ac:dyDescent="0.25">
      <c r="B3455" s="23"/>
      <c r="E3455" s="23"/>
      <c r="G3455" s="23"/>
      <c r="H3455" s="23"/>
      <c r="J3455" s="23"/>
      <c r="K3455" s="23"/>
      <c r="M3455" s="23"/>
      <c r="N3455" s="23"/>
      <c r="P3455" s="23"/>
    </row>
    <row r="3456" spans="2:16" x14ac:dyDescent="0.25">
      <c r="B3456" s="23"/>
      <c r="E3456" s="23"/>
      <c r="G3456" s="23"/>
      <c r="H3456" s="23"/>
      <c r="J3456" s="23"/>
      <c r="K3456" s="23"/>
      <c r="M3456" s="23"/>
      <c r="N3456" s="23"/>
      <c r="P3456" s="23"/>
    </row>
    <row r="3457" spans="2:16" x14ac:dyDescent="0.25">
      <c r="B3457" s="23"/>
      <c r="E3457" s="23"/>
      <c r="G3457" s="23"/>
      <c r="H3457" s="23"/>
      <c r="J3457" s="23"/>
      <c r="K3457" s="23"/>
      <c r="M3457" s="23"/>
      <c r="N3457" s="23"/>
      <c r="P3457" s="23"/>
    </row>
    <row r="3458" spans="2:16" x14ac:dyDescent="0.25">
      <c r="B3458" s="23"/>
      <c r="E3458" s="23"/>
      <c r="G3458" s="23"/>
      <c r="H3458" s="23"/>
      <c r="J3458" s="23"/>
      <c r="K3458" s="23"/>
      <c r="M3458" s="23"/>
      <c r="N3458" s="23"/>
      <c r="P3458" s="23"/>
    </row>
    <row r="3459" spans="2:16" x14ac:dyDescent="0.25">
      <c r="B3459" s="23"/>
      <c r="E3459" s="23"/>
      <c r="G3459" s="23"/>
      <c r="H3459" s="23"/>
      <c r="J3459" s="23"/>
      <c r="K3459" s="23"/>
      <c r="M3459" s="23"/>
      <c r="N3459" s="23"/>
      <c r="P3459" s="23"/>
    </row>
    <row r="3460" spans="2:16" x14ac:dyDescent="0.25">
      <c r="B3460" s="23"/>
      <c r="E3460" s="23"/>
      <c r="G3460" s="23"/>
      <c r="H3460" s="23"/>
      <c r="J3460" s="23"/>
      <c r="K3460" s="23"/>
      <c r="M3460" s="23"/>
      <c r="N3460" s="23"/>
      <c r="P3460" s="23"/>
    </row>
    <row r="3461" spans="2:16" x14ac:dyDescent="0.25">
      <c r="B3461" s="23"/>
      <c r="E3461" s="23"/>
      <c r="G3461" s="23"/>
      <c r="H3461" s="23"/>
      <c r="J3461" s="23"/>
      <c r="K3461" s="23"/>
      <c r="M3461" s="23"/>
      <c r="N3461" s="23"/>
      <c r="P3461" s="23"/>
    </row>
    <row r="3462" spans="2:16" x14ac:dyDescent="0.25">
      <c r="B3462" s="23"/>
      <c r="E3462" s="23"/>
      <c r="G3462" s="23"/>
      <c r="H3462" s="23"/>
      <c r="J3462" s="23"/>
      <c r="K3462" s="23"/>
      <c r="M3462" s="23"/>
      <c r="N3462" s="23"/>
      <c r="P3462" s="23"/>
    </row>
    <row r="3463" spans="2:16" x14ac:dyDescent="0.25">
      <c r="B3463" s="23"/>
      <c r="E3463" s="23"/>
      <c r="G3463" s="23"/>
      <c r="H3463" s="23"/>
      <c r="J3463" s="23"/>
      <c r="K3463" s="23"/>
      <c r="M3463" s="23"/>
      <c r="N3463" s="23"/>
      <c r="P3463" s="23"/>
    </row>
    <row r="3464" spans="2:16" x14ac:dyDescent="0.25">
      <c r="B3464" s="23"/>
      <c r="E3464" s="23"/>
      <c r="G3464" s="23"/>
      <c r="H3464" s="23"/>
      <c r="J3464" s="23"/>
      <c r="K3464" s="23"/>
      <c r="M3464" s="23"/>
      <c r="N3464" s="23"/>
      <c r="P3464" s="23"/>
    </row>
    <row r="3465" spans="2:16" x14ac:dyDescent="0.25">
      <c r="B3465" s="23"/>
      <c r="E3465" s="23"/>
      <c r="G3465" s="23"/>
      <c r="H3465" s="23"/>
      <c r="J3465" s="23"/>
      <c r="K3465" s="23"/>
      <c r="M3465" s="23"/>
      <c r="N3465" s="23"/>
      <c r="P3465" s="23"/>
    </row>
    <row r="3466" spans="2:16" x14ac:dyDescent="0.25">
      <c r="B3466" s="23"/>
      <c r="E3466" s="23"/>
      <c r="G3466" s="23"/>
      <c r="H3466" s="23"/>
      <c r="J3466" s="23"/>
      <c r="K3466" s="23"/>
      <c r="M3466" s="23"/>
      <c r="N3466" s="23"/>
      <c r="P3466" s="23"/>
    </row>
    <row r="3467" spans="2:16" x14ac:dyDescent="0.25">
      <c r="B3467" s="23"/>
      <c r="E3467" s="23"/>
      <c r="G3467" s="23"/>
      <c r="H3467" s="23"/>
      <c r="J3467" s="23"/>
      <c r="K3467" s="23"/>
      <c r="M3467" s="23"/>
      <c r="N3467" s="23"/>
      <c r="P3467" s="23"/>
    </row>
    <row r="3468" spans="2:16" x14ac:dyDescent="0.25">
      <c r="B3468" s="23"/>
      <c r="E3468" s="23"/>
      <c r="G3468" s="23"/>
      <c r="H3468" s="23"/>
      <c r="J3468" s="23"/>
      <c r="K3468" s="23"/>
      <c r="M3468" s="23"/>
      <c r="N3468" s="23"/>
      <c r="P3468" s="23"/>
    </row>
    <row r="3469" spans="2:16" x14ac:dyDescent="0.25">
      <c r="B3469" s="23"/>
      <c r="E3469" s="23"/>
      <c r="G3469" s="23"/>
      <c r="H3469" s="23"/>
      <c r="J3469" s="23"/>
      <c r="K3469" s="23"/>
      <c r="M3469" s="23"/>
      <c r="N3469" s="23"/>
      <c r="P3469" s="23"/>
    </row>
    <row r="3470" spans="2:16" x14ac:dyDescent="0.25">
      <c r="B3470" s="23"/>
      <c r="E3470" s="23"/>
      <c r="G3470" s="23"/>
      <c r="H3470" s="23"/>
      <c r="J3470" s="23"/>
      <c r="K3470" s="23"/>
      <c r="M3470" s="23"/>
      <c r="N3470" s="23"/>
      <c r="P3470" s="23"/>
    </row>
    <row r="3471" spans="2:16" x14ac:dyDescent="0.25">
      <c r="B3471" s="23"/>
      <c r="E3471" s="23"/>
      <c r="G3471" s="23"/>
      <c r="H3471" s="23"/>
      <c r="J3471" s="23"/>
      <c r="K3471" s="23"/>
      <c r="M3471" s="23"/>
      <c r="N3471" s="23"/>
      <c r="P3471" s="23"/>
    </row>
    <row r="3472" spans="2:16" x14ac:dyDescent="0.25">
      <c r="B3472" s="23"/>
      <c r="E3472" s="23"/>
      <c r="G3472" s="23"/>
      <c r="H3472" s="23"/>
      <c r="J3472" s="23"/>
      <c r="K3472" s="23"/>
      <c r="M3472" s="23"/>
      <c r="N3472" s="23"/>
      <c r="P3472" s="23"/>
    </row>
    <row r="3473" spans="2:16" x14ac:dyDescent="0.25">
      <c r="B3473" s="23"/>
      <c r="E3473" s="23"/>
      <c r="G3473" s="23"/>
      <c r="H3473" s="23"/>
      <c r="J3473" s="23"/>
      <c r="K3473" s="23"/>
      <c r="M3473" s="23"/>
      <c r="N3473" s="23"/>
      <c r="P3473" s="23"/>
    </row>
    <row r="3474" spans="2:16" x14ac:dyDescent="0.25">
      <c r="B3474" s="23"/>
      <c r="E3474" s="23"/>
      <c r="G3474" s="23"/>
      <c r="H3474" s="23"/>
      <c r="J3474" s="23"/>
      <c r="K3474" s="23"/>
      <c r="M3474" s="23"/>
      <c r="N3474" s="23"/>
      <c r="P3474" s="23"/>
    </row>
    <row r="3475" spans="2:16" x14ac:dyDescent="0.25">
      <c r="B3475" s="23"/>
      <c r="E3475" s="23"/>
      <c r="G3475" s="23"/>
      <c r="H3475" s="23"/>
      <c r="J3475" s="23"/>
      <c r="K3475" s="23"/>
      <c r="M3475" s="23"/>
      <c r="N3475" s="23"/>
      <c r="P3475" s="23"/>
    </row>
    <row r="3476" spans="2:16" x14ac:dyDescent="0.25">
      <c r="B3476" s="23"/>
      <c r="E3476" s="23"/>
      <c r="G3476" s="23"/>
      <c r="H3476" s="23"/>
      <c r="J3476" s="23"/>
      <c r="K3476" s="23"/>
      <c r="M3476" s="23"/>
      <c r="N3476" s="23"/>
      <c r="P3476" s="23"/>
    </row>
    <row r="3477" spans="2:16" x14ac:dyDescent="0.25">
      <c r="B3477" s="23"/>
      <c r="E3477" s="23"/>
      <c r="G3477" s="23"/>
      <c r="H3477" s="23"/>
      <c r="J3477" s="23"/>
      <c r="K3477" s="23"/>
      <c r="M3477" s="23"/>
      <c r="N3477" s="23"/>
      <c r="P3477" s="23"/>
    </row>
    <row r="3478" spans="2:16" x14ac:dyDescent="0.25">
      <c r="B3478" s="23"/>
      <c r="E3478" s="23"/>
      <c r="G3478" s="23"/>
      <c r="H3478" s="23"/>
      <c r="J3478" s="23"/>
      <c r="K3478" s="23"/>
      <c r="M3478" s="23"/>
      <c r="N3478" s="23"/>
      <c r="P3478" s="23"/>
    </row>
    <row r="3479" spans="2:16" x14ac:dyDescent="0.25">
      <c r="B3479" s="23"/>
      <c r="E3479" s="23"/>
      <c r="G3479" s="23"/>
      <c r="H3479" s="23"/>
      <c r="J3479" s="23"/>
      <c r="K3479" s="23"/>
      <c r="M3479" s="23"/>
      <c r="N3479" s="23"/>
      <c r="P3479" s="23"/>
    </row>
    <row r="3480" spans="2:16" x14ac:dyDescent="0.25">
      <c r="B3480" s="23"/>
      <c r="E3480" s="23"/>
      <c r="G3480" s="23"/>
      <c r="H3480" s="23"/>
      <c r="J3480" s="23"/>
      <c r="K3480" s="23"/>
      <c r="M3480" s="23"/>
      <c r="N3480" s="23"/>
      <c r="P3480" s="23"/>
    </row>
    <row r="3481" spans="2:16" x14ac:dyDescent="0.25">
      <c r="B3481" s="23"/>
      <c r="E3481" s="23"/>
      <c r="G3481" s="23"/>
      <c r="H3481" s="23"/>
      <c r="J3481" s="23"/>
      <c r="K3481" s="23"/>
      <c r="M3481" s="23"/>
      <c r="N3481" s="23"/>
      <c r="P3481" s="23"/>
    </row>
    <row r="3482" spans="2:16" x14ac:dyDescent="0.25">
      <c r="B3482" s="23"/>
      <c r="E3482" s="23"/>
      <c r="G3482" s="23"/>
      <c r="H3482" s="23"/>
      <c r="J3482" s="23"/>
      <c r="K3482" s="23"/>
      <c r="M3482" s="23"/>
      <c r="N3482" s="23"/>
      <c r="P3482" s="23"/>
    </row>
    <row r="3483" spans="2:16" x14ac:dyDescent="0.25">
      <c r="B3483" s="23"/>
      <c r="E3483" s="23"/>
      <c r="G3483" s="23"/>
      <c r="H3483" s="23"/>
      <c r="J3483" s="23"/>
      <c r="K3483" s="23"/>
      <c r="M3483" s="23"/>
      <c r="N3483" s="23"/>
      <c r="P3483" s="23"/>
    </row>
    <row r="3484" spans="2:16" x14ac:dyDescent="0.25">
      <c r="B3484" s="23"/>
      <c r="E3484" s="23"/>
      <c r="G3484" s="23"/>
      <c r="H3484" s="23"/>
      <c r="J3484" s="23"/>
      <c r="K3484" s="23"/>
      <c r="M3484" s="23"/>
      <c r="N3484" s="23"/>
      <c r="P3484" s="23"/>
    </row>
    <row r="3485" spans="2:16" x14ac:dyDescent="0.25">
      <c r="B3485" s="23"/>
      <c r="E3485" s="23"/>
      <c r="G3485" s="23"/>
      <c r="H3485" s="23"/>
      <c r="J3485" s="23"/>
      <c r="K3485" s="23"/>
      <c r="M3485" s="23"/>
      <c r="N3485" s="23"/>
      <c r="P3485" s="23"/>
    </row>
    <row r="3486" spans="2:16" x14ac:dyDescent="0.25">
      <c r="B3486" s="23"/>
      <c r="E3486" s="23"/>
      <c r="G3486" s="23"/>
      <c r="H3486" s="23"/>
      <c r="J3486" s="23"/>
      <c r="K3486" s="23"/>
      <c r="M3486" s="23"/>
      <c r="N3486" s="23"/>
      <c r="P3486" s="23"/>
    </row>
    <row r="3487" spans="2:16" x14ac:dyDescent="0.25">
      <c r="B3487" s="23"/>
      <c r="E3487" s="23"/>
      <c r="G3487" s="23"/>
      <c r="H3487" s="23"/>
      <c r="J3487" s="23"/>
      <c r="K3487" s="23"/>
      <c r="M3487" s="23"/>
      <c r="N3487" s="23"/>
      <c r="P3487" s="23"/>
    </row>
    <row r="3488" spans="2:16" x14ac:dyDescent="0.25">
      <c r="B3488" s="23"/>
      <c r="E3488" s="23"/>
      <c r="G3488" s="23"/>
      <c r="H3488" s="23"/>
      <c r="J3488" s="23"/>
      <c r="K3488" s="23"/>
      <c r="M3488" s="23"/>
      <c r="N3488" s="23"/>
      <c r="P3488" s="23"/>
    </row>
    <row r="3489" spans="2:16" x14ac:dyDescent="0.25">
      <c r="B3489" s="23"/>
      <c r="E3489" s="23"/>
      <c r="G3489" s="23"/>
      <c r="H3489" s="23"/>
      <c r="J3489" s="23"/>
      <c r="K3489" s="23"/>
      <c r="M3489" s="23"/>
      <c r="N3489" s="23"/>
      <c r="P3489" s="23"/>
    </row>
    <row r="3490" spans="2:16" x14ac:dyDescent="0.25">
      <c r="B3490" s="23"/>
      <c r="E3490" s="23"/>
      <c r="G3490" s="23"/>
      <c r="H3490" s="23"/>
      <c r="J3490" s="23"/>
      <c r="K3490" s="23"/>
      <c r="M3490" s="23"/>
      <c r="N3490" s="23"/>
      <c r="P3490" s="23"/>
    </row>
    <row r="3491" spans="2:16" x14ac:dyDescent="0.25">
      <c r="B3491" s="23"/>
      <c r="E3491" s="23"/>
      <c r="G3491" s="23"/>
      <c r="H3491" s="23"/>
      <c r="J3491" s="23"/>
      <c r="K3491" s="23"/>
      <c r="M3491" s="23"/>
      <c r="N3491" s="23"/>
      <c r="P3491" s="23"/>
    </row>
    <row r="3492" spans="2:16" x14ac:dyDescent="0.25">
      <c r="B3492" s="23"/>
      <c r="E3492" s="23"/>
      <c r="G3492" s="23"/>
      <c r="H3492" s="23"/>
      <c r="J3492" s="23"/>
      <c r="K3492" s="23"/>
      <c r="M3492" s="23"/>
      <c r="N3492" s="23"/>
      <c r="P3492" s="23"/>
    </row>
    <row r="3493" spans="2:16" x14ac:dyDescent="0.25">
      <c r="B3493" s="23"/>
      <c r="E3493" s="23"/>
      <c r="G3493" s="23"/>
      <c r="H3493" s="23"/>
      <c r="J3493" s="23"/>
      <c r="K3493" s="23"/>
      <c r="M3493" s="23"/>
      <c r="N3493" s="23"/>
      <c r="P3493" s="23"/>
    </row>
    <row r="3494" spans="2:16" x14ac:dyDescent="0.25">
      <c r="B3494" s="23"/>
      <c r="E3494" s="23"/>
      <c r="G3494" s="23"/>
      <c r="H3494" s="23"/>
      <c r="J3494" s="23"/>
      <c r="K3494" s="23"/>
      <c r="M3494" s="23"/>
      <c r="N3494" s="23"/>
      <c r="P3494" s="23"/>
    </row>
    <row r="3495" spans="2:16" x14ac:dyDescent="0.25">
      <c r="B3495" s="23"/>
      <c r="E3495" s="23"/>
      <c r="G3495" s="23"/>
      <c r="H3495" s="23"/>
      <c r="J3495" s="23"/>
      <c r="K3495" s="23"/>
      <c r="M3495" s="23"/>
      <c r="N3495" s="23"/>
      <c r="P3495" s="23"/>
    </row>
    <row r="3496" spans="2:16" x14ac:dyDescent="0.25">
      <c r="B3496" s="23"/>
      <c r="E3496" s="23"/>
      <c r="G3496" s="23"/>
      <c r="H3496" s="23"/>
      <c r="J3496" s="23"/>
      <c r="K3496" s="23"/>
      <c r="M3496" s="23"/>
      <c r="N3496" s="23"/>
      <c r="P3496" s="23"/>
    </row>
    <row r="3497" spans="2:16" x14ac:dyDescent="0.25">
      <c r="B3497" s="23"/>
      <c r="E3497" s="23"/>
      <c r="G3497" s="23"/>
      <c r="H3497" s="23"/>
      <c r="J3497" s="23"/>
      <c r="K3497" s="23"/>
      <c r="M3497" s="23"/>
      <c r="N3497" s="23"/>
      <c r="P3497" s="23"/>
    </row>
    <row r="3498" spans="2:16" x14ac:dyDescent="0.25">
      <c r="B3498" s="23"/>
      <c r="E3498" s="23"/>
      <c r="G3498" s="23"/>
      <c r="H3498" s="23"/>
      <c r="J3498" s="23"/>
      <c r="K3498" s="23"/>
      <c r="M3498" s="23"/>
      <c r="N3498" s="23"/>
      <c r="P3498" s="23"/>
    </row>
    <row r="3499" spans="2:16" x14ac:dyDescent="0.25">
      <c r="B3499" s="23"/>
      <c r="E3499" s="23"/>
      <c r="G3499" s="23"/>
      <c r="H3499" s="23"/>
      <c r="J3499" s="23"/>
      <c r="K3499" s="23"/>
      <c r="M3499" s="23"/>
      <c r="N3499" s="23"/>
      <c r="P3499" s="23"/>
    </row>
    <row r="3500" spans="2:16" x14ac:dyDescent="0.25">
      <c r="B3500" s="23"/>
      <c r="E3500" s="23"/>
      <c r="G3500" s="23"/>
      <c r="H3500" s="23"/>
      <c r="J3500" s="23"/>
      <c r="K3500" s="23"/>
      <c r="M3500" s="23"/>
      <c r="N3500" s="23"/>
      <c r="P3500" s="23"/>
    </row>
    <row r="3501" spans="2:16" x14ac:dyDescent="0.25">
      <c r="B3501" s="23"/>
      <c r="E3501" s="23"/>
      <c r="G3501" s="23"/>
      <c r="H3501" s="23"/>
      <c r="J3501" s="23"/>
      <c r="K3501" s="23"/>
      <c r="M3501" s="23"/>
      <c r="N3501" s="23"/>
      <c r="P3501" s="23"/>
    </row>
    <row r="3502" spans="2:16" x14ac:dyDescent="0.25">
      <c r="B3502" s="23"/>
      <c r="E3502" s="23"/>
      <c r="G3502" s="23"/>
      <c r="H3502" s="23"/>
      <c r="J3502" s="23"/>
      <c r="K3502" s="23"/>
      <c r="M3502" s="23"/>
      <c r="N3502" s="23"/>
      <c r="P3502" s="23"/>
    </row>
    <row r="3503" spans="2:16" x14ac:dyDescent="0.25">
      <c r="B3503" s="23"/>
      <c r="E3503" s="23"/>
      <c r="G3503" s="23"/>
      <c r="H3503" s="23"/>
      <c r="J3503" s="23"/>
      <c r="K3503" s="23"/>
      <c r="M3503" s="23"/>
      <c r="N3503" s="23"/>
      <c r="P3503" s="23"/>
    </row>
    <row r="3504" spans="2:16" x14ac:dyDescent="0.25">
      <c r="B3504" s="23"/>
      <c r="E3504" s="23"/>
      <c r="G3504" s="23"/>
      <c r="H3504" s="23"/>
      <c r="J3504" s="23"/>
      <c r="K3504" s="23"/>
      <c r="M3504" s="23"/>
      <c r="N3504" s="23"/>
      <c r="P3504" s="23"/>
    </row>
    <row r="3505" spans="2:16" x14ac:dyDescent="0.25">
      <c r="B3505" s="23"/>
      <c r="E3505" s="23"/>
      <c r="G3505" s="23"/>
      <c r="H3505" s="23"/>
      <c r="J3505" s="23"/>
      <c r="K3505" s="23"/>
      <c r="M3505" s="23"/>
      <c r="N3505" s="23"/>
      <c r="P3505" s="23"/>
    </row>
    <row r="3506" spans="2:16" x14ac:dyDescent="0.25">
      <c r="B3506" s="23"/>
      <c r="E3506" s="23"/>
      <c r="G3506" s="23"/>
      <c r="H3506" s="23"/>
      <c r="J3506" s="23"/>
      <c r="K3506" s="23"/>
      <c r="M3506" s="23"/>
      <c r="N3506" s="23"/>
      <c r="P3506" s="23"/>
    </row>
    <row r="3507" spans="2:16" x14ac:dyDescent="0.25">
      <c r="B3507" s="23"/>
      <c r="E3507" s="23"/>
      <c r="G3507" s="23"/>
      <c r="H3507" s="23"/>
      <c r="J3507" s="23"/>
      <c r="K3507" s="23"/>
      <c r="M3507" s="23"/>
      <c r="N3507" s="23"/>
      <c r="P3507" s="23"/>
    </row>
    <row r="3508" spans="2:16" x14ac:dyDescent="0.25">
      <c r="B3508" s="23"/>
      <c r="E3508" s="23"/>
      <c r="G3508" s="23"/>
      <c r="H3508" s="23"/>
      <c r="J3508" s="23"/>
      <c r="K3508" s="23"/>
      <c r="M3508" s="23"/>
      <c r="N3508" s="23"/>
      <c r="P3508" s="23"/>
    </row>
    <row r="3509" spans="2:16" x14ac:dyDescent="0.25">
      <c r="B3509" s="23"/>
      <c r="E3509" s="23"/>
      <c r="G3509" s="23"/>
      <c r="H3509" s="23"/>
      <c r="J3509" s="23"/>
      <c r="K3509" s="23"/>
      <c r="M3509" s="23"/>
      <c r="N3509" s="23"/>
      <c r="P3509" s="23"/>
    </row>
    <row r="3510" spans="2:16" x14ac:dyDescent="0.25">
      <c r="B3510" s="23"/>
      <c r="E3510" s="23"/>
      <c r="G3510" s="23"/>
      <c r="H3510" s="23"/>
      <c r="J3510" s="23"/>
      <c r="K3510" s="23"/>
      <c r="M3510" s="23"/>
      <c r="N3510" s="23"/>
      <c r="P3510" s="23"/>
    </row>
    <row r="3511" spans="2:16" x14ac:dyDescent="0.25">
      <c r="B3511" s="23"/>
      <c r="E3511" s="23"/>
      <c r="G3511" s="23"/>
      <c r="H3511" s="23"/>
      <c r="J3511" s="23"/>
      <c r="K3511" s="23"/>
      <c r="M3511" s="23"/>
      <c r="N3511" s="23"/>
      <c r="P3511" s="23"/>
    </row>
    <row r="3512" spans="2:16" x14ac:dyDescent="0.25">
      <c r="B3512" s="23"/>
      <c r="E3512" s="23"/>
      <c r="G3512" s="23"/>
      <c r="H3512" s="23"/>
      <c r="J3512" s="23"/>
      <c r="K3512" s="23"/>
      <c r="M3512" s="23"/>
      <c r="N3512" s="23"/>
      <c r="P3512" s="23"/>
    </row>
    <row r="3513" spans="2:16" x14ac:dyDescent="0.25">
      <c r="B3513" s="23"/>
      <c r="E3513" s="23"/>
      <c r="G3513" s="23"/>
      <c r="H3513" s="23"/>
      <c r="J3513" s="23"/>
      <c r="K3513" s="23"/>
      <c r="M3513" s="23"/>
      <c r="N3513" s="23"/>
      <c r="P3513" s="23"/>
    </row>
    <row r="3514" spans="2:16" x14ac:dyDescent="0.25">
      <c r="B3514" s="23"/>
      <c r="E3514" s="23"/>
      <c r="G3514" s="23"/>
      <c r="H3514" s="23"/>
      <c r="J3514" s="23"/>
      <c r="K3514" s="23"/>
      <c r="M3514" s="23"/>
      <c r="N3514" s="23"/>
      <c r="P3514" s="23"/>
    </row>
    <row r="3515" spans="2:16" x14ac:dyDescent="0.25">
      <c r="B3515" s="23"/>
      <c r="E3515" s="23"/>
      <c r="G3515" s="23"/>
      <c r="H3515" s="23"/>
      <c r="J3515" s="23"/>
      <c r="K3515" s="23"/>
      <c r="M3515" s="23"/>
      <c r="N3515" s="23"/>
      <c r="P3515" s="23"/>
    </row>
    <row r="3516" spans="2:16" x14ac:dyDescent="0.25">
      <c r="B3516" s="23"/>
      <c r="E3516" s="23"/>
      <c r="G3516" s="23"/>
      <c r="H3516" s="23"/>
      <c r="J3516" s="23"/>
      <c r="K3516" s="23"/>
      <c r="M3516" s="23"/>
      <c r="N3516" s="23"/>
      <c r="P3516" s="23"/>
    </row>
    <row r="3517" spans="2:16" x14ac:dyDescent="0.25">
      <c r="B3517" s="23"/>
      <c r="E3517" s="23"/>
      <c r="G3517" s="23"/>
      <c r="H3517" s="23"/>
      <c r="J3517" s="23"/>
      <c r="K3517" s="23"/>
      <c r="M3517" s="23"/>
      <c r="N3517" s="23"/>
      <c r="P3517" s="23"/>
    </row>
    <row r="3518" spans="2:16" x14ac:dyDescent="0.25">
      <c r="B3518" s="23"/>
      <c r="E3518" s="23"/>
      <c r="G3518" s="23"/>
      <c r="H3518" s="23"/>
      <c r="J3518" s="23"/>
      <c r="K3518" s="23"/>
      <c r="M3518" s="23"/>
      <c r="N3518" s="23"/>
      <c r="P3518" s="23"/>
    </row>
    <row r="3519" spans="2:16" x14ac:dyDescent="0.25">
      <c r="B3519" s="23"/>
      <c r="E3519" s="23"/>
      <c r="G3519" s="23"/>
      <c r="H3519" s="23"/>
      <c r="J3519" s="23"/>
      <c r="K3519" s="23"/>
      <c r="M3519" s="23"/>
      <c r="N3519" s="23"/>
      <c r="P3519" s="23"/>
    </row>
    <row r="3520" spans="2:16" x14ac:dyDescent="0.25">
      <c r="B3520" s="23"/>
      <c r="E3520" s="23"/>
      <c r="G3520" s="23"/>
      <c r="H3520" s="23"/>
      <c r="J3520" s="23"/>
      <c r="K3520" s="23"/>
      <c r="M3520" s="23"/>
      <c r="N3520" s="23"/>
      <c r="P3520" s="23"/>
    </row>
    <row r="3521" spans="2:16" x14ac:dyDescent="0.25">
      <c r="B3521" s="23"/>
      <c r="E3521" s="23"/>
      <c r="G3521" s="23"/>
      <c r="H3521" s="23"/>
      <c r="J3521" s="23"/>
      <c r="K3521" s="23"/>
      <c r="M3521" s="23"/>
      <c r="N3521" s="23"/>
      <c r="P3521" s="23"/>
    </row>
    <row r="3522" spans="2:16" x14ac:dyDescent="0.25">
      <c r="B3522" s="23"/>
      <c r="E3522" s="23"/>
      <c r="G3522" s="23"/>
      <c r="H3522" s="23"/>
      <c r="J3522" s="23"/>
      <c r="K3522" s="23"/>
      <c r="M3522" s="23"/>
      <c r="N3522" s="23"/>
      <c r="P3522" s="23"/>
    </row>
    <row r="3523" spans="2:16" x14ac:dyDescent="0.25">
      <c r="B3523" s="23"/>
      <c r="E3523" s="23"/>
      <c r="G3523" s="23"/>
      <c r="H3523" s="23"/>
      <c r="J3523" s="23"/>
      <c r="K3523" s="23"/>
      <c r="M3523" s="23"/>
      <c r="N3523" s="23"/>
      <c r="P3523" s="23"/>
    </row>
    <row r="3524" spans="2:16" x14ac:dyDescent="0.25">
      <c r="B3524" s="23"/>
      <c r="E3524" s="23"/>
      <c r="G3524" s="23"/>
      <c r="H3524" s="23"/>
      <c r="J3524" s="23"/>
      <c r="K3524" s="23"/>
      <c r="M3524" s="23"/>
      <c r="N3524" s="23"/>
      <c r="P3524" s="23"/>
    </row>
    <row r="3525" spans="2:16" x14ac:dyDescent="0.25">
      <c r="B3525" s="23"/>
      <c r="E3525" s="23"/>
      <c r="G3525" s="23"/>
      <c r="H3525" s="23"/>
      <c r="J3525" s="23"/>
      <c r="K3525" s="23"/>
      <c r="M3525" s="23"/>
      <c r="N3525" s="23"/>
      <c r="P3525" s="23"/>
    </row>
    <row r="3526" spans="2:16" x14ac:dyDescent="0.25">
      <c r="B3526" s="23"/>
      <c r="E3526" s="23"/>
      <c r="G3526" s="23"/>
      <c r="H3526" s="23"/>
      <c r="J3526" s="23"/>
      <c r="K3526" s="23"/>
      <c r="M3526" s="23"/>
      <c r="N3526" s="23"/>
      <c r="P3526" s="23"/>
    </row>
    <row r="3527" spans="2:16" x14ac:dyDescent="0.25">
      <c r="B3527" s="23"/>
      <c r="E3527" s="23"/>
      <c r="G3527" s="23"/>
      <c r="H3527" s="23"/>
      <c r="J3527" s="23"/>
      <c r="K3527" s="23"/>
      <c r="M3527" s="23"/>
      <c r="N3527" s="23"/>
      <c r="P3527" s="23"/>
    </row>
    <row r="3528" spans="2:16" x14ac:dyDescent="0.25">
      <c r="B3528" s="23"/>
      <c r="E3528" s="23"/>
      <c r="G3528" s="23"/>
      <c r="H3528" s="23"/>
      <c r="J3528" s="23"/>
      <c r="K3528" s="23"/>
      <c r="M3528" s="23"/>
      <c r="N3528" s="23"/>
      <c r="P3528" s="23"/>
    </row>
    <row r="3529" spans="2:16" x14ac:dyDescent="0.25">
      <c r="B3529" s="23"/>
      <c r="E3529" s="23"/>
      <c r="G3529" s="23"/>
      <c r="H3529" s="23"/>
      <c r="J3529" s="23"/>
      <c r="K3529" s="23"/>
      <c r="M3529" s="23"/>
      <c r="N3529" s="23"/>
      <c r="P3529" s="23"/>
    </row>
    <row r="3530" spans="2:16" x14ac:dyDescent="0.25">
      <c r="B3530" s="23"/>
      <c r="E3530" s="23"/>
      <c r="G3530" s="23"/>
      <c r="H3530" s="23"/>
      <c r="J3530" s="23"/>
      <c r="K3530" s="23"/>
      <c r="M3530" s="23"/>
      <c r="N3530" s="23"/>
      <c r="P3530" s="23"/>
    </row>
    <row r="3531" spans="2:16" x14ac:dyDescent="0.25">
      <c r="B3531" s="23"/>
      <c r="E3531" s="23"/>
      <c r="G3531" s="23"/>
      <c r="H3531" s="23"/>
      <c r="J3531" s="23"/>
      <c r="K3531" s="23"/>
      <c r="M3531" s="23"/>
      <c r="N3531" s="23"/>
      <c r="P3531" s="23"/>
    </row>
    <row r="3532" spans="2:16" x14ac:dyDescent="0.25">
      <c r="B3532" s="23"/>
      <c r="E3532" s="23"/>
      <c r="G3532" s="23"/>
      <c r="H3532" s="23"/>
      <c r="J3532" s="23"/>
      <c r="K3532" s="23"/>
      <c r="M3532" s="23"/>
      <c r="N3532" s="23"/>
      <c r="P3532" s="23"/>
    </row>
    <row r="3533" spans="2:16" x14ac:dyDescent="0.25">
      <c r="B3533" s="23"/>
      <c r="E3533" s="23"/>
      <c r="G3533" s="23"/>
      <c r="H3533" s="23"/>
      <c r="J3533" s="23"/>
      <c r="K3533" s="23"/>
      <c r="M3533" s="23"/>
      <c r="N3533" s="23"/>
      <c r="P3533" s="23"/>
    </row>
    <row r="3534" spans="2:16" x14ac:dyDescent="0.25">
      <c r="B3534" s="23"/>
      <c r="E3534" s="23"/>
      <c r="G3534" s="23"/>
      <c r="H3534" s="23"/>
      <c r="J3534" s="23"/>
      <c r="K3534" s="23"/>
      <c r="M3534" s="23"/>
      <c r="N3534" s="23"/>
      <c r="P3534" s="23"/>
    </row>
    <row r="3535" spans="2:16" x14ac:dyDescent="0.25">
      <c r="B3535" s="23"/>
      <c r="E3535" s="23"/>
      <c r="G3535" s="23"/>
      <c r="H3535" s="23"/>
      <c r="J3535" s="23"/>
      <c r="K3535" s="23"/>
      <c r="M3535" s="23"/>
      <c r="N3535" s="23"/>
      <c r="P3535" s="23"/>
    </row>
    <row r="3536" spans="2:16" x14ac:dyDescent="0.25">
      <c r="B3536" s="23"/>
      <c r="E3536" s="23"/>
      <c r="G3536" s="23"/>
      <c r="H3536" s="23"/>
      <c r="J3536" s="23"/>
      <c r="K3536" s="23"/>
      <c r="M3536" s="23"/>
      <c r="N3536" s="23"/>
      <c r="P3536" s="23"/>
    </row>
    <row r="3537" spans="2:16" x14ac:dyDescent="0.25">
      <c r="B3537" s="23"/>
      <c r="E3537" s="23"/>
      <c r="G3537" s="23"/>
      <c r="H3537" s="23"/>
      <c r="J3537" s="23"/>
      <c r="K3537" s="23"/>
      <c r="M3537" s="23"/>
      <c r="N3537" s="23"/>
      <c r="P3537" s="23"/>
    </row>
    <row r="3538" spans="2:16" x14ac:dyDescent="0.25">
      <c r="B3538" s="23"/>
      <c r="E3538" s="23"/>
      <c r="G3538" s="23"/>
      <c r="H3538" s="23"/>
      <c r="J3538" s="23"/>
      <c r="K3538" s="23"/>
      <c r="M3538" s="23"/>
      <c r="N3538" s="23"/>
      <c r="P3538" s="23"/>
    </row>
    <row r="3539" spans="2:16" x14ac:dyDescent="0.25">
      <c r="B3539" s="23"/>
      <c r="E3539" s="23"/>
      <c r="G3539" s="23"/>
      <c r="H3539" s="23"/>
      <c r="J3539" s="23"/>
      <c r="K3539" s="23"/>
      <c r="M3539" s="23"/>
      <c r="N3539" s="23"/>
      <c r="P3539" s="23"/>
    </row>
    <row r="3540" spans="2:16" x14ac:dyDescent="0.25">
      <c r="B3540" s="23"/>
      <c r="E3540" s="23"/>
      <c r="G3540" s="23"/>
      <c r="H3540" s="23"/>
      <c r="J3540" s="23"/>
      <c r="K3540" s="23"/>
      <c r="M3540" s="23"/>
      <c r="N3540" s="23"/>
      <c r="P3540" s="23"/>
    </row>
    <row r="3541" spans="2:16" x14ac:dyDescent="0.25">
      <c r="B3541" s="23"/>
      <c r="E3541" s="23"/>
      <c r="G3541" s="23"/>
      <c r="H3541" s="23"/>
      <c r="J3541" s="23"/>
      <c r="K3541" s="23"/>
      <c r="M3541" s="23"/>
      <c r="N3541" s="23"/>
      <c r="P3541" s="23"/>
    </row>
    <row r="3542" spans="2:16" x14ac:dyDescent="0.25">
      <c r="B3542" s="23"/>
      <c r="E3542" s="23"/>
      <c r="G3542" s="23"/>
      <c r="H3542" s="23"/>
      <c r="J3542" s="23"/>
      <c r="K3542" s="23"/>
      <c r="M3542" s="23"/>
      <c r="N3542" s="23"/>
      <c r="P3542" s="23"/>
    </row>
    <row r="3543" spans="2:16" x14ac:dyDescent="0.25">
      <c r="B3543" s="23"/>
      <c r="E3543" s="23"/>
      <c r="G3543" s="23"/>
      <c r="H3543" s="23"/>
      <c r="J3543" s="23"/>
      <c r="K3543" s="23"/>
      <c r="M3543" s="23"/>
      <c r="N3543" s="23"/>
      <c r="P3543" s="23"/>
    </row>
    <row r="3544" spans="2:16" x14ac:dyDescent="0.25">
      <c r="B3544" s="23"/>
      <c r="E3544" s="23"/>
      <c r="G3544" s="23"/>
      <c r="H3544" s="23"/>
      <c r="J3544" s="23"/>
      <c r="K3544" s="23"/>
      <c r="M3544" s="23"/>
      <c r="N3544" s="23"/>
      <c r="P3544" s="23"/>
    </row>
    <row r="3545" spans="2:16" x14ac:dyDescent="0.25">
      <c r="B3545" s="23"/>
      <c r="E3545" s="23"/>
      <c r="G3545" s="23"/>
      <c r="H3545" s="23"/>
      <c r="J3545" s="23"/>
      <c r="K3545" s="23"/>
      <c r="M3545" s="23"/>
      <c r="N3545" s="23"/>
      <c r="P3545" s="23"/>
    </row>
    <row r="3546" spans="2:16" x14ac:dyDescent="0.25">
      <c r="B3546" s="23"/>
      <c r="E3546" s="23"/>
      <c r="G3546" s="23"/>
      <c r="H3546" s="23"/>
      <c r="J3546" s="23"/>
      <c r="K3546" s="23"/>
      <c r="M3546" s="23"/>
      <c r="N3546" s="23"/>
      <c r="P3546" s="23"/>
    </row>
    <row r="3547" spans="2:16" x14ac:dyDescent="0.25">
      <c r="B3547" s="23"/>
      <c r="E3547" s="23"/>
      <c r="G3547" s="23"/>
      <c r="H3547" s="23"/>
      <c r="J3547" s="23"/>
      <c r="K3547" s="23"/>
      <c r="M3547" s="23"/>
      <c r="N3547" s="23"/>
      <c r="P3547" s="23"/>
    </row>
    <row r="3548" spans="2:16" x14ac:dyDescent="0.25">
      <c r="B3548" s="23"/>
      <c r="E3548" s="23"/>
      <c r="G3548" s="23"/>
      <c r="H3548" s="23"/>
      <c r="J3548" s="23"/>
      <c r="K3548" s="23"/>
      <c r="M3548" s="23"/>
      <c r="N3548" s="23"/>
      <c r="P3548" s="23"/>
    </row>
    <row r="3549" spans="2:16" x14ac:dyDescent="0.25">
      <c r="B3549" s="23"/>
      <c r="E3549" s="23"/>
      <c r="G3549" s="23"/>
      <c r="H3549" s="23"/>
      <c r="J3549" s="23"/>
      <c r="K3549" s="23"/>
      <c r="M3549" s="23"/>
      <c r="N3549" s="23"/>
      <c r="P3549" s="23"/>
    </row>
    <row r="3550" spans="2:16" x14ac:dyDescent="0.25">
      <c r="B3550" s="23"/>
      <c r="E3550" s="23"/>
      <c r="G3550" s="23"/>
      <c r="H3550" s="23"/>
      <c r="J3550" s="23"/>
      <c r="K3550" s="23"/>
      <c r="M3550" s="23"/>
      <c r="N3550" s="23"/>
      <c r="P3550" s="23"/>
    </row>
    <row r="3551" spans="2:16" x14ac:dyDescent="0.25">
      <c r="B3551" s="23"/>
      <c r="E3551" s="23"/>
      <c r="G3551" s="23"/>
      <c r="H3551" s="23"/>
      <c r="J3551" s="23"/>
      <c r="K3551" s="23"/>
      <c r="M3551" s="23"/>
      <c r="N3551" s="23"/>
      <c r="P3551" s="23"/>
    </row>
    <row r="3552" spans="2:16" x14ac:dyDescent="0.25">
      <c r="B3552" s="23"/>
      <c r="E3552" s="23"/>
      <c r="G3552" s="23"/>
      <c r="H3552" s="23"/>
      <c r="J3552" s="23"/>
      <c r="K3552" s="23"/>
      <c r="M3552" s="23"/>
      <c r="N3552" s="23"/>
      <c r="P3552" s="23"/>
    </row>
    <row r="3553" spans="2:16" x14ac:dyDescent="0.25">
      <c r="B3553" s="23"/>
      <c r="E3553" s="23"/>
      <c r="G3553" s="23"/>
      <c r="H3553" s="23"/>
      <c r="J3553" s="23"/>
      <c r="K3553" s="23"/>
      <c r="M3553" s="23"/>
      <c r="N3553" s="23"/>
      <c r="P3553" s="23"/>
    </row>
    <row r="3554" spans="2:16" x14ac:dyDescent="0.25">
      <c r="B3554" s="23"/>
      <c r="E3554" s="23"/>
      <c r="G3554" s="23"/>
      <c r="H3554" s="23"/>
      <c r="J3554" s="23"/>
      <c r="K3554" s="23"/>
      <c r="M3554" s="23"/>
      <c r="N3554" s="23"/>
      <c r="P3554" s="23"/>
    </row>
    <row r="3555" spans="2:16" x14ac:dyDescent="0.25">
      <c r="B3555" s="23"/>
      <c r="E3555" s="23"/>
      <c r="G3555" s="23"/>
      <c r="H3555" s="23"/>
      <c r="J3555" s="23"/>
      <c r="K3555" s="23"/>
      <c r="M3555" s="23"/>
      <c r="N3555" s="23"/>
      <c r="P3555" s="23"/>
    </row>
    <row r="3556" spans="2:16" x14ac:dyDescent="0.25">
      <c r="B3556" s="23"/>
      <c r="E3556" s="23"/>
      <c r="G3556" s="23"/>
      <c r="H3556" s="23"/>
      <c r="J3556" s="23"/>
      <c r="K3556" s="23"/>
      <c r="M3556" s="23"/>
      <c r="N3556" s="23"/>
      <c r="P3556" s="23"/>
    </row>
    <row r="3557" spans="2:16" x14ac:dyDescent="0.25">
      <c r="B3557" s="23"/>
      <c r="E3557" s="23"/>
      <c r="G3557" s="23"/>
      <c r="H3557" s="23"/>
      <c r="J3557" s="23"/>
      <c r="K3557" s="23"/>
      <c r="M3557" s="23"/>
      <c r="N3557" s="23"/>
      <c r="P3557" s="23"/>
    </row>
    <row r="3558" spans="2:16" x14ac:dyDescent="0.25">
      <c r="B3558" s="23"/>
      <c r="E3558" s="23"/>
      <c r="G3558" s="23"/>
      <c r="H3558" s="23"/>
      <c r="J3558" s="23"/>
      <c r="K3558" s="23"/>
      <c r="M3558" s="23"/>
      <c r="N3558" s="23"/>
      <c r="P3558" s="23"/>
    </row>
    <row r="3559" spans="2:16" x14ac:dyDescent="0.25">
      <c r="B3559" s="23"/>
      <c r="E3559" s="23"/>
      <c r="G3559" s="23"/>
      <c r="H3559" s="23"/>
      <c r="J3559" s="23"/>
      <c r="K3559" s="23"/>
      <c r="M3559" s="23"/>
      <c r="N3559" s="23"/>
      <c r="P3559" s="23"/>
    </row>
    <row r="3560" spans="2:16" x14ac:dyDescent="0.25">
      <c r="B3560" s="23"/>
      <c r="E3560" s="23"/>
      <c r="G3560" s="23"/>
      <c r="H3560" s="23"/>
      <c r="J3560" s="23"/>
      <c r="K3560" s="23"/>
      <c r="M3560" s="23"/>
      <c r="N3560" s="23"/>
      <c r="P3560" s="23"/>
    </row>
    <row r="3561" spans="2:16" x14ac:dyDescent="0.25">
      <c r="B3561" s="23"/>
      <c r="E3561" s="23"/>
      <c r="G3561" s="23"/>
      <c r="H3561" s="23"/>
      <c r="J3561" s="23"/>
      <c r="K3561" s="23"/>
      <c r="M3561" s="23"/>
      <c r="N3561" s="23"/>
      <c r="P3561" s="23"/>
    </row>
    <row r="3562" spans="2:16" x14ac:dyDescent="0.25">
      <c r="B3562" s="23"/>
      <c r="E3562" s="23"/>
      <c r="G3562" s="23"/>
      <c r="H3562" s="23"/>
      <c r="J3562" s="23"/>
      <c r="K3562" s="23"/>
      <c r="M3562" s="23"/>
      <c r="N3562" s="23"/>
      <c r="P3562" s="23"/>
    </row>
    <row r="3563" spans="2:16" x14ac:dyDescent="0.25">
      <c r="B3563" s="23"/>
      <c r="E3563" s="23"/>
      <c r="G3563" s="23"/>
      <c r="H3563" s="23"/>
      <c r="J3563" s="23"/>
      <c r="K3563" s="23"/>
      <c r="M3563" s="23"/>
      <c r="N3563" s="23"/>
      <c r="P3563" s="23"/>
    </row>
    <row r="3564" spans="2:16" x14ac:dyDescent="0.25">
      <c r="B3564" s="23"/>
      <c r="E3564" s="23"/>
      <c r="G3564" s="23"/>
      <c r="H3564" s="23"/>
      <c r="J3564" s="23"/>
      <c r="K3564" s="23"/>
      <c r="M3564" s="23"/>
      <c r="N3564" s="23"/>
      <c r="P3564" s="23"/>
    </row>
    <row r="3565" spans="2:16" x14ac:dyDescent="0.25">
      <c r="B3565" s="23"/>
      <c r="E3565" s="23"/>
      <c r="G3565" s="23"/>
      <c r="H3565" s="23"/>
      <c r="J3565" s="23"/>
      <c r="K3565" s="23"/>
      <c r="M3565" s="23"/>
      <c r="N3565" s="23"/>
      <c r="P3565" s="23"/>
    </row>
    <row r="3566" spans="2:16" x14ac:dyDescent="0.25">
      <c r="B3566" s="23"/>
      <c r="E3566" s="23"/>
      <c r="G3566" s="23"/>
      <c r="H3566" s="23"/>
      <c r="J3566" s="23"/>
      <c r="K3566" s="23"/>
      <c r="M3566" s="23"/>
      <c r="N3566" s="23"/>
      <c r="P3566" s="23"/>
    </row>
    <row r="3567" spans="2:16" x14ac:dyDescent="0.25">
      <c r="B3567" s="23"/>
      <c r="E3567" s="23"/>
      <c r="G3567" s="23"/>
      <c r="H3567" s="23"/>
      <c r="J3567" s="23"/>
      <c r="K3567" s="23"/>
      <c r="M3567" s="23"/>
      <c r="N3567" s="23"/>
      <c r="P3567" s="23"/>
    </row>
    <row r="3568" spans="2:16" x14ac:dyDescent="0.25">
      <c r="B3568" s="23"/>
      <c r="E3568" s="23"/>
      <c r="G3568" s="23"/>
      <c r="H3568" s="23"/>
      <c r="J3568" s="23"/>
      <c r="K3568" s="23"/>
      <c r="M3568" s="23"/>
      <c r="N3568" s="23"/>
      <c r="P3568" s="23"/>
    </row>
    <row r="3569" spans="2:16" x14ac:dyDescent="0.25">
      <c r="B3569" s="23"/>
      <c r="E3569" s="23"/>
      <c r="G3569" s="23"/>
      <c r="H3569" s="23"/>
      <c r="J3569" s="23"/>
      <c r="K3569" s="23"/>
      <c r="M3569" s="23"/>
      <c r="N3569" s="23"/>
      <c r="P3569" s="23"/>
    </row>
    <row r="3570" spans="2:16" x14ac:dyDescent="0.25">
      <c r="B3570" s="23"/>
      <c r="E3570" s="23"/>
      <c r="G3570" s="23"/>
      <c r="H3570" s="23"/>
      <c r="J3570" s="23"/>
      <c r="K3570" s="23"/>
      <c r="M3570" s="23"/>
      <c r="N3570" s="23"/>
      <c r="P3570" s="23"/>
    </row>
    <row r="3571" spans="2:16" x14ac:dyDescent="0.25">
      <c r="B3571" s="23"/>
      <c r="E3571" s="23"/>
      <c r="G3571" s="23"/>
      <c r="H3571" s="23"/>
      <c r="J3571" s="23"/>
      <c r="K3571" s="23"/>
      <c r="M3571" s="23"/>
      <c r="N3571" s="23"/>
      <c r="P3571" s="23"/>
    </row>
    <row r="3572" spans="2:16" x14ac:dyDescent="0.25">
      <c r="B3572" s="23"/>
      <c r="E3572" s="23"/>
      <c r="G3572" s="23"/>
      <c r="H3572" s="23"/>
      <c r="J3572" s="23"/>
      <c r="K3572" s="23"/>
      <c r="M3572" s="23"/>
      <c r="N3572" s="23"/>
      <c r="P3572" s="23"/>
    </row>
    <row r="3573" spans="2:16" x14ac:dyDescent="0.25">
      <c r="B3573" s="23"/>
      <c r="E3573" s="23"/>
      <c r="G3573" s="23"/>
      <c r="H3573" s="23"/>
      <c r="J3573" s="23"/>
      <c r="K3573" s="23"/>
      <c r="M3573" s="23"/>
      <c r="N3573" s="23"/>
      <c r="P3573" s="23"/>
    </row>
    <row r="3574" spans="2:16" x14ac:dyDescent="0.25">
      <c r="B3574" s="23"/>
      <c r="E3574" s="23"/>
      <c r="G3574" s="23"/>
      <c r="H3574" s="23"/>
      <c r="J3574" s="23"/>
      <c r="K3574" s="23"/>
      <c r="M3574" s="23"/>
      <c r="N3574" s="23"/>
      <c r="P3574" s="23"/>
    </row>
    <row r="3575" spans="2:16" x14ac:dyDescent="0.25">
      <c r="B3575" s="23"/>
      <c r="E3575" s="23"/>
      <c r="G3575" s="23"/>
      <c r="H3575" s="23"/>
      <c r="J3575" s="23"/>
      <c r="K3575" s="23"/>
      <c r="M3575" s="23"/>
      <c r="N3575" s="23"/>
      <c r="P3575" s="23"/>
    </row>
    <row r="3576" spans="2:16" x14ac:dyDescent="0.25">
      <c r="B3576" s="23"/>
      <c r="E3576" s="23"/>
      <c r="G3576" s="23"/>
      <c r="H3576" s="23"/>
      <c r="J3576" s="23"/>
      <c r="K3576" s="23"/>
      <c r="M3576" s="23"/>
      <c r="N3576" s="23"/>
      <c r="P3576" s="23"/>
    </row>
    <row r="3577" spans="2:16" x14ac:dyDescent="0.25">
      <c r="B3577" s="23"/>
      <c r="E3577" s="23"/>
      <c r="G3577" s="23"/>
      <c r="H3577" s="23"/>
      <c r="J3577" s="23"/>
      <c r="K3577" s="23"/>
      <c r="M3577" s="23"/>
      <c r="N3577" s="23"/>
      <c r="P3577" s="23"/>
    </row>
    <row r="3578" spans="2:16" x14ac:dyDescent="0.25">
      <c r="B3578" s="23"/>
      <c r="E3578" s="23"/>
      <c r="G3578" s="23"/>
      <c r="H3578" s="23"/>
      <c r="J3578" s="23"/>
      <c r="K3578" s="23"/>
      <c r="M3578" s="23"/>
      <c r="N3578" s="23"/>
      <c r="P3578" s="23"/>
    </row>
    <row r="3579" spans="2:16" x14ac:dyDescent="0.25">
      <c r="B3579" s="23"/>
      <c r="E3579" s="23"/>
      <c r="G3579" s="23"/>
      <c r="H3579" s="23"/>
      <c r="J3579" s="23"/>
      <c r="K3579" s="23"/>
      <c r="M3579" s="23"/>
      <c r="N3579" s="23"/>
      <c r="P3579" s="23"/>
    </row>
    <row r="3580" spans="2:16" x14ac:dyDescent="0.25">
      <c r="B3580" s="23"/>
      <c r="E3580" s="23"/>
      <c r="G3580" s="23"/>
      <c r="H3580" s="23"/>
      <c r="J3580" s="23"/>
      <c r="K3580" s="23"/>
      <c r="M3580" s="23"/>
      <c r="N3580" s="23"/>
      <c r="P3580" s="23"/>
    </row>
    <row r="3581" spans="2:16" x14ac:dyDescent="0.25">
      <c r="B3581" s="23"/>
      <c r="E3581" s="23"/>
      <c r="G3581" s="23"/>
      <c r="H3581" s="23"/>
      <c r="J3581" s="23"/>
      <c r="K3581" s="23"/>
      <c r="M3581" s="23"/>
      <c r="N3581" s="23"/>
      <c r="P3581" s="23"/>
    </row>
    <row r="3582" spans="2:16" x14ac:dyDescent="0.25">
      <c r="B3582" s="23"/>
      <c r="E3582" s="23"/>
      <c r="G3582" s="23"/>
      <c r="H3582" s="23"/>
      <c r="J3582" s="23"/>
      <c r="K3582" s="23"/>
      <c r="M3582" s="23"/>
      <c r="N3582" s="23"/>
      <c r="P3582" s="23"/>
    </row>
    <row r="3583" spans="2:16" x14ac:dyDescent="0.25">
      <c r="B3583" s="23"/>
      <c r="E3583" s="23"/>
      <c r="G3583" s="23"/>
      <c r="H3583" s="23"/>
      <c r="J3583" s="23"/>
      <c r="K3583" s="23"/>
      <c r="M3583" s="23"/>
      <c r="N3583" s="23"/>
      <c r="P3583" s="23"/>
    </row>
    <row r="3584" spans="2:16" x14ac:dyDescent="0.25">
      <c r="B3584" s="23"/>
      <c r="E3584" s="23"/>
      <c r="G3584" s="23"/>
      <c r="H3584" s="23"/>
      <c r="J3584" s="23"/>
      <c r="K3584" s="23"/>
      <c r="M3584" s="23"/>
      <c r="N3584" s="23"/>
      <c r="P3584" s="23"/>
    </row>
    <row r="3585" spans="2:16" x14ac:dyDescent="0.25">
      <c r="B3585" s="23"/>
      <c r="E3585" s="23"/>
      <c r="G3585" s="23"/>
      <c r="H3585" s="23"/>
      <c r="J3585" s="23"/>
      <c r="K3585" s="23"/>
      <c r="M3585" s="23"/>
      <c r="N3585" s="23"/>
      <c r="P3585" s="23"/>
    </row>
    <row r="3586" spans="2:16" x14ac:dyDescent="0.25">
      <c r="B3586" s="23"/>
      <c r="E3586" s="23"/>
      <c r="G3586" s="23"/>
      <c r="H3586" s="23"/>
      <c r="J3586" s="23"/>
      <c r="K3586" s="23"/>
      <c r="M3586" s="23"/>
      <c r="N3586" s="23"/>
      <c r="P3586" s="23"/>
    </row>
    <row r="3587" spans="2:16" x14ac:dyDescent="0.25">
      <c r="B3587" s="23"/>
      <c r="E3587" s="23"/>
      <c r="G3587" s="23"/>
      <c r="H3587" s="23"/>
      <c r="J3587" s="23"/>
      <c r="K3587" s="23"/>
      <c r="M3587" s="23"/>
      <c r="N3587" s="23"/>
      <c r="P3587" s="23"/>
    </row>
    <row r="3588" spans="2:16" x14ac:dyDescent="0.25">
      <c r="B3588" s="23"/>
      <c r="E3588" s="23"/>
      <c r="G3588" s="23"/>
      <c r="H3588" s="23"/>
      <c r="J3588" s="23"/>
      <c r="K3588" s="23"/>
      <c r="M3588" s="23"/>
      <c r="N3588" s="23"/>
      <c r="P3588" s="23"/>
    </row>
    <row r="3589" spans="2:16" x14ac:dyDescent="0.25">
      <c r="B3589" s="23"/>
      <c r="E3589" s="23"/>
      <c r="G3589" s="23"/>
      <c r="H3589" s="23"/>
      <c r="J3589" s="23"/>
      <c r="K3589" s="23"/>
      <c r="M3589" s="23"/>
      <c r="N3589" s="23"/>
      <c r="P3589" s="23"/>
    </row>
    <row r="3590" spans="2:16" x14ac:dyDescent="0.25">
      <c r="B3590" s="23"/>
      <c r="E3590" s="23"/>
      <c r="G3590" s="23"/>
      <c r="H3590" s="23"/>
      <c r="J3590" s="23"/>
      <c r="K3590" s="23"/>
      <c r="M3590" s="23"/>
      <c r="N3590" s="23"/>
      <c r="P3590" s="23"/>
    </row>
    <row r="3591" spans="2:16" x14ac:dyDescent="0.25">
      <c r="B3591" s="23"/>
      <c r="E3591" s="23"/>
      <c r="G3591" s="23"/>
      <c r="H3591" s="23"/>
      <c r="J3591" s="23"/>
      <c r="K3591" s="23"/>
      <c r="M3591" s="23"/>
      <c r="N3591" s="23"/>
      <c r="P3591" s="23"/>
    </row>
    <row r="3592" spans="2:16" x14ac:dyDescent="0.25">
      <c r="B3592" s="23"/>
      <c r="E3592" s="23"/>
      <c r="G3592" s="23"/>
      <c r="H3592" s="23"/>
      <c r="J3592" s="23"/>
      <c r="K3592" s="23"/>
      <c r="M3592" s="23"/>
      <c r="N3592" s="23"/>
      <c r="P3592" s="23"/>
    </row>
    <row r="3593" spans="2:16" x14ac:dyDescent="0.25">
      <c r="B3593" s="23"/>
      <c r="E3593" s="23"/>
      <c r="G3593" s="23"/>
      <c r="H3593" s="23"/>
      <c r="J3593" s="23"/>
      <c r="K3593" s="23"/>
      <c r="M3593" s="23"/>
      <c r="N3593" s="23"/>
      <c r="P3593" s="23"/>
    </row>
    <row r="3594" spans="2:16" x14ac:dyDescent="0.25">
      <c r="B3594" s="23"/>
      <c r="E3594" s="23"/>
      <c r="G3594" s="23"/>
      <c r="H3594" s="23"/>
      <c r="J3594" s="23"/>
      <c r="K3594" s="23"/>
      <c r="M3594" s="23"/>
      <c r="N3594" s="23"/>
      <c r="P3594" s="23"/>
    </row>
    <row r="3595" spans="2:16" x14ac:dyDescent="0.25">
      <c r="B3595" s="23"/>
      <c r="E3595" s="23"/>
      <c r="G3595" s="23"/>
      <c r="H3595" s="23"/>
      <c r="J3595" s="23"/>
      <c r="K3595" s="23"/>
      <c r="M3595" s="23"/>
      <c r="N3595" s="23"/>
      <c r="P3595" s="23"/>
    </row>
    <row r="3596" spans="2:16" x14ac:dyDescent="0.25">
      <c r="B3596" s="23"/>
      <c r="E3596" s="23"/>
      <c r="G3596" s="23"/>
      <c r="H3596" s="23"/>
      <c r="J3596" s="23"/>
      <c r="K3596" s="23"/>
      <c r="M3596" s="23"/>
      <c r="N3596" s="23"/>
      <c r="P3596" s="23"/>
    </row>
    <row r="3597" spans="2:16" x14ac:dyDescent="0.25">
      <c r="B3597" s="23"/>
      <c r="E3597" s="23"/>
      <c r="G3597" s="23"/>
      <c r="H3597" s="23"/>
      <c r="J3597" s="23"/>
      <c r="K3597" s="23"/>
      <c r="M3597" s="23"/>
      <c r="N3597" s="23"/>
      <c r="P3597" s="23"/>
    </row>
    <row r="3598" spans="2:16" x14ac:dyDescent="0.25">
      <c r="B3598" s="23"/>
      <c r="E3598" s="23"/>
      <c r="G3598" s="23"/>
      <c r="H3598" s="23"/>
      <c r="J3598" s="23"/>
      <c r="K3598" s="23"/>
      <c r="M3598" s="23"/>
      <c r="N3598" s="23"/>
      <c r="P3598" s="23"/>
    </row>
    <row r="3599" spans="2:16" x14ac:dyDescent="0.25">
      <c r="B3599" s="23"/>
      <c r="E3599" s="23"/>
      <c r="G3599" s="23"/>
      <c r="H3599" s="23"/>
      <c r="J3599" s="23"/>
      <c r="K3599" s="23"/>
      <c r="M3599" s="23"/>
      <c r="N3599" s="23"/>
      <c r="P3599" s="23"/>
    </row>
    <row r="3600" spans="2:16" x14ac:dyDescent="0.25">
      <c r="B3600" s="23"/>
      <c r="E3600" s="23"/>
      <c r="G3600" s="23"/>
      <c r="H3600" s="23"/>
      <c r="J3600" s="23"/>
      <c r="K3600" s="23"/>
      <c r="M3600" s="23"/>
      <c r="N3600" s="23"/>
      <c r="P3600" s="23"/>
    </row>
    <row r="3601" spans="2:16" x14ac:dyDescent="0.25">
      <c r="B3601" s="23"/>
      <c r="E3601" s="23"/>
      <c r="G3601" s="23"/>
      <c r="H3601" s="23"/>
      <c r="J3601" s="23"/>
      <c r="K3601" s="23"/>
      <c r="M3601" s="23"/>
      <c r="N3601" s="23"/>
      <c r="P3601" s="23"/>
    </row>
    <row r="3602" spans="2:16" x14ac:dyDescent="0.25">
      <c r="B3602" s="23"/>
      <c r="E3602" s="23"/>
      <c r="G3602" s="23"/>
      <c r="H3602" s="23"/>
      <c r="J3602" s="23"/>
      <c r="K3602" s="23"/>
      <c r="M3602" s="23"/>
      <c r="N3602" s="23"/>
      <c r="P3602" s="23"/>
    </row>
    <row r="3603" spans="2:16" x14ac:dyDescent="0.25">
      <c r="B3603" s="23"/>
      <c r="E3603" s="23"/>
      <c r="G3603" s="23"/>
      <c r="H3603" s="23"/>
      <c r="J3603" s="23"/>
      <c r="K3603" s="23"/>
      <c r="M3603" s="23"/>
      <c r="N3603" s="23"/>
      <c r="P3603" s="23"/>
    </row>
    <row r="3604" spans="2:16" x14ac:dyDescent="0.25">
      <c r="B3604" s="23"/>
      <c r="E3604" s="23"/>
      <c r="G3604" s="23"/>
      <c r="H3604" s="23"/>
      <c r="J3604" s="23"/>
      <c r="K3604" s="23"/>
      <c r="M3604" s="23"/>
      <c r="N3604" s="23"/>
      <c r="P3604" s="23"/>
    </row>
    <row r="3605" spans="2:16" x14ac:dyDescent="0.25">
      <c r="B3605" s="23"/>
      <c r="E3605" s="23"/>
      <c r="G3605" s="23"/>
      <c r="H3605" s="23"/>
      <c r="J3605" s="23"/>
      <c r="K3605" s="23"/>
      <c r="M3605" s="23"/>
      <c r="N3605" s="23"/>
      <c r="P3605" s="23"/>
    </row>
    <row r="3606" spans="2:16" x14ac:dyDescent="0.25">
      <c r="B3606" s="23"/>
      <c r="E3606" s="23"/>
      <c r="G3606" s="23"/>
      <c r="H3606" s="23"/>
      <c r="J3606" s="23"/>
      <c r="K3606" s="23"/>
      <c r="M3606" s="23"/>
      <c r="N3606" s="23"/>
      <c r="P3606" s="23"/>
    </row>
    <row r="3607" spans="2:16" x14ac:dyDescent="0.25">
      <c r="B3607" s="23"/>
      <c r="E3607" s="23"/>
      <c r="G3607" s="23"/>
      <c r="H3607" s="23"/>
      <c r="J3607" s="23"/>
      <c r="K3607" s="23"/>
      <c r="M3607" s="23"/>
      <c r="N3607" s="23"/>
      <c r="P3607" s="23"/>
    </row>
    <row r="3608" spans="2:16" x14ac:dyDescent="0.25">
      <c r="B3608" s="23"/>
      <c r="E3608" s="23"/>
      <c r="G3608" s="23"/>
      <c r="H3608" s="23"/>
      <c r="J3608" s="23"/>
      <c r="K3608" s="23"/>
      <c r="M3608" s="23"/>
      <c r="N3608" s="23"/>
      <c r="P3608" s="23"/>
    </row>
    <row r="3609" spans="2:16" x14ac:dyDescent="0.25">
      <c r="B3609" s="23"/>
      <c r="E3609" s="23"/>
      <c r="G3609" s="23"/>
      <c r="H3609" s="23"/>
      <c r="J3609" s="23"/>
      <c r="K3609" s="23"/>
      <c r="M3609" s="23"/>
      <c r="N3609" s="23"/>
      <c r="P3609" s="23"/>
    </row>
    <row r="3610" spans="2:16" x14ac:dyDescent="0.25">
      <c r="B3610" s="23"/>
      <c r="E3610" s="23"/>
      <c r="G3610" s="23"/>
      <c r="H3610" s="23"/>
      <c r="J3610" s="23"/>
      <c r="K3610" s="23"/>
      <c r="M3610" s="23"/>
      <c r="N3610" s="23"/>
      <c r="P3610" s="23"/>
    </row>
    <row r="3611" spans="2:16" x14ac:dyDescent="0.25">
      <c r="B3611" s="23"/>
      <c r="E3611" s="23"/>
      <c r="G3611" s="23"/>
      <c r="H3611" s="23"/>
      <c r="J3611" s="23"/>
      <c r="K3611" s="23"/>
      <c r="M3611" s="23"/>
      <c r="N3611" s="23"/>
      <c r="P3611" s="23"/>
    </row>
    <row r="3612" spans="2:16" x14ac:dyDescent="0.25">
      <c r="B3612" s="23"/>
      <c r="E3612" s="23"/>
      <c r="G3612" s="23"/>
      <c r="H3612" s="23"/>
      <c r="J3612" s="23"/>
      <c r="K3612" s="23"/>
      <c r="M3612" s="23"/>
      <c r="N3612" s="23"/>
      <c r="P3612" s="23"/>
    </row>
    <row r="3613" spans="2:16" x14ac:dyDescent="0.25">
      <c r="B3613" s="23"/>
      <c r="E3613" s="23"/>
      <c r="G3613" s="23"/>
      <c r="H3613" s="23"/>
      <c r="J3613" s="23"/>
      <c r="K3613" s="23"/>
      <c r="M3613" s="23"/>
      <c r="N3613" s="23"/>
      <c r="P3613" s="23"/>
    </row>
    <row r="3614" spans="2:16" x14ac:dyDescent="0.25">
      <c r="B3614" s="23"/>
      <c r="E3614" s="23"/>
      <c r="G3614" s="23"/>
      <c r="H3614" s="23"/>
      <c r="J3614" s="23"/>
      <c r="K3614" s="23"/>
      <c r="M3614" s="23"/>
      <c r="N3614" s="23"/>
      <c r="P3614" s="23"/>
    </row>
    <row r="3615" spans="2:16" x14ac:dyDescent="0.25">
      <c r="B3615" s="23"/>
      <c r="E3615" s="23"/>
      <c r="G3615" s="23"/>
      <c r="H3615" s="23"/>
      <c r="J3615" s="23"/>
      <c r="K3615" s="23"/>
      <c r="M3615" s="23"/>
      <c r="N3615" s="23"/>
      <c r="P3615" s="23"/>
    </row>
    <row r="3616" spans="2:16" x14ac:dyDescent="0.25">
      <c r="B3616" s="23"/>
      <c r="E3616" s="23"/>
      <c r="G3616" s="23"/>
      <c r="H3616" s="23"/>
      <c r="J3616" s="23"/>
      <c r="K3616" s="23"/>
      <c r="M3616" s="23"/>
      <c r="N3616" s="23"/>
      <c r="P3616" s="23"/>
    </row>
    <row r="3617" spans="2:16" x14ac:dyDescent="0.25">
      <c r="B3617" s="23"/>
      <c r="E3617" s="23"/>
      <c r="G3617" s="23"/>
      <c r="H3617" s="23"/>
      <c r="J3617" s="23"/>
      <c r="K3617" s="23"/>
      <c r="M3617" s="23"/>
      <c r="N3617" s="23"/>
      <c r="P3617" s="23"/>
    </row>
    <row r="3618" spans="2:16" x14ac:dyDescent="0.25">
      <c r="B3618" s="23"/>
      <c r="E3618" s="23"/>
      <c r="G3618" s="23"/>
      <c r="H3618" s="23"/>
      <c r="J3618" s="23"/>
      <c r="K3618" s="23"/>
      <c r="M3618" s="23"/>
      <c r="N3618" s="23"/>
      <c r="P3618" s="23"/>
    </row>
    <row r="3619" spans="2:16" x14ac:dyDescent="0.25">
      <c r="B3619" s="23"/>
      <c r="E3619" s="23"/>
      <c r="G3619" s="23"/>
      <c r="H3619" s="23"/>
      <c r="J3619" s="23"/>
      <c r="K3619" s="23"/>
      <c r="M3619" s="23"/>
      <c r="N3619" s="23"/>
      <c r="P3619" s="23"/>
    </row>
    <row r="3620" spans="2:16" x14ac:dyDescent="0.25">
      <c r="B3620" s="23"/>
      <c r="E3620" s="23"/>
      <c r="G3620" s="23"/>
      <c r="H3620" s="23"/>
      <c r="J3620" s="23"/>
      <c r="K3620" s="23"/>
      <c r="M3620" s="23"/>
      <c r="N3620" s="23"/>
      <c r="P3620" s="23"/>
    </row>
    <row r="3621" spans="2:16" x14ac:dyDescent="0.25">
      <c r="B3621" s="23"/>
      <c r="E3621" s="23"/>
      <c r="G3621" s="23"/>
      <c r="H3621" s="23"/>
      <c r="J3621" s="23"/>
      <c r="K3621" s="23"/>
      <c r="M3621" s="23"/>
      <c r="N3621" s="23"/>
      <c r="P3621" s="23"/>
    </row>
    <row r="3622" spans="2:16" x14ac:dyDescent="0.25">
      <c r="B3622" s="23"/>
      <c r="E3622" s="23"/>
      <c r="G3622" s="23"/>
      <c r="H3622" s="23"/>
      <c r="J3622" s="23"/>
      <c r="K3622" s="23"/>
      <c r="M3622" s="23"/>
      <c r="N3622" s="23"/>
      <c r="P3622" s="23"/>
    </row>
    <row r="3623" spans="2:16" x14ac:dyDescent="0.25">
      <c r="B3623" s="23"/>
      <c r="E3623" s="23"/>
      <c r="G3623" s="23"/>
      <c r="H3623" s="23"/>
      <c r="J3623" s="23"/>
      <c r="K3623" s="23"/>
      <c r="M3623" s="23"/>
      <c r="N3623" s="23"/>
      <c r="P3623" s="23"/>
    </row>
    <row r="3624" spans="2:16" x14ac:dyDescent="0.25">
      <c r="B3624" s="23"/>
      <c r="E3624" s="23"/>
      <c r="G3624" s="23"/>
      <c r="H3624" s="23"/>
      <c r="J3624" s="23"/>
      <c r="K3624" s="23"/>
      <c r="M3624" s="23"/>
      <c r="N3624" s="23"/>
      <c r="P3624" s="23"/>
    </row>
    <row r="3625" spans="2:16" x14ac:dyDescent="0.25">
      <c r="B3625" s="23"/>
      <c r="E3625" s="23"/>
      <c r="G3625" s="23"/>
      <c r="H3625" s="23"/>
      <c r="J3625" s="23"/>
      <c r="K3625" s="23"/>
      <c r="M3625" s="23"/>
      <c r="N3625" s="23"/>
      <c r="P3625" s="23"/>
    </row>
    <row r="3626" spans="2:16" x14ac:dyDescent="0.25">
      <c r="B3626" s="23"/>
      <c r="E3626" s="23"/>
      <c r="G3626" s="23"/>
      <c r="H3626" s="23"/>
      <c r="J3626" s="23"/>
      <c r="K3626" s="23"/>
      <c r="M3626" s="23"/>
      <c r="N3626" s="23"/>
      <c r="P3626" s="23"/>
    </row>
    <row r="3627" spans="2:16" x14ac:dyDescent="0.25">
      <c r="B3627" s="23"/>
      <c r="E3627" s="23"/>
      <c r="G3627" s="23"/>
      <c r="H3627" s="23"/>
      <c r="J3627" s="23"/>
      <c r="K3627" s="23"/>
      <c r="M3627" s="23"/>
      <c r="N3627" s="23"/>
      <c r="P3627" s="23"/>
    </row>
    <row r="3628" spans="2:16" x14ac:dyDescent="0.25">
      <c r="B3628" s="23"/>
      <c r="E3628" s="23"/>
      <c r="G3628" s="23"/>
      <c r="H3628" s="23"/>
      <c r="J3628" s="23"/>
      <c r="K3628" s="23"/>
      <c r="M3628" s="23"/>
      <c r="N3628" s="23"/>
      <c r="P3628" s="23"/>
    </row>
    <row r="3629" spans="2:16" x14ac:dyDescent="0.25">
      <c r="B3629" s="23"/>
      <c r="E3629" s="23"/>
      <c r="G3629" s="23"/>
      <c r="H3629" s="23"/>
      <c r="J3629" s="23"/>
      <c r="K3629" s="23"/>
      <c r="M3629" s="23"/>
      <c r="N3629" s="23"/>
      <c r="P3629" s="23"/>
    </row>
    <row r="3630" spans="2:16" x14ac:dyDescent="0.25">
      <c r="B3630" s="23"/>
      <c r="E3630" s="23"/>
      <c r="G3630" s="23"/>
      <c r="H3630" s="23"/>
      <c r="J3630" s="23"/>
      <c r="K3630" s="23"/>
      <c r="M3630" s="23"/>
      <c r="N3630" s="23"/>
      <c r="P3630" s="23"/>
    </row>
    <row r="3631" spans="2:16" x14ac:dyDescent="0.25">
      <c r="B3631" s="23"/>
      <c r="E3631" s="23"/>
      <c r="G3631" s="23"/>
      <c r="H3631" s="23"/>
      <c r="J3631" s="23"/>
      <c r="K3631" s="23"/>
      <c r="M3631" s="23"/>
      <c r="N3631" s="23"/>
      <c r="P3631" s="23"/>
    </row>
    <row r="3632" spans="2:16" x14ac:dyDescent="0.25">
      <c r="B3632" s="23"/>
      <c r="E3632" s="23"/>
      <c r="G3632" s="23"/>
      <c r="H3632" s="23"/>
      <c r="J3632" s="23"/>
      <c r="K3632" s="23"/>
      <c r="M3632" s="23"/>
      <c r="N3632" s="23"/>
      <c r="P3632" s="23"/>
    </row>
    <row r="3633" spans="2:16" x14ac:dyDescent="0.25">
      <c r="B3633" s="23"/>
      <c r="E3633" s="23"/>
      <c r="G3633" s="23"/>
      <c r="H3633" s="23"/>
      <c r="J3633" s="23"/>
      <c r="K3633" s="23"/>
      <c r="M3633" s="23"/>
      <c r="N3633" s="23"/>
      <c r="P3633" s="23"/>
    </row>
    <row r="3634" spans="2:16" x14ac:dyDescent="0.25">
      <c r="B3634" s="23"/>
      <c r="E3634" s="23"/>
      <c r="G3634" s="23"/>
      <c r="H3634" s="23"/>
      <c r="J3634" s="23"/>
      <c r="K3634" s="23"/>
      <c r="M3634" s="23"/>
      <c r="N3634" s="23"/>
      <c r="P3634" s="23"/>
    </row>
    <row r="3635" spans="2:16" x14ac:dyDescent="0.25">
      <c r="B3635" s="23"/>
      <c r="E3635" s="23"/>
      <c r="G3635" s="23"/>
      <c r="H3635" s="23"/>
      <c r="J3635" s="23"/>
      <c r="K3635" s="23"/>
      <c r="M3635" s="23"/>
      <c r="N3635" s="23"/>
      <c r="P3635" s="23"/>
    </row>
    <row r="3636" spans="2:16" x14ac:dyDescent="0.25">
      <c r="B3636" s="23"/>
      <c r="E3636" s="23"/>
      <c r="G3636" s="23"/>
      <c r="H3636" s="23"/>
      <c r="J3636" s="23"/>
      <c r="K3636" s="23"/>
      <c r="M3636" s="23"/>
      <c r="N3636" s="23"/>
      <c r="P3636" s="23"/>
    </row>
    <row r="3637" spans="2:16" x14ac:dyDescent="0.25">
      <c r="B3637" s="23"/>
      <c r="E3637" s="23"/>
      <c r="G3637" s="23"/>
      <c r="H3637" s="23"/>
      <c r="J3637" s="23"/>
      <c r="K3637" s="23"/>
      <c r="M3637" s="23"/>
      <c r="N3637" s="23"/>
      <c r="P3637" s="23"/>
    </row>
    <row r="3638" spans="2:16" x14ac:dyDescent="0.25">
      <c r="B3638" s="23"/>
      <c r="E3638" s="23"/>
      <c r="G3638" s="23"/>
      <c r="H3638" s="23"/>
      <c r="J3638" s="23"/>
      <c r="K3638" s="23"/>
      <c r="M3638" s="23"/>
      <c r="N3638" s="23"/>
      <c r="P3638" s="23"/>
    </row>
    <row r="3639" spans="2:16" x14ac:dyDescent="0.25">
      <c r="B3639" s="23"/>
      <c r="E3639" s="23"/>
      <c r="G3639" s="23"/>
      <c r="H3639" s="23"/>
      <c r="J3639" s="23"/>
      <c r="K3639" s="23"/>
      <c r="M3639" s="23"/>
      <c r="N3639" s="23"/>
      <c r="P3639" s="23"/>
    </row>
    <row r="3640" spans="2:16" x14ac:dyDescent="0.25">
      <c r="B3640" s="23"/>
      <c r="E3640" s="23"/>
      <c r="G3640" s="23"/>
      <c r="H3640" s="23"/>
      <c r="J3640" s="23"/>
      <c r="K3640" s="23"/>
      <c r="M3640" s="23"/>
      <c r="N3640" s="23"/>
      <c r="P3640" s="23"/>
    </row>
    <row r="3641" spans="2:16" x14ac:dyDescent="0.25">
      <c r="B3641" s="23"/>
      <c r="E3641" s="23"/>
      <c r="G3641" s="23"/>
      <c r="H3641" s="23"/>
      <c r="J3641" s="23"/>
      <c r="K3641" s="23"/>
      <c r="M3641" s="23"/>
      <c r="N3641" s="23"/>
      <c r="P3641" s="23"/>
    </row>
    <row r="3642" spans="2:16" x14ac:dyDescent="0.25">
      <c r="B3642" s="23"/>
      <c r="E3642" s="23"/>
      <c r="G3642" s="23"/>
      <c r="H3642" s="23"/>
      <c r="J3642" s="23"/>
      <c r="K3642" s="23"/>
      <c r="M3642" s="23"/>
      <c r="N3642" s="23"/>
      <c r="P3642" s="23"/>
    </row>
    <row r="3643" spans="2:16" x14ac:dyDescent="0.25">
      <c r="B3643" s="23"/>
      <c r="E3643" s="23"/>
      <c r="G3643" s="23"/>
      <c r="H3643" s="23"/>
      <c r="J3643" s="23"/>
      <c r="K3643" s="23"/>
      <c r="M3643" s="23"/>
      <c r="N3643" s="23"/>
      <c r="P3643" s="23"/>
    </row>
    <row r="3644" spans="2:16" x14ac:dyDescent="0.25">
      <c r="B3644" s="23"/>
      <c r="E3644" s="23"/>
      <c r="G3644" s="23"/>
      <c r="H3644" s="23"/>
      <c r="J3644" s="23"/>
      <c r="K3644" s="23"/>
      <c r="M3644" s="23"/>
      <c r="N3644" s="23"/>
      <c r="P3644" s="23"/>
    </row>
    <row r="3645" spans="2:16" x14ac:dyDescent="0.25">
      <c r="B3645" s="23"/>
      <c r="E3645" s="23"/>
      <c r="G3645" s="23"/>
      <c r="H3645" s="23"/>
      <c r="J3645" s="23"/>
      <c r="K3645" s="23"/>
      <c r="M3645" s="23"/>
      <c r="N3645" s="23"/>
      <c r="P3645" s="23"/>
    </row>
    <row r="3646" spans="2:16" x14ac:dyDescent="0.25">
      <c r="B3646" s="23"/>
      <c r="E3646" s="23"/>
      <c r="G3646" s="23"/>
      <c r="H3646" s="23"/>
      <c r="J3646" s="23"/>
      <c r="K3646" s="23"/>
      <c r="M3646" s="23"/>
      <c r="N3646" s="23"/>
      <c r="P3646" s="23"/>
    </row>
    <row r="3647" spans="2:16" x14ac:dyDescent="0.25">
      <c r="B3647" s="23"/>
      <c r="E3647" s="23"/>
      <c r="G3647" s="23"/>
      <c r="H3647" s="23"/>
      <c r="J3647" s="23"/>
      <c r="K3647" s="23"/>
      <c r="M3647" s="23"/>
      <c r="N3647" s="23"/>
      <c r="P3647" s="23"/>
    </row>
    <row r="3648" spans="2:16" x14ac:dyDescent="0.25">
      <c r="B3648" s="23"/>
      <c r="E3648" s="23"/>
      <c r="G3648" s="23"/>
      <c r="H3648" s="23"/>
      <c r="J3648" s="23"/>
      <c r="K3648" s="23"/>
      <c r="M3648" s="23"/>
      <c r="N3648" s="23"/>
      <c r="P3648" s="23"/>
    </row>
    <row r="3649" spans="2:16" x14ac:dyDescent="0.25">
      <c r="B3649" s="23"/>
      <c r="E3649" s="23"/>
      <c r="G3649" s="23"/>
      <c r="H3649" s="23"/>
      <c r="J3649" s="23"/>
      <c r="K3649" s="23"/>
      <c r="M3649" s="23"/>
      <c r="N3649" s="23"/>
      <c r="P3649" s="23"/>
    </row>
    <row r="3650" spans="2:16" x14ac:dyDescent="0.25">
      <c r="B3650" s="23"/>
      <c r="E3650" s="23"/>
      <c r="G3650" s="23"/>
      <c r="H3650" s="23"/>
      <c r="J3650" s="23"/>
      <c r="K3650" s="23"/>
      <c r="M3650" s="23"/>
      <c r="N3650" s="23"/>
      <c r="P3650" s="23"/>
    </row>
    <row r="3651" spans="2:16" x14ac:dyDescent="0.25">
      <c r="B3651" s="23"/>
      <c r="E3651" s="23"/>
      <c r="G3651" s="23"/>
      <c r="H3651" s="23"/>
      <c r="J3651" s="23"/>
      <c r="K3651" s="23"/>
      <c r="M3651" s="23"/>
      <c r="N3651" s="23"/>
      <c r="P3651" s="23"/>
    </row>
    <row r="3652" spans="2:16" x14ac:dyDescent="0.25">
      <c r="B3652" s="23"/>
      <c r="E3652" s="23"/>
      <c r="G3652" s="23"/>
      <c r="H3652" s="23"/>
      <c r="J3652" s="23"/>
      <c r="K3652" s="23"/>
      <c r="M3652" s="23"/>
      <c r="N3652" s="23"/>
      <c r="P3652" s="23"/>
    </row>
    <row r="3653" spans="2:16" x14ac:dyDescent="0.25">
      <c r="B3653" s="23"/>
      <c r="E3653" s="23"/>
      <c r="G3653" s="23"/>
      <c r="H3653" s="23"/>
      <c r="J3653" s="23"/>
      <c r="K3653" s="23"/>
      <c r="M3653" s="23"/>
      <c r="N3653" s="23"/>
      <c r="P3653" s="23"/>
    </row>
    <row r="3654" spans="2:16" x14ac:dyDescent="0.25">
      <c r="B3654" s="23"/>
      <c r="E3654" s="23"/>
      <c r="G3654" s="23"/>
      <c r="H3654" s="23"/>
      <c r="J3654" s="23"/>
      <c r="K3654" s="23"/>
      <c r="M3654" s="23"/>
      <c r="N3654" s="23"/>
      <c r="P3654" s="23"/>
    </row>
    <row r="3655" spans="2:16" x14ac:dyDescent="0.25">
      <c r="B3655" s="23"/>
      <c r="E3655" s="23"/>
      <c r="G3655" s="23"/>
      <c r="H3655" s="23"/>
      <c r="J3655" s="23"/>
      <c r="K3655" s="23"/>
      <c r="M3655" s="23"/>
      <c r="N3655" s="23"/>
      <c r="P3655" s="23"/>
    </row>
    <row r="3656" spans="2:16" x14ac:dyDescent="0.25">
      <c r="B3656" s="23"/>
      <c r="E3656" s="23"/>
      <c r="G3656" s="23"/>
      <c r="H3656" s="23"/>
      <c r="J3656" s="23"/>
      <c r="K3656" s="23"/>
      <c r="M3656" s="23"/>
      <c r="N3656" s="23"/>
      <c r="P3656" s="23"/>
    </row>
    <row r="3657" spans="2:16" x14ac:dyDescent="0.25">
      <c r="B3657" s="23"/>
      <c r="E3657" s="23"/>
      <c r="G3657" s="23"/>
      <c r="H3657" s="23"/>
      <c r="J3657" s="23"/>
      <c r="K3657" s="23"/>
      <c r="M3657" s="23"/>
      <c r="N3657" s="23"/>
      <c r="P3657" s="23"/>
    </row>
    <row r="3658" spans="2:16" x14ac:dyDescent="0.25">
      <c r="B3658" s="23"/>
      <c r="E3658" s="23"/>
      <c r="G3658" s="23"/>
      <c r="H3658" s="23"/>
      <c r="J3658" s="23"/>
      <c r="K3658" s="23"/>
      <c r="M3658" s="23"/>
      <c r="N3658" s="23"/>
      <c r="P3658" s="23"/>
    </row>
    <row r="3659" spans="2:16" x14ac:dyDescent="0.25">
      <c r="B3659" s="23"/>
      <c r="E3659" s="23"/>
      <c r="G3659" s="23"/>
      <c r="H3659" s="23"/>
      <c r="J3659" s="23"/>
      <c r="K3659" s="23"/>
      <c r="M3659" s="23"/>
      <c r="N3659" s="23"/>
      <c r="P3659" s="23"/>
    </row>
    <row r="3660" spans="2:16" x14ac:dyDescent="0.25">
      <c r="B3660" s="23"/>
      <c r="E3660" s="23"/>
      <c r="G3660" s="23"/>
      <c r="H3660" s="23"/>
      <c r="J3660" s="23"/>
      <c r="K3660" s="23"/>
      <c r="M3660" s="23"/>
      <c r="N3660" s="23"/>
      <c r="P3660" s="23"/>
    </row>
    <row r="3661" spans="2:16" x14ac:dyDescent="0.25">
      <c r="B3661" s="23"/>
      <c r="E3661" s="23"/>
      <c r="G3661" s="23"/>
      <c r="H3661" s="23"/>
      <c r="J3661" s="23"/>
      <c r="K3661" s="23"/>
      <c r="M3661" s="23"/>
      <c r="N3661" s="23"/>
      <c r="P3661" s="23"/>
    </row>
    <row r="3662" spans="2:16" x14ac:dyDescent="0.25">
      <c r="B3662" s="23"/>
      <c r="E3662" s="23"/>
      <c r="G3662" s="23"/>
      <c r="H3662" s="23"/>
      <c r="J3662" s="23"/>
      <c r="K3662" s="23"/>
      <c r="M3662" s="23"/>
      <c r="N3662" s="23"/>
      <c r="P3662" s="23"/>
    </row>
    <row r="3663" spans="2:16" x14ac:dyDescent="0.25">
      <c r="B3663" s="23"/>
      <c r="E3663" s="23"/>
      <c r="G3663" s="23"/>
      <c r="H3663" s="23"/>
      <c r="J3663" s="23"/>
      <c r="K3663" s="23"/>
      <c r="M3663" s="23"/>
      <c r="N3663" s="23"/>
      <c r="P3663" s="23"/>
    </row>
    <row r="3664" spans="2:16" x14ac:dyDescent="0.25">
      <c r="B3664" s="23"/>
      <c r="E3664" s="23"/>
      <c r="G3664" s="23"/>
      <c r="H3664" s="23"/>
      <c r="J3664" s="23"/>
      <c r="K3664" s="23"/>
      <c r="M3664" s="23"/>
      <c r="N3664" s="23"/>
      <c r="P3664" s="23"/>
    </row>
    <row r="3665" spans="2:16" x14ac:dyDescent="0.25">
      <c r="B3665" s="23"/>
      <c r="E3665" s="23"/>
      <c r="G3665" s="23"/>
      <c r="H3665" s="23"/>
      <c r="J3665" s="23"/>
      <c r="K3665" s="23"/>
      <c r="M3665" s="23"/>
      <c r="N3665" s="23"/>
      <c r="P3665" s="23"/>
    </row>
    <row r="3666" spans="2:16" x14ac:dyDescent="0.25">
      <c r="B3666" s="23"/>
      <c r="E3666" s="23"/>
      <c r="G3666" s="23"/>
      <c r="H3666" s="23"/>
      <c r="J3666" s="23"/>
      <c r="K3666" s="23"/>
      <c r="M3666" s="23"/>
      <c r="N3666" s="23"/>
      <c r="P3666" s="23"/>
    </row>
    <row r="3667" spans="2:16" x14ac:dyDescent="0.25">
      <c r="B3667" s="23"/>
      <c r="E3667" s="23"/>
      <c r="G3667" s="23"/>
      <c r="H3667" s="23"/>
      <c r="J3667" s="23"/>
      <c r="K3667" s="23"/>
      <c r="M3667" s="23"/>
      <c r="N3667" s="23"/>
      <c r="P3667" s="23"/>
    </row>
    <row r="3668" spans="2:16" x14ac:dyDescent="0.25">
      <c r="B3668" s="23"/>
      <c r="E3668" s="23"/>
      <c r="G3668" s="23"/>
      <c r="H3668" s="23"/>
      <c r="J3668" s="23"/>
      <c r="K3668" s="23"/>
      <c r="M3668" s="23"/>
      <c r="N3668" s="23"/>
      <c r="P3668" s="23"/>
    </row>
    <row r="3669" spans="2:16" x14ac:dyDescent="0.25">
      <c r="B3669" s="23"/>
      <c r="E3669" s="23"/>
      <c r="G3669" s="23"/>
      <c r="H3669" s="23"/>
      <c r="J3669" s="23"/>
      <c r="K3669" s="23"/>
      <c r="M3669" s="23"/>
      <c r="N3669" s="23"/>
      <c r="P3669" s="23"/>
    </row>
    <row r="3670" spans="2:16" x14ac:dyDescent="0.25">
      <c r="B3670" s="23"/>
      <c r="E3670" s="23"/>
      <c r="G3670" s="23"/>
      <c r="H3670" s="23"/>
      <c r="J3670" s="23"/>
      <c r="K3670" s="23"/>
      <c r="M3670" s="23"/>
      <c r="N3670" s="23"/>
      <c r="P3670" s="23"/>
    </row>
    <row r="3671" spans="2:16" x14ac:dyDescent="0.25">
      <c r="B3671" s="23"/>
      <c r="E3671" s="23"/>
      <c r="G3671" s="23"/>
      <c r="H3671" s="23"/>
      <c r="J3671" s="23"/>
      <c r="K3671" s="23"/>
      <c r="M3671" s="23"/>
      <c r="N3671" s="23"/>
      <c r="P3671" s="23"/>
    </row>
    <row r="3672" spans="2:16" x14ac:dyDescent="0.25">
      <c r="B3672" s="23"/>
      <c r="E3672" s="23"/>
      <c r="G3672" s="23"/>
      <c r="H3672" s="23"/>
      <c r="J3672" s="23"/>
      <c r="K3672" s="23"/>
      <c r="M3672" s="23"/>
      <c r="N3672" s="23"/>
      <c r="P3672" s="23"/>
    </row>
    <row r="3673" spans="2:16" x14ac:dyDescent="0.25">
      <c r="B3673" s="23"/>
      <c r="E3673" s="23"/>
      <c r="G3673" s="23"/>
      <c r="H3673" s="23"/>
      <c r="J3673" s="23"/>
      <c r="K3673" s="23"/>
      <c r="M3673" s="23"/>
      <c r="N3673" s="23"/>
      <c r="P3673" s="23"/>
    </row>
    <row r="3674" spans="2:16" x14ac:dyDescent="0.25">
      <c r="B3674" s="23"/>
      <c r="E3674" s="23"/>
      <c r="G3674" s="23"/>
      <c r="H3674" s="23"/>
      <c r="J3674" s="23"/>
      <c r="K3674" s="23"/>
      <c r="M3674" s="23"/>
      <c r="N3674" s="23"/>
      <c r="P3674" s="23"/>
    </row>
    <row r="3675" spans="2:16" x14ac:dyDescent="0.25">
      <c r="B3675" s="23"/>
      <c r="E3675" s="23"/>
      <c r="G3675" s="23"/>
      <c r="H3675" s="23"/>
      <c r="J3675" s="23"/>
      <c r="K3675" s="23"/>
      <c r="M3675" s="23"/>
      <c r="N3675" s="23"/>
      <c r="P3675" s="23"/>
    </row>
    <row r="3676" spans="2:16" x14ac:dyDescent="0.25">
      <c r="B3676" s="23"/>
      <c r="E3676" s="23"/>
      <c r="G3676" s="23"/>
      <c r="H3676" s="23"/>
      <c r="J3676" s="23"/>
      <c r="K3676" s="23"/>
      <c r="M3676" s="23"/>
      <c r="N3676" s="23"/>
      <c r="P3676" s="23"/>
    </row>
    <row r="3677" spans="2:16" x14ac:dyDescent="0.25">
      <c r="B3677" s="23"/>
      <c r="E3677" s="23"/>
      <c r="G3677" s="23"/>
      <c r="H3677" s="23"/>
      <c r="J3677" s="23"/>
      <c r="K3677" s="23"/>
      <c r="M3677" s="23"/>
      <c r="N3677" s="23"/>
      <c r="P3677" s="23"/>
    </row>
    <row r="3678" spans="2:16" x14ac:dyDescent="0.25">
      <c r="B3678" s="23"/>
      <c r="E3678" s="23"/>
      <c r="G3678" s="23"/>
      <c r="H3678" s="23"/>
      <c r="J3678" s="23"/>
      <c r="K3678" s="23"/>
      <c r="M3678" s="23"/>
      <c r="N3678" s="23"/>
      <c r="P3678" s="23"/>
    </row>
    <row r="3679" spans="2:16" x14ac:dyDescent="0.25">
      <c r="B3679" s="23"/>
      <c r="E3679" s="23"/>
      <c r="G3679" s="23"/>
      <c r="H3679" s="23"/>
      <c r="J3679" s="23"/>
      <c r="K3679" s="23"/>
      <c r="M3679" s="23"/>
      <c r="N3679" s="23"/>
      <c r="P3679" s="23"/>
    </row>
    <row r="3680" spans="2:16" x14ac:dyDescent="0.25">
      <c r="B3680" s="23"/>
      <c r="E3680" s="23"/>
      <c r="G3680" s="23"/>
      <c r="H3680" s="23"/>
      <c r="J3680" s="23"/>
      <c r="K3680" s="23"/>
      <c r="M3680" s="23"/>
      <c r="N3680" s="23"/>
      <c r="P3680" s="23"/>
    </row>
    <row r="3681" spans="2:16" x14ac:dyDescent="0.25">
      <c r="B3681" s="23"/>
      <c r="E3681" s="23"/>
      <c r="G3681" s="23"/>
      <c r="H3681" s="23"/>
      <c r="J3681" s="23"/>
      <c r="K3681" s="23"/>
      <c r="M3681" s="23"/>
      <c r="N3681" s="23"/>
      <c r="P3681" s="23"/>
    </row>
    <row r="3682" spans="2:16" x14ac:dyDescent="0.25">
      <c r="B3682" s="23"/>
      <c r="E3682" s="23"/>
      <c r="G3682" s="23"/>
      <c r="H3682" s="23"/>
      <c r="J3682" s="23"/>
      <c r="K3682" s="23"/>
      <c r="M3682" s="23"/>
      <c r="N3682" s="23"/>
      <c r="P3682" s="23"/>
    </row>
    <row r="3683" spans="2:16" x14ac:dyDescent="0.25">
      <c r="B3683" s="23"/>
      <c r="E3683" s="23"/>
      <c r="G3683" s="23"/>
      <c r="H3683" s="23"/>
      <c r="J3683" s="23"/>
      <c r="K3683" s="23"/>
      <c r="M3683" s="23"/>
      <c r="N3683" s="23"/>
      <c r="P3683" s="23"/>
    </row>
    <row r="3684" spans="2:16" x14ac:dyDescent="0.25">
      <c r="B3684" s="23"/>
      <c r="E3684" s="23"/>
      <c r="G3684" s="23"/>
      <c r="H3684" s="23"/>
      <c r="J3684" s="23"/>
      <c r="K3684" s="23"/>
      <c r="M3684" s="23"/>
      <c r="N3684" s="23"/>
      <c r="P3684" s="23"/>
    </row>
    <row r="3685" spans="2:16" x14ac:dyDescent="0.25">
      <c r="B3685" s="23"/>
      <c r="E3685" s="23"/>
      <c r="G3685" s="23"/>
      <c r="H3685" s="23"/>
      <c r="J3685" s="23"/>
      <c r="K3685" s="23"/>
      <c r="M3685" s="23"/>
      <c r="N3685" s="23"/>
      <c r="P3685" s="23"/>
    </row>
    <row r="3686" spans="2:16" x14ac:dyDescent="0.25">
      <c r="B3686" s="23"/>
      <c r="E3686" s="23"/>
      <c r="G3686" s="23"/>
      <c r="H3686" s="23"/>
      <c r="J3686" s="23"/>
      <c r="K3686" s="23"/>
      <c r="M3686" s="23"/>
      <c r="N3686" s="23"/>
      <c r="P3686" s="23"/>
    </row>
    <row r="3687" spans="2:16" x14ac:dyDescent="0.25">
      <c r="B3687" s="23"/>
      <c r="E3687" s="23"/>
      <c r="G3687" s="23"/>
      <c r="H3687" s="23"/>
      <c r="J3687" s="23"/>
      <c r="K3687" s="23"/>
      <c r="M3687" s="23"/>
      <c r="N3687" s="23"/>
      <c r="P3687" s="23"/>
    </row>
    <row r="3688" spans="2:16" x14ac:dyDescent="0.25">
      <c r="B3688" s="23"/>
      <c r="E3688" s="23"/>
      <c r="G3688" s="23"/>
      <c r="H3688" s="23"/>
      <c r="J3688" s="23"/>
      <c r="K3688" s="23"/>
      <c r="M3688" s="23"/>
      <c r="N3688" s="23"/>
      <c r="P3688" s="23"/>
    </row>
    <row r="3689" spans="2:16" x14ac:dyDescent="0.25">
      <c r="B3689" s="23"/>
      <c r="E3689" s="23"/>
      <c r="G3689" s="23"/>
      <c r="H3689" s="23"/>
      <c r="J3689" s="23"/>
      <c r="K3689" s="23"/>
      <c r="M3689" s="23"/>
      <c r="N3689" s="23"/>
      <c r="P3689" s="23"/>
    </row>
    <row r="3690" spans="2:16" x14ac:dyDescent="0.25">
      <c r="B3690" s="23"/>
      <c r="E3690" s="23"/>
      <c r="G3690" s="23"/>
      <c r="H3690" s="23"/>
      <c r="J3690" s="23"/>
      <c r="K3690" s="23"/>
      <c r="M3690" s="23"/>
      <c r="N3690" s="23"/>
      <c r="P3690" s="23"/>
    </row>
    <row r="3691" spans="2:16" x14ac:dyDescent="0.25">
      <c r="B3691" s="23"/>
      <c r="E3691" s="23"/>
      <c r="G3691" s="23"/>
      <c r="H3691" s="23"/>
      <c r="J3691" s="23"/>
      <c r="K3691" s="23"/>
      <c r="M3691" s="23"/>
      <c r="N3691" s="23"/>
      <c r="P3691" s="23"/>
    </row>
    <row r="3692" spans="2:16" x14ac:dyDescent="0.25">
      <c r="B3692" s="23"/>
      <c r="E3692" s="23"/>
      <c r="G3692" s="23"/>
      <c r="H3692" s="23"/>
      <c r="J3692" s="23"/>
      <c r="K3692" s="23"/>
      <c r="M3692" s="23"/>
      <c r="N3692" s="23"/>
      <c r="P3692" s="23"/>
    </row>
    <row r="3693" spans="2:16" x14ac:dyDescent="0.25">
      <c r="B3693" s="23"/>
      <c r="E3693" s="23"/>
      <c r="G3693" s="23"/>
      <c r="H3693" s="23"/>
      <c r="J3693" s="23"/>
      <c r="K3693" s="23"/>
      <c r="M3693" s="23"/>
      <c r="N3693" s="23"/>
      <c r="P3693" s="23"/>
    </row>
    <row r="3694" spans="2:16" x14ac:dyDescent="0.25">
      <c r="B3694" s="23"/>
      <c r="E3694" s="23"/>
      <c r="G3694" s="23"/>
      <c r="H3694" s="23"/>
      <c r="J3694" s="23"/>
      <c r="K3694" s="23"/>
      <c r="M3694" s="23"/>
      <c r="N3694" s="23"/>
      <c r="P3694" s="23"/>
    </row>
    <row r="3695" spans="2:16" x14ac:dyDescent="0.25">
      <c r="B3695" s="23"/>
      <c r="E3695" s="23"/>
      <c r="G3695" s="23"/>
      <c r="H3695" s="23"/>
      <c r="J3695" s="23"/>
      <c r="K3695" s="23"/>
      <c r="M3695" s="23"/>
      <c r="N3695" s="23"/>
      <c r="P3695" s="23"/>
    </row>
    <row r="3696" spans="2:16" x14ac:dyDescent="0.25">
      <c r="B3696" s="23"/>
      <c r="E3696" s="23"/>
      <c r="G3696" s="23"/>
      <c r="H3696" s="23"/>
      <c r="J3696" s="23"/>
      <c r="K3696" s="23"/>
      <c r="M3696" s="23"/>
      <c r="N3696" s="23"/>
      <c r="P3696" s="23"/>
    </row>
    <row r="3697" spans="2:16" x14ac:dyDescent="0.25">
      <c r="B3697" s="23"/>
      <c r="E3697" s="23"/>
      <c r="G3697" s="23"/>
      <c r="H3697" s="23"/>
      <c r="J3697" s="23"/>
      <c r="K3697" s="23"/>
      <c r="M3697" s="23"/>
      <c r="N3697" s="23"/>
      <c r="P3697" s="23"/>
    </row>
    <row r="3698" spans="2:16" x14ac:dyDescent="0.25">
      <c r="B3698" s="23"/>
      <c r="E3698" s="23"/>
      <c r="G3698" s="23"/>
      <c r="H3698" s="23"/>
      <c r="J3698" s="23"/>
      <c r="K3698" s="23"/>
      <c r="M3698" s="23"/>
      <c r="N3698" s="23"/>
      <c r="P3698" s="23"/>
    </row>
    <row r="3699" spans="2:16" x14ac:dyDescent="0.25">
      <c r="B3699" s="23"/>
      <c r="E3699" s="23"/>
      <c r="G3699" s="23"/>
      <c r="H3699" s="23"/>
      <c r="J3699" s="23"/>
      <c r="K3699" s="23"/>
      <c r="M3699" s="23"/>
      <c r="N3699" s="23"/>
      <c r="P3699" s="23"/>
    </row>
    <row r="3700" spans="2:16" x14ac:dyDescent="0.25">
      <c r="B3700" s="23"/>
      <c r="E3700" s="23"/>
      <c r="G3700" s="23"/>
      <c r="H3700" s="23"/>
      <c r="J3700" s="23"/>
      <c r="K3700" s="23"/>
      <c r="M3700" s="23"/>
      <c r="N3700" s="23"/>
      <c r="P3700" s="23"/>
    </row>
    <row r="3701" spans="2:16" x14ac:dyDescent="0.25">
      <c r="B3701" s="23"/>
      <c r="E3701" s="23"/>
      <c r="G3701" s="23"/>
      <c r="H3701" s="23"/>
      <c r="J3701" s="23"/>
      <c r="K3701" s="23"/>
      <c r="M3701" s="23"/>
      <c r="N3701" s="23"/>
      <c r="P3701" s="23"/>
    </row>
    <row r="3702" spans="2:16" x14ac:dyDescent="0.25">
      <c r="B3702" s="23"/>
      <c r="E3702" s="23"/>
      <c r="G3702" s="23"/>
      <c r="H3702" s="23"/>
      <c r="J3702" s="23"/>
      <c r="K3702" s="23"/>
      <c r="M3702" s="23"/>
      <c r="N3702" s="23"/>
      <c r="P3702" s="23"/>
    </row>
    <row r="3703" spans="2:16" x14ac:dyDescent="0.25">
      <c r="B3703" s="23"/>
      <c r="E3703" s="23"/>
      <c r="G3703" s="23"/>
      <c r="H3703" s="23"/>
      <c r="J3703" s="23"/>
      <c r="K3703" s="23"/>
      <c r="M3703" s="23"/>
      <c r="N3703" s="23"/>
      <c r="P3703" s="23"/>
    </row>
    <row r="3704" spans="2:16" x14ac:dyDescent="0.25">
      <c r="B3704" s="23"/>
      <c r="E3704" s="23"/>
      <c r="G3704" s="23"/>
      <c r="H3704" s="23"/>
      <c r="J3704" s="23"/>
      <c r="K3704" s="23"/>
      <c r="M3704" s="23"/>
      <c r="N3704" s="23"/>
      <c r="P3704" s="23"/>
    </row>
    <row r="3705" spans="2:16" x14ac:dyDescent="0.25">
      <c r="B3705" s="23"/>
      <c r="E3705" s="23"/>
      <c r="G3705" s="23"/>
      <c r="H3705" s="23"/>
      <c r="J3705" s="23"/>
      <c r="K3705" s="23"/>
      <c r="M3705" s="23"/>
      <c r="N3705" s="23"/>
      <c r="P3705" s="23"/>
    </row>
    <row r="3706" spans="2:16" x14ac:dyDescent="0.25">
      <c r="B3706" s="23"/>
      <c r="E3706" s="23"/>
      <c r="G3706" s="23"/>
      <c r="H3706" s="23"/>
      <c r="J3706" s="23"/>
      <c r="K3706" s="23"/>
      <c r="M3706" s="23"/>
      <c r="N3706" s="23"/>
      <c r="P3706" s="23"/>
    </row>
    <row r="3707" spans="2:16" x14ac:dyDescent="0.25">
      <c r="B3707" s="23"/>
      <c r="E3707" s="23"/>
      <c r="G3707" s="23"/>
      <c r="H3707" s="23"/>
      <c r="J3707" s="23"/>
      <c r="K3707" s="23"/>
      <c r="M3707" s="23"/>
      <c r="N3707" s="23"/>
      <c r="P3707" s="23"/>
    </row>
    <row r="3708" spans="2:16" x14ac:dyDescent="0.25">
      <c r="B3708" s="23"/>
      <c r="E3708" s="23"/>
      <c r="G3708" s="23"/>
      <c r="H3708" s="23"/>
      <c r="J3708" s="23"/>
      <c r="K3708" s="23"/>
      <c r="M3708" s="23"/>
      <c r="N3708" s="23"/>
      <c r="P3708" s="23"/>
    </row>
    <row r="3709" spans="2:16" x14ac:dyDescent="0.25">
      <c r="B3709" s="23"/>
      <c r="E3709" s="23"/>
      <c r="G3709" s="23"/>
      <c r="H3709" s="23"/>
      <c r="J3709" s="23"/>
      <c r="K3709" s="23"/>
      <c r="M3709" s="23"/>
      <c r="N3709" s="23"/>
      <c r="P3709" s="23"/>
    </row>
    <row r="3710" spans="2:16" x14ac:dyDescent="0.25">
      <c r="B3710" s="23"/>
      <c r="E3710" s="23"/>
      <c r="G3710" s="23"/>
      <c r="H3710" s="23"/>
      <c r="J3710" s="23"/>
      <c r="K3710" s="23"/>
      <c r="M3710" s="23"/>
      <c r="N3710" s="23"/>
      <c r="P3710" s="23"/>
    </row>
    <row r="3711" spans="2:16" x14ac:dyDescent="0.25">
      <c r="B3711" s="23"/>
      <c r="E3711" s="23"/>
      <c r="G3711" s="23"/>
      <c r="H3711" s="23"/>
      <c r="J3711" s="23"/>
      <c r="K3711" s="23"/>
      <c r="M3711" s="23"/>
      <c r="N3711" s="23"/>
      <c r="P3711" s="23"/>
    </row>
    <row r="3712" spans="2:16" x14ac:dyDescent="0.25">
      <c r="B3712" s="23"/>
      <c r="E3712" s="23"/>
      <c r="G3712" s="23"/>
      <c r="H3712" s="23"/>
      <c r="J3712" s="23"/>
      <c r="K3712" s="23"/>
      <c r="M3712" s="23"/>
      <c r="N3712" s="23"/>
      <c r="P3712" s="23"/>
    </row>
    <row r="3713" spans="2:16" x14ac:dyDescent="0.25">
      <c r="B3713" s="23"/>
      <c r="E3713" s="23"/>
      <c r="G3713" s="23"/>
      <c r="H3713" s="23"/>
      <c r="J3713" s="23"/>
      <c r="K3713" s="23"/>
      <c r="M3713" s="23"/>
      <c r="N3713" s="23"/>
      <c r="P3713" s="23"/>
    </row>
    <row r="3714" spans="2:16" x14ac:dyDescent="0.25">
      <c r="B3714" s="23"/>
      <c r="E3714" s="23"/>
      <c r="G3714" s="23"/>
      <c r="H3714" s="23"/>
      <c r="J3714" s="23"/>
      <c r="K3714" s="23"/>
      <c r="M3714" s="23"/>
      <c r="N3714" s="23"/>
      <c r="P3714" s="23"/>
    </row>
    <row r="3715" spans="2:16" x14ac:dyDescent="0.25">
      <c r="B3715" s="23"/>
      <c r="E3715" s="23"/>
      <c r="G3715" s="23"/>
      <c r="H3715" s="23"/>
      <c r="J3715" s="23"/>
      <c r="K3715" s="23"/>
      <c r="M3715" s="23"/>
      <c r="N3715" s="23"/>
      <c r="P3715" s="23"/>
    </row>
    <row r="3716" spans="2:16" x14ac:dyDescent="0.25">
      <c r="B3716" s="23"/>
      <c r="E3716" s="23"/>
      <c r="G3716" s="23"/>
      <c r="H3716" s="23"/>
      <c r="J3716" s="23"/>
      <c r="K3716" s="23"/>
      <c r="M3716" s="23"/>
      <c r="N3716" s="23"/>
      <c r="P3716" s="23"/>
    </row>
    <row r="3717" spans="2:16" x14ac:dyDescent="0.25">
      <c r="B3717" s="23"/>
      <c r="E3717" s="23"/>
      <c r="G3717" s="23"/>
      <c r="H3717" s="23"/>
      <c r="J3717" s="23"/>
      <c r="K3717" s="23"/>
      <c r="M3717" s="23"/>
      <c r="N3717" s="23"/>
      <c r="P3717" s="23"/>
    </row>
    <row r="3718" spans="2:16" x14ac:dyDescent="0.25">
      <c r="B3718" s="23"/>
      <c r="E3718" s="23"/>
      <c r="G3718" s="23"/>
      <c r="H3718" s="23"/>
      <c r="J3718" s="23"/>
      <c r="K3718" s="23"/>
      <c r="M3718" s="23"/>
      <c r="N3718" s="23"/>
      <c r="P3718" s="23"/>
    </row>
    <row r="3719" spans="2:16" x14ac:dyDescent="0.25">
      <c r="B3719" s="23"/>
      <c r="E3719" s="23"/>
      <c r="G3719" s="23"/>
      <c r="H3719" s="23"/>
      <c r="J3719" s="23"/>
      <c r="K3719" s="23"/>
      <c r="M3719" s="23"/>
      <c r="N3719" s="23"/>
      <c r="P3719" s="23"/>
    </row>
    <row r="3720" spans="2:16" x14ac:dyDescent="0.25">
      <c r="B3720" s="23"/>
      <c r="E3720" s="23"/>
      <c r="G3720" s="23"/>
      <c r="H3720" s="23"/>
      <c r="J3720" s="23"/>
      <c r="K3720" s="23"/>
      <c r="M3720" s="23"/>
      <c r="N3720" s="23"/>
      <c r="P3720" s="23"/>
    </row>
    <row r="3721" spans="2:16" x14ac:dyDescent="0.25">
      <c r="B3721" s="23"/>
      <c r="E3721" s="23"/>
      <c r="G3721" s="23"/>
      <c r="H3721" s="23"/>
      <c r="J3721" s="23"/>
      <c r="K3721" s="23"/>
      <c r="M3721" s="23"/>
      <c r="N3721" s="23"/>
      <c r="P3721" s="23"/>
    </row>
    <row r="3722" spans="2:16" x14ac:dyDescent="0.25">
      <c r="B3722" s="23"/>
      <c r="E3722" s="23"/>
      <c r="G3722" s="23"/>
      <c r="H3722" s="23"/>
      <c r="J3722" s="23"/>
      <c r="K3722" s="23"/>
      <c r="M3722" s="23"/>
      <c r="N3722" s="23"/>
      <c r="P3722" s="23"/>
    </row>
    <row r="3723" spans="2:16" x14ac:dyDescent="0.25">
      <c r="B3723" s="23"/>
      <c r="E3723" s="23"/>
      <c r="G3723" s="23"/>
      <c r="H3723" s="23"/>
      <c r="J3723" s="23"/>
      <c r="K3723" s="23"/>
      <c r="M3723" s="23"/>
      <c r="N3723" s="23"/>
      <c r="P3723" s="23"/>
    </row>
    <row r="3724" spans="2:16" x14ac:dyDescent="0.25">
      <c r="B3724" s="23"/>
      <c r="E3724" s="23"/>
      <c r="G3724" s="23"/>
      <c r="H3724" s="23"/>
      <c r="J3724" s="23"/>
      <c r="K3724" s="23"/>
      <c r="M3724" s="23"/>
      <c r="N3724" s="23"/>
      <c r="P3724" s="23"/>
    </row>
    <row r="3725" spans="2:16" x14ac:dyDescent="0.25">
      <c r="B3725" s="23"/>
      <c r="E3725" s="23"/>
      <c r="G3725" s="23"/>
      <c r="H3725" s="23"/>
      <c r="J3725" s="23"/>
      <c r="K3725" s="23"/>
      <c r="M3725" s="23"/>
      <c r="N3725" s="23"/>
      <c r="P3725" s="23"/>
    </row>
    <row r="3726" spans="2:16" x14ac:dyDescent="0.25">
      <c r="B3726" s="23"/>
      <c r="E3726" s="23"/>
      <c r="G3726" s="23"/>
      <c r="H3726" s="23"/>
      <c r="J3726" s="23"/>
      <c r="K3726" s="23"/>
      <c r="M3726" s="23"/>
      <c r="N3726" s="23"/>
      <c r="P3726" s="23"/>
    </row>
    <row r="3727" spans="2:16" x14ac:dyDescent="0.25">
      <c r="B3727" s="23"/>
      <c r="E3727" s="23"/>
      <c r="G3727" s="23"/>
      <c r="H3727" s="23"/>
      <c r="J3727" s="23"/>
      <c r="K3727" s="23"/>
      <c r="M3727" s="23"/>
      <c r="N3727" s="23"/>
      <c r="P3727" s="23"/>
    </row>
    <row r="3728" spans="2:16" x14ac:dyDescent="0.25">
      <c r="B3728" s="23"/>
      <c r="E3728" s="23"/>
      <c r="G3728" s="23"/>
      <c r="H3728" s="23"/>
      <c r="J3728" s="23"/>
      <c r="K3728" s="23"/>
      <c r="M3728" s="23"/>
      <c r="N3728" s="23"/>
      <c r="P3728" s="23"/>
    </row>
    <row r="3729" spans="2:16" x14ac:dyDescent="0.25">
      <c r="B3729" s="23"/>
      <c r="E3729" s="23"/>
      <c r="G3729" s="23"/>
      <c r="H3729" s="23"/>
      <c r="J3729" s="23"/>
      <c r="K3729" s="23"/>
      <c r="M3729" s="23"/>
      <c r="N3729" s="23"/>
      <c r="P3729" s="23"/>
    </row>
    <row r="3730" spans="2:16" x14ac:dyDescent="0.25">
      <c r="B3730" s="23"/>
      <c r="E3730" s="23"/>
      <c r="G3730" s="23"/>
      <c r="H3730" s="23"/>
      <c r="J3730" s="23"/>
      <c r="K3730" s="23"/>
      <c r="M3730" s="23"/>
      <c r="N3730" s="23"/>
      <c r="P3730" s="23"/>
    </row>
    <row r="3731" spans="2:16" x14ac:dyDescent="0.25">
      <c r="B3731" s="23"/>
      <c r="E3731" s="23"/>
      <c r="G3731" s="23"/>
      <c r="H3731" s="23"/>
      <c r="J3731" s="23"/>
      <c r="K3731" s="23"/>
      <c r="M3731" s="23"/>
      <c r="N3731" s="23"/>
      <c r="P3731" s="23"/>
    </row>
    <row r="3732" spans="2:16" x14ac:dyDescent="0.25">
      <c r="B3732" s="23"/>
      <c r="E3732" s="23"/>
      <c r="G3732" s="23"/>
      <c r="H3732" s="23"/>
      <c r="J3732" s="23"/>
      <c r="K3732" s="23"/>
      <c r="M3732" s="23"/>
      <c r="N3732" s="23"/>
      <c r="P3732" s="23"/>
    </row>
    <row r="3733" spans="2:16" x14ac:dyDescent="0.25">
      <c r="B3733" s="23"/>
      <c r="E3733" s="23"/>
      <c r="G3733" s="23"/>
      <c r="H3733" s="23"/>
      <c r="J3733" s="23"/>
      <c r="K3733" s="23"/>
      <c r="M3733" s="23"/>
      <c r="N3733" s="23"/>
      <c r="P3733" s="23"/>
    </row>
    <row r="3734" spans="2:16" x14ac:dyDescent="0.25">
      <c r="B3734" s="23"/>
      <c r="E3734" s="23"/>
      <c r="G3734" s="23"/>
      <c r="H3734" s="23"/>
      <c r="J3734" s="23"/>
      <c r="K3734" s="23"/>
      <c r="M3734" s="23"/>
      <c r="N3734" s="23"/>
      <c r="P3734" s="23"/>
    </row>
    <row r="3735" spans="2:16" x14ac:dyDescent="0.25">
      <c r="B3735" s="23"/>
      <c r="E3735" s="23"/>
      <c r="G3735" s="23"/>
      <c r="H3735" s="23"/>
      <c r="J3735" s="23"/>
      <c r="K3735" s="23"/>
      <c r="M3735" s="23"/>
      <c r="N3735" s="23"/>
      <c r="P3735" s="23"/>
    </row>
    <row r="3736" spans="2:16" x14ac:dyDescent="0.25">
      <c r="B3736" s="23"/>
      <c r="E3736" s="23"/>
      <c r="G3736" s="23"/>
      <c r="H3736" s="23"/>
      <c r="J3736" s="23"/>
      <c r="K3736" s="23"/>
      <c r="M3736" s="23"/>
      <c r="N3736" s="23"/>
      <c r="P3736" s="23"/>
    </row>
    <row r="3737" spans="2:16" x14ac:dyDescent="0.25">
      <c r="B3737" s="23"/>
      <c r="E3737" s="23"/>
      <c r="G3737" s="23"/>
      <c r="H3737" s="23"/>
      <c r="J3737" s="23"/>
      <c r="K3737" s="23"/>
      <c r="M3737" s="23"/>
      <c r="N3737" s="23"/>
      <c r="P3737" s="23"/>
    </row>
    <row r="3738" spans="2:16" x14ac:dyDescent="0.25">
      <c r="B3738" s="23"/>
      <c r="E3738" s="23"/>
      <c r="G3738" s="23"/>
      <c r="H3738" s="23"/>
      <c r="J3738" s="23"/>
      <c r="K3738" s="23"/>
      <c r="M3738" s="23"/>
      <c r="N3738" s="23"/>
      <c r="P3738" s="23"/>
    </row>
    <row r="3739" spans="2:16" x14ac:dyDescent="0.25">
      <c r="B3739" s="23"/>
      <c r="E3739" s="23"/>
      <c r="G3739" s="23"/>
      <c r="H3739" s="23"/>
      <c r="J3739" s="23"/>
      <c r="K3739" s="23"/>
      <c r="M3739" s="23"/>
      <c r="N3739" s="23"/>
      <c r="P3739" s="23"/>
    </row>
    <row r="3740" spans="2:16" x14ac:dyDescent="0.25">
      <c r="B3740" s="23"/>
      <c r="E3740" s="23"/>
      <c r="G3740" s="23"/>
      <c r="H3740" s="23"/>
      <c r="J3740" s="23"/>
      <c r="K3740" s="23"/>
      <c r="M3740" s="23"/>
      <c r="N3740" s="23"/>
      <c r="P3740" s="23"/>
    </row>
    <row r="3741" spans="2:16" x14ac:dyDescent="0.25">
      <c r="B3741" s="23"/>
      <c r="E3741" s="23"/>
      <c r="G3741" s="23"/>
      <c r="H3741" s="23"/>
      <c r="J3741" s="23"/>
      <c r="K3741" s="23"/>
      <c r="M3741" s="23"/>
      <c r="N3741" s="23"/>
      <c r="P3741" s="23"/>
    </row>
    <row r="3742" spans="2:16" x14ac:dyDescent="0.25">
      <c r="B3742" s="23"/>
      <c r="E3742" s="23"/>
      <c r="G3742" s="23"/>
      <c r="H3742" s="23"/>
      <c r="J3742" s="23"/>
      <c r="K3742" s="23"/>
      <c r="M3742" s="23"/>
      <c r="N3742" s="23"/>
      <c r="P3742" s="23"/>
    </row>
    <row r="3743" spans="2:16" x14ac:dyDescent="0.25">
      <c r="B3743" s="23"/>
      <c r="E3743" s="23"/>
      <c r="G3743" s="23"/>
      <c r="H3743" s="23"/>
      <c r="J3743" s="23"/>
      <c r="K3743" s="23"/>
      <c r="M3743" s="23"/>
      <c r="N3743" s="23"/>
      <c r="P3743" s="23"/>
    </row>
    <row r="3744" spans="2:16" x14ac:dyDescent="0.25">
      <c r="B3744" s="23"/>
      <c r="E3744" s="23"/>
      <c r="G3744" s="23"/>
      <c r="H3744" s="23"/>
      <c r="J3744" s="23"/>
      <c r="K3744" s="23"/>
      <c r="M3744" s="23"/>
      <c r="N3744" s="23"/>
      <c r="P3744" s="23"/>
    </row>
    <row r="3745" spans="2:16" x14ac:dyDescent="0.25">
      <c r="B3745" s="23"/>
      <c r="E3745" s="23"/>
      <c r="G3745" s="23"/>
      <c r="H3745" s="23"/>
      <c r="J3745" s="23"/>
      <c r="K3745" s="23"/>
      <c r="M3745" s="23"/>
      <c r="N3745" s="23"/>
      <c r="P3745" s="23"/>
    </row>
    <row r="3746" spans="2:16" x14ac:dyDescent="0.25">
      <c r="B3746" s="23"/>
      <c r="E3746" s="23"/>
      <c r="G3746" s="23"/>
      <c r="H3746" s="23"/>
      <c r="J3746" s="23"/>
      <c r="K3746" s="23"/>
      <c r="M3746" s="23"/>
      <c r="N3746" s="23"/>
      <c r="P3746" s="23"/>
    </row>
    <row r="3747" spans="2:16" x14ac:dyDescent="0.25">
      <c r="B3747" s="23"/>
      <c r="E3747" s="23"/>
      <c r="G3747" s="23"/>
      <c r="H3747" s="23"/>
      <c r="J3747" s="23"/>
      <c r="K3747" s="23"/>
      <c r="M3747" s="23"/>
      <c r="N3747" s="23"/>
      <c r="P3747" s="23"/>
    </row>
    <row r="3748" spans="2:16" x14ac:dyDescent="0.25">
      <c r="B3748" s="23"/>
      <c r="E3748" s="23"/>
      <c r="G3748" s="23"/>
      <c r="H3748" s="23"/>
      <c r="J3748" s="23"/>
      <c r="K3748" s="23"/>
      <c r="M3748" s="23"/>
      <c r="N3748" s="23"/>
      <c r="P3748" s="23"/>
    </row>
    <row r="3749" spans="2:16" x14ac:dyDescent="0.25">
      <c r="B3749" s="23"/>
      <c r="E3749" s="23"/>
      <c r="G3749" s="23"/>
      <c r="H3749" s="23"/>
      <c r="J3749" s="23"/>
      <c r="K3749" s="23"/>
      <c r="M3749" s="23"/>
      <c r="N3749" s="23"/>
      <c r="P3749" s="23"/>
    </row>
    <row r="3750" spans="2:16" x14ac:dyDescent="0.25">
      <c r="B3750" s="23"/>
      <c r="E3750" s="23"/>
      <c r="G3750" s="23"/>
      <c r="H3750" s="23"/>
      <c r="J3750" s="23"/>
      <c r="K3750" s="23"/>
      <c r="M3750" s="23"/>
      <c r="N3750" s="23"/>
      <c r="P3750" s="23"/>
    </row>
    <row r="3751" spans="2:16" x14ac:dyDescent="0.25">
      <c r="B3751" s="23"/>
      <c r="E3751" s="23"/>
      <c r="G3751" s="23"/>
      <c r="H3751" s="23"/>
      <c r="J3751" s="23"/>
      <c r="K3751" s="23"/>
      <c r="M3751" s="23"/>
      <c r="N3751" s="23"/>
      <c r="P3751" s="23"/>
    </row>
    <row r="3752" spans="2:16" x14ac:dyDescent="0.25">
      <c r="B3752" s="23"/>
      <c r="E3752" s="23"/>
      <c r="G3752" s="23"/>
      <c r="H3752" s="23"/>
      <c r="J3752" s="23"/>
      <c r="K3752" s="23"/>
      <c r="M3752" s="23"/>
      <c r="N3752" s="23"/>
      <c r="P3752" s="23"/>
    </row>
    <row r="3753" spans="2:16" x14ac:dyDescent="0.25">
      <c r="B3753" s="23"/>
      <c r="E3753" s="23"/>
      <c r="G3753" s="23"/>
      <c r="H3753" s="23"/>
      <c r="J3753" s="23"/>
      <c r="K3753" s="23"/>
      <c r="M3753" s="23"/>
      <c r="N3753" s="23"/>
      <c r="P3753" s="23"/>
    </row>
    <row r="3754" spans="2:16" x14ac:dyDescent="0.25">
      <c r="B3754" s="23"/>
      <c r="E3754" s="23"/>
      <c r="G3754" s="23"/>
      <c r="H3754" s="23"/>
      <c r="J3754" s="23"/>
      <c r="K3754" s="23"/>
      <c r="M3754" s="23"/>
      <c r="N3754" s="23"/>
      <c r="P3754" s="23"/>
    </row>
    <row r="3755" spans="2:16" x14ac:dyDescent="0.25">
      <c r="B3755" s="23"/>
      <c r="E3755" s="23"/>
      <c r="G3755" s="23"/>
      <c r="H3755" s="23"/>
      <c r="J3755" s="23"/>
      <c r="K3755" s="23"/>
      <c r="M3755" s="23"/>
      <c r="N3755" s="23"/>
      <c r="P3755" s="23"/>
    </row>
    <row r="3756" spans="2:16" x14ac:dyDescent="0.25">
      <c r="B3756" s="23"/>
      <c r="E3756" s="23"/>
      <c r="G3756" s="23"/>
      <c r="H3756" s="23"/>
      <c r="J3756" s="23"/>
      <c r="K3756" s="23"/>
      <c r="M3756" s="23"/>
      <c r="N3756" s="23"/>
      <c r="P3756" s="23"/>
    </row>
    <row r="3757" spans="2:16" x14ac:dyDescent="0.25">
      <c r="B3757" s="23"/>
      <c r="E3757" s="23"/>
      <c r="G3757" s="23"/>
      <c r="H3757" s="23"/>
      <c r="J3757" s="23"/>
      <c r="K3757" s="23"/>
      <c r="M3757" s="23"/>
      <c r="N3757" s="23"/>
      <c r="P3757" s="23"/>
    </row>
    <row r="3758" spans="2:16" x14ac:dyDescent="0.25">
      <c r="B3758" s="23"/>
      <c r="E3758" s="23"/>
      <c r="G3758" s="23"/>
      <c r="H3758" s="23"/>
      <c r="J3758" s="23"/>
      <c r="K3758" s="23"/>
      <c r="M3758" s="23"/>
      <c r="N3758" s="23"/>
      <c r="P3758" s="23"/>
    </row>
    <row r="3759" spans="2:16" x14ac:dyDescent="0.25">
      <c r="B3759" s="23"/>
      <c r="E3759" s="23"/>
      <c r="G3759" s="23"/>
      <c r="H3759" s="23"/>
      <c r="J3759" s="23"/>
      <c r="K3759" s="23"/>
      <c r="M3759" s="23"/>
      <c r="N3759" s="23"/>
      <c r="P3759" s="23"/>
    </row>
    <row r="3760" spans="2:16" x14ac:dyDescent="0.25">
      <c r="B3760" s="23"/>
      <c r="E3760" s="23"/>
      <c r="G3760" s="23"/>
      <c r="H3760" s="23"/>
      <c r="J3760" s="23"/>
      <c r="K3760" s="23"/>
      <c r="M3760" s="23"/>
      <c r="N3760" s="23"/>
      <c r="P3760" s="23"/>
    </row>
    <row r="3761" spans="2:16" x14ac:dyDescent="0.25">
      <c r="B3761" s="23"/>
      <c r="E3761" s="23"/>
      <c r="G3761" s="23"/>
      <c r="H3761" s="23"/>
      <c r="J3761" s="23"/>
      <c r="K3761" s="23"/>
      <c r="M3761" s="23"/>
      <c r="N3761" s="23"/>
      <c r="P3761" s="23"/>
    </row>
    <row r="3762" spans="2:16" x14ac:dyDescent="0.25">
      <c r="B3762" s="23"/>
      <c r="E3762" s="23"/>
      <c r="G3762" s="23"/>
      <c r="H3762" s="23"/>
      <c r="J3762" s="23"/>
      <c r="K3762" s="23"/>
      <c r="M3762" s="23"/>
      <c r="N3762" s="23"/>
      <c r="P3762" s="23"/>
    </row>
    <row r="3763" spans="2:16" x14ac:dyDescent="0.25">
      <c r="B3763" s="23"/>
      <c r="E3763" s="23"/>
      <c r="G3763" s="23"/>
      <c r="H3763" s="23"/>
      <c r="J3763" s="23"/>
      <c r="K3763" s="23"/>
      <c r="M3763" s="23"/>
      <c r="N3763" s="23"/>
      <c r="P3763" s="23"/>
    </row>
    <row r="3764" spans="2:16" x14ac:dyDescent="0.25">
      <c r="B3764" s="23"/>
      <c r="E3764" s="23"/>
      <c r="G3764" s="23"/>
      <c r="H3764" s="23"/>
      <c r="J3764" s="23"/>
      <c r="K3764" s="23"/>
      <c r="M3764" s="23"/>
      <c r="N3764" s="23"/>
      <c r="P3764" s="23"/>
    </row>
    <row r="3765" spans="2:16" x14ac:dyDescent="0.25">
      <c r="B3765" s="23"/>
      <c r="E3765" s="23"/>
      <c r="G3765" s="23"/>
      <c r="H3765" s="23"/>
      <c r="J3765" s="23"/>
      <c r="K3765" s="23"/>
      <c r="M3765" s="23"/>
      <c r="N3765" s="23"/>
      <c r="P3765" s="23"/>
    </row>
    <row r="3766" spans="2:16" x14ac:dyDescent="0.25">
      <c r="B3766" s="23"/>
      <c r="E3766" s="23"/>
      <c r="G3766" s="23"/>
      <c r="H3766" s="23"/>
      <c r="J3766" s="23"/>
      <c r="K3766" s="23"/>
      <c r="M3766" s="23"/>
      <c r="N3766" s="23"/>
      <c r="P3766" s="23"/>
    </row>
    <row r="3767" spans="2:16" x14ac:dyDescent="0.25">
      <c r="B3767" s="23"/>
      <c r="E3767" s="23"/>
      <c r="G3767" s="23"/>
      <c r="H3767" s="23"/>
      <c r="J3767" s="23"/>
      <c r="K3767" s="23"/>
      <c r="M3767" s="23"/>
      <c r="N3767" s="23"/>
      <c r="P3767" s="23"/>
    </row>
    <row r="3768" spans="2:16" x14ac:dyDescent="0.25">
      <c r="B3768" s="23"/>
      <c r="E3768" s="23"/>
      <c r="G3768" s="23"/>
      <c r="H3768" s="23"/>
      <c r="J3768" s="23"/>
      <c r="K3768" s="23"/>
      <c r="M3768" s="23"/>
      <c r="N3768" s="23"/>
      <c r="P3768" s="23"/>
    </row>
    <row r="3769" spans="2:16" x14ac:dyDescent="0.25">
      <c r="B3769" s="23"/>
      <c r="E3769" s="23"/>
      <c r="G3769" s="23"/>
      <c r="H3769" s="23"/>
      <c r="J3769" s="23"/>
      <c r="K3769" s="23"/>
      <c r="M3769" s="23"/>
      <c r="N3769" s="23"/>
      <c r="P3769" s="23"/>
    </row>
    <row r="3770" spans="2:16" x14ac:dyDescent="0.25">
      <c r="B3770" s="23"/>
      <c r="E3770" s="23"/>
      <c r="G3770" s="23"/>
      <c r="H3770" s="23"/>
      <c r="J3770" s="23"/>
      <c r="K3770" s="23"/>
      <c r="M3770" s="23"/>
      <c r="N3770" s="23"/>
      <c r="P3770" s="23"/>
    </row>
    <row r="3771" spans="2:16" x14ac:dyDescent="0.25">
      <c r="B3771" s="23"/>
      <c r="E3771" s="23"/>
      <c r="G3771" s="23"/>
      <c r="H3771" s="23"/>
      <c r="J3771" s="23"/>
      <c r="K3771" s="23"/>
      <c r="M3771" s="23"/>
      <c r="N3771" s="23"/>
      <c r="P3771" s="23"/>
    </row>
    <row r="3772" spans="2:16" x14ac:dyDescent="0.25">
      <c r="B3772" s="23"/>
      <c r="E3772" s="23"/>
      <c r="G3772" s="23"/>
      <c r="H3772" s="23"/>
      <c r="J3772" s="23"/>
      <c r="K3772" s="23"/>
      <c r="M3772" s="23"/>
      <c r="N3772" s="23"/>
      <c r="P3772" s="23"/>
    </row>
    <row r="3773" spans="2:16" x14ac:dyDescent="0.25">
      <c r="B3773" s="23"/>
      <c r="E3773" s="23"/>
      <c r="G3773" s="23"/>
      <c r="H3773" s="23"/>
      <c r="J3773" s="23"/>
      <c r="K3773" s="23"/>
      <c r="M3773" s="23"/>
      <c r="N3773" s="23"/>
      <c r="P3773" s="23"/>
    </row>
    <row r="3774" spans="2:16" x14ac:dyDescent="0.25">
      <c r="B3774" s="23"/>
      <c r="E3774" s="23"/>
      <c r="G3774" s="23"/>
      <c r="H3774" s="23"/>
      <c r="J3774" s="23"/>
      <c r="K3774" s="23"/>
      <c r="M3774" s="23"/>
      <c r="N3774" s="23"/>
      <c r="P3774" s="23"/>
    </row>
    <row r="3775" spans="2:16" x14ac:dyDescent="0.25">
      <c r="B3775" s="23"/>
      <c r="E3775" s="23"/>
      <c r="G3775" s="23"/>
      <c r="H3775" s="23"/>
      <c r="J3775" s="23"/>
      <c r="K3775" s="23"/>
      <c r="M3775" s="23"/>
      <c r="N3775" s="23"/>
      <c r="P3775" s="23"/>
    </row>
    <row r="3776" spans="2:16" x14ac:dyDescent="0.25">
      <c r="B3776" s="23"/>
      <c r="E3776" s="23"/>
      <c r="G3776" s="23"/>
      <c r="H3776" s="23"/>
      <c r="J3776" s="23"/>
      <c r="K3776" s="23"/>
      <c r="M3776" s="23"/>
      <c r="N3776" s="23"/>
      <c r="P3776" s="23"/>
    </row>
    <row r="3777" spans="2:16" x14ac:dyDescent="0.25">
      <c r="B3777" s="23"/>
      <c r="E3777" s="23"/>
      <c r="G3777" s="23"/>
      <c r="H3777" s="23"/>
      <c r="J3777" s="23"/>
      <c r="K3777" s="23"/>
      <c r="M3777" s="23"/>
      <c r="N3777" s="23"/>
      <c r="P3777" s="23"/>
    </row>
    <row r="3778" spans="2:16" x14ac:dyDescent="0.25">
      <c r="B3778" s="23"/>
      <c r="E3778" s="23"/>
      <c r="G3778" s="23"/>
      <c r="H3778" s="23"/>
      <c r="J3778" s="23"/>
      <c r="K3778" s="23"/>
      <c r="M3778" s="23"/>
      <c r="N3778" s="23"/>
      <c r="P3778" s="23"/>
    </row>
    <row r="3779" spans="2:16" x14ac:dyDescent="0.25">
      <c r="B3779" s="23"/>
      <c r="E3779" s="23"/>
      <c r="G3779" s="23"/>
      <c r="H3779" s="23"/>
      <c r="J3779" s="23"/>
      <c r="K3779" s="23"/>
      <c r="M3779" s="23"/>
      <c r="N3779" s="23"/>
      <c r="P3779" s="23"/>
    </row>
    <row r="3780" spans="2:16" x14ac:dyDescent="0.25">
      <c r="B3780" s="23"/>
      <c r="E3780" s="23"/>
      <c r="G3780" s="23"/>
      <c r="H3780" s="23"/>
      <c r="J3780" s="23"/>
      <c r="K3780" s="23"/>
      <c r="M3780" s="23"/>
      <c r="N3780" s="23"/>
      <c r="P3780" s="23"/>
    </row>
    <row r="3781" spans="2:16" x14ac:dyDescent="0.25">
      <c r="B3781" s="23"/>
      <c r="E3781" s="23"/>
      <c r="G3781" s="23"/>
      <c r="H3781" s="23"/>
      <c r="J3781" s="23"/>
      <c r="K3781" s="23"/>
      <c r="M3781" s="23"/>
      <c r="N3781" s="23"/>
      <c r="P3781" s="23"/>
    </row>
    <row r="3782" spans="2:16" x14ac:dyDescent="0.25">
      <c r="B3782" s="23"/>
      <c r="E3782" s="23"/>
      <c r="G3782" s="23"/>
      <c r="H3782" s="23"/>
      <c r="J3782" s="23"/>
      <c r="K3782" s="23"/>
      <c r="M3782" s="23"/>
      <c r="N3782" s="23"/>
      <c r="P3782" s="23"/>
    </row>
    <row r="3783" spans="2:16" x14ac:dyDescent="0.25">
      <c r="B3783" s="23"/>
      <c r="E3783" s="23"/>
      <c r="G3783" s="23"/>
      <c r="H3783" s="23"/>
      <c r="J3783" s="23"/>
      <c r="K3783" s="23"/>
      <c r="M3783" s="23"/>
      <c r="N3783" s="23"/>
      <c r="P3783" s="23"/>
    </row>
    <row r="3784" spans="2:16" x14ac:dyDescent="0.25">
      <c r="B3784" s="23"/>
      <c r="E3784" s="23"/>
      <c r="G3784" s="23"/>
      <c r="H3784" s="23"/>
      <c r="J3784" s="23"/>
      <c r="K3784" s="23"/>
      <c r="M3784" s="23"/>
      <c r="N3784" s="23"/>
      <c r="P3784" s="23"/>
    </row>
    <row r="3785" spans="2:16" x14ac:dyDescent="0.25">
      <c r="B3785" s="23"/>
      <c r="E3785" s="23"/>
      <c r="G3785" s="23"/>
      <c r="H3785" s="23"/>
      <c r="J3785" s="23"/>
      <c r="K3785" s="23"/>
      <c r="M3785" s="23"/>
      <c r="N3785" s="23"/>
      <c r="P3785" s="23"/>
    </row>
    <row r="3786" spans="2:16" x14ac:dyDescent="0.25">
      <c r="B3786" s="23"/>
      <c r="E3786" s="23"/>
      <c r="G3786" s="23"/>
      <c r="H3786" s="23"/>
      <c r="J3786" s="23"/>
      <c r="K3786" s="23"/>
      <c r="M3786" s="23"/>
      <c r="N3786" s="23"/>
      <c r="P3786" s="23"/>
    </row>
    <row r="3787" spans="2:16" x14ac:dyDescent="0.25">
      <c r="B3787" s="23"/>
      <c r="E3787" s="23"/>
      <c r="G3787" s="23"/>
      <c r="H3787" s="23"/>
      <c r="J3787" s="23"/>
      <c r="K3787" s="23"/>
      <c r="M3787" s="23"/>
      <c r="N3787" s="23"/>
      <c r="P3787" s="23"/>
    </row>
    <row r="3788" spans="2:16" x14ac:dyDescent="0.25">
      <c r="B3788" s="23"/>
      <c r="E3788" s="23"/>
      <c r="G3788" s="23"/>
      <c r="H3788" s="23"/>
      <c r="J3788" s="23"/>
      <c r="K3788" s="23"/>
      <c r="M3788" s="23"/>
      <c r="N3788" s="23"/>
      <c r="P3788" s="23"/>
    </row>
    <row r="3789" spans="2:16" x14ac:dyDescent="0.25">
      <c r="B3789" s="23"/>
      <c r="E3789" s="23"/>
      <c r="G3789" s="23"/>
      <c r="H3789" s="23"/>
      <c r="J3789" s="23"/>
      <c r="K3789" s="23"/>
      <c r="M3789" s="23"/>
      <c r="N3789" s="23"/>
      <c r="P3789" s="23"/>
    </row>
    <row r="3790" spans="2:16" x14ac:dyDescent="0.25">
      <c r="B3790" s="23"/>
      <c r="E3790" s="23"/>
      <c r="G3790" s="23"/>
      <c r="H3790" s="23"/>
      <c r="J3790" s="23"/>
      <c r="K3790" s="23"/>
      <c r="M3790" s="23"/>
      <c r="N3790" s="23"/>
      <c r="P3790" s="23"/>
    </row>
    <row r="3791" spans="2:16" x14ac:dyDescent="0.25">
      <c r="B3791" s="23"/>
      <c r="E3791" s="23"/>
      <c r="G3791" s="23"/>
      <c r="H3791" s="23"/>
      <c r="J3791" s="23"/>
      <c r="K3791" s="23"/>
      <c r="M3791" s="23"/>
      <c r="N3791" s="23"/>
      <c r="P3791" s="23"/>
    </row>
    <row r="3792" spans="2:16" x14ac:dyDescent="0.25">
      <c r="B3792" s="23"/>
      <c r="E3792" s="23"/>
      <c r="G3792" s="23"/>
      <c r="H3792" s="23"/>
      <c r="J3792" s="23"/>
      <c r="K3792" s="23"/>
      <c r="M3792" s="23"/>
      <c r="N3792" s="23"/>
      <c r="P3792" s="23"/>
    </row>
    <row r="3793" spans="2:16" x14ac:dyDescent="0.25">
      <c r="B3793" s="23"/>
      <c r="E3793" s="23"/>
      <c r="G3793" s="23"/>
      <c r="H3793" s="23"/>
      <c r="J3793" s="23"/>
      <c r="K3793" s="23"/>
      <c r="M3793" s="23"/>
      <c r="N3793" s="23"/>
      <c r="P3793" s="23"/>
    </row>
    <row r="3794" spans="2:16" x14ac:dyDescent="0.25">
      <c r="B3794" s="23"/>
      <c r="E3794" s="23"/>
      <c r="G3794" s="23"/>
      <c r="H3794" s="23"/>
      <c r="J3794" s="23"/>
      <c r="K3794" s="23"/>
      <c r="M3794" s="23"/>
      <c r="N3794" s="23"/>
      <c r="P3794" s="23"/>
    </row>
    <row r="3795" spans="2:16" x14ac:dyDescent="0.25">
      <c r="B3795" s="23"/>
      <c r="E3795" s="23"/>
      <c r="G3795" s="23"/>
      <c r="H3795" s="23"/>
      <c r="J3795" s="23"/>
      <c r="K3795" s="23"/>
      <c r="M3795" s="23"/>
      <c r="N3795" s="23"/>
      <c r="P3795" s="23"/>
    </row>
    <row r="3796" spans="2:16" x14ac:dyDescent="0.25">
      <c r="B3796" s="23"/>
      <c r="E3796" s="23"/>
      <c r="G3796" s="23"/>
      <c r="H3796" s="23"/>
      <c r="J3796" s="23"/>
      <c r="K3796" s="23"/>
      <c r="M3796" s="23"/>
      <c r="N3796" s="23"/>
      <c r="P3796" s="23"/>
    </row>
    <row r="3797" spans="2:16" x14ac:dyDescent="0.25">
      <c r="B3797" s="23"/>
      <c r="E3797" s="23"/>
      <c r="G3797" s="23"/>
      <c r="H3797" s="23"/>
      <c r="J3797" s="23"/>
      <c r="K3797" s="23"/>
      <c r="M3797" s="23"/>
      <c r="N3797" s="23"/>
      <c r="P3797" s="23"/>
    </row>
    <row r="3798" spans="2:16" x14ac:dyDescent="0.25">
      <c r="B3798" s="23"/>
      <c r="E3798" s="23"/>
      <c r="G3798" s="23"/>
      <c r="H3798" s="23"/>
      <c r="J3798" s="23"/>
      <c r="K3798" s="23"/>
      <c r="M3798" s="23"/>
      <c r="N3798" s="23"/>
      <c r="P3798" s="23"/>
    </row>
    <row r="3799" spans="2:16" x14ac:dyDescent="0.25">
      <c r="B3799" s="23"/>
      <c r="E3799" s="23"/>
      <c r="G3799" s="23"/>
      <c r="H3799" s="23"/>
      <c r="J3799" s="23"/>
      <c r="K3799" s="23"/>
      <c r="M3799" s="23"/>
      <c r="N3799" s="23"/>
      <c r="P3799" s="23"/>
    </row>
    <row r="3800" spans="2:16" x14ac:dyDescent="0.25">
      <c r="B3800" s="23"/>
      <c r="E3800" s="23"/>
      <c r="G3800" s="23"/>
      <c r="H3800" s="23"/>
      <c r="J3800" s="23"/>
      <c r="K3800" s="23"/>
      <c r="M3800" s="23"/>
      <c r="N3800" s="23"/>
      <c r="P3800" s="23"/>
    </row>
    <row r="3801" spans="2:16" x14ac:dyDescent="0.25">
      <c r="B3801" s="23"/>
      <c r="E3801" s="23"/>
      <c r="G3801" s="23"/>
      <c r="H3801" s="23"/>
      <c r="J3801" s="23"/>
      <c r="K3801" s="23"/>
      <c r="M3801" s="23"/>
      <c r="N3801" s="23"/>
      <c r="P3801" s="23"/>
    </row>
    <row r="3802" spans="2:16" x14ac:dyDescent="0.25">
      <c r="B3802" s="23"/>
      <c r="E3802" s="23"/>
      <c r="G3802" s="23"/>
      <c r="H3802" s="23"/>
      <c r="J3802" s="23"/>
      <c r="K3802" s="23"/>
      <c r="M3802" s="23"/>
      <c r="N3802" s="23"/>
      <c r="P3802" s="23"/>
    </row>
    <row r="3803" spans="2:16" x14ac:dyDescent="0.25">
      <c r="B3803" s="23"/>
      <c r="E3803" s="23"/>
      <c r="G3803" s="23"/>
      <c r="H3803" s="23"/>
      <c r="J3803" s="23"/>
      <c r="K3803" s="23"/>
      <c r="M3803" s="23"/>
      <c r="N3803" s="23"/>
      <c r="P3803" s="23"/>
    </row>
    <row r="3804" spans="2:16" x14ac:dyDescent="0.25">
      <c r="B3804" s="23"/>
      <c r="E3804" s="23"/>
      <c r="G3804" s="23"/>
      <c r="H3804" s="23"/>
      <c r="J3804" s="23"/>
      <c r="K3804" s="23"/>
      <c r="M3804" s="23"/>
      <c r="N3804" s="23"/>
      <c r="P3804" s="23"/>
    </row>
    <row r="3805" spans="2:16" x14ac:dyDescent="0.25">
      <c r="B3805" s="23"/>
      <c r="E3805" s="23"/>
      <c r="G3805" s="23"/>
      <c r="H3805" s="23"/>
      <c r="J3805" s="23"/>
      <c r="K3805" s="23"/>
      <c r="M3805" s="23"/>
      <c r="N3805" s="23"/>
      <c r="P3805" s="23"/>
    </row>
    <row r="3806" spans="2:16" x14ac:dyDescent="0.25">
      <c r="B3806" s="23"/>
      <c r="E3806" s="23"/>
      <c r="G3806" s="23"/>
      <c r="H3806" s="23"/>
      <c r="J3806" s="23"/>
      <c r="K3806" s="23"/>
      <c r="M3806" s="23"/>
      <c r="N3806" s="23"/>
      <c r="P3806" s="23"/>
    </row>
    <row r="3807" spans="2:16" x14ac:dyDescent="0.25">
      <c r="B3807" s="23"/>
      <c r="E3807" s="23"/>
      <c r="G3807" s="23"/>
      <c r="H3807" s="23"/>
      <c r="J3807" s="23"/>
      <c r="K3807" s="23"/>
      <c r="M3807" s="23"/>
      <c r="N3807" s="23"/>
      <c r="P3807" s="23"/>
    </row>
    <row r="3808" spans="2:16" x14ac:dyDescent="0.25">
      <c r="B3808" s="23"/>
      <c r="E3808" s="23"/>
      <c r="G3808" s="23"/>
      <c r="H3808" s="23"/>
      <c r="J3808" s="23"/>
      <c r="K3808" s="23"/>
      <c r="M3808" s="23"/>
      <c r="N3808" s="23"/>
      <c r="P3808" s="23"/>
    </row>
    <row r="3809" spans="2:16" x14ac:dyDescent="0.25">
      <c r="B3809" s="23"/>
      <c r="E3809" s="23"/>
      <c r="G3809" s="23"/>
      <c r="H3809" s="23"/>
      <c r="J3809" s="23"/>
      <c r="K3809" s="23"/>
      <c r="M3809" s="23"/>
      <c r="N3809" s="23"/>
      <c r="P3809" s="23"/>
    </row>
    <row r="3810" spans="2:16" x14ac:dyDescent="0.25">
      <c r="B3810" s="23"/>
      <c r="E3810" s="23"/>
      <c r="G3810" s="23"/>
      <c r="H3810" s="23"/>
      <c r="J3810" s="23"/>
      <c r="K3810" s="23"/>
      <c r="M3810" s="23"/>
      <c r="N3810" s="23"/>
      <c r="P3810" s="23"/>
    </row>
    <row r="3811" spans="2:16" x14ac:dyDescent="0.25">
      <c r="B3811" s="23"/>
      <c r="E3811" s="23"/>
      <c r="G3811" s="23"/>
      <c r="H3811" s="23"/>
      <c r="J3811" s="23"/>
      <c r="K3811" s="23"/>
      <c r="M3811" s="23"/>
      <c r="N3811" s="23"/>
      <c r="P3811" s="23"/>
    </row>
    <row r="3812" spans="2:16" x14ac:dyDescent="0.25">
      <c r="B3812" s="23"/>
      <c r="E3812" s="23"/>
      <c r="G3812" s="23"/>
      <c r="H3812" s="23"/>
      <c r="J3812" s="23"/>
      <c r="K3812" s="23"/>
      <c r="M3812" s="23"/>
      <c r="N3812" s="23"/>
      <c r="P3812" s="23"/>
    </row>
    <row r="3813" spans="2:16" x14ac:dyDescent="0.25">
      <c r="B3813" s="23"/>
      <c r="E3813" s="23"/>
      <c r="G3813" s="23"/>
      <c r="H3813" s="23"/>
      <c r="J3813" s="23"/>
      <c r="K3813" s="23"/>
      <c r="M3813" s="23"/>
      <c r="N3813" s="23"/>
      <c r="P3813" s="23"/>
    </row>
    <row r="3814" spans="2:16" x14ac:dyDescent="0.25">
      <c r="B3814" s="23"/>
      <c r="E3814" s="23"/>
      <c r="G3814" s="23"/>
      <c r="H3814" s="23"/>
      <c r="J3814" s="23"/>
      <c r="K3814" s="23"/>
      <c r="M3814" s="23"/>
      <c r="N3814" s="23"/>
      <c r="P3814" s="23"/>
    </row>
    <row r="3815" spans="2:16" x14ac:dyDescent="0.25">
      <c r="B3815" s="23"/>
      <c r="E3815" s="23"/>
      <c r="G3815" s="23"/>
      <c r="H3815" s="23"/>
      <c r="J3815" s="23"/>
      <c r="K3815" s="23"/>
      <c r="M3815" s="23"/>
      <c r="N3815" s="23"/>
      <c r="P3815" s="23"/>
    </row>
    <row r="3816" spans="2:16" x14ac:dyDescent="0.25">
      <c r="B3816" s="23"/>
      <c r="E3816" s="23"/>
      <c r="G3816" s="23"/>
      <c r="H3816" s="23"/>
      <c r="J3816" s="23"/>
      <c r="K3816" s="23"/>
      <c r="M3816" s="23"/>
      <c r="N3816" s="23"/>
      <c r="P3816" s="23"/>
    </row>
    <row r="3817" spans="2:16" x14ac:dyDescent="0.25">
      <c r="B3817" s="23"/>
      <c r="E3817" s="23"/>
      <c r="G3817" s="23"/>
      <c r="H3817" s="23"/>
      <c r="J3817" s="23"/>
      <c r="K3817" s="23"/>
      <c r="M3817" s="23"/>
      <c r="N3817" s="23"/>
      <c r="P3817" s="23"/>
    </row>
    <row r="3818" spans="2:16" x14ac:dyDescent="0.25">
      <c r="B3818" s="23"/>
      <c r="E3818" s="23"/>
      <c r="G3818" s="23"/>
      <c r="H3818" s="23"/>
      <c r="J3818" s="23"/>
      <c r="K3818" s="23"/>
      <c r="M3818" s="23"/>
      <c r="N3818" s="23"/>
      <c r="P3818" s="23"/>
    </row>
    <row r="3819" spans="2:16" x14ac:dyDescent="0.25">
      <c r="B3819" s="23"/>
      <c r="E3819" s="23"/>
      <c r="G3819" s="23"/>
      <c r="H3819" s="23"/>
      <c r="J3819" s="23"/>
      <c r="K3819" s="23"/>
      <c r="M3819" s="23"/>
      <c r="N3819" s="23"/>
      <c r="P3819" s="23"/>
    </row>
    <row r="3820" spans="2:16" x14ac:dyDescent="0.25">
      <c r="B3820" s="23"/>
      <c r="E3820" s="23"/>
      <c r="G3820" s="23"/>
      <c r="H3820" s="23"/>
      <c r="J3820" s="23"/>
      <c r="K3820" s="23"/>
      <c r="M3820" s="23"/>
      <c r="N3820" s="23"/>
      <c r="P3820" s="23"/>
    </row>
    <row r="3821" spans="2:16" x14ac:dyDescent="0.25">
      <c r="B3821" s="23"/>
      <c r="E3821" s="23"/>
      <c r="G3821" s="23"/>
      <c r="H3821" s="23"/>
      <c r="J3821" s="23"/>
      <c r="K3821" s="23"/>
      <c r="M3821" s="23"/>
      <c r="N3821" s="23"/>
      <c r="P3821" s="23"/>
    </row>
    <row r="3822" spans="2:16" x14ac:dyDescent="0.25">
      <c r="B3822" s="23"/>
      <c r="E3822" s="23"/>
      <c r="G3822" s="23"/>
      <c r="H3822" s="23"/>
      <c r="J3822" s="23"/>
      <c r="K3822" s="23"/>
      <c r="M3822" s="23"/>
      <c r="N3822" s="23"/>
      <c r="P3822" s="23"/>
    </row>
    <row r="3823" spans="2:16" x14ac:dyDescent="0.25">
      <c r="B3823" s="23"/>
      <c r="E3823" s="23"/>
      <c r="G3823" s="23"/>
      <c r="H3823" s="23"/>
      <c r="J3823" s="23"/>
      <c r="K3823" s="23"/>
      <c r="M3823" s="23"/>
      <c r="N3823" s="23"/>
      <c r="P3823" s="23"/>
    </row>
    <row r="3824" spans="2:16" x14ac:dyDescent="0.25">
      <c r="B3824" s="23"/>
      <c r="E3824" s="23"/>
      <c r="G3824" s="23"/>
      <c r="H3824" s="23"/>
      <c r="J3824" s="23"/>
      <c r="K3824" s="23"/>
      <c r="M3824" s="23"/>
      <c r="N3824" s="23"/>
      <c r="P3824" s="23"/>
    </row>
    <row r="3825" spans="2:16" x14ac:dyDescent="0.25">
      <c r="B3825" s="23"/>
      <c r="E3825" s="23"/>
      <c r="G3825" s="23"/>
      <c r="H3825" s="23"/>
      <c r="J3825" s="23"/>
      <c r="K3825" s="23"/>
      <c r="M3825" s="23"/>
      <c r="N3825" s="23"/>
      <c r="P3825" s="23"/>
    </row>
    <row r="3826" spans="2:16" x14ac:dyDescent="0.25">
      <c r="B3826" s="23"/>
      <c r="E3826" s="23"/>
      <c r="G3826" s="23"/>
      <c r="H3826" s="23"/>
      <c r="J3826" s="23"/>
      <c r="K3826" s="23"/>
      <c r="M3826" s="23"/>
      <c r="N3826" s="23"/>
      <c r="P3826" s="23"/>
    </row>
    <row r="3827" spans="2:16" x14ac:dyDescent="0.25">
      <c r="B3827" s="23"/>
      <c r="E3827" s="23"/>
      <c r="G3827" s="23"/>
      <c r="H3827" s="23"/>
      <c r="J3827" s="23"/>
      <c r="K3827" s="23"/>
      <c r="M3827" s="23"/>
      <c r="N3827" s="23"/>
      <c r="P3827" s="23"/>
    </row>
    <row r="3828" spans="2:16" x14ac:dyDescent="0.25">
      <c r="B3828" s="23"/>
      <c r="E3828" s="23"/>
      <c r="G3828" s="23"/>
      <c r="H3828" s="23"/>
      <c r="J3828" s="23"/>
      <c r="K3828" s="23"/>
      <c r="M3828" s="23"/>
      <c r="N3828" s="23"/>
      <c r="P3828" s="23"/>
    </row>
    <row r="3829" spans="2:16" x14ac:dyDescent="0.25">
      <c r="B3829" s="23"/>
      <c r="E3829" s="23"/>
      <c r="G3829" s="23"/>
      <c r="H3829" s="23"/>
      <c r="J3829" s="23"/>
      <c r="K3829" s="23"/>
      <c r="M3829" s="23"/>
      <c r="N3829" s="23"/>
      <c r="P3829" s="23"/>
    </row>
    <row r="3830" spans="2:16" x14ac:dyDescent="0.25">
      <c r="B3830" s="23"/>
      <c r="E3830" s="23"/>
      <c r="G3830" s="23"/>
      <c r="H3830" s="23"/>
      <c r="J3830" s="23"/>
      <c r="K3830" s="23"/>
      <c r="M3830" s="23"/>
      <c r="N3830" s="23"/>
      <c r="P3830" s="23"/>
    </row>
    <row r="3831" spans="2:16" x14ac:dyDescent="0.25">
      <c r="B3831" s="23"/>
      <c r="E3831" s="23"/>
      <c r="G3831" s="23"/>
      <c r="H3831" s="23"/>
      <c r="J3831" s="23"/>
      <c r="K3831" s="23"/>
      <c r="M3831" s="23"/>
      <c r="N3831" s="23"/>
      <c r="P3831" s="23"/>
    </row>
    <row r="3832" spans="2:16" x14ac:dyDescent="0.25">
      <c r="B3832" s="23"/>
      <c r="E3832" s="23"/>
      <c r="G3832" s="23"/>
      <c r="H3832" s="23"/>
      <c r="J3832" s="23"/>
      <c r="K3832" s="23"/>
      <c r="M3832" s="23"/>
      <c r="N3832" s="23"/>
      <c r="P3832" s="23"/>
    </row>
    <row r="3833" spans="2:16" x14ac:dyDescent="0.25">
      <c r="B3833" s="23"/>
      <c r="E3833" s="23"/>
      <c r="G3833" s="23"/>
      <c r="H3833" s="23"/>
      <c r="J3833" s="23"/>
      <c r="K3833" s="23"/>
      <c r="M3833" s="23"/>
      <c r="N3833" s="23"/>
      <c r="P3833" s="23"/>
    </row>
    <row r="3834" spans="2:16" x14ac:dyDescent="0.25">
      <c r="B3834" s="23"/>
      <c r="E3834" s="23"/>
      <c r="G3834" s="23"/>
      <c r="H3834" s="23"/>
      <c r="J3834" s="23"/>
      <c r="K3834" s="23"/>
      <c r="M3834" s="23"/>
      <c r="N3834" s="23"/>
      <c r="P3834" s="23"/>
    </row>
    <row r="3835" spans="2:16" x14ac:dyDescent="0.25">
      <c r="B3835" s="23"/>
      <c r="E3835" s="23"/>
      <c r="G3835" s="23"/>
      <c r="H3835" s="23"/>
      <c r="J3835" s="23"/>
      <c r="K3835" s="23"/>
      <c r="M3835" s="23"/>
      <c r="N3835" s="23"/>
      <c r="P3835" s="23"/>
    </row>
    <row r="3836" spans="2:16" x14ac:dyDescent="0.25">
      <c r="B3836" s="23"/>
      <c r="E3836" s="23"/>
      <c r="G3836" s="23"/>
      <c r="H3836" s="23"/>
      <c r="J3836" s="23"/>
      <c r="K3836" s="23"/>
      <c r="M3836" s="23"/>
      <c r="N3836" s="23"/>
      <c r="P3836" s="23"/>
    </row>
    <row r="3837" spans="2:16" x14ac:dyDescent="0.25">
      <c r="B3837" s="23"/>
      <c r="E3837" s="23"/>
      <c r="G3837" s="23"/>
      <c r="H3837" s="23"/>
      <c r="J3837" s="23"/>
      <c r="K3837" s="23"/>
      <c r="M3837" s="23"/>
      <c r="N3837" s="23"/>
      <c r="P3837" s="23"/>
    </row>
    <row r="3838" spans="2:16" x14ac:dyDescent="0.25">
      <c r="B3838" s="23"/>
      <c r="E3838" s="23"/>
      <c r="G3838" s="23"/>
      <c r="H3838" s="23"/>
      <c r="J3838" s="23"/>
      <c r="K3838" s="23"/>
      <c r="M3838" s="23"/>
      <c r="N3838" s="23"/>
      <c r="P3838" s="23"/>
    </row>
    <row r="3839" spans="2:16" x14ac:dyDescent="0.25">
      <c r="B3839" s="23"/>
      <c r="E3839" s="23"/>
      <c r="G3839" s="23"/>
      <c r="H3839" s="23"/>
      <c r="J3839" s="23"/>
      <c r="K3839" s="23"/>
      <c r="M3839" s="23"/>
      <c r="N3839" s="23"/>
      <c r="P3839" s="23"/>
    </row>
    <row r="3840" spans="2:16" x14ac:dyDescent="0.25">
      <c r="B3840" s="23"/>
      <c r="E3840" s="23"/>
      <c r="G3840" s="23"/>
      <c r="H3840" s="23"/>
      <c r="J3840" s="23"/>
      <c r="K3840" s="23"/>
      <c r="M3840" s="23"/>
      <c r="N3840" s="23"/>
      <c r="P3840" s="23"/>
    </row>
    <row r="3841" spans="2:16" x14ac:dyDescent="0.25">
      <c r="B3841" s="23"/>
      <c r="E3841" s="23"/>
      <c r="G3841" s="23"/>
      <c r="H3841" s="23"/>
      <c r="J3841" s="23"/>
      <c r="K3841" s="23"/>
      <c r="M3841" s="23"/>
      <c r="N3841" s="23"/>
      <c r="P3841" s="23"/>
    </row>
    <row r="3842" spans="2:16" x14ac:dyDescent="0.25">
      <c r="B3842" s="23"/>
      <c r="E3842" s="23"/>
      <c r="G3842" s="23"/>
      <c r="H3842" s="23"/>
      <c r="J3842" s="23"/>
      <c r="K3842" s="23"/>
      <c r="M3842" s="23"/>
      <c r="N3842" s="23"/>
      <c r="P3842" s="23"/>
    </row>
    <row r="3843" spans="2:16" x14ac:dyDescent="0.25">
      <c r="B3843" s="23"/>
      <c r="E3843" s="23"/>
      <c r="G3843" s="23"/>
      <c r="H3843" s="23"/>
      <c r="J3843" s="23"/>
      <c r="K3843" s="23"/>
      <c r="M3843" s="23"/>
      <c r="N3843" s="23"/>
      <c r="P3843" s="23"/>
    </row>
    <row r="3844" spans="2:16" x14ac:dyDescent="0.25">
      <c r="B3844" s="23"/>
      <c r="E3844" s="23"/>
      <c r="G3844" s="23"/>
      <c r="H3844" s="23"/>
      <c r="J3844" s="23"/>
      <c r="K3844" s="23"/>
      <c r="M3844" s="23"/>
      <c r="N3844" s="23"/>
      <c r="P3844" s="23"/>
    </row>
    <row r="3845" spans="2:16" x14ac:dyDescent="0.25">
      <c r="B3845" s="23"/>
      <c r="E3845" s="23"/>
      <c r="G3845" s="23"/>
      <c r="H3845" s="23"/>
      <c r="J3845" s="23"/>
      <c r="K3845" s="23"/>
      <c r="M3845" s="23"/>
      <c r="N3845" s="23"/>
      <c r="P3845" s="23"/>
    </row>
    <row r="3846" spans="2:16" x14ac:dyDescent="0.25">
      <c r="B3846" s="23"/>
      <c r="E3846" s="23"/>
      <c r="G3846" s="23"/>
      <c r="H3846" s="23"/>
      <c r="J3846" s="23"/>
      <c r="K3846" s="23"/>
      <c r="M3846" s="23"/>
      <c r="N3846" s="23"/>
      <c r="P3846" s="23"/>
    </row>
    <row r="3847" spans="2:16" x14ac:dyDescent="0.25">
      <c r="B3847" s="23"/>
      <c r="E3847" s="23"/>
      <c r="G3847" s="23"/>
      <c r="H3847" s="23"/>
      <c r="J3847" s="23"/>
      <c r="K3847" s="23"/>
      <c r="M3847" s="23"/>
      <c r="N3847" s="23"/>
      <c r="P3847" s="23"/>
    </row>
    <row r="3848" spans="2:16" x14ac:dyDescent="0.25">
      <c r="B3848" s="23"/>
      <c r="E3848" s="23"/>
      <c r="G3848" s="23"/>
      <c r="H3848" s="23"/>
      <c r="J3848" s="23"/>
      <c r="K3848" s="23"/>
      <c r="M3848" s="23"/>
      <c r="N3848" s="23"/>
      <c r="P3848" s="23"/>
    </row>
    <row r="3849" spans="2:16" x14ac:dyDescent="0.25">
      <c r="B3849" s="23"/>
      <c r="E3849" s="23"/>
      <c r="G3849" s="23"/>
      <c r="H3849" s="23"/>
      <c r="J3849" s="23"/>
      <c r="K3849" s="23"/>
      <c r="M3849" s="23"/>
      <c r="N3849" s="23"/>
      <c r="P3849" s="23"/>
    </row>
    <row r="3850" spans="2:16" x14ac:dyDescent="0.25">
      <c r="B3850" s="23"/>
      <c r="E3850" s="23"/>
      <c r="G3850" s="23"/>
      <c r="H3850" s="23"/>
      <c r="J3850" s="23"/>
      <c r="K3850" s="23"/>
      <c r="M3850" s="23"/>
      <c r="N3850" s="23"/>
      <c r="P3850" s="23"/>
    </row>
    <row r="3851" spans="2:16" x14ac:dyDescent="0.25">
      <c r="B3851" s="23"/>
      <c r="E3851" s="23"/>
      <c r="G3851" s="23"/>
      <c r="H3851" s="23"/>
      <c r="J3851" s="23"/>
      <c r="K3851" s="23"/>
      <c r="M3851" s="23"/>
      <c r="N3851" s="23"/>
      <c r="P3851" s="23"/>
    </row>
    <row r="3852" spans="2:16" x14ac:dyDescent="0.25">
      <c r="B3852" s="23"/>
      <c r="E3852" s="23"/>
      <c r="G3852" s="23"/>
      <c r="H3852" s="23"/>
      <c r="J3852" s="23"/>
      <c r="K3852" s="23"/>
      <c r="M3852" s="23"/>
      <c r="N3852" s="23"/>
      <c r="P3852" s="23"/>
    </row>
    <row r="3853" spans="2:16" x14ac:dyDescent="0.25">
      <c r="B3853" s="23"/>
      <c r="E3853" s="23"/>
      <c r="G3853" s="23"/>
      <c r="H3853" s="23"/>
      <c r="J3853" s="23"/>
      <c r="K3853" s="23"/>
      <c r="M3853" s="23"/>
      <c r="N3853" s="23"/>
      <c r="P3853" s="23"/>
    </row>
    <row r="3854" spans="2:16" x14ac:dyDescent="0.25">
      <c r="B3854" s="23"/>
      <c r="E3854" s="23"/>
      <c r="G3854" s="23"/>
      <c r="H3854" s="23"/>
      <c r="J3854" s="23"/>
      <c r="K3854" s="23"/>
      <c r="M3854" s="23"/>
      <c r="N3854" s="23"/>
      <c r="P3854" s="23"/>
    </row>
    <row r="3855" spans="2:16" x14ac:dyDescent="0.25">
      <c r="B3855" s="23"/>
      <c r="E3855" s="23"/>
      <c r="G3855" s="23"/>
      <c r="H3855" s="23"/>
      <c r="J3855" s="23"/>
      <c r="K3855" s="23"/>
      <c r="M3855" s="23"/>
      <c r="N3855" s="23"/>
      <c r="P3855" s="23"/>
    </row>
    <row r="3856" spans="2:16" x14ac:dyDescent="0.25">
      <c r="B3856" s="23"/>
      <c r="E3856" s="23"/>
      <c r="G3856" s="23"/>
      <c r="H3856" s="23"/>
      <c r="J3856" s="23"/>
      <c r="K3856" s="23"/>
      <c r="M3856" s="23"/>
      <c r="N3856" s="23"/>
      <c r="P3856" s="23"/>
    </row>
    <row r="3857" spans="2:16" x14ac:dyDescent="0.25">
      <c r="B3857" s="23"/>
      <c r="E3857" s="23"/>
      <c r="G3857" s="23"/>
      <c r="H3857" s="23"/>
      <c r="J3857" s="23"/>
      <c r="K3857" s="23"/>
      <c r="M3857" s="23"/>
      <c r="N3857" s="23"/>
      <c r="P3857" s="23"/>
    </row>
    <row r="3858" spans="2:16" x14ac:dyDescent="0.25">
      <c r="B3858" s="23"/>
      <c r="E3858" s="23"/>
      <c r="G3858" s="23"/>
      <c r="H3858" s="23"/>
      <c r="J3858" s="23"/>
      <c r="K3858" s="23"/>
      <c r="M3858" s="23"/>
      <c r="N3858" s="23"/>
      <c r="P3858" s="23"/>
    </row>
    <row r="3859" spans="2:16" x14ac:dyDescent="0.25">
      <c r="B3859" s="23"/>
      <c r="E3859" s="23"/>
      <c r="G3859" s="23"/>
      <c r="H3859" s="23"/>
      <c r="J3859" s="23"/>
      <c r="K3859" s="23"/>
      <c r="M3859" s="23"/>
      <c r="N3859" s="23"/>
      <c r="P3859" s="23"/>
    </row>
    <row r="3860" spans="2:16" x14ac:dyDescent="0.25">
      <c r="B3860" s="23"/>
      <c r="E3860" s="23"/>
      <c r="G3860" s="23"/>
      <c r="H3860" s="23"/>
      <c r="J3860" s="23"/>
      <c r="K3860" s="23"/>
      <c r="M3860" s="23"/>
      <c r="N3860" s="23"/>
      <c r="P3860" s="23"/>
    </row>
    <row r="3861" spans="2:16" x14ac:dyDescent="0.25">
      <c r="B3861" s="23"/>
      <c r="E3861" s="23"/>
      <c r="G3861" s="23"/>
      <c r="H3861" s="23"/>
      <c r="J3861" s="23"/>
      <c r="K3861" s="23"/>
      <c r="M3861" s="23"/>
      <c r="N3861" s="23"/>
      <c r="P3861" s="23"/>
    </row>
    <row r="3862" spans="2:16" x14ac:dyDescent="0.25">
      <c r="B3862" s="23"/>
      <c r="E3862" s="23"/>
      <c r="G3862" s="23"/>
      <c r="H3862" s="23"/>
      <c r="J3862" s="23"/>
      <c r="K3862" s="23"/>
      <c r="M3862" s="23"/>
      <c r="N3862" s="23"/>
      <c r="P3862" s="23"/>
    </row>
    <row r="3863" spans="2:16" x14ac:dyDescent="0.25">
      <c r="B3863" s="23"/>
      <c r="E3863" s="23"/>
      <c r="G3863" s="23"/>
      <c r="H3863" s="23"/>
      <c r="J3863" s="23"/>
      <c r="K3863" s="23"/>
      <c r="M3863" s="23"/>
      <c r="N3863" s="23"/>
      <c r="P3863" s="23"/>
    </row>
    <row r="3864" spans="2:16" x14ac:dyDescent="0.25">
      <c r="B3864" s="23"/>
      <c r="E3864" s="23"/>
      <c r="G3864" s="23"/>
      <c r="H3864" s="23"/>
      <c r="J3864" s="23"/>
      <c r="K3864" s="23"/>
      <c r="M3864" s="23"/>
      <c r="N3864" s="23"/>
      <c r="P3864" s="23"/>
    </row>
    <row r="3865" spans="2:16" x14ac:dyDescent="0.25">
      <c r="B3865" s="23"/>
      <c r="E3865" s="23"/>
      <c r="G3865" s="23"/>
      <c r="H3865" s="23"/>
      <c r="J3865" s="23"/>
      <c r="K3865" s="23"/>
      <c r="M3865" s="23"/>
      <c r="N3865" s="23"/>
      <c r="P3865" s="23"/>
    </row>
    <row r="3866" spans="2:16" x14ac:dyDescent="0.25">
      <c r="B3866" s="23"/>
      <c r="E3866" s="23"/>
      <c r="G3866" s="23"/>
      <c r="H3866" s="23"/>
      <c r="J3866" s="23"/>
      <c r="K3866" s="23"/>
      <c r="M3866" s="23"/>
      <c r="N3866" s="23"/>
      <c r="P3866" s="23"/>
    </row>
    <row r="3867" spans="2:16" x14ac:dyDescent="0.25">
      <c r="B3867" s="23"/>
      <c r="E3867" s="23"/>
      <c r="G3867" s="23"/>
      <c r="H3867" s="23"/>
      <c r="J3867" s="23"/>
      <c r="K3867" s="23"/>
      <c r="M3867" s="23"/>
      <c r="N3867" s="23"/>
      <c r="P3867" s="23"/>
    </row>
    <row r="3868" spans="2:16" x14ac:dyDescent="0.25">
      <c r="B3868" s="23"/>
      <c r="E3868" s="23"/>
      <c r="G3868" s="23"/>
      <c r="H3868" s="23"/>
      <c r="J3868" s="23"/>
      <c r="K3868" s="23"/>
      <c r="M3868" s="23"/>
      <c r="N3868" s="23"/>
      <c r="P3868" s="23"/>
    </row>
    <row r="3869" spans="2:16" x14ac:dyDescent="0.25">
      <c r="B3869" s="23"/>
      <c r="E3869" s="23"/>
      <c r="G3869" s="23"/>
      <c r="H3869" s="23"/>
      <c r="J3869" s="23"/>
      <c r="K3869" s="23"/>
      <c r="M3869" s="23"/>
      <c r="N3869" s="23"/>
      <c r="P3869" s="23"/>
    </row>
    <row r="3870" spans="2:16" x14ac:dyDescent="0.25">
      <c r="B3870" s="23"/>
      <c r="E3870" s="23"/>
      <c r="G3870" s="23"/>
      <c r="H3870" s="23"/>
      <c r="J3870" s="23"/>
      <c r="K3870" s="23"/>
      <c r="M3870" s="23"/>
      <c r="N3870" s="23"/>
      <c r="P3870" s="23"/>
    </row>
    <row r="3871" spans="2:16" x14ac:dyDescent="0.25">
      <c r="B3871" s="23"/>
      <c r="E3871" s="23"/>
      <c r="G3871" s="23"/>
      <c r="H3871" s="23"/>
      <c r="J3871" s="23"/>
      <c r="K3871" s="23"/>
      <c r="M3871" s="23"/>
      <c r="N3871" s="23"/>
      <c r="P3871" s="23"/>
    </row>
    <row r="3872" spans="2:16" x14ac:dyDescent="0.25">
      <c r="B3872" s="23"/>
      <c r="E3872" s="23"/>
      <c r="G3872" s="23"/>
      <c r="H3872" s="23"/>
      <c r="J3872" s="23"/>
      <c r="K3872" s="23"/>
      <c r="M3872" s="23"/>
      <c r="N3872" s="23"/>
      <c r="P3872" s="23"/>
    </row>
    <row r="3873" spans="2:16" x14ac:dyDescent="0.25">
      <c r="B3873" s="23"/>
      <c r="E3873" s="23"/>
      <c r="G3873" s="23"/>
      <c r="H3873" s="23"/>
      <c r="J3873" s="23"/>
      <c r="K3873" s="23"/>
      <c r="M3873" s="23"/>
      <c r="N3873" s="23"/>
      <c r="P3873" s="23"/>
    </row>
    <row r="3874" spans="2:16" x14ac:dyDescent="0.25">
      <c r="B3874" s="23"/>
      <c r="E3874" s="23"/>
      <c r="G3874" s="23"/>
      <c r="H3874" s="23"/>
      <c r="J3874" s="23"/>
      <c r="K3874" s="23"/>
      <c r="M3874" s="23"/>
      <c r="N3874" s="23"/>
      <c r="P3874" s="23"/>
    </row>
    <row r="3875" spans="2:16" x14ac:dyDescent="0.25">
      <c r="B3875" s="23"/>
      <c r="E3875" s="23"/>
      <c r="G3875" s="23"/>
      <c r="H3875" s="23"/>
      <c r="J3875" s="23"/>
      <c r="K3875" s="23"/>
      <c r="M3875" s="23"/>
      <c r="N3875" s="23"/>
      <c r="P3875" s="23"/>
    </row>
    <row r="3876" spans="2:16" x14ac:dyDescent="0.25">
      <c r="B3876" s="23"/>
      <c r="E3876" s="23"/>
      <c r="G3876" s="23"/>
      <c r="H3876" s="23"/>
      <c r="J3876" s="23"/>
      <c r="K3876" s="23"/>
      <c r="M3876" s="23"/>
      <c r="N3876" s="23"/>
      <c r="P3876" s="23"/>
    </row>
    <row r="3877" spans="2:16" x14ac:dyDescent="0.25">
      <c r="B3877" s="23"/>
      <c r="E3877" s="23"/>
      <c r="G3877" s="23"/>
      <c r="H3877" s="23"/>
      <c r="J3877" s="23"/>
      <c r="K3877" s="23"/>
      <c r="M3877" s="23"/>
      <c r="N3877" s="23"/>
      <c r="P3877" s="23"/>
    </row>
    <row r="3878" spans="2:16" x14ac:dyDescent="0.25">
      <c r="B3878" s="23"/>
      <c r="E3878" s="23"/>
      <c r="G3878" s="23"/>
      <c r="H3878" s="23"/>
      <c r="J3878" s="23"/>
      <c r="K3878" s="23"/>
      <c r="M3878" s="23"/>
      <c r="N3878" s="23"/>
      <c r="P3878" s="23"/>
    </row>
    <row r="3879" spans="2:16" x14ac:dyDescent="0.25">
      <c r="B3879" s="23"/>
      <c r="E3879" s="23"/>
      <c r="G3879" s="23"/>
      <c r="H3879" s="23"/>
      <c r="J3879" s="23"/>
      <c r="K3879" s="23"/>
      <c r="M3879" s="23"/>
      <c r="N3879" s="23"/>
      <c r="P3879" s="23"/>
    </row>
    <row r="3880" spans="2:16" x14ac:dyDescent="0.25">
      <c r="B3880" s="23"/>
      <c r="E3880" s="23"/>
      <c r="G3880" s="23"/>
      <c r="H3880" s="23"/>
      <c r="J3880" s="23"/>
      <c r="K3880" s="23"/>
      <c r="M3880" s="23"/>
      <c r="N3880" s="23"/>
      <c r="P3880" s="23"/>
    </row>
    <row r="3881" spans="2:16" x14ac:dyDescent="0.25">
      <c r="B3881" s="23"/>
      <c r="E3881" s="23"/>
      <c r="G3881" s="23"/>
      <c r="H3881" s="23"/>
      <c r="J3881" s="23"/>
      <c r="K3881" s="23"/>
      <c r="M3881" s="23"/>
      <c r="N3881" s="23"/>
      <c r="P3881" s="23"/>
    </row>
    <row r="3882" spans="2:16" x14ac:dyDescent="0.25">
      <c r="B3882" s="23"/>
      <c r="E3882" s="23"/>
      <c r="G3882" s="23"/>
      <c r="H3882" s="23"/>
      <c r="J3882" s="23"/>
      <c r="K3882" s="23"/>
      <c r="M3882" s="23"/>
      <c r="N3882" s="23"/>
      <c r="P3882" s="23"/>
    </row>
    <row r="3883" spans="2:16" x14ac:dyDescent="0.25">
      <c r="B3883" s="23"/>
      <c r="E3883" s="23"/>
      <c r="G3883" s="23"/>
      <c r="H3883" s="23"/>
      <c r="J3883" s="23"/>
      <c r="K3883" s="23"/>
      <c r="M3883" s="23"/>
      <c r="N3883" s="23"/>
      <c r="P3883" s="23"/>
    </row>
    <row r="3884" spans="2:16" x14ac:dyDescent="0.25">
      <c r="B3884" s="23"/>
      <c r="E3884" s="23"/>
      <c r="G3884" s="23"/>
      <c r="H3884" s="23"/>
      <c r="J3884" s="23"/>
      <c r="K3884" s="23"/>
      <c r="M3884" s="23"/>
      <c r="N3884" s="23"/>
      <c r="P3884" s="23"/>
    </row>
    <row r="3885" spans="2:16" x14ac:dyDescent="0.25">
      <c r="B3885" s="23"/>
      <c r="E3885" s="23"/>
      <c r="G3885" s="23"/>
      <c r="H3885" s="23"/>
      <c r="J3885" s="23"/>
      <c r="K3885" s="23"/>
      <c r="M3885" s="23"/>
      <c r="N3885" s="23"/>
      <c r="P3885" s="23"/>
    </row>
    <row r="3886" spans="2:16" x14ac:dyDescent="0.25">
      <c r="B3886" s="23"/>
      <c r="E3886" s="23"/>
      <c r="G3886" s="23"/>
      <c r="H3886" s="23"/>
      <c r="J3886" s="23"/>
      <c r="K3886" s="23"/>
      <c r="M3886" s="23"/>
      <c r="N3886" s="23"/>
      <c r="P3886" s="23"/>
    </row>
    <row r="3887" spans="2:16" x14ac:dyDescent="0.25">
      <c r="B3887" s="23"/>
      <c r="E3887" s="23"/>
      <c r="G3887" s="23"/>
      <c r="H3887" s="23"/>
      <c r="J3887" s="23"/>
      <c r="K3887" s="23"/>
      <c r="M3887" s="23"/>
      <c r="N3887" s="23"/>
      <c r="P3887" s="23"/>
    </row>
    <row r="3888" spans="2:16" x14ac:dyDescent="0.25">
      <c r="B3888" s="23"/>
      <c r="E3888" s="23"/>
      <c r="G3888" s="23"/>
      <c r="H3888" s="23"/>
      <c r="J3888" s="23"/>
      <c r="K3888" s="23"/>
      <c r="M3888" s="23"/>
      <c r="N3888" s="23"/>
      <c r="P3888" s="23"/>
    </row>
    <row r="3889" spans="2:16" x14ac:dyDescent="0.25">
      <c r="B3889" s="23"/>
      <c r="E3889" s="23"/>
      <c r="G3889" s="23"/>
      <c r="H3889" s="23"/>
      <c r="J3889" s="23"/>
      <c r="K3889" s="23"/>
      <c r="M3889" s="23"/>
      <c r="N3889" s="23"/>
      <c r="P3889" s="23"/>
    </row>
    <row r="3890" spans="2:16" x14ac:dyDescent="0.25">
      <c r="B3890" s="23"/>
      <c r="E3890" s="23"/>
      <c r="G3890" s="23"/>
      <c r="H3890" s="23"/>
      <c r="J3890" s="23"/>
      <c r="K3890" s="23"/>
      <c r="M3890" s="23"/>
      <c r="N3890" s="23"/>
      <c r="P3890" s="23"/>
    </row>
    <row r="3891" spans="2:16" x14ac:dyDescent="0.25">
      <c r="B3891" s="23"/>
      <c r="E3891" s="23"/>
      <c r="G3891" s="23"/>
      <c r="H3891" s="23"/>
      <c r="J3891" s="23"/>
      <c r="K3891" s="23"/>
      <c r="M3891" s="23"/>
      <c r="N3891" s="23"/>
      <c r="P3891" s="23"/>
    </row>
    <row r="3892" spans="2:16" x14ac:dyDescent="0.25">
      <c r="B3892" s="23"/>
      <c r="E3892" s="23"/>
      <c r="G3892" s="23"/>
      <c r="H3892" s="23"/>
      <c r="J3892" s="23"/>
      <c r="K3892" s="23"/>
      <c r="M3892" s="23"/>
      <c r="N3892" s="23"/>
      <c r="P3892" s="23"/>
    </row>
    <row r="3893" spans="2:16" x14ac:dyDescent="0.25">
      <c r="B3893" s="23"/>
      <c r="E3893" s="23"/>
      <c r="G3893" s="23"/>
      <c r="H3893" s="23"/>
      <c r="J3893" s="23"/>
      <c r="K3893" s="23"/>
      <c r="M3893" s="23"/>
      <c r="N3893" s="23"/>
      <c r="P3893" s="23"/>
    </row>
    <row r="3894" spans="2:16" x14ac:dyDescent="0.25">
      <c r="B3894" s="23"/>
      <c r="E3894" s="23"/>
      <c r="G3894" s="23"/>
      <c r="H3894" s="23"/>
      <c r="J3894" s="23"/>
      <c r="K3894" s="23"/>
      <c r="M3894" s="23"/>
      <c r="N3894" s="23"/>
      <c r="P3894" s="23"/>
    </row>
    <row r="3895" spans="2:16" x14ac:dyDescent="0.25">
      <c r="B3895" s="23"/>
      <c r="E3895" s="23"/>
      <c r="G3895" s="23"/>
      <c r="H3895" s="23"/>
      <c r="J3895" s="23"/>
      <c r="K3895" s="23"/>
      <c r="M3895" s="23"/>
      <c r="N3895" s="23"/>
      <c r="P3895" s="23"/>
    </row>
    <row r="3896" spans="2:16" x14ac:dyDescent="0.25">
      <c r="B3896" s="23"/>
      <c r="E3896" s="23"/>
      <c r="G3896" s="23"/>
      <c r="H3896" s="23"/>
      <c r="J3896" s="23"/>
      <c r="K3896" s="23"/>
      <c r="M3896" s="23"/>
      <c r="N3896" s="23"/>
      <c r="P3896" s="23"/>
    </row>
    <row r="3897" spans="2:16" x14ac:dyDescent="0.25">
      <c r="B3897" s="23"/>
      <c r="E3897" s="23"/>
      <c r="G3897" s="23"/>
      <c r="H3897" s="23"/>
      <c r="J3897" s="23"/>
      <c r="K3897" s="23"/>
      <c r="M3897" s="23"/>
      <c r="N3897" s="23"/>
      <c r="P3897" s="23"/>
    </row>
    <row r="3898" spans="2:16" x14ac:dyDescent="0.25">
      <c r="B3898" s="23"/>
      <c r="E3898" s="23"/>
      <c r="G3898" s="23"/>
      <c r="H3898" s="23"/>
      <c r="J3898" s="23"/>
      <c r="K3898" s="23"/>
      <c r="M3898" s="23"/>
      <c r="N3898" s="23"/>
      <c r="P3898" s="23"/>
    </row>
    <row r="3899" spans="2:16" x14ac:dyDescent="0.25">
      <c r="B3899" s="23"/>
      <c r="E3899" s="23"/>
      <c r="G3899" s="23"/>
      <c r="H3899" s="23"/>
      <c r="J3899" s="23"/>
      <c r="K3899" s="23"/>
      <c r="M3899" s="23"/>
      <c r="N3899" s="23"/>
      <c r="P3899" s="23"/>
    </row>
    <row r="3900" spans="2:16" x14ac:dyDescent="0.25">
      <c r="B3900" s="23"/>
      <c r="E3900" s="23"/>
      <c r="G3900" s="23"/>
      <c r="H3900" s="23"/>
      <c r="J3900" s="23"/>
      <c r="K3900" s="23"/>
      <c r="M3900" s="23"/>
      <c r="N3900" s="23"/>
      <c r="P3900" s="23"/>
    </row>
    <row r="3901" spans="2:16" x14ac:dyDescent="0.25">
      <c r="B3901" s="23"/>
      <c r="E3901" s="23"/>
      <c r="G3901" s="23"/>
      <c r="H3901" s="23"/>
      <c r="J3901" s="23"/>
      <c r="K3901" s="23"/>
      <c r="M3901" s="23"/>
      <c r="N3901" s="23"/>
      <c r="P3901" s="23"/>
    </row>
    <row r="3902" spans="2:16" x14ac:dyDescent="0.25">
      <c r="B3902" s="23"/>
      <c r="E3902" s="23"/>
      <c r="G3902" s="23"/>
      <c r="H3902" s="23"/>
      <c r="J3902" s="23"/>
      <c r="K3902" s="23"/>
      <c r="M3902" s="23"/>
      <c r="N3902" s="23"/>
      <c r="P3902" s="23"/>
    </row>
    <row r="3903" spans="2:16" x14ac:dyDescent="0.25">
      <c r="B3903" s="23"/>
      <c r="E3903" s="23"/>
      <c r="G3903" s="23"/>
      <c r="H3903" s="23"/>
      <c r="J3903" s="23"/>
      <c r="K3903" s="23"/>
      <c r="M3903" s="23"/>
      <c r="N3903" s="23"/>
      <c r="P3903" s="23"/>
    </row>
    <row r="3904" spans="2:16" x14ac:dyDescent="0.25">
      <c r="B3904" s="23"/>
      <c r="E3904" s="23"/>
      <c r="G3904" s="23"/>
      <c r="H3904" s="23"/>
      <c r="J3904" s="23"/>
      <c r="K3904" s="23"/>
      <c r="M3904" s="23"/>
      <c r="N3904" s="23"/>
      <c r="P3904" s="23"/>
    </row>
    <row r="3905" spans="2:16" x14ac:dyDescent="0.25">
      <c r="B3905" s="23"/>
      <c r="E3905" s="23"/>
      <c r="G3905" s="23"/>
      <c r="H3905" s="23"/>
      <c r="J3905" s="23"/>
      <c r="K3905" s="23"/>
      <c r="M3905" s="23"/>
      <c r="N3905" s="23"/>
      <c r="P3905" s="23"/>
    </row>
    <row r="3906" spans="2:16" x14ac:dyDescent="0.25">
      <c r="B3906" s="23"/>
      <c r="E3906" s="23"/>
      <c r="G3906" s="23"/>
      <c r="H3906" s="23"/>
      <c r="J3906" s="23"/>
      <c r="K3906" s="23"/>
      <c r="M3906" s="23"/>
      <c r="N3906" s="23"/>
      <c r="P3906" s="23"/>
    </row>
    <row r="3907" spans="2:16" x14ac:dyDescent="0.25">
      <c r="B3907" s="23"/>
      <c r="E3907" s="23"/>
      <c r="G3907" s="23"/>
      <c r="H3907" s="23"/>
      <c r="J3907" s="23"/>
      <c r="K3907" s="23"/>
      <c r="M3907" s="23"/>
      <c r="N3907" s="23"/>
      <c r="P3907" s="23"/>
    </row>
    <row r="3908" spans="2:16" x14ac:dyDescent="0.25">
      <c r="B3908" s="23"/>
      <c r="E3908" s="23"/>
      <c r="G3908" s="23"/>
      <c r="H3908" s="23"/>
      <c r="J3908" s="23"/>
      <c r="K3908" s="23"/>
      <c r="M3908" s="23"/>
      <c r="N3908" s="23"/>
      <c r="P3908" s="23"/>
    </row>
    <row r="3909" spans="2:16" x14ac:dyDescent="0.25">
      <c r="B3909" s="23"/>
      <c r="E3909" s="23"/>
      <c r="G3909" s="23"/>
      <c r="H3909" s="23"/>
      <c r="J3909" s="23"/>
      <c r="K3909" s="23"/>
      <c r="M3909" s="23"/>
      <c r="N3909" s="23"/>
      <c r="P3909" s="23"/>
    </row>
    <row r="3910" spans="2:16" x14ac:dyDescent="0.25">
      <c r="B3910" s="23"/>
      <c r="E3910" s="23"/>
      <c r="G3910" s="23"/>
      <c r="H3910" s="23"/>
      <c r="J3910" s="23"/>
      <c r="K3910" s="23"/>
      <c r="M3910" s="23"/>
      <c r="N3910" s="23"/>
      <c r="P3910" s="23"/>
    </row>
    <row r="3911" spans="2:16" x14ac:dyDescent="0.25">
      <c r="B3911" s="23"/>
      <c r="E3911" s="23"/>
      <c r="G3911" s="23"/>
      <c r="H3911" s="23"/>
      <c r="J3911" s="23"/>
      <c r="K3911" s="23"/>
      <c r="M3911" s="23"/>
      <c r="N3911" s="23"/>
      <c r="P3911" s="23"/>
    </row>
    <row r="3912" spans="2:16" x14ac:dyDescent="0.25">
      <c r="B3912" s="23"/>
      <c r="E3912" s="23"/>
      <c r="G3912" s="23"/>
      <c r="H3912" s="23"/>
      <c r="J3912" s="23"/>
      <c r="K3912" s="23"/>
      <c r="M3912" s="23"/>
      <c r="N3912" s="23"/>
      <c r="P3912" s="23"/>
    </row>
    <row r="3913" spans="2:16" x14ac:dyDescent="0.25">
      <c r="B3913" s="23"/>
      <c r="E3913" s="23"/>
      <c r="G3913" s="23"/>
      <c r="H3913" s="23"/>
      <c r="J3913" s="23"/>
      <c r="K3913" s="23"/>
      <c r="M3913" s="23"/>
      <c r="N3913" s="23"/>
      <c r="P3913" s="23"/>
    </row>
    <row r="3914" spans="2:16" x14ac:dyDescent="0.25">
      <c r="B3914" s="23"/>
      <c r="E3914" s="23"/>
      <c r="G3914" s="23"/>
      <c r="H3914" s="23"/>
      <c r="J3914" s="23"/>
      <c r="K3914" s="23"/>
      <c r="M3914" s="23"/>
      <c r="N3914" s="23"/>
      <c r="P3914" s="23"/>
    </row>
    <row r="3915" spans="2:16" x14ac:dyDescent="0.25">
      <c r="B3915" s="23"/>
      <c r="E3915" s="23"/>
      <c r="G3915" s="23"/>
      <c r="H3915" s="23"/>
      <c r="J3915" s="23"/>
      <c r="K3915" s="23"/>
      <c r="M3915" s="23"/>
      <c r="N3915" s="23"/>
      <c r="P3915" s="23"/>
    </row>
    <row r="3916" spans="2:16" x14ac:dyDescent="0.25">
      <c r="B3916" s="23"/>
      <c r="E3916" s="23"/>
      <c r="G3916" s="23"/>
      <c r="H3916" s="23"/>
      <c r="J3916" s="23"/>
      <c r="K3916" s="23"/>
      <c r="M3916" s="23"/>
      <c r="N3916" s="23"/>
      <c r="P3916" s="23"/>
    </row>
    <row r="3917" spans="2:16" x14ac:dyDescent="0.25">
      <c r="B3917" s="23"/>
      <c r="E3917" s="23"/>
      <c r="G3917" s="23"/>
      <c r="H3917" s="23"/>
      <c r="J3917" s="23"/>
      <c r="K3917" s="23"/>
      <c r="M3917" s="23"/>
      <c r="N3917" s="23"/>
      <c r="P3917" s="23"/>
    </row>
    <row r="3918" spans="2:16" x14ac:dyDescent="0.25">
      <c r="B3918" s="23"/>
      <c r="E3918" s="23"/>
      <c r="G3918" s="23"/>
      <c r="H3918" s="23"/>
      <c r="J3918" s="23"/>
      <c r="K3918" s="23"/>
      <c r="M3918" s="23"/>
      <c r="N3918" s="23"/>
      <c r="P3918" s="23"/>
    </row>
    <row r="3919" spans="2:16" x14ac:dyDescent="0.25">
      <c r="B3919" s="23"/>
      <c r="E3919" s="23"/>
      <c r="G3919" s="23"/>
      <c r="H3919" s="23"/>
      <c r="J3919" s="23"/>
      <c r="K3919" s="23"/>
      <c r="M3919" s="23"/>
      <c r="N3919" s="23"/>
      <c r="P3919" s="23"/>
    </row>
    <row r="3920" spans="2:16" x14ac:dyDescent="0.25">
      <c r="B3920" s="23"/>
      <c r="E3920" s="23"/>
      <c r="G3920" s="23"/>
      <c r="H3920" s="23"/>
      <c r="J3920" s="23"/>
      <c r="K3920" s="23"/>
      <c r="M3920" s="23"/>
      <c r="N3920" s="23"/>
      <c r="P3920" s="23"/>
    </row>
    <row r="3921" spans="2:16" x14ac:dyDescent="0.25">
      <c r="B3921" s="23"/>
      <c r="E3921" s="23"/>
      <c r="G3921" s="23"/>
      <c r="H3921" s="23"/>
      <c r="J3921" s="23"/>
      <c r="K3921" s="23"/>
      <c r="M3921" s="23"/>
      <c r="N3921" s="23"/>
      <c r="P3921" s="23"/>
    </row>
    <row r="3922" spans="2:16" x14ac:dyDescent="0.25">
      <c r="B3922" s="23"/>
      <c r="E3922" s="23"/>
      <c r="G3922" s="23"/>
      <c r="H3922" s="23"/>
      <c r="J3922" s="23"/>
      <c r="K3922" s="23"/>
      <c r="M3922" s="23"/>
      <c r="N3922" s="23"/>
      <c r="P3922" s="23"/>
    </row>
    <row r="3923" spans="2:16" x14ac:dyDescent="0.25">
      <c r="B3923" s="23"/>
      <c r="E3923" s="23"/>
      <c r="G3923" s="23"/>
      <c r="H3923" s="23"/>
      <c r="J3923" s="23"/>
      <c r="K3923" s="23"/>
      <c r="M3923" s="23"/>
      <c r="N3923" s="23"/>
      <c r="P3923" s="23"/>
    </row>
    <row r="3924" spans="2:16" x14ac:dyDescent="0.25">
      <c r="B3924" s="23"/>
      <c r="E3924" s="23"/>
      <c r="G3924" s="23"/>
      <c r="H3924" s="23"/>
      <c r="J3924" s="23"/>
      <c r="K3924" s="23"/>
      <c r="M3924" s="23"/>
      <c r="N3924" s="23"/>
      <c r="P3924" s="23"/>
    </row>
    <row r="3925" spans="2:16" x14ac:dyDescent="0.25">
      <c r="B3925" s="23"/>
      <c r="E3925" s="23"/>
      <c r="G3925" s="23"/>
      <c r="H3925" s="23"/>
      <c r="J3925" s="23"/>
      <c r="K3925" s="23"/>
      <c r="M3925" s="23"/>
      <c r="N3925" s="23"/>
      <c r="P3925" s="23"/>
    </row>
    <row r="3926" spans="2:16" x14ac:dyDescent="0.25">
      <c r="B3926" s="23"/>
      <c r="E3926" s="23"/>
      <c r="G3926" s="23"/>
      <c r="H3926" s="23"/>
      <c r="J3926" s="23"/>
      <c r="K3926" s="23"/>
      <c r="M3926" s="23"/>
      <c r="N3926" s="23"/>
      <c r="P3926" s="23"/>
    </row>
    <row r="3927" spans="2:16" x14ac:dyDescent="0.25">
      <c r="B3927" s="23"/>
      <c r="E3927" s="23"/>
      <c r="G3927" s="23"/>
      <c r="H3927" s="23"/>
      <c r="J3927" s="23"/>
      <c r="K3927" s="23"/>
      <c r="M3927" s="23"/>
      <c r="N3927" s="23"/>
      <c r="P3927" s="23"/>
    </row>
    <row r="3928" spans="2:16" x14ac:dyDescent="0.25">
      <c r="B3928" s="23"/>
      <c r="E3928" s="23"/>
      <c r="G3928" s="23"/>
      <c r="H3928" s="23"/>
      <c r="J3928" s="23"/>
      <c r="K3928" s="23"/>
      <c r="M3928" s="23"/>
      <c r="N3928" s="23"/>
      <c r="P3928" s="23"/>
    </row>
    <row r="3929" spans="2:16" x14ac:dyDescent="0.25">
      <c r="B3929" s="23"/>
      <c r="E3929" s="23"/>
      <c r="G3929" s="23"/>
      <c r="H3929" s="23"/>
      <c r="J3929" s="23"/>
      <c r="K3929" s="23"/>
      <c r="M3929" s="23"/>
      <c r="N3929" s="23"/>
      <c r="P3929" s="23"/>
    </row>
    <row r="3930" spans="2:16" x14ac:dyDescent="0.25">
      <c r="B3930" s="23"/>
      <c r="E3930" s="23"/>
      <c r="G3930" s="23"/>
      <c r="H3930" s="23"/>
      <c r="J3930" s="23"/>
      <c r="K3930" s="23"/>
      <c r="M3930" s="23"/>
      <c r="N3930" s="23"/>
      <c r="P3930" s="23"/>
    </row>
    <row r="3931" spans="2:16" x14ac:dyDescent="0.25">
      <c r="B3931" s="23"/>
      <c r="E3931" s="23"/>
      <c r="G3931" s="23"/>
      <c r="H3931" s="23"/>
      <c r="J3931" s="23"/>
      <c r="K3931" s="23"/>
      <c r="M3931" s="23"/>
      <c r="N3931" s="23"/>
      <c r="P3931" s="23"/>
    </row>
    <row r="3932" spans="2:16" x14ac:dyDescent="0.25">
      <c r="B3932" s="23"/>
      <c r="E3932" s="23"/>
      <c r="G3932" s="23"/>
      <c r="H3932" s="23"/>
      <c r="J3932" s="23"/>
      <c r="K3932" s="23"/>
      <c r="M3932" s="23"/>
      <c r="N3932" s="23"/>
      <c r="P3932" s="23"/>
    </row>
    <row r="3933" spans="2:16" x14ac:dyDescent="0.25">
      <c r="B3933" s="23"/>
      <c r="E3933" s="23"/>
      <c r="G3933" s="23"/>
      <c r="H3933" s="23"/>
      <c r="J3933" s="23"/>
      <c r="K3933" s="23"/>
      <c r="M3933" s="23"/>
      <c r="N3933" s="23"/>
      <c r="P3933" s="23"/>
    </row>
    <row r="3934" spans="2:16" x14ac:dyDescent="0.25">
      <c r="B3934" s="23"/>
      <c r="E3934" s="23"/>
      <c r="G3934" s="23"/>
      <c r="H3934" s="23"/>
      <c r="J3934" s="23"/>
      <c r="K3934" s="23"/>
      <c r="M3934" s="23"/>
      <c r="N3934" s="23"/>
      <c r="P3934" s="23"/>
    </row>
    <row r="3935" spans="2:16" x14ac:dyDescent="0.25">
      <c r="B3935" s="23"/>
      <c r="E3935" s="23"/>
      <c r="G3935" s="23"/>
      <c r="H3935" s="23"/>
      <c r="J3935" s="23"/>
      <c r="K3935" s="23"/>
      <c r="M3935" s="23"/>
      <c r="N3935" s="23"/>
      <c r="P3935" s="23"/>
    </row>
    <row r="3936" spans="2:16" x14ac:dyDescent="0.25">
      <c r="B3936" s="23"/>
      <c r="E3936" s="23"/>
      <c r="G3936" s="23"/>
      <c r="H3936" s="23"/>
      <c r="J3936" s="23"/>
      <c r="K3936" s="23"/>
      <c r="M3936" s="23"/>
      <c r="N3936" s="23"/>
      <c r="P3936" s="23"/>
    </row>
    <row r="3937" spans="2:16" x14ac:dyDescent="0.25">
      <c r="B3937" s="23"/>
      <c r="E3937" s="23"/>
      <c r="G3937" s="23"/>
      <c r="H3937" s="23"/>
      <c r="J3937" s="23"/>
      <c r="K3937" s="23"/>
      <c r="M3937" s="23"/>
      <c r="N3937" s="23"/>
      <c r="P3937" s="23"/>
    </row>
    <row r="3938" spans="2:16" x14ac:dyDescent="0.25">
      <c r="B3938" s="23"/>
      <c r="E3938" s="23"/>
      <c r="G3938" s="23"/>
      <c r="H3938" s="23"/>
      <c r="J3938" s="23"/>
      <c r="K3938" s="23"/>
      <c r="M3938" s="23"/>
      <c r="N3938" s="23"/>
      <c r="P3938" s="23"/>
    </row>
    <row r="3939" spans="2:16" x14ac:dyDescent="0.25">
      <c r="B3939" s="23"/>
      <c r="E3939" s="23"/>
      <c r="G3939" s="23"/>
      <c r="H3939" s="23"/>
      <c r="J3939" s="23"/>
      <c r="K3939" s="23"/>
      <c r="M3939" s="23"/>
      <c r="N3939" s="23"/>
      <c r="P3939" s="23"/>
    </row>
    <row r="3940" spans="2:16" x14ac:dyDescent="0.25">
      <c r="B3940" s="23"/>
      <c r="E3940" s="23"/>
      <c r="G3940" s="23"/>
      <c r="H3940" s="23"/>
      <c r="J3940" s="23"/>
      <c r="K3940" s="23"/>
      <c r="M3940" s="23"/>
      <c r="N3940" s="23"/>
      <c r="P3940" s="23"/>
    </row>
    <row r="3941" spans="2:16" x14ac:dyDescent="0.25">
      <c r="B3941" s="23"/>
      <c r="E3941" s="23"/>
      <c r="G3941" s="23"/>
      <c r="H3941" s="23"/>
      <c r="J3941" s="23"/>
      <c r="K3941" s="23"/>
      <c r="M3941" s="23"/>
      <c r="N3941" s="23"/>
      <c r="P3941" s="23"/>
    </row>
    <row r="3942" spans="2:16" x14ac:dyDescent="0.25">
      <c r="B3942" s="23"/>
      <c r="E3942" s="23"/>
      <c r="G3942" s="23"/>
      <c r="H3942" s="23"/>
      <c r="J3942" s="23"/>
      <c r="K3942" s="23"/>
      <c r="M3942" s="23"/>
      <c r="N3942" s="23"/>
      <c r="P3942" s="23"/>
    </row>
    <row r="3943" spans="2:16" x14ac:dyDescent="0.25">
      <c r="B3943" s="23"/>
      <c r="E3943" s="23"/>
      <c r="G3943" s="23"/>
      <c r="H3943" s="23"/>
      <c r="J3943" s="23"/>
      <c r="K3943" s="23"/>
      <c r="M3943" s="23"/>
      <c r="N3943" s="23"/>
      <c r="P3943" s="23"/>
    </row>
    <row r="3944" spans="2:16" x14ac:dyDescent="0.25">
      <c r="B3944" s="23"/>
      <c r="E3944" s="23"/>
      <c r="G3944" s="23"/>
      <c r="H3944" s="23"/>
      <c r="J3944" s="23"/>
      <c r="K3944" s="23"/>
      <c r="M3944" s="23"/>
      <c r="N3944" s="23"/>
      <c r="P3944" s="23"/>
    </row>
    <row r="3945" spans="2:16" x14ac:dyDescent="0.25">
      <c r="B3945" s="23"/>
      <c r="E3945" s="23"/>
      <c r="G3945" s="23"/>
      <c r="H3945" s="23"/>
      <c r="J3945" s="23"/>
      <c r="K3945" s="23"/>
      <c r="M3945" s="23"/>
      <c r="N3945" s="23"/>
      <c r="P3945" s="23"/>
    </row>
    <row r="3946" spans="2:16" x14ac:dyDescent="0.25">
      <c r="B3946" s="23"/>
      <c r="E3946" s="23"/>
      <c r="G3946" s="23"/>
      <c r="H3946" s="23"/>
      <c r="J3946" s="23"/>
      <c r="K3946" s="23"/>
      <c r="M3946" s="23"/>
      <c r="N3946" s="23"/>
      <c r="P3946" s="23"/>
    </row>
    <row r="3947" spans="2:16" x14ac:dyDescent="0.25">
      <c r="B3947" s="23"/>
      <c r="E3947" s="23"/>
      <c r="G3947" s="23"/>
      <c r="H3947" s="23"/>
      <c r="J3947" s="23"/>
      <c r="K3947" s="23"/>
      <c r="M3947" s="23"/>
      <c r="N3947" s="23"/>
      <c r="P3947" s="23"/>
    </row>
    <row r="3948" spans="2:16" x14ac:dyDescent="0.25">
      <c r="B3948" s="23"/>
      <c r="E3948" s="23"/>
      <c r="G3948" s="23"/>
      <c r="H3948" s="23"/>
      <c r="J3948" s="23"/>
      <c r="K3948" s="23"/>
      <c r="M3948" s="23"/>
      <c r="N3948" s="23"/>
      <c r="P3948" s="23"/>
    </row>
    <row r="3949" spans="2:16" x14ac:dyDescent="0.25">
      <c r="B3949" s="23"/>
      <c r="E3949" s="23"/>
      <c r="G3949" s="23"/>
      <c r="H3949" s="23"/>
      <c r="J3949" s="23"/>
      <c r="K3949" s="23"/>
      <c r="M3949" s="23"/>
      <c r="N3949" s="23"/>
      <c r="P3949" s="23"/>
    </row>
    <row r="3950" spans="2:16" x14ac:dyDescent="0.25">
      <c r="B3950" s="23"/>
      <c r="E3950" s="23"/>
      <c r="G3950" s="23"/>
      <c r="H3950" s="23"/>
      <c r="J3950" s="23"/>
      <c r="K3950" s="23"/>
      <c r="M3950" s="23"/>
      <c r="N3950" s="23"/>
      <c r="P3950" s="23"/>
    </row>
    <row r="3951" spans="2:16" x14ac:dyDescent="0.25">
      <c r="B3951" s="23"/>
      <c r="E3951" s="23"/>
      <c r="G3951" s="23"/>
      <c r="H3951" s="23"/>
      <c r="J3951" s="23"/>
      <c r="K3951" s="23"/>
      <c r="M3951" s="23"/>
      <c r="N3951" s="23"/>
      <c r="P3951" s="23"/>
    </row>
    <row r="3952" spans="2:16" x14ac:dyDescent="0.25">
      <c r="B3952" s="23"/>
      <c r="E3952" s="23"/>
      <c r="G3952" s="23"/>
      <c r="H3952" s="23"/>
      <c r="J3952" s="23"/>
      <c r="K3952" s="23"/>
      <c r="M3952" s="23"/>
      <c r="N3952" s="23"/>
      <c r="P3952" s="23"/>
    </row>
    <row r="3953" spans="2:16" x14ac:dyDescent="0.25">
      <c r="B3953" s="23"/>
      <c r="E3953" s="23"/>
      <c r="G3953" s="23"/>
      <c r="H3953" s="23"/>
      <c r="J3953" s="23"/>
      <c r="K3953" s="23"/>
      <c r="M3953" s="23"/>
      <c r="N3953" s="23"/>
      <c r="P3953" s="23"/>
    </row>
    <row r="3954" spans="2:16" x14ac:dyDescent="0.25">
      <c r="B3954" s="23"/>
      <c r="E3954" s="23"/>
      <c r="G3954" s="23"/>
      <c r="H3954" s="23"/>
      <c r="J3954" s="23"/>
      <c r="K3954" s="23"/>
      <c r="M3954" s="23"/>
      <c r="N3954" s="23"/>
      <c r="P3954" s="23"/>
    </row>
    <row r="3955" spans="2:16" x14ac:dyDescent="0.25">
      <c r="B3955" s="23"/>
      <c r="E3955" s="23"/>
      <c r="G3955" s="23"/>
      <c r="H3955" s="23"/>
      <c r="J3955" s="23"/>
      <c r="K3955" s="23"/>
      <c r="M3955" s="23"/>
      <c r="N3955" s="23"/>
      <c r="P3955" s="23"/>
    </row>
    <row r="3956" spans="2:16" x14ac:dyDescent="0.25">
      <c r="B3956" s="23"/>
      <c r="E3956" s="23"/>
      <c r="G3956" s="23"/>
      <c r="H3956" s="23"/>
      <c r="J3956" s="23"/>
      <c r="K3956" s="23"/>
      <c r="M3956" s="23"/>
      <c r="N3956" s="23"/>
      <c r="P3956" s="23"/>
    </row>
    <row r="3957" spans="2:16" x14ac:dyDescent="0.25">
      <c r="B3957" s="23"/>
      <c r="E3957" s="23"/>
      <c r="G3957" s="23"/>
      <c r="H3957" s="23"/>
      <c r="J3957" s="23"/>
      <c r="K3957" s="23"/>
      <c r="M3957" s="23"/>
      <c r="N3957" s="23"/>
      <c r="P3957" s="23"/>
    </row>
    <row r="3958" spans="2:16" x14ac:dyDescent="0.25">
      <c r="B3958" s="23"/>
      <c r="E3958" s="23"/>
      <c r="G3958" s="23"/>
      <c r="H3958" s="23"/>
      <c r="J3958" s="23"/>
      <c r="K3958" s="23"/>
      <c r="M3958" s="23"/>
      <c r="N3958" s="23"/>
      <c r="P3958" s="23"/>
    </row>
    <row r="3959" spans="2:16" x14ac:dyDescent="0.25">
      <c r="B3959" s="23"/>
      <c r="E3959" s="23"/>
      <c r="G3959" s="23"/>
      <c r="H3959" s="23"/>
      <c r="J3959" s="23"/>
      <c r="K3959" s="23"/>
      <c r="M3959" s="23"/>
      <c r="N3959" s="23"/>
      <c r="P3959" s="23"/>
    </row>
    <row r="3960" spans="2:16" x14ac:dyDescent="0.25">
      <c r="B3960" s="23"/>
      <c r="E3960" s="23"/>
      <c r="G3960" s="23"/>
      <c r="H3960" s="23"/>
      <c r="J3960" s="23"/>
      <c r="K3960" s="23"/>
      <c r="M3960" s="23"/>
      <c r="N3960" s="23"/>
      <c r="P3960" s="23"/>
    </row>
    <row r="3961" spans="2:16" x14ac:dyDescent="0.25">
      <c r="B3961" s="23"/>
      <c r="E3961" s="23"/>
      <c r="G3961" s="23"/>
      <c r="H3961" s="23"/>
      <c r="J3961" s="23"/>
      <c r="K3961" s="23"/>
      <c r="M3961" s="23"/>
      <c r="N3961" s="23"/>
      <c r="P3961" s="23"/>
    </row>
    <row r="3962" spans="2:16" x14ac:dyDescent="0.25">
      <c r="B3962" s="23"/>
      <c r="E3962" s="23"/>
      <c r="G3962" s="23"/>
      <c r="H3962" s="23"/>
      <c r="J3962" s="23"/>
      <c r="K3962" s="23"/>
      <c r="M3962" s="23"/>
      <c r="N3962" s="23"/>
      <c r="P3962" s="23"/>
    </row>
    <row r="3963" spans="2:16" x14ac:dyDescent="0.25">
      <c r="B3963" s="23"/>
      <c r="E3963" s="23"/>
      <c r="G3963" s="23"/>
      <c r="H3963" s="23"/>
      <c r="J3963" s="23"/>
      <c r="K3963" s="23"/>
      <c r="M3963" s="23"/>
      <c r="N3963" s="23"/>
      <c r="P3963" s="23"/>
    </row>
    <row r="3964" spans="2:16" x14ac:dyDescent="0.25">
      <c r="B3964" s="23"/>
      <c r="E3964" s="23"/>
      <c r="G3964" s="23"/>
      <c r="H3964" s="23"/>
      <c r="J3964" s="23"/>
      <c r="K3964" s="23"/>
      <c r="M3964" s="23"/>
      <c r="N3964" s="23"/>
      <c r="P3964" s="23"/>
    </row>
    <row r="3965" spans="2:16" x14ac:dyDescent="0.25">
      <c r="B3965" s="23"/>
      <c r="E3965" s="23"/>
      <c r="G3965" s="23"/>
      <c r="H3965" s="23"/>
      <c r="J3965" s="23"/>
      <c r="K3965" s="23"/>
      <c r="M3965" s="23"/>
      <c r="N3965" s="23"/>
      <c r="P3965" s="23"/>
    </row>
    <row r="3966" spans="2:16" x14ac:dyDescent="0.25">
      <c r="B3966" s="23"/>
      <c r="E3966" s="23"/>
      <c r="G3966" s="23"/>
      <c r="H3966" s="23"/>
      <c r="J3966" s="23"/>
      <c r="K3966" s="23"/>
      <c r="M3966" s="23"/>
      <c r="N3966" s="23"/>
      <c r="P3966" s="23"/>
    </row>
    <row r="3967" spans="2:16" x14ac:dyDescent="0.25">
      <c r="B3967" s="23"/>
      <c r="E3967" s="23"/>
      <c r="G3967" s="23"/>
      <c r="H3967" s="23"/>
      <c r="J3967" s="23"/>
      <c r="K3967" s="23"/>
      <c r="M3967" s="23"/>
      <c r="N3967" s="23"/>
      <c r="P3967" s="23"/>
    </row>
    <row r="3968" spans="2:16" x14ac:dyDescent="0.25">
      <c r="B3968" s="23"/>
      <c r="E3968" s="23"/>
      <c r="G3968" s="23"/>
      <c r="H3968" s="23"/>
      <c r="J3968" s="23"/>
      <c r="K3968" s="23"/>
      <c r="M3968" s="23"/>
      <c r="N3968" s="23"/>
      <c r="P3968" s="23"/>
    </row>
    <row r="3969" spans="2:16" x14ac:dyDescent="0.25">
      <c r="B3969" s="23"/>
      <c r="E3969" s="23"/>
      <c r="G3969" s="23"/>
      <c r="H3969" s="23"/>
      <c r="J3969" s="23"/>
      <c r="K3969" s="23"/>
      <c r="M3969" s="23"/>
      <c r="N3969" s="23"/>
      <c r="P3969" s="23"/>
    </row>
    <row r="3970" spans="2:16" x14ac:dyDescent="0.25">
      <c r="B3970" s="23"/>
      <c r="E3970" s="23"/>
      <c r="G3970" s="23"/>
      <c r="H3970" s="23"/>
      <c r="J3970" s="23"/>
      <c r="K3970" s="23"/>
      <c r="M3970" s="23"/>
      <c r="N3970" s="23"/>
      <c r="P3970" s="23"/>
    </row>
    <row r="3971" spans="2:16" x14ac:dyDescent="0.25">
      <c r="B3971" s="23"/>
      <c r="E3971" s="23"/>
      <c r="G3971" s="23"/>
      <c r="H3971" s="23"/>
      <c r="J3971" s="23"/>
      <c r="K3971" s="23"/>
      <c r="M3971" s="23"/>
      <c r="N3971" s="23"/>
      <c r="P3971" s="23"/>
    </row>
    <row r="3972" spans="2:16" x14ac:dyDescent="0.25">
      <c r="B3972" s="23"/>
      <c r="E3972" s="23"/>
      <c r="G3972" s="23"/>
      <c r="H3972" s="23"/>
      <c r="J3972" s="23"/>
      <c r="K3972" s="23"/>
      <c r="M3972" s="23"/>
      <c r="N3972" s="23"/>
      <c r="P3972" s="23"/>
    </row>
    <row r="3973" spans="2:16" x14ac:dyDescent="0.25">
      <c r="B3973" s="23"/>
      <c r="E3973" s="23"/>
      <c r="G3973" s="23"/>
      <c r="H3973" s="23"/>
      <c r="J3973" s="23"/>
      <c r="K3973" s="23"/>
      <c r="M3973" s="23"/>
      <c r="N3973" s="23"/>
      <c r="P3973" s="23"/>
    </row>
    <row r="3974" spans="2:16" x14ac:dyDescent="0.25">
      <c r="B3974" s="23"/>
      <c r="E3974" s="23"/>
      <c r="G3974" s="23"/>
      <c r="H3974" s="23"/>
      <c r="J3974" s="23"/>
      <c r="K3974" s="23"/>
      <c r="M3974" s="23"/>
      <c r="N3974" s="23"/>
      <c r="P3974" s="23"/>
    </row>
    <row r="3975" spans="2:16" x14ac:dyDescent="0.25">
      <c r="B3975" s="23"/>
      <c r="E3975" s="23"/>
      <c r="G3975" s="23"/>
      <c r="H3975" s="23"/>
      <c r="J3975" s="23"/>
      <c r="K3975" s="23"/>
      <c r="M3975" s="23"/>
      <c r="N3975" s="23"/>
      <c r="P3975" s="23"/>
    </row>
    <row r="3976" spans="2:16" x14ac:dyDescent="0.25">
      <c r="B3976" s="23"/>
      <c r="E3976" s="23"/>
      <c r="G3976" s="23"/>
      <c r="H3976" s="23"/>
      <c r="J3976" s="23"/>
      <c r="K3976" s="23"/>
      <c r="M3976" s="23"/>
      <c r="N3976" s="23"/>
      <c r="P3976" s="23"/>
    </row>
    <row r="3977" spans="2:16" x14ac:dyDescent="0.25">
      <c r="B3977" s="23"/>
      <c r="E3977" s="23"/>
      <c r="G3977" s="23"/>
      <c r="H3977" s="23"/>
      <c r="J3977" s="23"/>
      <c r="K3977" s="23"/>
      <c r="M3977" s="23"/>
      <c r="N3977" s="23"/>
      <c r="P3977" s="23"/>
    </row>
    <row r="3978" spans="2:16" x14ac:dyDescent="0.25">
      <c r="B3978" s="23"/>
      <c r="E3978" s="23"/>
      <c r="G3978" s="23"/>
      <c r="H3978" s="23"/>
      <c r="J3978" s="23"/>
      <c r="K3978" s="23"/>
      <c r="M3978" s="23"/>
      <c r="N3978" s="23"/>
      <c r="P3978" s="23"/>
    </row>
    <row r="3979" spans="2:16" x14ac:dyDescent="0.25">
      <c r="B3979" s="23"/>
      <c r="E3979" s="23"/>
      <c r="G3979" s="23"/>
      <c r="H3979" s="23"/>
      <c r="J3979" s="23"/>
      <c r="K3979" s="23"/>
      <c r="M3979" s="23"/>
      <c r="N3979" s="23"/>
      <c r="P3979" s="23"/>
    </row>
    <row r="3980" spans="2:16" x14ac:dyDescent="0.25">
      <c r="B3980" s="23"/>
      <c r="E3980" s="23"/>
      <c r="G3980" s="23"/>
      <c r="H3980" s="23"/>
      <c r="J3980" s="23"/>
      <c r="K3980" s="23"/>
      <c r="M3980" s="23"/>
      <c r="N3980" s="23"/>
      <c r="P3980" s="23"/>
    </row>
    <row r="3981" spans="2:16" x14ac:dyDescent="0.25">
      <c r="B3981" s="23"/>
      <c r="E3981" s="23"/>
      <c r="G3981" s="23"/>
      <c r="H3981" s="23"/>
      <c r="J3981" s="23"/>
      <c r="K3981" s="23"/>
      <c r="M3981" s="23"/>
      <c r="N3981" s="23"/>
      <c r="P3981" s="23"/>
    </row>
    <row r="3982" spans="2:16" x14ac:dyDescent="0.25">
      <c r="B3982" s="23"/>
      <c r="E3982" s="23"/>
      <c r="G3982" s="23"/>
      <c r="H3982" s="23"/>
      <c r="J3982" s="23"/>
      <c r="K3982" s="23"/>
      <c r="M3982" s="23"/>
      <c r="N3982" s="23"/>
      <c r="P3982" s="23"/>
    </row>
    <row r="3983" spans="2:16" x14ac:dyDescent="0.25">
      <c r="B3983" s="23"/>
      <c r="E3983" s="23"/>
      <c r="G3983" s="23"/>
      <c r="H3983" s="23"/>
      <c r="J3983" s="23"/>
      <c r="K3983" s="23"/>
      <c r="M3983" s="23"/>
      <c r="N3983" s="23"/>
      <c r="P3983" s="23"/>
    </row>
    <row r="3984" spans="2:16" x14ac:dyDescent="0.25">
      <c r="B3984" s="23"/>
      <c r="E3984" s="23"/>
      <c r="G3984" s="23"/>
      <c r="H3984" s="23"/>
      <c r="J3984" s="23"/>
      <c r="K3984" s="23"/>
      <c r="M3984" s="23"/>
      <c r="N3984" s="23"/>
      <c r="P3984" s="23"/>
    </row>
    <row r="3985" spans="2:16" x14ac:dyDescent="0.25">
      <c r="B3985" s="23"/>
      <c r="E3985" s="23"/>
      <c r="G3985" s="23"/>
      <c r="H3985" s="23"/>
      <c r="J3985" s="23"/>
      <c r="K3985" s="23"/>
      <c r="M3985" s="23"/>
      <c r="N3985" s="23"/>
      <c r="P3985" s="23"/>
    </row>
    <row r="3986" spans="2:16" x14ac:dyDescent="0.25">
      <c r="B3986" s="23"/>
      <c r="E3986" s="23"/>
      <c r="G3986" s="23"/>
      <c r="H3986" s="23"/>
      <c r="J3986" s="23"/>
      <c r="K3986" s="23"/>
      <c r="M3986" s="23"/>
      <c r="N3986" s="23"/>
      <c r="P3986" s="23"/>
    </row>
    <row r="3987" spans="2:16" x14ac:dyDescent="0.25">
      <c r="B3987" s="23"/>
      <c r="E3987" s="23"/>
      <c r="G3987" s="23"/>
      <c r="H3987" s="23"/>
      <c r="J3987" s="23"/>
      <c r="K3987" s="23"/>
      <c r="M3987" s="23"/>
      <c r="N3987" s="23"/>
      <c r="P3987" s="23"/>
    </row>
    <row r="3988" spans="2:16" x14ac:dyDescent="0.25">
      <c r="B3988" s="23"/>
      <c r="E3988" s="23"/>
      <c r="G3988" s="23"/>
      <c r="H3988" s="23"/>
      <c r="J3988" s="23"/>
      <c r="K3988" s="23"/>
      <c r="M3988" s="23"/>
      <c r="N3988" s="23"/>
      <c r="P3988" s="23"/>
    </row>
    <row r="3989" spans="2:16" x14ac:dyDescent="0.25">
      <c r="B3989" s="23"/>
      <c r="E3989" s="23"/>
      <c r="G3989" s="23"/>
      <c r="H3989" s="23"/>
      <c r="J3989" s="23"/>
      <c r="K3989" s="23"/>
      <c r="M3989" s="23"/>
      <c r="N3989" s="23"/>
      <c r="P3989" s="23"/>
    </row>
    <row r="3990" spans="2:16" x14ac:dyDescent="0.25">
      <c r="B3990" s="23"/>
      <c r="E3990" s="23"/>
      <c r="G3990" s="23"/>
      <c r="H3990" s="23"/>
      <c r="J3990" s="23"/>
      <c r="K3990" s="23"/>
      <c r="M3990" s="23"/>
      <c r="N3990" s="23"/>
      <c r="P3990" s="23"/>
    </row>
    <row r="3991" spans="2:16" x14ac:dyDescent="0.25">
      <c r="B3991" s="23"/>
      <c r="E3991" s="23"/>
      <c r="G3991" s="23"/>
      <c r="H3991" s="23"/>
      <c r="J3991" s="23"/>
      <c r="K3991" s="23"/>
      <c r="M3991" s="23"/>
      <c r="N3991" s="23"/>
      <c r="P3991" s="23"/>
    </row>
    <row r="3992" spans="2:16" x14ac:dyDescent="0.25">
      <c r="B3992" s="23"/>
      <c r="E3992" s="23"/>
      <c r="G3992" s="23"/>
      <c r="H3992" s="23"/>
      <c r="J3992" s="23"/>
      <c r="K3992" s="23"/>
      <c r="M3992" s="23"/>
      <c r="N3992" s="23"/>
      <c r="P3992" s="23"/>
    </row>
    <row r="3993" spans="2:16" x14ac:dyDescent="0.25">
      <c r="B3993" s="23"/>
      <c r="E3993" s="23"/>
      <c r="G3993" s="23"/>
      <c r="H3993" s="23"/>
      <c r="J3993" s="23"/>
      <c r="K3993" s="23"/>
      <c r="M3993" s="23"/>
      <c r="N3993" s="23"/>
      <c r="P3993" s="23"/>
    </row>
    <row r="3994" spans="2:16" x14ac:dyDescent="0.25">
      <c r="B3994" s="23"/>
      <c r="E3994" s="23"/>
      <c r="G3994" s="23"/>
      <c r="H3994" s="23"/>
      <c r="J3994" s="23"/>
      <c r="K3994" s="23"/>
      <c r="M3994" s="23"/>
      <c r="N3994" s="23"/>
      <c r="P3994" s="23"/>
    </row>
    <row r="3995" spans="2:16" x14ac:dyDescent="0.25">
      <c r="B3995" s="23"/>
      <c r="E3995" s="23"/>
      <c r="G3995" s="23"/>
      <c r="H3995" s="23"/>
      <c r="J3995" s="23"/>
      <c r="K3995" s="23"/>
      <c r="M3995" s="23"/>
      <c r="N3995" s="23"/>
      <c r="P3995" s="23"/>
    </row>
    <row r="3996" spans="2:16" x14ac:dyDescent="0.25">
      <c r="B3996" s="23"/>
      <c r="E3996" s="23"/>
      <c r="G3996" s="23"/>
      <c r="H3996" s="23"/>
      <c r="J3996" s="23"/>
      <c r="K3996" s="23"/>
      <c r="M3996" s="23"/>
      <c r="N3996" s="23"/>
      <c r="P3996" s="23"/>
    </row>
    <row r="3997" spans="2:16" x14ac:dyDescent="0.25">
      <c r="B3997" s="23"/>
      <c r="E3997" s="23"/>
      <c r="G3997" s="23"/>
      <c r="H3997" s="23"/>
      <c r="J3997" s="23"/>
      <c r="K3997" s="23"/>
      <c r="M3997" s="23"/>
      <c r="N3997" s="23"/>
      <c r="P3997" s="23"/>
    </row>
    <row r="3998" spans="2:16" x14ac:dyDescent="0.25">
      <c r="B3998" s="23"/>
      <c r="E3998" s="23"/>
      <c r="G3998" s="23"/>
      <c r="H3998" s="23"/>
      <c r="J3998" s="23"/>
      <c r="K3998" s="23"/>
      <c r="M3998" s="23"/>
      <c r="N3998" s="23"/>
      <c r="P3998" s="23"/>
    </row>
    <row r="3999" spans="2:16" x14ac:dyDescent="0.25">
      <c r="B3999" s="23"/>
      <c r="E3999" s="23"/>
      <c r="G3999" s="23"/>
      <c r="H3999" s="23"/>
      <c r="J3999" s="23"/>
      <c r="K3999" s="23"/>
      <c r="M3999" s="23"/>
      <c r="N3999" s="23"/>
      <c r="P3999" s="23"/>
    </row>
    <row r="4000" spans="2:16" x14ac:dyDescent="0.25">
      <c r="B4000" s="23"/>
      <c r="E4000" s="23"/>
      <c r="G4000" s="23"/>
      <c r="H4000" s="23"/>
      <c r="J4000" s="23"/>
      <c r="K4000" s="23"/>
      <c r="M4000" s="23"/>
      <c r="N4000" s="23"/>
      <c r="P4000" s="23"/>
    </row>
    <row r="4001" spans="2:16" x14ac:dyDescent="0.25">
      <c r="B4001" s="23"/>
      <c r="E4001" s="23"/>
      <c r="G4001" s="23"/>
      <c r="H4001" s="23"/>
      <c r="J4001" s="23"/>
      <c r="K4001" s="23"/>
      <c r="M4001" s="23"/>
      <c r="N4001" s="23"/>
      <c r="P4001" s="23"/>
    </row>
    <row r="4002" spans="2:16" x14ac:dyDescent="0.25">
      <c r="B4002" s="23"/>
      <c r="E4002" s="23"/>
      <c r="G4002" s="23"/>
      <c r="H4002" s="23"/>
      <c r="J4002" s="23"/>
      <c r="K4002" s="23"/>
      <c r="M4002" s="23"/>
      <c r="N4002" s="23"/>
      <c r="P4002" s="23"/>
    </row>
    <row r="4003" spans="2:16" x14ac:dyDescent="0.25">
      <c r="B4003" s="23"/>
      <c r="E4003" s="23"/>
      <c r="G4003" s="23"/>
      <c r="H4003" s="23"/>
      <c r="J4003" s="23"/>
      <c r="K4003" s="23"/>
      <c r="M4003" s="23"/>
      <c r="N4003" s="23"/>
      <c r="P4003" s="23"/>
    </row>
    <row r="4004" spans="2:16" x14ac:dyDescent="0.25">
      <c r="B4004" s="23"/>
      <c r="E4004" s="23"/>
      <c r="G4004" s="23"/>
      <c r="H4004" s="23"/>
      <c r="J4004" s="23"/>
      <c r="K4004" s="23"/>
      <c r="M4004" s="23"/>
      <c r="N4004" s="23"/>
      <c r="P4004" s="23"/>
    </row>
    <row r="4005" spans="2:16" x14ac:dyDescent="0.25">
      <c r="B4005" s="23"/>
      <c r="E4005" s="23"/>
      <c r="G4005" s="23"/>
      <c r="H4005" s="23"/>
      <c r="J4005" s="23"/>
      <c r="K4005" s="23"/>
      <c r="M4005" s="23"/>
      <c r="N4005" s="23"/>
      <c r="P4005" s="23"/>
    </row>
    <row r="4006" spans="2:16" x14ac:dyDescent="0.25">
      <c r="B4006" s="23"/>
      <c r="E4006" s="23"/>
      <c r="G4006" s="23"/>
      <c r="H4006" s="23"/>
      <c r="J4006" s="23"/>
      <c r="K4006" s="23"/>
      <c r="M4006" s="23"/>
      <c r="N4006" s="23"/>
      <c r="P4006" s="23"/>
    </row>
    <row r="4007" spans="2:16" x14ac:dyDescent="0.25">
      <c r="B4007" s="23"/>
      <c r="E4007" s="23"/>
      <c r="G4007" s="23"/>
      <c r="H4007" s="23"/>
      <c r="J4007" s="23"/>
      <c r="K4007" s="23"/>
      <c r="M4007" s="23"/>
      <c r="N4007" s="23"/>
      <c r="P4007" s="23"/>
    </row>
    <row r="4008" spans="2:16" x14ac:dyDescent="0.25">
      <c r="B4008" s="23"/>
      <c r="E4008" s="23"/>
      <c r="G4008" s="23"/>
      <c r="H4008" s="23"/>
      <c r="J4008" s="23"/>
      <c r="K4008" s="23"/>
      <c r="M4008" s="23"/>
      <c r="N4008" s="23"/>
      <c r="P4008" s="23"/>
    </row>
    <row r="4009" spans="2:16" x14ac:dyDescent="0.25">
      <c r="B4009" s="23"/>
      <c r="E4009" s="23"/>
      <c r="G4009" s="23"/>
      <c r="H4009" s="23"/>
      <c r="J4009" s="23"/>
      <c r="K4009" s="23"/>
      <c r="M4009" s="23"/>
      <c r="N4009" s="23"/>
      <c r="P4009" s="23"/>
    </row>
    <row r="4010" spans="2:16" x14ac:dyDescent="0.25">
      <c r="B4010" s="23"/>
      <c r="E4010" s="23"/>
      <c r="G4010" s="23"/>
      <c r="H4010" s="23"/>
      <c r="J4010" s="23"/>
      <c r="K4010" s="23"/>
      <c r="M4010" s="23"/>
      <c r="N4010" s="23"/>
      <c r="P4010" s="23"/>
    </row>
    <row r="4011" spans="2:16" x14ac:dyDescent="0.25">
      <c r="B4011" s="23"/>
      <c r="E4011" s="23"/>
      <c r="G4011" s="23"/>
      <c r="H4011" s="23"/>
      <c r="J4011" s="23"/>
      <c r="K4011" s="23"/>
      <c r="M4011" s="23"/>
      <c r="N4011" s="23"/>
      <c r="P4011" s="23"/>
    </row>
    <row r="4012" spans="2:16" x14ac:dyDescent="0.25">
      <c r="B4012" s="23"/>
      <c r="E4012" s="23"/>
      <c r="G4012" s="23"/>
      <c r="H4012" s="23"/>
      <c r="J4012" s="23"/>
      <c r="K4012" s="23"/>
      <c r="M4012" s="23"/>
      <c r="N4012" s="23"/>
      <c r="P4012" s="23"/>
    </row>
    <row r="4013" spans="2:16" x14ac:dyDescent="0.25">
      <c r="B4013" s="23"/>
      <c r="E4013" s="23"/>
      <c r="G4013" s="23"/>
      <c r="H4013" s="23"/>
      <c r="J4013" s="23"/>
      <c r="K4013" s="23"/>
      <c r="M4013" s="23"/>
      <c r="N4013" s="23"/>
      <c r="P4013" s="23"/>
    </row>
    <row r="4014" spans="2:16" x14ac:dyDescent="0.25">
      <c r="B4014" s="23"/>
      <c r="E4014" s="23"/>
      <c r="G4014" s="23"/>
      <c r="H4014" s="23"/>
      <c r="J4014" s="23"/>
      <c r="K4014" s="23"/>
      <c r="M4014" s="23"/>
      <c r="N4014" s="23"/>
      <c r="P4014" s="23"/>
    </row>
    <row r="4015" spans="2:16" x14ac:dyDescent="0.25">
      <c r="B4015" s="23"/>
      <c r="E4015" s="23"/>
      <c r="G4015" s="23"/>
      <c r="H4015" s="23"/>
      <c r="J4015" s="23"/>
      <c r="K4015" s="23"/>
      <c r="M4015" s="23"/>
      <c r="N4015" s="23"/>
      <c r="P4015" s="23"/>
    </row>
    <row r="4016" spans="2:16" x14ac:dyDescent="0.25">
      <c r="B4016" s="23"/>
      <c r="E4016" s="23"/>
      <c r="G4016" s="23"/>
      <c r="H4016" s="23"/>
      <c r="J4016" s="23"/>
      <c r="K4016" s="23"/>
      <c r="M4016" s="23"/>
      <c r="N4016" s="23"/>
      <c r="P4016" s="23"/>
    </row>
    <row r="4017" spans="2:16" x14ac:dyDescent="0.25">
      <c r="B4017" s="23"/>
      <c r="E4017" s="23"/>
      <c r="G4017" s="23"/>
      <c r="H4017" s="23"/>
      <c r="J4017" s="23"/>
      <c r="K4017" s="23"/>
      <c r="M4017" s="23"/>
      <c r="N4017" s="23"/>
      <c r="P4017" s="23"/>
    </row>
    <row r="4018" spans="2:16" x14ac:dyDescent="0.25">
      <c r="B4018" s="23"/>
      <c r="E4018" s="23"/>
      <c r="G4018" s="23"/>
      <c r="H4018" s="23"/>
      <c r="J4018" s="23"/>
      <c r="K4018" s="23"/>
      <c r="M4018" s="23"/>
      <c r="N4018" s="23"/>
      <c r="P4018" s="23"/>
    </row>
    <row r="4019" spans="2:16" x14ac:dyDescent="0.25">
      <c r="B4019" s="23"/>
      <c r="E4019" s="23"/>
      <c r="G4019" s="23"/>
      <c r="H4019" s="23"/>
      <c r="J4019" s="23"/>
      <c r="K4019" s="23"/>
      <c r="M4019" s="23"/>
      <c r="N4019" s="23"/>
      <c r="P4019" s="23"/>
    </row>
    <row r="4020" spans="2:16" x14ac:dyDescent="0.25">
      <c r="B4020" s="23"/>
      <c r="E4020" s="23"/>
      <c r="G4020" s="23"/>
      <c r="H4020" s="23"/>
      <c r="J4020" s="23"/>
      <c r="K4020" s="23"/>
      <c r="M4020" s="23"/>
      <c r="N4020" s="23"/>
      <c r="P4020" s="23"/>
    </row>
    <row r="4021" spans="2:16" x14ac:dyDescent="0.25">
      <c r="B4021" s="23"/>
      <c r="E4021" s="23"/>
      <c r="G4021" s="23"/>
      <c r="H4021" s="23"/>
      <c r="J4021" s="23"/>
      <c r="K4021" s="23"/>
      <c r="M4021" s="23"/>
      <c r="N4021" s="23"/>
      <c r="P4021" s="23"/>
    </row>
    <row r="4022" spans="2:16" x14ac:dyDescent="0.25">
      <c r="B4022" s="23"/>
      <c r="E4022" s="23"/>
      <c r="G4022" s="23"/>
      <c r="H4022" s="23"/>
      <c r="J4022" s="23"/>
      <c r="K4022" s="23"/>
      <c r="M4022" s="23"/>
      <c r="N4022" s="23"/>
      <c r="P4022" s="23"/>
    </row>
    <row r="4023" spans="2:16" x14ac:dyDescent="0.25">
      <c r="B4023" s="23"/>
      <c r="E4023" s="23"/>
      <c r="G4023" s="23"/>
      <c r="H4023" s="23"/>
      <c r="J4023" s="23"/>
      <c r="K4023" s="23"/>
      <c r="M4023" s="23"/>
      <c r="N4023" s="23"/>
      <c r="P4023" s="23"/>
    </row>
    <row r="4024" spans="2:16" x14ac:dyDescent="0.25">
      <c r="B4024" s="23"/>
      <c r="E4024" s="23"/>
      <c r="G4024" s="23"/>
      <c r="H4024" s="23"/>
      <c r="J4024" s="23"/>
      <c r="K4024" s="23"/>
      <c r="M4024" s="23"/>
      <c r="N4024" s="23"/>
      <c r="P4024" s="23"/>
    </row>
    <row r="4025" spans="2:16" x14ac:dyDescent="0.25">
      <c r="B4025" s="23"/>
      <c r="E4025" s="23"/>
      <c r="G4025" s="23"/>
      <c r="H4025" s="23"/>
      <c r="J4025" s="23"/>
      <c r="K4025" s="23"/>
      <c r="M4025" s="23"/>
      <c r="N4025" s="23"/>
      <c r="P4025" s="23"/>
    </row>
    <row r="4026" spans="2:16" x14ac:dyDescent="0.25">
      <c r="B4026" s="23"/>
      <c r="E4026" s="23"/>
      <c r="G4026" s="23"/>
      <c r="H4026" s="23"/>
      <c r="J4026" s="23"/>
      <c r="K4026" s="23"/>
      <c r="M4026" s="23"/>
      <c r="N4026" s="23"/>
      <c r="P4026" s="23"/>
    </row>
    <row r="4027" spans="2:16" x14ac:dyDescent="0.25">
      <c r="B4027" s="23"/>
      <c r="E4027" s="23"/>
      <c r="G4027" s="23"/>
      <c r="H4027" s="23"/>
      <c r="J4027" s="23"/>
      <c r="K4027" s="23"/>
      <c r="M4027" s="23"/>
      <c r="N4027" s="23"/>
      <c r="P4027" s="23"/>
    </row>
    <row r="4028" spans="2:16" x14ac:dyDescent="0.25">
      <c r="B4028" s="23"/>
      <c r="E4028" s="23"/>
      <c r="G4028" s="23"/>
      <c r="H4028" s="23"/>
      <c r="J4028" s="23"/>
      <c r="K4028" s="23"/>
      <c r="M4028" s="23"/>
      <c r="N4028" s="23"/>
      <c r="P4028" s="23"/>
    </row>
    <row r="4029" spans="2:16" x14ac:dyDescent="0.25">
      <c r="B4029" s="23"/>
      <c r="E4029" s="23"/>
      <c r="G4029" s="23"/>
      <c r="H4029" s="23"/>
      <c r="J4029" s="23"/>
      <c r="K4029" s="23"/>
      <c r="M4029" s="23"/>
      <c r="N4029" s="23"/>
      <c r="P4029" s="23"/>
    </row>
    <row r="4030" spans="2:16" x14ac:dyDescent="0.25">
      <c r="B4030" s="23"/>
      <c r="E4030" s="23"/>
      <c r="G4030" s="23"/>
      <c r="H4030" s="23"/>
      <c r="J4030" s="23"/>
      <c r="K4030" s="23"/>
      <c r="M4030" s="23"/>
      <c r="N4030" s="23"/>
      <c r="P4030" s="23"/>
    </row>
    <row r="4031" spans="2:16" x14ac:dyDescent="0.25">
      <c r="B4031" s="23"/>
      <c r="E4031" s="23"/>
      <c r="G4031" s="23"/>
      <c r="H4031" s="23"/>
      <c r="J4031" s="23"/>
      <c r="K4031" s="23"/>
      <c r="M4031" s="23"/>
      <c r="N4031" s="23"/>
      <c r="P4031" s="23"/>
    </row>
    <row r="4032" spans="2:16" x14ac:dyDescent="0.25">
      <c r="B4032" s="23"/>
      <c r="E4032" s="23"/>
      <c r="G4032" s="23"/>
      <c r="H4032" s="23"/>
      <c r="J4032" s="23"/>
      <c r="K4032" s="23"/>
      <c r="M4032" s="23"/>
      <c r="N4032" s="23"/>
      <c r="P4032" s="23"/>
    </row>
    <row r="4033" spans="2:16" x14ac:dyDescent="0.25">
      <c r="B4033" s="23"/>
      <c r="E4033" s="23"/>
      <c r="G4033" s="23"/>
      <c r="H4033" s="23"/>
      <c r="J4033" s="23"/>
      <c r="K4033" s="23"/>
      <c r="M4033" s="23"/>
      <c r="N4033" s="23"/>
      <c r="P4033" s="23"/>
    </row>
    <row r="4034" spans="2:16" x14ac:dyDescent="0.25">
      <c r="B4034" s="23"/>
      <c r="E4034" s="23"/>
      <c r="G4034" s="23"/>
      <c r="H4034" s="23"/>
      <c r="J4034" s="23"/>
      <c r="K4034" s="23"/>
      <c r="M4034" s="23"/>
      <c r="N4034" s="23"/>
      <c r="P4034" s="23"/>
    </row>
    <row r="4035" spans="2:16" x14ac:dyDescent="0.25">
      <c r="B4035" s="23"/>
      <c r="E4035" s="23"/>
      <c r="G4035" s="23"/>
      <c r="H4035" s="23"/>
      <c r="J4035" s="23"/>
      <c r="K4035" s="23"/>
      <c r="M4035" s="23"/>
      <c r="N4035" s="23"/>
      <c r="P4035" s="23"/>
    </row>
    <row r="4036" spans="2:16" x14ac:dyDescent="0.25">
      <c r="B4036" s="23"/>
      <c r="E4036" s="23"/>
      <c r="G4036" s="23"/>
      <c r="H4036" s="23"/>
      <c r="J4036" s="23"/>
      <c r="K4036" s="23"/>
      <c r="M4036" s="23"/>
      <c r="N4036" s="23"/>
      <c r="P4036" s="23"/>
    </row>
    <row r="4037" spans="2:16" x14ac:dyDescent="0.25">
      <c r="B4037" s="23"/>
      <c r="E4037" s="23"/>
      <c r="G4037" s="23"/>
      <c r="H4037" s="23"/>
      <c r="J4037" s="23"/>
      <c r="K4037" s="23"/>
      <c r="M4037" s="23"/>
      <c r="N4037" s="23"/>
      <c r="P4037" s="23"/>
    </row>
    <row r="4038" spans="2:16" x14ac:dyDescent="0.25">
      <c r="B4038" s="23"/>
      <c r="E4038" s="23"/>
      <c r="G4038" s="23"/>
      <c r="H4038" s="23"/>
      <c r="J4038" s="23"/>
      <c r="K4038" s="23"/>
      <c r="M4038" s="23"/>
      <c r="N4038" s="23"/>
      <c r="P4038" s="23"/>
    </row>
    <row r="4039" spans="2:16" x14ac:dyDescent="0.25">
      <c r="B4039" s="23"/>
      <c r="E4039" s="23"/>
      <c r="G4039" s="23"/>
      <c r="H4039" s="23"/>
      <c r="J4039" s="23"/>
      <c r="K4039" s="23"/>
      <c r="M4039" s="23"/>
      <c r="N4039" s="23"/>
      <c r="P4039" s="23"/>
    </row>
    <row r="4040" spans="2:16" x14ac:dyDescent="0.25">
      <c r="B4040" s="23"/>
      <c r="E4040" s="23"/>
      <c r="G4040" s="23"/>
      <c r="H4040" s="23"/>
      <c r="J4040" s="23"/>
      <c r="K4040" s="23"/>
      <c r="M4040" s="23"/>
      <c r="N4040" s="23"/>
      <c r="P4040" s="23"/>
    </row>
    <row r="4041" spans="2:16" x14ac:dyDescent="0.25">
      <c r="B4041" s="23"/>
      <c r="E4041" s="23"/>
      <c r="G4041" s="23"/>
      <c r="H4041" s="23"/>
      <c r="J4041" s="23"/>
      <c r="K4041" s="23"/>
      <c r="M4041" s="23"/>
      <c r="N4041" s="23"/>
      <c r="P4041" s="23"/>
    </row>
    <row r="4042" spans="2:16" x14ac:dyDescent="0.25">
      <c r="B4042" s="23"/>
      <c r="E4042" s="23"/>
      <c r="G4042" s="23"/>
      <c r="H4042" s="23"/>
      <c r="J4042" s="23"/>
      <c r="K4042" s="23"/>
      <c r="M4042" s="23"/>
      <c r="N4042" s="23"/>
      <c r="P4042" s="23"/>
    </row>
    <row r="4043" spans="2:16" x14ac:dyDescent="0.25">
      <c r="B4043" s="23"/>
      <c r="E4043" s="23"/>
      <c r="G4043" s="23"/>
      <c r="H4043" s="23"/>
      <c r="J4043" s="23"/>
      <c r="K4043" s="23"/>
      <c r="M4043" s="23"/>
      <c r="N4043" s="23"/>
      <c r="P4043" s="23"/>
    </row>
    <row r="4044" spans="2:16" x14ac:dyDescent="0.25">
      <c r="B4044" s="23"/>
      <c r="E4044" s="23"/>
      <c r="G4044" s="23"/>
      <c r="H4044" s="23"/>
      <c r="J4044" s="23"/>
      <c r="K4044" s="23"/>
      <c r="M4044" s="23"/>
      <c r="N4044" s="23"/>
      <c r="P4044" s="23"/>
    </row>
    <row r="4045" spans="2:16" x14ac:dyDescent="0.25">
      <c r="B4045" s="23"/>
      <c r="E4045" s="23"/>
      <c r="G4045" s="23"/>
      <c r="H4045" s="23"/>
      <c r="J4045" s="23"/>
      <c r="K4045" s="23"/>
      <c r="M4045" s="23"/>
      <c r="N4045" s="23"/>
      <c r="P4045" s="23"/>
    </row>
    <row r="4046" spans="2:16" x14ac:dyDescent="0.25">
      <c r="B4046" s="23"/>
      <c r="E4046" s="23"/>
      <c r="G4046" s="23"/>
      <c r="H4046" s="23"/>
      <c r="J4046" s="23"/>
      <c r="K4046" s="23"/>
      <c r="M4046" s="23"/>
      <c r="N4046" s="23"/>
      <c r="P4046" s="23"/>
    </row>
    <row r="4047" spans="2:16" x14ac:dyDescent="0.25">
      <c r="B4047" s="23"/>
      <c r="E4047" s="23"/>
      <c r="G4047" s="23"/>
      <c r="H4047" s="23"/>
      <c r="J4047" s="23"/>
      <c r="K4047" s="23"/>
      <c r="M4047" s="23"/>
      <c r="N4047" s="23"/>
      <c r="P4047" s="23"/>
    </row>
    <row r="4048" spans="2:16" x14ac:dyDescent="0.25">
      <c r="B4048" s="23"/>
      <c r="E4048" s="23"/>
      <c r="G4048" s="23"/>
      <c r="H4048" s="23"/>
      <c r="J4048" s="23"/>
      <c r="K4048" s="23"/>
      <c r="M4048" s="23"/>
      <c r="N4048" s="23"/>
      <c r="P4048" s="23"/>
    </row>
    <row r="4049" spans="2:16" x14ac:dyDescent="0.25">
      <c r="B4049" s="23"/>
      <c r="E4049" s="23"/>
      <c r="G4049" s="23"/>
      <c r="H4049" s="23"/>
      <c r="J4049" s="23"/>
      <c r="K4049" s="23"/>
      <c r="M4049" s="23"/>
      <c r="N4049" s="23"/>
      <c r="P4049" s="23"/>
    </row>
    <row r="4050" spans="2:16" x14ac:dyDescent="0.25">
      <c r="B4050" s="23"/>
      <c r="E4050" s="23"/>
      <c r="G4050" s="23"/>
      <c r="H4050" s="23"/>
      <c r="J4050" s="23"/>
      <c r="K4050" s="23"/>
      <c r="M4050" s="23"/>
      <c r="N4050" s="23"/>
      <c r="P4050" s="23"/>
    </row>
    <row r="4051" spans="2:16" x14ac:dyDescent="0.25">
      <c r="B4051" s="23"/>
      <c r="E4051" s="23"/>
      <c r="G4051" s="23"/>
      <c r="H4051" s="23"/>
      <c r="J4051" s="23"/>
      <c r="K4051" s="23"/>
      <c r="M4051" s="23"/>
      <c r="N4051" s="23"/>
      <c r="P4051" s="23"/>
    </row>
    <row r="4052" spans="2:16" x14ac:dyDescent="0.25">
      <c r="B4052" s="23"/>
      <c r="E4052" s="23"/>
      <c r="G4052" s="23"/>
      <c r="H4052" s="23"/>
      <c r="J4052" s="23"/>
      <c r="K4052" s="23"/>
      <c r="M4052" s="23"/>
      <c r="N4052" s="23"/>
      <c r="P4052" s="23"/>
    </row>
    <row r="4053" spans="2:16" x14ac:dyDescent="0.25">
      <c r="B4053" s="23"/>
      <c r="E4053" s="23"/>
      <c r="G4053" s="23"/>
      <c r="H4053" s="23"/>
      <c r="J4053" s="23"/>
      <c r="K4053" s="23"/>
      <c r="M4053" s="23"/>
      <c r="N4053" s="23"/>
      <c r="P4053" s="23"/>
    </row>
    <row r="4054" spans="2:16" x14ac:dyDescent="0.25">
      <c r="B4054" s="23"/>
      <c r="E4054" s="23"/>
      <c r="G4054" s="23"/>
      <c r="H4054" s="23"/>
      <c r="J4054" s="23"/>
      <c r="K4054" s="23"/>
      <c r="M4054" s="23"/>
      <c r="N4054" s="23"/>
      <c r="P4054" s="23"/>
    </row>
    <row r="4055" spans="2:16" x14ac:dyDescent="0.25">
      <c r="B4055" s="23"/>
      <c r="E4055" s="23"/>
      <c r="G4055" s="23"/>
      <c r="H4055" s="23"/>
      <c r="J4055" s="23"/>
      <c r="K4055" s="23"/>
      <c r="M4055" s="23"/>
      <c r="N4055" s="23"/>
      <c r="P4055" s="23"/>
    </row>
    <row r="4056" spans="2:16" x14ac:dyDescent="0.25">
      <c r="B4056" s="23"/>
      <c r="E4056" s="23"/>
      <c r="G4056" s="23"/>
      <c r="H4056" s="23"/>
      <c r="J4056" s="23"/>
      <c r="K4056" s="23"/>
      <c r="M4056" s="23"/>
      <c r="N4056" s="23"/>
      <c r="P4056" s="23"/>
    </row>
    <row r="4057" spans="2:16" x14ac:dyDescent="0.25">
      <c r="B4057" s="23"/>
      <c r="E4057" s="23"/>
      <c r="G4057" s="23"/>
      <c r="H4057" s="23"/>
      <c r="J4057" s="23"/>
      <c r="K4057" s="23"/>
      <c r="M4057" s="23"/>
      <c r="N4057" s="23"/>
      <c r="P4057" s="23"/>
    </row>
    <row r="4058" spans="2:16" x14ac:dyDescent="0.25">
      <c r="B4058" s="23"/>
      <c r="E4058" s="23"/>
      <c r="G4058" s="23"/>
      <c r="H4058" s="23"/>
      <c r="J4058" s="23"/>
      <c r="K4058" s="23"/>
      <c r="M4058" s="23"/>
      <c r="N4058" s="23"/>
      <c r="P4058" s="23"/>
    </row>
    <row r="4059" spans="2:16" x14ac:dyDescent="0.25">
      <c r="B4059" s="23"/>
      <c r="E4059" s="23"/>
      <c r="G4059" s="23"/>
      <c r="H4059" s="23"/>
      <c r="J4059" s="23"/>
      <c r="K4059" s="23"/>
      <c r="M4059" s="23"/>
      <c r="N4059" s="23"/>
      <c r="P4059" s="23"/>
    </row>
    <row r="4060" spans="2:16" x14ac:dyDescent="0.25">
      <c r="B4060" s="23"/>
      <c r="E4060" s="23"/>
      <c r="G4060" s="23"/>
      <c r="H4060" s="23"/>
      <c r="J4060" s="23"/>
      <c r="K4060" s="23"/>
      <c r="M4060" s="23"/>
      <c r="N4060" s="23"/>
      <c r="P4060" s="23"/>
    </row>
    <row r="4061" spans="2:16" x14ac:dyDescent="0.25">
      <c r="B4061" s="23"/>
      <c r="E4061" s="23"/>
      <c r="G4061" s="23"/>
      <c r="H4061" s="23"/>
      <c r="J4061" s="23"/>
      <c r="K4061" s="23"/>
      <c r="M4061" s="23"/>
      <c r="N4061" s="23"/>
      <c r="P4061" s="23"/>
    </row>
    <row r="4062" spans="2:16" x14ac:dyDescent="0.25">
      <c r="B4062" s="23"/>
      <c r="E4062" s="23"/>
      <c r="G4062" s="23"/>
      <c r="H4062" s="23"/>
      <c r="J4062" s="23"/>
      <c r="K4062" s="23"/>
      <c r="M4062" s="23"/>
      <c r="N4062" s="23"/>
      <c r="P4062" s="23"/>
    </row>
    <row r="4063" spans="2:16" x14ac:dyDescent="0.25">
      <c r="B4063" s="23"/>
      <c r="E4063" s="23"/>
      <c r="G4063" s="23"/>
      <c r="H4063" s="23"/>
      <c r="J4063" s="23"/>
      <c r="K4063" s="23"/>
      <c r="M4063" s="23"/>
      <c r="N4063" s="23"/>
      <c r="P4063" s="23"/>
    </row>
    <row r="4064" spans="2:16" x14ac:dyDescent="0.25">
      <c r="B4064" s="23"/>
      <c r="E4064" s="23"/>
      <c r="G4064" s="23"/>
      <c r="H4064" s="23"/>
      <c r="J4064" s="23"/>
      <c r="K4064" s="23"/>
      <c r="M4064" s="23"/>
      <c r="N4064" s="23"/>
      <c r="P4064" s="23"/>
    </row>
    <row r="4065" spans="2:16" x14ac:dyDescent="0.25">
      <c r="B4065" s="23"/>
      <c r="E4065" s="23"/>
      <c r="G4065" s="23"/>
      <c r="H4065" s="23"/>
      <c r="J4065" s="23"/>
      <c r="K4065" s="23"/>
      <c r="M4065" s="23"/>
      <c r="N4065" s="23"/>
      <c r="P4065" s="23"/>
    </row>
    <row r="4066" spans="2:16" x14ac:dyDescent="0.25">
      <c r="B4066" s="23"/>
      <c r="E4066" s="23"/>
      <c r="G4066" s="23"/>
      <c r="H4066" s="23"/>
      <c r="J4066" s="23"/>
      <c r="K4066" s="23"/>
      <c r="M4066" s="23"/>
      <c r="N4066" s="23"/>
      <c r="P4066" s="23"/>
    </row>
    <row r="4067" spans="2:16" x14ac:dyDescent="0.25">
      <c r="B4067" s="23"/>
      <c r="E4067" s="23"/>
      <c r="G4067" s="23"/>
      <c r="H4067" s="23"/>
      <c r="J4067" s="23"/>
      <c r="K4067" s="23"/>
      <c r="M4067" s="23"/>
      <c r="N4067" s="23"/>
      <c r="P4067" s="23"/>
    </row>
    <row r="4068" spans="2:16" x14ac:dyDescent="0.25">
      <c r="B4068" s="23"/>
      <c r="E4068" s="23"/>
      <c r="G4068" s="23"/>
      <c r="H4068" s="23"/>
      <c r="J4068" s="23"/>
      <c r="K4068" s="23"/>
      <c r="M4068" s="23"/>
      <c r="N4068" s="23"/>
      <c r="P4068" s="23"/>
    </row>
    <row r="4069" spans="2:16" x14ac:dyDescent="0.25">
      <c r="B4069" s="23"/>
      <c r="E4069" s="23"/>
      <c r="G4069" s="23"/>
      <c r="H4069" s="23"/>
      <c r="J4069" s="23"/>
      <c r="K4069" s="23"/>
      <c r="M4069" s="23"/>
      <c r="N4069" s="23"/>
      <c r="P4069" s="23"/>
    </row>
    <row r="4070" spans="2:16" x14ac:dyDescent="0.25">
      <c r="B4070" s="23"/>
      <c r="E4070" s="23"/>
      <c r="G4070" s="23"/>
      <c r="H4070" s="23"/>
      <c r="J4070" s="23"/>
      <c r="K4070" s="23"/>
      <c r="M4070" s="23"/>
      <c r="N4070" s="23"/>
      <c r="P4070" s="23"/>
    </row>
    <row r="4071" spans="2:16" x14ac:dyDescent="0.25">
      <c r="B4071" s="23"/>
      <c r="E4071" s="23"/>
      <c r="G4071" s="23"/>
      <c r="H4071" s="23"/>
      <c r="J4071" s="23"/>
      <c r="K4071" s="23"/>
      <c r="M4071" s="23"/>
      <c r="N4071" s="23"/>
      <c r="P4071" s="23"/>
    </row>
    <row r="4072" spans="2:16" x14ac:dyDescent="0.25">
      <c r="B4072" s="23"/>
      <c r="E4072" s="23"/>
      <c r="G4072" s="23"/>
      <c r="H4072" s="23"/>
      <c r="J4072" s="23"/>
      <c r="K4072" s="23"/>
      <c r="M4072" s="23"/>
      <c r="N4072" s="23"/>
      <c r="P4072" s="23"/>
    </row>
    <row r="4073" spans="2:16" x14ac:dyDescent="0.25">
      <c r="B4073" s="23"/>
      <c r="E4073" s="23"/>
      <c r="G4073" s="23"/>
      <c r="H4073" s="23"/>
      <c r="J4073" s="23"/>
      <c r="K4073" s="23"/>
      <c r="M4073" s="23"/>
      <c r="N4073" s="23"/>
      <c r="P4073" s="23"/>
    </row>
    <row r="4074" spans="2:16" x14ac:dyDescent="0.25">
      <c r="B4074" s="23"/>
      <c r="E4074" s="23"/>
      <c r="G4074" s="23"/>
      <c r="H4074" s="23"/>
      <c r="J4074" s="23"/>
      <c r="K4074" s="23"/>
      <c r="M4074" s="23"/>
      <c r="N4074" s="23"/>
      <c r="P4074" s="23"/>
    </row>
    <row r="4075" spans="2:16" x14ac:dyDescent="0.25">
      <c r="B4075" s="23"/>
      <c r="E4075" s="23"/>
      <c r="G4075" s="23"/>
      <c r="H4075" s="23"/>
      <c r="J4075" s="23"/>
      <c r="K4075" s="23"/>
      <c r="M4075" s="23"/>
      <c r="N4075" s="23"/>
      <c r="P4075" s="23"/>
    </row>
    <row r="4076" spans="2:16" x14ac:dyDescent="0.25">
      <c r="B4076" s="23"/>
      <c r="E4076" s="23"/>
      <c r="G4076" s="23"/>
      <c r="H4076" s="23"/>
      <c r="J4076" s="23"/>
      <c r="K4076" s="23"/>
      <c r="M4076" s="23"/>
      <c r="N4076" s="23"/>
      <c r="P4076" s="23"/>
    </row>
    <row r="4077" spans="2:16" x14ac:dyDescent="0.25">
      <c r="B4077" s="23"/>
      <c r="E4077" s="23"/>
      <c r="G4077" s="23"/>
      <c r="H4077" s="23"/>
      <c r="J4077" s="23"/>
      <c r="K4077" s="23"/>
      <c r="M4077" s="23"/>
      <c r="N4077" s="23"/>
      <c r="P4077" s="23"/>
    </row>
    <row r="4078" spans="2:16" x14ac:dyDescent="0.25">
      <c r="B4078" s="23"/>
      <c r="E4078" s="23"/>
      <c r="G4078" s="23"/>
      <c r="H4078" s="23"/>
      <c r="J4078" s="23"/>
      <c r="K4078" s="23"/>
      <c r="M4078" s="23"/>
      <c r="N4078" s="23"/>
      <c r="P4078" s="23"/>
    </row>
    <row r="4079" spans="2:16" x14ac:dyDescent="0.25">
      <c r="B4079" s="23"/>
      <c r="E4079" s="23"/>
      <c r="G4079" s="23"/>
      <c r="H4079" s="23"/>
      <c r="J4079" s="23"/>
      <c r="K4079" s="23"/>
      <c r="M4079" s="23"/>
      <c r="N4079" s="23"/>
      <c r="P4079" s="23"/>
    </row>
    <row r="4080" spans="2:16" x14ac:dyDescent="0.25">
      <c r="B4080" s="23"/>
      <c r="E4080" s="23"/>
      <c r="G4080" s="23"/>
      <c r="H4080" s="23"/>
      <c r="J4080" s="23"/>
      <c r="K4080" s="23"/>
      <c r="M4080" s="23"/>
      <c r="N4080" s="23"/>
      <c r="P4080" s="23"/>
    </row>
    <row r="4081" spans="2:16" x14ac:dyDescent="0.25">
      <c r="B4081" s="23"/>
      <c r="E4081" s="23"/>
      <c r="G4081" s="23"/>
      <c r="H4081" s="23"/>
      <c r="J4081" s="23"/>
      <c r="K4081" s="23"/>
      <c r="M4081" s="23"/>
      <c r="N4081" s="23"/>
      <c r="P4081" s="23"/>
    </row>
    <row r="4082" spans="2:16" x14ac:dyDescent="0.25">
      <c r="B4082" s="23"/>
      <c r="E4082" s="23"/>
      <c r="G4082" s="23"/>
      <c r="H4082" s="23"/>
      <c r="J4082" s="23"/>
      <c r="K4082" s="23"/>
      <c r="M4082" s="23"/>
      <c r="N4082" s="23"/>
      <c r="P4082" s="23"/>
    </row>
    <row r="4083" spans="2:16" x14ac:dyDescent="0.25">
      <c r="B4083" s="23"/>
      <c r="E4083" s="23"/>
      <c r="G4083" s="23"/>
      <c r="H4083" s="23"/>
      <c r="J4083" s="23"/>
      <c r="K4083" s="23"/>
      <c r="M4083" s="23"/>
      <c r="N4083" s="23"/>
      <c r="P4083" s="23"/>
    </row>
    <row r="4084" spans="2:16" x14ac:dyDescent="0.25">
      <c r="B4084" s="23"/>
      <c r="E4084" s="23"/>
      <c r="G4084" s="23"/>
      <c r="H4084" s="23"/>
      <c r="J4084" s="23"/>
      <c r="K4084" s="23"/>
      <c r="M4084" s="23"/>
      <c r="N4084" s="23"/>
      <c r="P4084" s="23"/>
    </row>
    <row r="4085" spans="2:16" x14ac:dyDescent="0.25">
      <c r="B4085" s="23"/>
      <c r="E4085" s="23"/>
      <c r="G4085" s="23"/>
      <c r="H4085" s="23"/>
      <c r="J4085" s="23"/>
      <c r="K4085" s="23"/>
      <c r="M4085" s="23"/>
      <c r="N4085" s="23"/>
      <c r="P4085" s="23"/>
    </row>
    <row r="4086" spans="2:16" x14ac:dyDescent="0.25">
      <c r="B4086" s="23"/>
      <c r="E4086" s="23"/>
      <c r="G4086" s="23"/>
      <c r="H4086" s="23"/>
      <c r="J4086" s="23"/>
      <c r="K4086" s="23"/>
      <c r="M4086" s="23"/>
      <c r="N4086" s="23"/>
      <c r="P4086" s="23"/>
    </row>
    <row r="4087" spans="2:16" x14ac:dyDescent="0.25">
      <c r="B4087" s="23"/>
      <c r="E4087" s="23"/>
      <c r="G4087" s="23"/>
      <c r="H4087" s="23"/>
      <c r="J4087" s="23"/>
      <c r="K4087" s="23"/>
      <c r="M4087" s="23"/>
      <c r="N4087" s="23"/>
      <c r="P4087" s="23"/>
    </row>
    <row r="4088" spans="2:16" x14ac:dyDescent="0.25">
      <c r="B4088" s="23"/>
      <c r="E4088" s="23"/>
      <c r="G4088" s="23"/>
      <c r="H4088" s="23"/>
      <c r="J4088" s="23"/>
      <c r="K4088" s="23"/>
      <c r="M4088" s="23"/>
      <c r="N4088" s="23"/>
      <c r="P4088" s="23"/>
    </row>
    <row r="4089" spans="2:16" x14ac:dyDescent="0.25">
      <c r="B4089" s="23"/>
      <c r="E4089" s="23"/>
      <c r="G4089" s="23"/>
      <c r="H4089" s="23"/>
      <c r="J4089" s="23"/>
      <c r="K4089" s="23"/>
      <c r="M4089" s="23"/>
      <c r="N4089" s="23"/>
      <c r="P4089" s="23"/>
    </row>
    <row r="4090" spans="2:16" x14ac:dyDescent="0.25">
      <c r="B4090" s="23"/>
      <c r="E4090" s="23"/>
      <c r="G4090" s="23"/>
      <c r="H4090" s="23"/>
      <c r="J4090" s="23"/>
      <c r="K4090" s="23"/>
      <c r="M4090" s="23"/>
      <c r="N4090" s="23"/>
      <c r="P4090" s="23"/>
    </row>
    <row r="4091" spans="2:16" x14ac:dyDescent="0.25">
      <c r="B4091" s="23"/>
      <c r="E4091" s="23"/>
      <c r="G4091" s="23"/>
      <c r="H4091" s="23"/>
      <c r="J4091" s="23"/>
      <c r="K4091" s="23"/>
      <c r="M4091" s="23"/>
      <c r="N4091" s="23"/>
      <c r="P4091" s="23"/>
    </row>
    <row r="4092" spans="2:16" x14ac:dyDescent="0.25">
      <c r="B4092" s="23"/>
      <c r="E4092" s="23"/>
      <c r="G4092" s="23"/>
      <c r="H4092" s="23"/>
      <c r="J4092" s="23"/>
      <c r="K4092" s="23"/>
      <c r="M4092" s="23"/>
      <c r="N4092" s="23"/>
      <c r="P4092" s="23"/>
    </row>
    <row r="4093" spans="2:16" x14ac:dyDescent="0.25">
      <c r="B4093" s="23"/>
      <c r="E4093" s="23"/>
      <c r="G4093" s="23"/>
      <c r="H4093" s="23"/>
      <c r="J4093" s="23"/>
      <c r="K4093" s="23"/>
      <c r="M4093" s="23"/>
      <c r="N4093" s="23"/>
      <c r="P4093" s="23"/>
    </row>
    <row r="4094" spans="2:16" x14ac:dyDescent="0.25">
      <c r="B4094" s="23"/>
      <c r="E4094" s="23"/>
      <c r="G4094" s="23"/>
      <c r="H4094" s="23"/>
      <c r="J4094" s="23"/>
      <c r="K4094" s="23"/>
      <c r="M4094" s="23"/>
      <c r="N4094" s="23"/>
      <c r="P4094" s="23"/>
    </row>
    <row r="4095" spans="2:16" x14ac:dyDescent="0.25">
      <c r="B4095" s="23"/>
      <c r="E4095" s="23"/>
      <c r="G4095" s="23"/>
      <c r="H4095" s="23"/>
      <c r="J4095" s="23"/>
      <c r="K4095" s="23"/>
      <c r="M4095" s="23"/>
      <c r="N4095" s="23"/>
      <c r="P4095" s="23"/>
    </row>
    <row r="4096" spans="2:16" x14ac:dyDescent="0.25">
      <c r="B4096" s="23"/>
      <c r="E4096" s="23"/>
      <c r="G4096" s="23"/>
      <c r="H4096" s="23"/>
      <c r="J4096" s="23"/>
      <c r="K4096" s="23"/>
      <c r="M4096" s="23"/>
      <c r="N4096" s="23"/>
      <c r="P4096" s="23"/>
    </row>
    <row r="4097" spans="2:16" x14ac:dyDescent="0.25">
      <c r="B4097" s="23"/>
      <c r="E4097" s="23"/>
      <c r="G4097" s="23"/>
      <c r="H4097" s="23"/>
      <c r="J4097" s="23"/>
      <c r="K4097" s="23"/>
      <c r="M4097" s="23"/>
      <c r="N4097" s="23"/>
      <c r="P4097" s="23"/>
    </row>
    <row r="4098" spans="2:16" x14ac:dyDescent="0.25">
      <c r="B4098" s="23"/>
      <c r="E4098" s="23"/>
      <c r="G4098" s="23"/>
      <c r="H4098" s="23"/>
      <c r="J4098" s="23"/>
      <c r="K4098" s="23"/>
      <c r="M4098" s="23"/>
      <c r="N4098" s="23"/>
      <c r="P4098" s="23"/>
    </row>
    <row r="4099" spans="2:16" x14ac:dyDescent="0.25">
      <c r="B4099" s="23"/>
      <c r="E4099" s="23"/>
      <c r="G4099" s="23"/>
      <c r="H4099" s="23"/>
      <c r="J4099" s="23"/>
      <c r="K4099" s="23"/>
      <c r="M4099" s="23"/>
      <c r="N4099" s="23"/>
      <c r="P4099" s="23"/>
    </row>
    <row r="4100" spans="2:16" x14ac:dyDescent="0.25">
      <c r="B4100" s="23"/>
      <c r="E4100" s="23"/>
      <c r="G4100" s="23"/>
      <c r="H4100" s="23"/>
      <c r="J4100" s="23"/>
      <c r="K4100" s="23"/>
      <c r="M4100" s="23"/>
      <c r="N4100" s="23"/>
      <c r="P4100" s="23"/>
    </row>
    <row r="4101" spans="2:16" x14ac:dyDescent="0.25">
      <c r="B4101" s="23"/>
      <c r="E4101" s="23"/>
      <c r="G4101" s="23"/>
      <c r="H4101" s="23"/>
      <c r="J4101" s="23"/>
      <c r="K4101" s="23"/>
      <c r="M4101" s="23"/>
      <c r="N4101" s="23"/>
      <c r="P4101" s="23"/>
    </row>
    <row r="4102" spans="2:16" x14ac:dyDescent="0.25">
      <c r="B4102" s="23"/>
      <c r="E4102" s="23"/>
      <c r="G4102" s="23"/>
      <c r="H4102" s="23"/>
      <c r="J4102" s="23"/>
      <c r="K4102" s="23"/>
      <c r="M4102" s="23"/>
      <c r="N4102" s="23"/>
      <c r="P4102" s="23"/>
    </row>
    <row r="4103" spans="2:16" x14ac:dyDescent="0.25">
      <c r="B4103" s="23"/>
      <c r="E4103" s="23"/>
      <c r="G4103" s="23"/>
      <c r="H4103" s="23"/>
      <c r="J4103" s="23"/>
      <c r="K4103" s="23"/>
      <c r="M4103" s="23"/>
      <c r="N4103" s="23"/>
      <c r="P4103" s="23"/>
    </row>
    <row r="4104" spans="2:16" x14ac:dyDescent="0.25">
      <c r="B4104" s="23"/>
      <c r="E4104" s="23"/>
      <c r="G4104" s="23"/>
      <c r="H4104" s="23"/>
      <c r="J4104" s="23"/>
      <c r="K4104" s="23"/>
      <c r="M4104" s="23"/>
      <c r="N4104" s="23"/>
      <c r="P4104" s="23"/>
    </row>
    <row r="4105" spans="2:16" x14ac:dyDescent="0.25">
      <c r="B4105" s="23"/>
      <c r="E4105" s="23"/>
      <c r="G4105" s="23"/>
      <c r="H4105" s="23"/>
      <c r="J4105" s="23"/>
      <c r="K4105" s="23"/>
      <c r="M4105" s="23"/>
      <c r="N4105" s="23"/>
      <c r="P4105" s="23"/>
    </row>
    <row r="4106" spans="2:16" x14ac:dyDescent="0.25">
      <c r="B4106" s="23"/>
      <c r="E4106" s="23"/>
      <c r="G4106" s="23"/>
      <c r="H4106" s="23"/>
      <c r="J4106" s="23"/>
      <c r="K4106" s="23"/>
      <c r="M4106" s="23"/>
      <c r="N4106" s="23"/>
      <c r="P4106" s="23"/>
    </row>
    <row r="4107" spans="2:16" x14ac:dyDescent="0.25">
      <c r="B4107" s="23"/>
      <c r="E4107" s="23"/>
      <c r="G4107" s="23"/>
      <c r="H4107" s="23"/>
      <c r="J4107" s="23"/>
      <c r="K4107" s="23"/>
      <c r="M4107" s="23"/>
      <c r="N4107" s="23"/>
      <c r="P4107" s="23"/>
    </row>
    <row r="4108" spans="2:16" x14ac:dyDescent="0.25">
      <c r="B4108" s="23"/>
      <c r="E4108" s="23"/>
      <c r="G4108" s="23"/>
      <c r="H4108" s="23"/>
      <c r="J4108" s="23"/>
      <c r="K4108" s="23"/>
      <c r="M4108" s="23"/>
      <c r="N4108" s="23"/>
      <c r="P4108" s="23"/>
    </row>
    <row r="4109" spans="2:16" x14ac:dyDescent="0.25">
      <c r="B4109" s="23"/>
      <c r="E4109" s="23"/>
      <c r="G4109" s="23"/>
      <c r="H4109" s="23"/>
      <c r="J4109" s="23"/>
      <c r="K4109" s="23"/>
      <c r="M4109" s="23"/>
      <c r="N4109" s="23"/>
      <c r="P4109" s="23"/>
    </row>
    <row r="4110" spans="2:16" x14ac:dyDescent="0.25">
      <c r="B4110" s="23"/>
      <c r="E4110" s="23"/>
      <c r="G4110" s="23"/>
      <c r="H4110" s="23"/>
      <c r="J4110" s="23"/>
      <c r="K4110" s="23"/>
      <c r="M4110" s="23"/>
      <c r="N4110" s="23"/>
      <c r="P4110" s="23"/>
    </row>
    <row r="4111" spans="2:16" x14ac:dyDescent="0.25">
      <c r="B4111" s="23"/>
      <c r="E4111" s="23"/>
      <c r="G4111" s="23"/>
      <c r="H4111" s="23"/>
      <c r="J4111" s="23"/>
      <c r="K4111" s="23"/>
      <c r="M4111" s="23"/>
      <c r="N4111" s="23"/>
      <c r="P4111" s="23"/>
    </row>
    <row r="4112" spans="2:16" x14ac:dyDescent="0.25">
      <c r="B4112" s="23"/>
      <c r="E4112" s="23"/>
      <c r="G4112" s="23"/>
      <c r="H4112" s="23"/>
      <c r="J4112" s="23"/>
      <c r="K4112" s="23"/>
      <c r="M4112" s="23"/>
      <c r="N4112" s="23"/>
      <c r="P4112" s="23"/>
    </row>
    <row r="4113" spans="2:16" x14ac:dyDescent="0.25">
      <c r="B4113" s="23"/>
      <c r="E4113" s="23"/>
      <c r="G4113" s="23"/>
      <c r="H4113" s="23"/>
      <c r="J4113" s="23"/>
      <c r="K4113" s="23"/>
      <c r="M4113" s="23"/>
      <c r="N4113" s="23"/>
      <c r="P4113" s="23"/>
    </row>
    <row r="4114" spans="2:16" x14ac:dyDescent="0.25">
      <c r="B4114" s="23"/>
      <c r="E4114" s="23"/>
      <c r="G4114" s="23"/>
      <c r="H4114" s="23"/>
      <c r="J4114" s="23"/>
      <c r="K4114" s="23"/>
      <c r="M4114" s="23"/>
      <c r="N4114" s="23"/>
      <c r="P4114" s="23"/>
    </row>
    <row r="4115" spans="2:16" x14ac:dyDescent="0.25">
      <c r="B4115" s="23"/>
      <c r="E4115" s="23"/>
      <c r="G4115" s="23"/>
      <c r="H4115" s="23"/>
      <c r="J4115" s="23"/>
      <c r="K4115" s="23"/>
      <c r="M4115" s="23"/>
      <c r="N4115" s="23"/>
      <c r="P4115" s="23"/>
    </row>
    <row r="4116" spans="2:16" x14ac:dyDescent="0.25">
      <c r="B4116" s="23"/>
      <c r="E4116" s="23"/>
      <c r="G4116" s="23"/>
      <c r="H4116" s="23"/>
      <c r="J4116" s="23"/>
      <c r="K4116" s="23"/>
      <c r="M4116" s="23"/>
      <c r="N4116" s="23"/>
      <c r="P4116" s="23"/>
    </row>
    <row r="4117" spans="2:16" x14ac:dyDescent="0.25">
      <c r="B4117" s="23"/>
      <c r="E4117" s="23"/>
      <c r="G4117" s="23"/>
      <c r="H4117" s="23"/>
      <c r="J4117" s="23"/>
      <c r="K4117" s="23"/>
      <c r="M4117" s="23"/>
      <c r="N4117" s="23"/>
      <c r="P4117" s="23"/>
    </row>
    <row r="4118" spans="2:16" x14ac:dyDescent="0.25">
      <c r="B4118" s="23"/>
      <c r="E4118" s="23"/>
      <c r="G4118" s="23"/>
      <c r="H4118" s="23"/>
      <c r="J4118" s="23"/>
      <c r="K4118" s="23"/>
      <c r="M4118" s="23"/>
      <c r="N4118" s="23"/>
      <c r="P4118" s="23"/>
    </row>
    <row r="4119" spans="2:16" x14ac:dyDescent="0.25">
      <c r="B4119" s="23"/>
      <c r="E4119" s="23"/>
      <c r="G4119" s="23"/>
      <c r="H4119" s="23"/>
      <c r="J4119" s="23"/>
      <c r="K4119" s="23"/>
      <c r="M4119" s="23"/>
      <c r="N4119" s="23"/>
      <c r="P4119" s="23"/>
    </row>
    <row r="4120" spans="2:16" x14ac:dyDescent="0.25">
      <c r="B4120" s="23"/>
      <c r="E4120" s="23"/>
      <c r="G4120" s="23"/>
      <c r="H4120" s="23"/>
      <c r="J4120" s="23"/>
      <c r="K4120" s="23"/>
      <c r="M4120" s="23"/>
      <c r="N4120" s="23"/>
      <c r="P4120" s="23"/>
    </row>
    <row r="4121" spans="2:16" x14ac:dyDescent="0.25">
      <c r="B4121" s="23"/>
      <c r="E4121" s="23"/>
      <c r="G4121" s="23"/>
      <c r="H4121" s="23"/>
      <c r="J4121" s="23"/>
      <c r="K4121" s="23"/>
      <c r="M4121" s="23"/>
      <c r="N4121" s="23"/>
      <c r="P4121" s="23"/>
    </row>
    <row r="4122" spans="2:16" x14ac:dyDescent="0.25">
      <c r="B4122" s="23"/>
      <c r="E4122" s="23"/>
      <c r="G4122" s="23"/>
      <c r="H4122" s="23"/>
      <c r="J4122" s="23"/>
      <c r="K4122" s="23"/>
      <c r="M4122" s="23"/>
      <c r="N4122" s="23"/>
      <c r="P4122" s="23"/>
    </row>
    <row r="4123" spans="2:16" x14ac:dyDescent="0.25">
      <c r="B4123" s="23"/>
      <c r="E4123" s="23"/>
      <c r="G4123" s="23"/>
      <c r="H4123" s="23"/>
      <c r="J4123" s="23"/>
      <c r="K4123" s="23"/>
      <c r="M4123" s="23"/>
      <c r="N4123" s="23"/>
      <c r="P4123" s="23"/>
    </row>
    <row r="4124" spans="2:16" x14ac:dyDescent="0.25">
      <c r="B4124" s="23"/>
      <c r="E4124" s="23"/>
      <c r="G4124" s="23"/>
      <c r="H4124" s="23"/>
      <c r="J4124" s="23"/>
      <c r="K4124" s="23"/>
      <c r="M4124" s="23"/>
      <c r="N4124" s="23"/>
      <c r="P4124" s="23"/>
    </row>
    <row r="4125" spans="2:16" x14ac:dyDescent="0.25">
      <c r="B4125" s="23"/>
      <c r="E4125" s="23"/>
      <c r="G4125" s="23"/>
      <c r="H4125" s="23"/>
      <c r="J4125" s="23"/>
      <c r="K4125" s="23"/>
      <c r="M4125" s="23"/>
      <c r="N4125" s="23"/>
      <c r="P4125" s="23"/>
    </row>
    <row r="4126" spans="2:16" x14ac:dyDescent="0.25">
      <c r="B4126" s="23"/>
      <c r="E4126" s="23"/>
      <c r="G4126" s="23"/>
      <c r="H4126" s="23"/>
      <c r="J4126" s="23"/>
      <c r="K4126" s="23"/>
      <c r="M4126" s="23"/>
      <c r="N4126" s="23"/>
      <c r="P4126" s="23"/>
    </row>
    <row r="4127" spans="2:16" x14ac:dyDescent="0.25">
      <c r="B4127" s="23"/>
      <c r="E4127" s="23"/>
      <c r="G4127" s="23"/>
      <c r="H4127" s="23"/>
      <c r="J4127" s="23"/>
      <c r="K4127" s="23"/>
      <c r="M4127" s="23"/>
      <c r="N4127" s="23"/>
      <c r="P4127" s="23"/>
    </row>
    <row r="4128" spans="2:16" x14ac:dyDescent="0.25">
      <c r="B4128" s="23"/>
      <c r="E4128" s="23"/>
      <c r="G4128" s="23"/>
      <c r="H4128" s="23"/>
      <c r="J4128" s="23"/>
      <c r="K4128" s="23"/>
      <c r="M4128" s="23"/>
      <c r="N4128" s="23"/>
      <c r="P4128" s="23"/>
    </row>
    <row r="4129" spans="2:16" x14ac:dyDescent="0.25">
      <c r="B4129" s="23"/>
      <c r="E4129" s="23"/>
      <c r="G4129" s="23"/>
      <c r="H4129" s="23"/>
      <c r="J4129" s="23"/>
      <c r="K4129" s="23"/>
      <c r="M4129" s="23"/>
      <c r="N4129" s="23"/>
      <c r="P4129" s="23"/>
    </row>
    <row r="4130" spans="2:16" x14ac:dyDescent="0.25">
      <c r="B4130" s="23"/>
      <c r="E4130" s="23"/>
      <c r="G4130" s="23"/>
      <c r="H4130" s="23"/>
      <c r="J4130" s="23"/>
      <c r="K4130" s="23"/>
      <c r="M4130" s="23"/>
      <c r="N4130" s="23"/>
      <c r="P4130" s="23"/>
    </row>
    <row r="4131" spans="2:16" x14ac:dyDescent="0.25">
      <c r="B4131" s="23"/>
      <c r="E4131" s="23"/>
      <c r="G4131" s="23"/>
      <c r="H4131" s="23"/>
      <c r="J4131" s="23"/>
      <c r="K4131" s="23"/>
      <c r="M4131" s="23"/>
      <c r="N4131" s="23"/>
      <c r="P4131" s="23"/>
    </row>
    <row r="4132" spans="2:16" x14ac:dyDescent="0.25">
      <c r="B4132" s="23"/>
      <c r="E4132" s="23"/>
      <c r="G4132" s="23"/>
      <c r="H4132" s="23"/>
      <c r="J4132" s="23"/>
      <c r="K4132" s="23"/>
      <c r="M4132" s="23"/>
      <c r="N4132" s="23"/>
      <c r="P4132" s="23"/>
    </row>
    <row r="4133" spans="2:16" x14ac:dyDescent="0.25">
      <c r="B4133" s="23"/>
      <c r="E4133" s="23"/>
      <c r="G4133" s="23"/>
      <c r="H4133" s="23"/>
      <c r="J4133" s="23"/>
      <c r="K4133" s="23"/>
      <c r="M4133" s="23"/>
      <c r="N4133" s="23"/>
      <c r="P4133" s="23"/>
    </row>
    <row r="4134" spans="2:16" x14ac:dyDescent="0.25">
      <c r="B4134" s="23"/>
      <c r="E4134" s="23"/>
      <c r="G4134" s="23"/>
      <c r="H4134" s="23"/>
      <c r="J4134" s="23"/>
      <c r="K4134" s="23"/>
      <c r="M4134" s="23"/>
      <c r="N4134" s="23"/>
      <c r="P4134" s="23"/>
    </row>
    <row r="4135" spans="2:16" x14ac:dyDescent="0.25">
      <c r="B4135" s="23"/>
      <c r="E4135" s="23"/>
      <c r="G4135" s="23"/>
      <c r="H4135" s="23"/>
      <c r="J4135" s="23"/>
      <c r="K4135" s="23"/>
      <c r="M4135" s="23"/>
      <c r="N4135" s="23"/>
      <c r="P4135" s="23"/>
    </row>
    <row r="4136" spans="2:16" x14ac:dyDescent="0.25">
      <c r="B4136" s="23"/>
      <c r="E4136" s="23"/>
      <c r="G4136" s="23"/>
      <c r="H4136" s="23"/>
      <c r="J4136" s="23"/>
      <c r="K4136" s="23"/>
      <c r="M4136" s="23"/>
      <c r="N4136" s="23"/>
      <c r="P4136" s="23"/>
    </row>
    <row r="4137" spans="2:16" x14ac:dyDescent="0.25">
      <c r="B4137" s="23"/>
      <c r="E4137" s="23"/>
      <c r="G4137" s="23"/>
      <c r="H4137" s="23"/>
      <c r="J4137" s="23"/>
      <c r="K4137" s="23"/>
      <c r="M4137" s="23"/>
      <c r="N4137" s="23"/>
      <c r="P4137" s="23"/>
    </row>
    <row r="4138" spans="2:16" x14ac:dyDescent="0.25">
      <c r="B4138" s="23"/>
      <c r="E4138" s="23"/>
      <c r="G4138" s="23"/>
      <c r="H4138" s="23"/>
      <c r="J4138" s="23"/>
      <c r="K4138" s="23"/>
      <c r="M4138" s="23"/>
      <c r="N4138" s="23"/>
      <c r="P4138" s="23"/>
    </row>
    <row r="4139" spans="2:16" x14ac:dyDescent="0.25">
      <c r="B4139" s="23"/>
      <c r="E4139" s="23"/>
      <c r="G4139" s="23"/>
      <c r="H4139" s="23"/>
      <c r="J4139" s="23"/>
      <c r="K4139" s="23"/>
      <c r="M4139" s="23"/>
      <c r="N4139" s="23"/>
      <c r="P4139" s="23"/>
    </row>
    <row r="4140" spans="2:16" x14ac:dyDescent="0.25">
      <c r="B4140" s="23"/>
      <c r="E4140" s="23"/>
      <c r="G4140" s="23"/>
      <c r="H4140" s="23"/>
      <c r="J4140" s="23"/>
      <c r="K4140" s="23"/>
      <c r="M4140" s="23"/>
      <c r="N4140" s="23"/>
      <c r="P4140" s="23"/>
    </row>
    <row r="4141" spans="2:16" x14ac:dyDescent="0.25">
      <c r="B4141" s="23"/>
      <c r="E4141" s="23"/>
      <c r="G4141" s="23"/>
      <c r="H4141" s="23"/>
      <c r="J4141" s="23"/>
      <c r="K4141" s="23"/>
      <c r="M4141" s="23"/>
      <c r="N4141" s="23"/>
      <c r="P4141" s="23"/>
    </row>
    <row r="4142" spans="2:16" x14ac:dyDescent="0.25">
      <c r="B4142" s="23"/>
      <c r="E4142" s="23"/>
      <c r="G4142" s="23"/>
      <c r="H4142" s="23"/>
      <c r="J4142" s="23"/>
      <c r="K4142" s="23"/>
      <c r="M4142" s="23"/>
      <c r="N4142" s="23"/>
      <c r="P4142" s="23"/>
    </row>
    <row r="4143" spans="2:16" x14ac:dyDescent="0.25">
      <c r="B4143" s="23"/>
      <c r="E4143" s="23"/>
      <c r="G4143" s="23"/>
      <c r="H4143" s="23"/>
      <c r="J4143" s="23"/>
      <c r="K4143" s="23"/>
      <c r="M4143" s="23"/>
      <c r="N4143" s="23"/>
      <c r="P4143" s="23"/>
    </row>
    <row r="4144" spans="2:16" x14ac:dyDescent="0.25">
      <c r="B4144" s="23"/>
      <c r="E4144" s="23"/>
      <c r="G4144" s="23"/>
      <c r="H4144" s="23"/>
      <c r="J4144" s="23"/>
      <c r="K4144" s="23"/>
      <c r="M4144" s="23"/>
      <c r="N4144" s="23"/>
      <c r="P4144" s="23"/>
    </row>
    <row r="4145" spans="2:16" x14ac:dyDescent="0.25">
      <c r="B4145" s="23"/>
      <c r="E4145" s="23"/>
      <c r="G4145" s="23"/>
      <c r="H4145" s="23"/>
      <c r="J4145" s="23"/>
      <c r="K4145" s="23"/>
      <c r="M4145" s="23"/>
      <c r="N4145" s="23"/>
      <c r="P4145" s="23"/>
    </row>
    <row r="4146" spans="2:16" x14ac:dyDescent="0.25">
      <c r="B4146" s="23"/>
      <c r="E4146" s="23"/>
      <c r="G4146" s="23"/>
      <c r="H4146" s="23"/>
      <c r="J4146" s="23"/>
      <c r="K4146" s="23"/>
      <c r="M4146" s="23"/>
      <c r="N4146" s="23"/>
      <c r="P4146" s="23"/>
    </row>
    <row r="4147" spans="2:16" x14ac:dyDescent="0.25">
      <c r="B4147" s="23"/>
      <c r="E4147" s="23"/>
      <c r="G4147" s="23"/>
      <c r="H4147" s="23"/>
      <c r="J4147" s="23"/>
      <c r="K4147" s="23"/>
      <c r="M4147" s="23"/>
      <c r="N4147" s="23"/>
      <c r="P4147" s="23"/>
    </row>
    <row r="4148" spans="2:16" x14ac:dyDescent="0.25">
      <c r="B4148" s="23"/>
      <c r="E4148" s="23"/>
      <c r="G4148" s="23"/>
      <c r="H4148" s="23"/>
      <c r="J4148" s="23"/>
      <c r="K4148" s="23"/>
      <c r="M4148" s="23"/>
      <c r="N4148" s="23"/>
      <c r="P4148" s="23"/>
    </row>
    <row r="4149" spans="2:16" x14ac:dyDescent="0.25">
      <c r="B4149" s="23"/>
      <c r="E4149" s="23"/>
      <c r="G4149" s="23"/>
      <c r="H4149" s="23"/>
      <c r="J4149" s="23"/>
      <c r="K4149" s="23"/>
      <c r="M4149" s="23"/>
      <c r="N4149" s="23"/>
      <c r="P4149" s="23"/>
    </row>
    <row r="4150" spans="2:16" x14ac:dyDescent="0.25">
      <c r="B4150" s="23"/>
      <c r="E4150" s="23"/>
      <c r="G4150" s="23"/>
      <c r="H4150" s="23"/>
      <c r="J4150" s="23"/>
      <c r="K4150" s="23"/>
      <c r="M4150" s="23"/>
      <c r="N4150" s="23"/>
      <c r="P4150" s="23"/>
    </row>
    <row r="4151" spans="2:16" x14ac:dyDescent="0.25">
      <c r="B4151" s="23"/>
      <c r="E4151" s="23"/>
      <c r="G4151" s="23"/>
      <c r="H4151" s="23"/>
      <c r="J4151" s="23"/>
      <c r="K4151" s="23"/>
      <c r="M4151" s="23"/>
      <c r="N4151" s="23"/>
      <c r="P4151" s="23"/>
    </row>
    <row r="4152" spans="2:16" x14ac:dyDescent="0.25">
      <c r="B4152" s="23"/>
      <c r="E4152" s="23"/>
      <c r="G4152" s="23"/>
      <c r="H4152" s="23"/>
      <c r="J4152" s="23"/>
      <c r="K4152" s="23"/>
      <c r="M4152" s="23"/>
      <c r="N4152" s="23"/>
      <c r="P4152" s="23"/>
    </row>
    <row r="4153" spans="2:16" x14ac:dyDescent="0.25">
      <c r="B4153" s="23"/>
      <c r="E4153" s="23"/>
      <c r="G4153" s="23"/>
      <c r="H4153" s="23"/>
      <c r="J4153" s="23"/>
      <c r="K4153" s="23"/>
      <c r="M4153" s="23"/>
      <c r="N4153" s="23"/>
      <c r="P4153" s="23"/>
    </row>
    <row r="4154" spans="2:16" x14ac:dyDescent="0.25">
      <c r="B4154" s="23"/>
      <c r="E4154" s="23"/>
      <c r="G4154" s="23"/>
      <c r="H4154" s="23"/>
      <c r="J4154" s="23"/>
      <c r="K4154" s="23"/>
      <c r="M4154" s="23"/>
      <c r="N4154" s="23"/>
      <c r="P4154" s="23"/>
    </row>
    <row r="4155" spans="2:16" x14ac:dyDescent="0.25">
      <c r="B4155" s="23"/>
      <c r="E4155" s="23"/>
      <c r="G4155" s="23"/>
      <c r="H4155" s="23"/>
      <c r="J4155" s="23"/>
      <c r="K4155" s="23"/>
      <c r="M4155" s="23"/>
      <c r="N4155" s="23"/>
      <c r="P4155" s="23"/>
    </row>
    <row r="4156" spans="2:16" x14ac:dyDescent="0.25">
      <c r="B4156" s="23"/>
      <c r="E4156" s="23"/>
      <c r="G4156" s="23"/>
      <c r="H4156" s="23"/>
      <c r="J4156" s="23"/>
      <c r="K4156" s="23"/>
      <c r="M4156" s="23"/>
      <c r="N4156" s="23"/>
      <c r="P4156" s="23"/>
    </row>
    <row r="4157" spans="2:16" x14ac:dyDescent="0.25">
      <c r="B4157" s="23"/>
      <c r="E4157" s="23"/>
      <c r="G4157" s="23"/>
      <c r="H4157" s="23"/>
      <c r="J4157" s="23"/>
      <c r="K4157" s="23"/>
      <c r="M4157" s="23"/>
      <c r="N4157" s="23"/>
      <c r="P4157" s="23"/>
    </row>
    <row r="4158" spans="2:16" x14ac:dyDescent="0.25">
      <c r="B4158" s="23"/>
      <c r="E4158" s="23"/>
      <c r="G4158" s="23"/>
      <c r="H4158" s="23"/>
      <c r="J4158" s="23"/>
      <c r="K4158" s="23"/>
      <c r="M4158" s="23"/>
      <c r="N4158" s="23"/>
      <c r="P4158" s="23"/>
    </row>
    <row r="4159" spans="2:16" x14ac:dyDescent="0.25">
      <c r="B4159" s="23"/>
      <c r="E4159" s="23"/>
      <c r="G4159" s="23"/>
      <c r="H4159" s="23"/>
      <c r="J4159" s="23"/>
      <c r="K4159" s="23"/>
      <c r="M4159" s="23"/>
      <c r="N4159" s="23"/>
      <c r="P4159" s="23"/>
    </row>
    <row r="4160" spans="2:16" x14ac:dyDescent="0.25">
      <c r="B4160" s="23"/>
      <c r="E4160" s="23"/>
      <c r="G4160" s="23"/>
      <c r="H4160" s="23"/>
      <c r="J4160" s="23"/>
      <c r="K4160" s="23"/>
      <c r="M4160" s="23"/>
      <c r="N4160" s="23"/>
      <c r="P4160" s="23"/>
    </row>
    <row r="4161" spans="2:16" x14ac:dyDescent="0.25">
      <c r="B4161" s="23"/>
      <c r="E4161" s="23"/>
      <c r="G4161" s="23"/>
      <c r="H4161" s="23"/>
      <c r="J4161" s="23"/>
      <c r="K4161" s="23"/>
      <c r="M4161" s="23"/>
      <c r="N4161" s="23"/>
      <c r="P4161" s="23"/>
    </row>
    <row r="4162" spans="2:16" x14ac:dyDescent="0.25">
      <c r="B4162" s="23"/>
      <c r="E4162" s="23"/>
      <c r="G4162" s="23"/>
      <c r="H4162" s="23"/>
      <c r="J4162" s="23"/>
      <c r="K4162" s="23"/>
      <c r="M4162" s="23"/>
      <c r="N4162" s="23"/>
      <c r="P4162" s="23"/>
    </row>
    <row r="4163" spans="2:16" x14ac:dyDescent="0.25">
      <c r="B4163" s="23"/>
      <c r="E4163" s="23"/>
      <c r="G4163" s="23"/>
      <c r="H4163" s="23"/>
      <c r="J4163" s="23"/>
      <c r="K4163" s="23"/>
      <c r="M4163" s="23"/>
      <c r="N4163" s="23"/>
      <c r="P4163" s="23"/>
    </row>
    <row r="4164" spans="2:16" x14ac:dyDescent="0.25">
      <c r="B4164" s="23"/>
      <c r="E4164" s="23"/>
      <c r="G4164" s="23"/>
      <c r="H4164" s="23"/>
      <c r="J4164" s="23"/>
      <c r="K4164" s="23"/>
      <c r="M4164" s="23"/>
      <c r="N4164" s="23"/>
      <c r="P4164" s="23"/>
    </row>
    <row r="4165" spans="2:16" x14ac:dyDescent="0.25">
      <c r="B4165" s="23"/>
      <c r="E4165" s="23"/>
      <c r="G4165" s="23"/>
      <c r="H4165" s="23"/>
      <c r="J4165" s="23"/>
      <c r="K4165" s="23"/>
      <c r="M4165" s="23"/>
      <c r="N4165" s="23"/>
      <c r="P4165" s="23"/>
    </row>
    <row r="4166" spans="2:16" x14ac:dyDescent="0.25">
      <c r="B4166" s="23"/>
      <c r="E4166" s="23"/>
      <c r="G4166" s="23"/>
      <c r="H4166" s="23"/>
      <c r="J4166" s="23"/>
      <c r="K4166" s="23"/>
      <c r="M4166" s="23"/>
      <c r="N4166" s="23"/>
      <c r="P4166" s="23"/>
    </row>
    <row r="4167" spans="2:16" x14ac:dyDescent="0.25">
      <c r="B4167" s="23"/>
      <c r="E4167" s="23"/>
      <c r="G4167" s="23"/>
      <c r="H4167" s="23"/>
      <c r="J4167" s="23"/>
      <c r="K4167" s="23"/>
      <c r="M4167" s="23"/>
      <c r="N4167" s="23"/>
      <c r="P4167" s="23"/>
    </row>
    <row r="4168" spans="2:16" x14ac:dyDescent="0.25">
      <c r="B4168" s="23"/>
      <c r="E4168" s="23"/>
      <c r="G4168" s="23"/>
      <c r="H4168" s="23"/>
      <c r="J4168" s="23"/>
      <c r="K4168" s="23"/>
      <c r="M4168" s="23"/>
      <c r="N4168" s="23"/>
      <c r="P4168" s="23"/>
    </row>
    <row r="4169" spans="2:16" x14ac:dyDescent="0.25">
      <c r="B4169" s="23"/>
      <c r="E4169" s="23"/>
      <c r="G4169" s="23"/>
      <c r="H4169" s="23"/>
      <c r="J4169" s="23"/>
      <c r="K4169" s="23"/>
      <c r="M4169" s="23"/>
      <c r="N4169" s="23"/>
      <c r="P4169" s="23"/>
    </row>
    <row r="4170" spans="2:16" x14ac:dyDescent="0.25">
      <c r="B4170" s="23"/>
      <c r="E4170" s="23"/>
      <c r="G4170" s="23"/>
      <c r="H4170" s="23"/>
      <c r="J4170" s="23"/>
      <c r="K4170" s="23"/>
      <c r="M4170" s="23"/>
      <c r="N4170" s="23"/>
      <c r="P4170" s="23"/>
    </row>
    <row r="4171" spans="2:16" x14ac:dyDescent="0.25">
      <c r="B4171" s="23"/>
      <c r="E4171" s="23"/>
      <c r="G4171" s="23"/>
      <c r="H4171" s="23"/>
      <c r="J4171" s="23"/>
      <c r="K4171" s="23"/>
      <c r="M4171" s="23"/>
      <c r="N4171" s="23"/>
      <c r="P4171" s="23"/>
    </row>
    <row r="4172" spans="2:16" x14ac:dyDescent="0.25">
      <c r="B4172" s="23"/>
      <c r="E4172" s="23"/>
      <c r="G4172" s="23"/>
      <c r="H4172" s="23"/>
      <c r="J4172" s="23"/>
      <c r="K4172" s="23"/>
      <c r="M4172" s="23"/>
      <c r="N4172" s="23"/>
      <c r="P4172" s="23"/>
    </row>
    <row r="4173" spans="2:16" x14ac:dyDescent="0.25">
      <c r="B4173" s="23"/>
      <c r="E4173" s="23"/>
      <c r="G4173" s="23"/>
      <c r="H4173" s="23"/>
      <c r="J4173" s="23"/>
      <c r="K4173" s="23"/>
      <c r="M4173" s="23"/>
      <c r="N4173" s="23"/>
      <c r="P4173" s="23"/>
    </row>
    <row r="4174" spans="2:16" x14ac:dyDescent="0.25">
      <c r="B4174" s="23"/>
      <c r="E4174" s="23"/>
      <c r="G4174" s="23"/>
      <c r="H4174" s="23"/>
      <c r="J4174" s="23"/>
      <c r="K4174" s="23"/>
      <c r="M4174" s="23"/>
      <c r="N4174" s="23"/>
      <c r="P4174" s="23"/>
    </row>
    <row r="4175" spans="2:16" x14ac:dyDescent="0.25">
      <c r="B4175" s="23"/>
      <c r="E4175" s="23"/>
      <c r="G4175" s="23"/>
      <c r="H4175" s="23"/>
      <c r="J4175" s="23"/>
      <c r="K4175" s="23"/>
      <c r="M4175" s="23"/>
      <c r="N4175" s="23"/>
      <c r="P4175" s="23"/>
    </row>
    <row r="4176" spans="2:16" x14ac:dyDescent="0.25">
      <c r="B4176" s="23"/>
      <c r="E4176" s="23"/>
      <c r="G4176" s="23"/>
      <c r="H4176" s="23"/>
      <c r="J4176" s="23"/>
      <c r="K4176" s="23"/>
      <c r="M4176" s="23"/>
      <c r="N4176" s="23"/>
      <c r="P4176" s="23"/>
    </row>
    <row r="4177" spans="2:16" x14ac:dyDescent="0.25">
      <c r="B4177" s="23"/>
      <c r="E4177" s="23"/>
      <c r="G4177" s="23"/>
      <c r="H4177" s="23"/>
      <c r="J4177" s="23"/>
      <c r="K4177" s="23"/>
      <c r="M4177" s="23"/>
      <c r="N4177" s="23"/>
      <c r="P4177" s="23"/>
    </row>
    <row r="4178" spans="2:16" x14ac:dyDescent="0.25">
      <c r="B4178" s="23"/>
      <c r="E4178" s="23"/>
      <c r="G4178" s="23"/>
      <c r="H4178" s="23"/>
      <c r="J4178" s="23"/>
      <c r="K4178" s="23"/>
      <c r="M4178" s="23"/>
      <c r="N4178" s="23"/>
      <c r="P4178" s="23"/>
    </row>
    <row r="4179" spans="2:16" x14ac:dyDescent="0.25">
      <c r="B4179" s="23"/>
      <c r="E4179" s="23"/>
      <c r="G4179" s="23"/>
      <c r="H4179" s="23"/>
      <c r="J4179" s="23"/>
      <c r="K4179" s="23"/>
      <c r="M4179" s="23"/>
      <c r="N4179" s="23"/>
      <c r="P4179" s="23"/>
    </row>
    <row r="4180" spans="2:16" x14ac:dyDescent="0.25">
      <c r="B4180" s="23"/>
      <c r="E4180" s="23"/>
      <c r="G4180" s="23"/>
      <c r="H4180" s="23"/>
      <c r="J4180" s="23"/>
      <c r="K4180" s="23"/>
      <c r="M4180" s="23"/>
      <c r="N4180" s="23"/>
      <c r="P4180" s="23"/>
    </row>
    <row r="4181" spans="2:16" x14ac:dyDescent="0.25">
      <c r="B4181" s="23"/>
      <c r="E4181" s="23"/>
      <c r="G4181" s="23"/>
      <c r="H4181" s="23"/>
      <c r="J4181" s="23"/>
      <c r="K4181" s="23"/>
      <c r="M4181" s="23"/>
      <c r="N4181" s="23"/>
      <c r="P4181" s="23"/>
    </row>
    <row r="4182" spans="2:16" x14ac:dyDescent="0.25">
      <c r="B4182" s="23"/>
      <c r="E4182" s="23"/>
      <c r="G4182" s="23"/>
      <c r="H4182" s="23"/>
      <c r="J4182" s="23"/>
      <c r="K4182" s="23"/>
      <c r="M4182" s="23"/>
      <c r="N4182" s="23"/>
      <c r="P4182" s="23"/>
    </row>
    <row r="4183" spans="2:16" x14ac:dyDescent="0.25">
      <c r="B4183" s="23"/>
      <c r="E4183" s="23"/>
      <c r="G4183" s="23"/>
      <c r="H4183" s="23"/>
      <c r="J4183" s="23"/>
      <c r="K4183" s="23"/>
      <c r="M4183" s="23"/>
      <c r="N4183" s="23"/>
      <c r="P4183" s="23"/>
    </row>
    <row r="4184" spans="2:16" x14ac:dyDescent="0.25">
      <c r="B4184" s="23"/>
      <c r="E4184" s="23"/>
      <c r="G4184" s="23"/>
      <c r="H4184" s="23"/>
      <c r="J4184" s="23"/>
      <c r="K4184" s="23"/>
      <c r="M4184" s="23"/>
      <c r="N4184" s="23"/>
      <c r="P4184" s="23"/>
    </row>
    <row r="4185" spans="2:16" x14ac:dyDescent="0.25">
      <c r="B4185" s="23"/>
      <c r="E4185" s="23"/>
      <c r="G4185" s="23"/>
      <c r="H4185" s="23"/>
      <c r="J4185" s="23"/>
      <c r="K4185" s="23"/>
      <c r="M4185" s="23"/>
      <c r="N4185" s="23"/>
      <c r="P4185" s="23"/>
    </row>
    <row r="4186" spans="2:16" x14ac:dyDescent="0.25">
      <c r="B4186" s="23"/>
      <c r="E4186" s="23"/>
      <c r="G4186" s="23"/>
      <c r="H4186" s="23"/>
      <c r="J4186" s="23"/>
      <c r="K4186" s="23"/>
      <c r="M4186" s="23"/>
      <c r="N4186" s="23"/>
      <c r="P4186" s="23"/>
    </row>
    <row r="4187" spans="2:16" x14ac:dyDescent="0.25">
      <c r="B4187" s="23"/>
      <c r="E4187" s="23"/>
      <c r="G4187" s="23"/>
      <c r="H4187" s="23"/>
      <c r="J4187" s="23"/>
      <c r="K4187" s="23"/>
      <c r="M4187" s="23"/>
      <c r="N4187" s="23"/>
      <c r="P4187" s="23"/>
    </row>
    <row r="4188" spans="2:16" x14ac:dyDescent="0.25">
      <c r="B4188" s="23"/>
      <c r="E4188" s="23"/>
      <c r="G4188" s="23"/>
      <c r="H4188" s="23"/>
      <c r="J4188" s="23"/>
      <c r="K4188" s="23"/>
      <c r="M4188" s="23"/>
      <c r="N4188" s="23"/>
      <c r="P4188" s="23"/>
    </row>
    <row r="4189" spans="2:16" x14ac:dyDescent="0.25">
      <c r="B4189" s="23"/>
      <c r="E4189" s="23"/>
      <c r="G4189" s="23"/>
      <c r="H4189" s="23"/>
      <c r="J4189" s="23"/>
      <c r="K4189" s="23"/>
      <c r="M4189" s="23"/>
      <c r="N4189" s="23"/>
      <c r="P4189" s="23"/>
    </row>
    <row r="4190" spans="2:16" x14ac:dyDescent="0.25">
      <c r="B4190" s="23"/>
      <c r="E4190" s="23"/>
      <c r="G4190" s="23"/>
      <c r="H4190" s="23"/>
      <c r="J4190" s="23"/>
      <c r="K4190" s="23"/>
      <c r="M4190" s="23"/>
      <c r="N4190" s="23"/>
      <c r="P4190" s="23"/>
    </row>
    <row r="4191" spans="2:16" x14ac:dyDescent="0.25">
      <c r="B4191" s="23"/>
      <c r="E4191" s="23"/>
      <c r="G4191" s="23"/>
      <c r="H4191" s="23"/>
      <c r="J4191" s="23"/>
      <c r="K4191" s="23"/>
      <c r="M4191" s="23"/>
      <c r="N4191" s="23"/>
      <c r="P4191" s="23"/>
    </row>
    <row r="4192" spans="2:16" x14ac:dyDescent="0.25">
      <c r="B4192" s="23"/>
      <c r="E4192" s="23"/>
      <c r="G4192" s="23"/>
      <c r="H4192" s="23"/>
      <c r="J4192" s="23"/>
      <c r="K4192" s="23"/>
      <c r="M4192" s="23"/>
      <c r="N4192" s="23"/>
      <c r="P4192" s="23"/>
    </row>
    <row r="4193" spans="2:16" x14ac:dyDescent="0.25">
      <c r="B4193" s="23"/>
      <c r="E4193" s="23"/>
      <c r="G4193" s="23"/>
      <c r="H4193" s="23"/>
      <c r="J4193" s="23"/>
      <c r="K4193" s="23"/>
      <c r="M4193" s="23"/>
      <c r="N4193" s="23"/>
      <c r="P4193" s="23"/>
    </row>
    <row r="4194" spans="2:16" x14ac:dyDescent="0.25">
      <c r="B4194" s="23"/>
      <c r="E4194" s="23"/>
      <c r="G4194" s="23"/>
      <c r="H4194" s="23"/>
      <c r="J4194" s="23"/>
      <c r="K4194" s="23"/>
      <c r="M4194" s="23"/>
      <c r="N4194" s="23"/>
      <c r="P4194" s="23"/>
    </row>
    <row r="4195" spans="2:16" x14ac:dyDescent="0.25">
      <c r="B4195" s="23"/>
      <c r="E4195" s="23"/>
      <c r="G4195" s="23"/>
      <c r="H4195" s="23"/>
      <c r="J4195" s="23"/>
      <c r="K4195" s="23"/>
      <c r="M4195" s="23"/>
      <c r="N4195" s="23"/>
      <c r="P4195" s="23"/>
    </row>
    <row r="4196" spans="2:16" x14ac:dyDescent="0.25">
      <c r="B4196" s="23"/>
      <c r="E4196" s="23"/>
      <c r="G4196" s="23"/>
      <c r="H4196" s="23"/>
      <c r="J4196" s="23"/>
      <c r="K4196" s="23"/>
      <c r="M4196" s="23"/>
      <c r="N4196" s="23"/>
      <c r="P4196" s="23"/>
    </row>
    <row r="4197" spans="2:16" x14ac:dyDescent="0.25">
      <c r="B4197" s="23"/>
      <c r="E4197" s="23"/>
      <c r="G4197" s="23"/>
      <c r="H4197" s="23"/>
      <c r="J4197" s="23"/>
      <c r="K4197" s="23"/>
      <c r="M4197" s="23"/>
      <c r="N4197" s="23"/>
      <c r="P4197" s="23"/>
    </row>
    <row r="4198" spans="2:16" x14ac:dyDescent="0.25">
      <c r="B4198" s="23"/>
      <c r="E4198" s="23"/>
      <c r="G4198" s="23"/>
      <c r="H4198" s="23"/>
      <c r="J4198" s="23"/>
      <c r="K4198" s="23"/>
      <c r="M4198" s="23"/>
      <c r="N4198" s="23"/>
      <c r="P4198" s="23"/>
    </row>
    <row r="4199" spans="2:16" x14ac:dyDescent="0.25">
      <c r="B4199" s="23"/>
      <c r="E4199" s="23"/>
      <c r="G4199" s="23"/>
      <c r="H4199" s="23"/>
      <c r="J4199" s="23"/>
      <c r="K4199" s="23"/>
      <c r="M4199" s="23"/>
      <c r="N4199" s="23"/>
      <c r="P4199" s="23"/>
    </row>
    <row r="4200" spans="2:16" x14ac:dyDescent="0.25">
      <c r="B4200" s="23"/>
      <c r="E4200" s="23"/>
      <c r="G4200" s="23"/>
      <c r="H4200" s="23"/>
      <c r="J4200" s="23"/>
      <c r="K4200" s="23"/>
      <c r="M4200" s="23"/>
      <c r="N4200" s="23"/>
      <c r="P4200" s="23"/>
    </row>
    <row r="4201" spans="2:16" x14ac:dyDescent="0.25">
      <c r="B4201" s="23"/>
      <c r="E4201" s="23"/>
      <c r="G4201" s="23"/>
      <c r="H4201" s="23"/>
      <c r="J4201" s="23"/>
      <c r="K4201" s="23"/>
      <c r="M4201" s="23"/>
      <c r="N4201" s="23"/>
      <c r="P4201" s="23"/>
    </row>
    <row r="4202" spans="2:16" x14ac:dyDescent="0.25">
      <c r="B4202" s="23"/>
      <c r="E4202" s="23"/>
      <c r="G4202" s="23"/>
      <c r="H4202" s="23"/>
      <c r="J4202" s="23"/>
      <c r="K4202" s="23"/>
      <c r="M4202" s="23"/>
      <c r="N4202" s="23"/>
      <c r="P4202" s="23"/>
    </row>
    <row r="4203" spans="2:16" x14ac:dyDescent="0.25">
      <c r="B4203" s="23"/>
      <c r="E4203" s="23"/>
      <c r="G4203" s="23"/>
      <c r="H4203" s="23"/>
      <c r="J4203" s="23"/>
      <c r="K4203" s="23"/>
      <c r="M4203" s="23"/>
      <c r="N4203" s="23"/>
      <c r="P4203" s="23"/>
    </row>
    <row r="4204" spans="2:16" x14ac:dyDescent="0.25">
      <c r="B4204" s="23"/>
      <c r="E4204" s="23"/>
      <c r="G4204" s="23"/>
      <c r="H4204" s="23"/>
      <c r="J4204" s="23"/>
      <c r="K4204" s="23"/>
      <c r="M4204" s="23"/>
      <c r="N4204" s="23"/>
      <c r="P4204" s="23"/>
    </row>
    <row r="4205" spans="2:16" x14ac:dyDescent="0.25">
      <c r="B4205" s="23"/>
      <c r="E4205" s="23"/>
      <c r="G4205" s="23"/>
      <c r="H4205" s="23"/>
      <c r="J4205" s="23"/>
      <c r="K4205" s="23"/>
      <c r="M4205" s="23"/>
      <c r="N4205" s="23"/>
      <c r="P4205" s="23"/>
    </row>
    <row r="4206" spans="2:16" x14ac:dyDescent="0.25">
      <c r="B4206" s="23"/>
      <c r="E4206" s="23"/>
      <c r="G4206" s="23"/>
      <c r="H4206" s="23"/>
      <c r="J4206" s="23"/>
      <c r="K4206" s="23"/>
      <c r="M4206" s="23"/>
      <c r="N4206" s="23"/>
      <c r="P4206" s="23"/>
    </row>
    <row r="4207" spans="2:16" x14ac:dyDescent="0.25">
      <c r="B4207" s="23"/>
      <c r="E4207" s="23"/>
      <c r="G4207" s="23"/>
      <c r="H4207" s="23"/>
      <c r="J4207" s="23"/>
      <c r="K4207" s="23"/>
      <c r="M4207" s="23"/>
      <c r="N4207" s="23"/>
      <c r="P4207" s="23"/>
    </row>
    <row r="4208" spans="2:16" x14ac:dyDescent="0.25">
      <c r="B4208" s="23"/>
      <c r="E4208" s="23"/>
      <c r="G4208" s="23"/>
      <c r="H4208" s="23"/>
      <c r="J4208" s="23"/>
      <c r="K4208" s="23"/>
      <c r="M4208" s="23"/>
      <c r="N4208" s="23"/>
      <c r="P4208" s="23"/>
    </row>
    <row r="4209" spans="2:16" x14ac:dyDescent="0.25">
      <c r="B4209" s="23"/>
      <c r="E4209" s="23"/>
      <c r="G4209" s="23"/>
      <c r="H4209" s="23"/>
      <c r="J4209" s="23"/>
      <c r="K4209" s="23"/>
      <c r="M4209" s="23"/>
      <c r="N4209" s="23"/>
      <c r="P4209" s="23"/>
    </row>
    <row r="4210" spans="2:16" x14ac:dyDescent="0.25">
      <c r="B4210" s="23"/>
      <c r="E4210" s="23"/>
      <c r="G4210" s="23"/>
      <c r="H4210" s="23"/>
      <c r="J4210" s="23"/>
      <c r="K4210" s="23"/>
      <c r="M4210" s="23"/>
      <c r="N4210" s="23"/>
      <c r="P4210" s="23"/>
    </row>
    <row r="4211" spans="2:16" x14ac:dyDescent="0.25">
      <c r="B4211" s="23"/>
      <c r="E4211" s="23"/>
      <c r="G4211" s="23"/>
      <c r="H4211" s="23"/>
      <c r="J4211" s="23"/>
      <c r="K4211" s="23"/>
      <c r="M4211" s="23"/>
      <c r="N4211" s="23"/>
      <c r="P4211" s="23"/>
    </row>
    <row r="4212" spans="2:16" x14ac:dyDescent="0.25">
      <c r="B4212" s="23"/>
      <c r="E4212" s="23"/>
      <c r="G4212" s="23"/>
      <c r="H4212" s="23"/>
      <c r="J4212" s="23"/>
      <c r="K4212" s="23"/>
      <c r="M4212" s="23"/>
      <c r="N4212" s="23"/>
      <c r="P4212" s="23"/>
    </row>
    <row r="4213" spans="2:16" x14ac:dyDescent="0.25">
      <c r="B4213" s="23"/>
      <c r="E4213" s="23"/>
      <c r="G4213" s="23"/>
      <c r="H4213" s="23"/>
      <c r="J4213" s="23"/>
      <c r="K4213" s="23"/>
      <c r="M4213" s="23"/>
      <c r="N4213" s="23"/>
      <c r="P4213" s="23"/>
    </row>
    <row r="4214" spans="2:16" x14ac:dyDescent="0.25">
      <c r="B4214" s="23"/>
      <c r="E4214" s="23"/>
      <c r="G4214" s="23"/>
      <c r="H4214" s="23"/>
      <c r="J4214" s="23"/>
      <c r="K4214" s="23"/>
      <c r="M4214" s="23"/>
      <c r="N4214" s="23"/>
      <c r="P4214" s="23"/>
    </row>
    <row r="4215" spans="2:16" x14ac:dyDescent="0.25">
      <c r="B4215" s="23"/>
      <c r="E4215" s="23"/>
      <c r="G4215" s="23"/>
      <c r="H4215" s="23"/>
      <c r="J4215" s="23"/>
      <c r="K4215" s="23"/>
      <c r="M4215" s="23"/>
      <c r="N4215" s="23"/>
      <c r="P4215" s="23"/>
    </row>
    <row r="4216" spans="2:16" x14ac:dyDescent="0.25">
      <c r="B4216" s="23"/>
      <c r="E4216" s="23"/>
      <c r="G4216" s="23"/>
      <c r="H4216" s="23"/>
      <c r="J4216" s="23"/>
      <c r="K4216" s="23"/>
      <c r="M4216" s="23"/>
      <c r="N4216" s="23"/>
      <c r="P4216" s="23"/>
    </row>
    <row r="4217" spans="2:16" x14ac:dyDescent="0.25">
      <c r="B4217" s="23"/>
      <c r="E4217" s="23"/>
      <c r="G4217" s="23"/>
      <c r="H4217" s="23"/>
      <c r="J4217" s="23"/>
      <c r="K4217" s="23"/>
      <c r="M4217" s="23"/>
      <c r="N4217" s="23"/>
      <c r="P4217" s="23"/>
    </row>
    <row r="4218" spans="2:16" x14ac:dyDescent="0.25">
      <c r="B4218" s="23"/>
      <c r="E4218" s="23"/>
      <c r="G4218" s="23"/>
      <c r="H4218" s="23"/>
      <c r="J4218" s="23"/>
      <c r="K4218" s="23"/>
      <c r="M4218" s="23"/>
      <c r="N4218" s="23"/>
      <c r="P4218" s="23"/>
    </row>
    <row r="4219" spans="2:16" x14ac:dyDescent="0.25">
      <c r="B4219" s="23"/>
      <c r="E4219" s="23"/>
      <c r="G4219" s="23"/>
      <c r="H4219" s="23"/>
      <c r="J4219" s="23"/>
      <c r="K4219" s="23"/>
      <c r="M4219" s="23"/>
      <c r="N4219" s="23"/>
      <c r="P4219" s="23"/>
    </row>
    <row r="4220" spans="2:16" x14ac:dyDescent="0.25">
      <c r="B4220" s="23"/>
      <c r="E4220" s="23"/>
      <c r="G4220" s="23"/>
      <c r="H4220" s="23"/>
      <c r="J4220" s="23"/>
      <c r="K4220" s="23"/>
      <c r="M4220" s="23"/>
      <c r="N4220" s="23"/>
      <c r="P4220" s="23"/>
    </row>
    <row r="4221" spans="2:16" x14ac:dyDescent="0.25">
      <c r="B4221" s="23"/>
      <c r="E4221" s="23"/>
      <c r="G4221" s="23"/>
      <c r="H4221" s="23"/>
      <c r="J4221" s="23"/>
      <c r="K4221" s="23"/>
      <c r="M4221" s="23"/>
      <c r="N4221" s="23"/>
      <c r="P4221" s="23"/>
    </row>
    <row r="4222" spans="2:16" x14ac:dyDescent="0.25">
      <c r="B4222" s="23"/>
      <c r="E4222" s="23"/>
      <c r="G4222" s="23"/>
      <c r="H4222" s="23"/>
      <c r="J4222" s="23"/>
      <c r="K4222" s="23"/>
      <c r="M4222" s="23"/>
      <c r="N4222" s="23"/>
      <c r="P4222" s="23"/>
    </row>
    <row r="4223" spans="2:16" x14ac:dyDescent="0.25">
      <c r="B4223" s="23"/>
      <c r="E4223" s="23"/>
      <c r="G4223" s="23"/>
      <c r="H4223" s="23"/>
      <c r="J4223" s="23"/>
      <c r="K4223" s="23"/>
      <c r="M4223" s="23"/>
      <c r="N4223" s="23"/>
      <c r="P4223" s="23"/>
    </row>
    <row r="4224" spans="2:16" x14ac:dyDescent="0.25">
      <c r="B4224" s="23"/>
      <c r="E4224" s="23"/>
      <c r="G4224" s="23"/>
      <c r="H4224" s="23"/>
      <c r="J4224" s="23"/>
      <c r="K4224" s="23"/>
      <c r="M4224" s="23"/>
      <c r="N4224" s="23"/>
      <c r="P4224" s="23"/>
    </row>
    <row r="4225" spans="2:16" x14ac:dyDescent="0.25">
      <c r="B4225" s="23"/>
      <c r="E4225" s="23"/>
      <c r="G4225" s="23"/>
      <c r="H4225" s="23"/>
      <c r="J4225" s="23"/>
      <c r="K4225" s="23"/>
      <c r="M4225" s="23"/>
      <c r="N4225" s="23"/>
      <c r="P4225" s="23"/>
    </row>
    <row r="4226" spans="2:16" x14ac:dyDescent="0.25">
      <c r="B4226" s="23"/>
      <c r="E4226" s="23"/>
      <c r="G4226" s="23"/>
      <c r="H4226" s="23"/>
      <c r="J4226" s="23"/>
      <c r="K4226" s="23"/>
      <c r="M4226" s="23"/>
      <c r="N4226" s="23"/>
      <c r="P4226" s="23"/>
    </row>
    <row r="4227" spans="2:16" x14ac:dyDescent="0.25">
      <c r="B4227" s="23"/>
      <c r="E4227" s="23"/>
      <c r="G4227" s="23"/>
      <c r="H4227" s="23"/>
      <c r="J4227" s="23"/>
      <c r="K4227" s="23"/>
      <c r="M4227" s="23"/>
      <c r="N4227" s="23"/>
      <c r="P4227" s="23"/>
    </row>
    <row r="4228" spans="2:16" x14ac:dyDescent="0.25">
      <c r="B4228" s="23"/>
      <c r="E4228" s="23"/>
      <c r="G4228" s="23"/>
      <c r="H4228" s="23"/>
      <c r="J4228" s="23"/>
      <c r="K4228" s="23"/>
      <c r="M4228" s="23"/>
      <c r="N4228" s="23"/>
      <c r="P4228" s="23"/>
    </row>
    <row r="4229" spans="2:16" x14ac:dyDescent="0.25">
      <c r="B4229" s="23"/>
      <c r="E4229" s="23"/>
      <c r="G4229" s="23"/>
      <c r="H4229" s="23"/>
      <c r="J4229" s="23"/>
      <c r="K4229" s="23"/>
      <c r="M4229" s="23"/>
      <c r="N4229" s="23"/>
      <c r="P4229" s="23"/>
    </row>
    <row r="4230" spans="2:16" x14ac:dyDescent="0.25">
      <c r="B4230" s="23"/>
      <c r="E4230" s="23"/>
      <c r="G4230" s="23"/>
      <c r="H4230" s="23"/>
      <c r="J4230" s="23"/>
      <c r="K4230" s="23"/>
      <c r="M4230" s="23"/>
      <c r="N4230" s="23"/>
      <c r="P4230" s="23"/>
    </row>
    <row r="4231" spans="2:16" x14ac:dyDescent="0.25">
      <c r="B4231" s="23"/>
      <c r="E4231" s="23"/>
      <c r="G4231" s="23"/>
      <c r="H4231" s="23"/>
      <c r="J4231" s="23"/>
      <c r="K4231" s="23"/>
      <c r="M4231" s="23"/>
      <c r="N4231" s="23"/>
      <c r="P4231" s="23"/>
    </row>
    <row r="4232" spans="2:16" x14ac:dyDescent="0.25">
      <c r="B4232" s="23"/>
      <c r="E4232" s="23"/>
      <c r="G4232" s="23"/>
      <c r="H4232" s="23"/>
      <c r="J4232" s="23"/>
      <c r="K4232" s="23"/>
      <c r="M4232" s="23"/>
      <c r="N4232" s="23"/>
      <c r="P4232" s="23"/>
    </row>
    <row r="4233" spans="2:16" x14ac:dyDescent="0.25">
      <c r="B4233" s="23"/>
      <c r="E4233" s="23"/>
      <c r="G4233" s="23"/>
      <c r="H4233" s="23"/>
      <c r="J4233" s="23"/>
      <c r="K4233" s="23"/>
      <c r="M4233" s="23"/>
      <c r="N4233" s="23"/>
      <c r="P4233" s="23"/>
    </row>
    <row r="4234" spans="2:16" x14ac:dyDescent="0.25">
      <c r="B4234" s="23"/>
      <c r="E4234" s="23"/>
      <c r="G4234" s="23"/>
      <c r="H4234" s="23"/>
      <c r="J4234" s="23"/>
      <c r="K4234" s="23"/>
      <c r="M4234" s="23"/>
      <c r="N4234" s="23"/>
      <c r="P4234" s="23"/>
    </row>
    <row r="4235" spans="2:16" x14ac:dyDescent="0.25">
      <c r="B4235" s="23"/>
      <c r="E4235" s="23"/>
      <c r="G4235" s="23"/>
      <c r="H4235" s="23"/>
      <c r="J4235" s="23"/>
      <c r="K4235" s="23"/>
      <c r="M4235" s="23"/>
      <c r="N4235" s="23"/>
      <c r="P4235" s="23"/>
    </row>
    <row r="4236" spans="2:16" x14ac:dyDescent="0.25">
      <c r="B4236" s="23"/>
      <c r="E4236" s="23"/>
      <c r="G4236" s="23"/>
      <c r="H4236" s="23"/>
      <c r="J4236" s="23"/>
      <c r="K4236" s="23"/>
      <c r="M4236" s="23"/>
      <c r="N4236" s="23"/>
      <c r="P4236" s="23"/>
    </row>
    <row r="4237" spans="2:16" x14ac:dyDescent="0.25">
      <c r="B4237" s="23"/>
      <c r="E4237" s="23"/>
      <c r="G4237" s="23"/>
      <c r="H4237" s="23"/>
      <c r="J4237" s="23"/>
      <c r="K4237" s="23"/>
      <c r="M4237" s="23"/>
      <c r="N4237" s="23"/>
      <c r="P4237" s="23"/>
    </row>
    <row r="4238" spans="2:16" x14ac:dyDescent="0.25">
      <c r="B4238" s="23"/>
      <c r="E4238" s="23"/>
      <c r="G4238" s="23"/>
      <c r="H4238" s="23"/>
      <c r="J4238" s="23"/>
      <c r="K4238" s="23"/>
      <c r="M4238" s="23"/>
      <c r="N4238" s="23"/>
      <c r="P4238" s="23"/>
    </row>
    <row r="4239" spans="2:16" x14ac:dyDescent="0.25">
      <c r="B4239" s="23"/>
      <c r="E4239" s="23"/>
      <c r="G4239" s="23"/>
      <c r="H4239" s="23"/>
      <c r="J4239" s="23"/>
      <c r="K4239" s="23"/>
      <c r="M4239" s="23"/>
      <c r="N4239" s="23"/>
      <c r="P4239" s="23"/>
    </row>
    <row r="4240" spans="2:16" x14ac:dyDescent="0.25">
      <c r="B4240" s="23"/>
      <c r="E4240" s="23"/>
      <c r="G4240" s="23"/>
      <c r="H4240" s="23"/>
      <c r="J4240" s="23"/>
      <c r="K4240" s="23"/>
      <c r="M4240" s="23"/>
      <c r="N4240" s="23"/>
      <c r="P4240" s="23"/>
    </row>
    <row r="4241" spans="2:16" x14ac:dyDescent="0.25">
      <c r="B4241" s="23"/>
      <c r="E4241" s="23"/>
      <c r="G4241" s="23"/>
      <c r="H4241" s="23"/>
      <c r="J4241" s="23"/>
      <c r="K4241" s="23"/>
      <c r="M4241" s="23"/>
      <c r="N4241" s="23"/>
      <c r="P4241" s="23"/>
    </row>
    <row r="4242" spans="2:16" x14ac:dyDescent="0.25">
      <c r="B4242" s="23"/>
      <c r="E4242" s="23"/>
      <c r="G4242" s="23"/>
      <c r="H4242" s="23"/>
      <c r="J4242" s="23"/>
      <c r="K4242" s="23"/>
      <c r="M4242" s="23"/>
      <c r="N4242" s="23"/>
      <c r="P4242" s="23"/>
    </row>
    <row r="4243" spans="2:16" x14ac:dyDescent="0.25">
      <c r="B4243" s="23"/>
      <c r="E4243" s="23"/>
      <c r="G4243" s="23"/>
      <c r="H4243" s="23"/>
      <c r="J4243" s="23"/>
      <c r="K4243" s="23"/>
      <c r="M4243" s="23"/>
      <c r="N4243" s="23"/>
      <c r="P4243" s="23"/>
    </row>
    <row r="4244" spans="2:16" x14ac:dyDescent="0.25">
      <c r="B4244" s="23"/>
      <c r="E4244" s="23"/>
      <c r="G4244" s="23"/>
      <c r="H4244" s="23"/>
      <c r="J4244" s="23"/>
      <c r="K4244" s="23"/>
      <c r="M4244" s="23"/>
      <c r="N4244" s="23"/>
      <c r="P4244" s="23"/>
    </row>
    <row r="4245" spans="2:16" x14ac:dyDescent="0.25">
      <c r="B4245" s="23"/>
      <c r="E4245" s="23"/>
      <c r="G4245" s="23"/>
      <c r="H4245" s="23"/>
      <c r="J4245" s="23"/>
      <c r="K4245" s="23"/>
      <c r="M4245" s="23"/>
      <c r="N4245" s="23"/>
      <c r="P4245" s="23"/>
    </row>
    <row r="4246" spans="2:16" x14ac:dyDescent="0.25">
      <c r="B4246" s="23"/>
      <c r="E4246" s="23"/>
      <c r="G4246" s="23"/>
      <c r="H4246" s="23"/>
      <c r="J4246" s="23"/>
      <c r="K4246" s="23"/>
      <c r="M4246" s="23"/>
      <c r="N4246" s="23"/>
      <c r="P4246" s="23"/>
    </row>
    <row r="4247" spans="2:16" x14ac:dyDescent="0.25">
      <c r="B4247" s="23"/>
      <c r="E4247" s="23"/>
      <c r="G4247" s="23"/>
      <c r="H4247" s="23"/>
      <c r="J4247" s="23"/>
      <c r="K4247" s="23"/>
      <c r="M4247" s="23"/>
      <c r="N4247" s="23"/>
      <c r="P4247" s="23"/>
    </row>
    <row r="4248" spans="2:16" x14ac:dyDescent="0.25">
      <c r="B4248" s="23"/>
      <c r="E4248" s="23"/>
      <c r="G4248" s="23"/>
      <c r="H4248" s="23"/>
      <c r="J4248" s="23"/>
      <c r="K4248" s="23"/>
      <c r="M4248" s="23"/>
      <c r="N4248" s="23"/>
      <c r="P4248" s="23"/>
    </row>
    <row r="4249" spans="2:16" x14ac:dyDescent="0.25">
      <c r="B4249" s="23"/>
      <c r="E4249" s="23"/>
      <c r="G4249" s="23"/>
      <c r="H4249" s="23"/>
      <c r="J4249" s="23"/>
      <c r="K4249" s="23"/>
      <c r="M4249" s="23"/>
      <c r="N4249" s="23"/>
      <c r="P4249" s="23"/>
    </row>
    <row r="4250" spans="2:16" x14ac:dyDescent="0.25">
      <c r="B4250" s="23"/>
      <c r="E4250" s="23"/>
      <c r="G4250" s="23"/>
      <c r="H4250" s="23"/>
      <c r="J4250" s="23"/>
      <c r="K4250" s="23"/>
      <c r="M4250" s="23"/>
      <c r="N4250" s="23"/>
      <c r="P4250" s="23"/>
    </row>
    <row r="4251" spans="2:16" x14ac:dyDescent="0.25">
      <c r="B4251" s="23"/>
      <c r="E4251" s="23"/>
      <c r="G4251" s="23"/>
      <c r="H4251" s="23"/>
      <c r="J4251" s="23"/>
      <c r="K4251" s="23"/>
      <c r="M4251" s="23"/>
      <c r="N4251" s="23"/>
      <c r="P4251" s="23"/>
    </row>
    <row r="4252" spans="2:16" x14ac:dyDescent="0.25">
      <c r="B4252" s="23"/>
      <c r="E4252" s="23"/>
      <c r="G4252" s="23"/>
      <c r="H4252" s="23"/>
      <c r="J4252" s="23"/>
      <c r="K4252" s="23"/>
      <c r="M4252" s="23"/>
      <c r="N4252" s="23"/>
      <c r="P4252" s="23"/>
    </row>
    <row r="4253" spans="2:16" x14ac:dyDescent="0.25">
      <c r="B4253" s="23"/>
      <c r="E4253" s="23"/>
      <c r="G4253" s="23"/>
      <c r="H4253" s="23"/>
      <c r="J4253" s="23"/>
      <c r="K4253" s="23"/>
      <c r="M4253" s="23"/>
      <c r="N4253" s="23"/>
      <c r="P4253" s="23"/>
    </row>
    <row r="4254" spans="2:16" x14ac:dyDescent="0.25">
      <c r="B4254" s="23"/>
      <c r="E4254" s="23"/>
      <c r="G4254" s="23"/>
      <c r="H4254" s="23"/>
      <c r="J4254" s="23"/>
      <c r="K4254" s="23"/>
      <c r="M4254" s="23"/>
      <c r="N4254" s="23"/>
      <c r="P4254" s="23"/>
    </row>
    <row r="4255" spans="2:16" x14ac:dyDescent="0.25">
      <c r="B4255" s="23"/>
      <c r="E4255" s="23"/>
      <c r="G4255" s="23"/>
      <c r="H4255" s="23"/>
      <c r="J4255" s="23"/>
      <c r="K4255" s="23"/>
      <c r="M4255" s="23"/>
      <c r="N4255" s="23"/>
      <c r="P4255" s="23"/>
    </row>
    <row r="4256" spans="2:16" x14ac:dyDescent="0.25">
      <c r="B4256" s="23"/>
      <c r="E4256" s="23"/>
      <c r="G4256" s="23"/>
      <c r="H4256" s="23"/>
      <c r="J4256" s="23"/>
      <c r="K4256" s="23"/>
      <c r="M4256" s="23"/>
      <c r="N4256" s="23"/>
      <c r="P4256" s="23"/>
    </row>
    <row r="4257" spans="2:16" x14ac:dyDescent="0.25">
      <c r="B4257" s="23"/>
      <c r="E4257" s="23"/>
      <c r="G4257" s="23"/>
      <c r="H4257" s="23"/>
      <c r="J4257" s="23"/>
      <c r="K4257" s="23"/>
      <c r="M4257" s="23"/>
      <c r="N4257" s="23"/>
      <c r="P4257" s="23"/>
    </row>
    <row r="4258" spans="2:16" x14ac:dyDescent="0.25">
      <c r="B4258" s="23"/>
      <c r="E4258" s="23"/>
      <c r="G4258" s="23"/>
      <c r="H4258" s="23"/>
      <c r="J4258" s="23"/>
      <c r="K4258" s="23"/>
      <c r="M4258" s="23"/>
      <c r="N4258" s="23"/>
      <c r="P4258" s="23"/>
    </row>
    <row r="4259" spans="2:16" x14ac:dyDescent="0.25">
      <c r="B4259" s="23"/>
      <c r="E4259" s="23"/>
      <c r="G4259" s="23"/>
      <c r="H4259" s="23"/>
      <c r="J4259" s="23"/>
      <c r="K4259" s="23"/>
      <c r="M4259" s="23"/>
      <c r="N4259" s="23"/>
      <c r="P4259" s="23"/>
    </row>
    <row r="4260" spans="2:16" x14ac:dyDescent="0.25">
      <c r="B4260" s="23"/>
      <c r="E4260" s="23"/>
      <c r="G4260" s="23"/>
      <c r="H4260" s="23"/>
      <c r="J4260" s="23"/>
      <c r="K4260" s="23"/>
      <c r="M4260" s="23"/>
      <c r="N4260" s="23"/>
      <c r="P4260" s="23"/>
    </row>
    <row r="4261" spans="2:16" x14ac:dyDescent="0.25">
      <c r="B4261" s="23"/>
      <c r="E4261" s="23"/>
      <c r="G4261" s="23"/>
      <c r="H4261" s="23"/>
      <c r="J4261" s="23"/>
      <c r="K4261" s="23"/>
      <c r="M4261" s="23"/>
      <c r="N4261" s="23"/>
      <c r="P4261" s="23"/>
    </row>
    <row r="4262" spans="2:16" x14ac:dyDescent="0.25">
      <c r="B4262" s="23"/>
      <c r="E4262" s="23"/>
      <c r="G4262" s="23"/>
      <c r="H4262" s="23"/>
      <c r="J4262" s="23"/>
      <c r="K4262" s="23"/>
      <c r="M4262" s="23"/>
      <c r="N4262" s="23"/>
      <c r="P4262" s="23"/>
    </row>
    <row r="4263" spans="2:16" x14ac:dyDescent="0.25">
      <c r="B4263" s="23"/>
      <c r="E4263" s="23"/>
      <c r="G4263" s="23"/>
      <c r="H4263" s="23"/>
      <c r="J4263" s="23"/>
      <c r="K4263" s="23"/>
      <c r="M4263" s="23"/>
      <c r="N4263" s="23"/>
      <c r="P4263" s="23"/>
    </row>
    <row r="4264" spans="2:16" x14ac:dyDescent="0.25">
      <c r="B4264" s="23"/>
      <c r="E4264" s="23"/>
      <c r="G4264" s="23"/>
      <c r="H4264" s="23"/>
      <c r="J4264" s="23"/>
      <c r="K4264" s="23"/>
      <c r="M4264" s="23"/>
      <c r="N4264" s="23"/>
      <c r="P4264" s="23"/>
    </row>
    <row r="4265" spans="2:16" x14ac:dyDescent="0.25">
      <c r="B4265" s="23"/>
      <c r="E4265" s="23"/>
      <c r="G4265" s="23"/>
      <c r="H4265" s="23"/>
      <c r="J4265" s="23"/>
      <c r="K4265" s="23"/>
      <c r="M4265" s="23"/>
      <c r="N4265" s="23"/>
      <c r="P4265" s="23"/>
    </row>
    <row r="4266" spans="2:16" x14ac:dyDescent="0.25">
      <c r="B4266" s="23"/>
      <c r="E4266" s="23"/>
      <c r="G4266" s="23"/>
      <c r="H4266" s="23"/>
      <c r="J4266" s="23"/>
      <c r="K4266" s="23"/>
      <c r="M4266" s="23"/>
      <c r="N4266" s="23"/>
      <c r="P4266" s="23"/>
    </row>
    <row r="4267" spans="2:16" x14ac:dyDescent="0.25">
      <c r="B4267" s="23"/>
      <c r="E4267" s="23"/>
      <c r="G4267" s="23"/>
      <c r="H4267" s="23"/>
      <c r="J4267" s="23"/>
      <c r="K4267" s="23"/>
      <c r="M4267" s="23"/>
      <c r="N4267" s="23"/>
      <c r="P4267" s="23"/>
    </row>
    <row r="4268" spans="2:16" x14ac:dyDescent="0.25">
      <c r="B4268" s="23"/>
      <c r="E4268" s="23"/>
      <c r="G4268" s="23"/>
      <c r="H4268" s="23"/>
      <c r="J4268" s="23"/>
      <c r="K4268" s="23"/>
      <c r="M4268" s="23"/>
      <c r="N4268" s="23"/>
      <c r="P4268" s="23"/>
    </row>
    <row r="4269" spans="2:16" x14ac:dyDescent="0.25">
      <c r="B4269" s="23"/>
      <c r="E4269" s="23"/>
      <c r="G4269" s="23"/>
      <c r="H4269" s="23"/>
      <c r="J4269" s="23"/>
      <c r="K4269" s="23"/>
      <c r="M4269" s="23"/>
      <c r="N4269" s="23"/>
      <c r="P4269" s="23"/>
    </row>
    <row r="4270" spans="2:16" x14ac:dyDescent="0.25">
      <c r="B4270" s="23"/>
      <c r="E4270" s="23"/>
      <c r="G4270" s="23"/>
      <c r="H4270" s="23"/>
      <c r="J4270" s="23"/>
      <c r="K4270" s="23"/>
      <c r="M4270" s="23"/>
      <c r="N4270" s="23"/>
      <c r="P4270" s="23"/>
    </row>
    <row r="4271" spans="2:16" x14ac:dyDescent="0.25">
      <c r="B4271" s="23"/>
      <c r="E4271" s="23"/>
      <c r="G4271" s="23"/>
      <c r="H4271" s="23"/>
      <c r="J4271" s="23"/>
      <c r="K4271" s="23"/>
      <c r="M4271" s="23"/>
      <c r="N4271" s="23"/>
      <c r="P4271" s="23"/>
    </row>
    <row r="4272" spans="2:16" x14ac:dyDescent="0.25">
      <c r="B4272" s="23"/>
      <c r="E4272" s="23"/>
      <c r="G4272" s="23"/>
      <c r="H4272" s="23"/>
      <c r="J4272" s="23"/>
      <c r="K4272" s="23"/>
      <c r="M4272" s="23"/>
      <c r="N4272" s="23"/>
      <c r="P4272" s="23"/>
    </row>
    <row r="4273" spans="2:16" x14ac:dyDescent="0.25">
      <c r="B4273" s="23"/>
      <c r="E4273" s="23"/>
      <c r="G4273" s="23"/>
      <c r="H4273" s="23"/>
      <c r="J4273" s="23"/>
      <c r="K4273" s="23"/>
      <c r="M4273" s="23"/>
      <c r="N4273" s="23"/>
      <c r="P4273" s="23"/>
    </row>
    <row r="4274" spans="2:16" x14ac:dyDescent="0.25">
      <c r="B4274" s="23"/>
      <c r="E4274" s="23"/>
      <c r="G4274" s="23"/>
      <c r="H4274" s="23"/>
      <c r="J4274" s="23"/>
      <c r="K4274" s="23"/>
      <c r="M4274" s="23"/>
      <c r="N4274" s="23"/>
      <c r="P4274" s="23"/>
    </row>
    <row r="4275" spans="2:16" x14ac:dyDescent="0.25">
      <c r="B4275" s="23"/>
      <c r="E4275" s="23"/>
      <c r="G4275" s="23"/>
      <c r="H4275" s="23"/>
      <c r="J4275" s="23"/>
      <c r="K4275" s="23"/>
      <c r="M4275" s="23"/>
      <c r="N4275" s="23"/>
      <c r="P4275" s="23"/>
    </row>
    <row r="4276" spans="2:16" x14ac:dyDescent="0.25">
      <c r="B4276" s="23"/>
      <c r="E4276" s="23"/>
      <c r="G4276" s="23"/>
      <c r="H4276" s="23"/>
      <c r="J4276" s="23"/>
      <c r="K4276" s="23"/>
      <c r="M4276" s="23"/>
      <c r="N4276" s="23"/>
      <c r="P4276" s="23"/>
    </row>
    <row r="4277" spans="2:16" x14ac:dyDescent="0.25">
      <c r="B4277" s="23"/>
      <c r="E4277" s="23"/>
      <c r="G4277" s="23"/>
      <c r="H4277" s="23"/>
      <c r="J4277" s="23"/>
      <c r="K4277" s="23"/>
      <c r="M4277" s="23"/>
      <c r="N4277" s="23"/>
      <c r="P4277" s="23"/>
    </row>
    <row r="4278" spans="2:16" x14ac:dyDescent="0.25">
      <c r="B4278" s="23"/>
      <c r="E4278" s="23"/>
      <c r="G4278" s="23"/>
      <c r="H4278" s="23"/>
      <c r="J4278" s="23"/>
      <c r="K4278" s="23"/>
      <c r="M4278" s="23"/>
      <c r="N4278" s="23"/>
      <c r="P4278" s="23"/>
    </row>
    <row r="4279" spans="2:16" x14ac:dyDescent="0.25">
      <c r="B4279" s="23"/>
      <c r="E4279" s="23"/>
      <c r="G4279" s="23"/>
      <c r="H4279" s="23"/>
      <c r="J4279" s="23"/>
      <c r="K4279" s="23"/>
      <c r="M4279" s="23"/>
      <c r="N4279" s="23"/>
      <c r="P4279" s="23"/>
    </row>
    <row r="4280" spans="2:16" x14ac:dyDescent="0.25">
      <c r="B4280" s="23"/>
      <c r="E4280" s="23"/>
      <c r="G4280" s="23"/>
      <c r="H4280" s="23"/>
      <c r="J4280" s="23"/>
      <c r="K4280" s="23"/>
      <c r="M4280" s="23"/>
      <c r="N4280" s="23"/>
      <c r="P4280" s="23"/>
    </row>
    <row r="4281" spans="2:16" x14ac:dyDescent="0.25">
      <c r="B4281" s="23"/>
      <c r="E4281" s="23"/>
      <c r="G4281" s="23"/>
      <c r="H4281" s="23"/>
      <c r="J4281" s="23"/>
      <c r="K4281" s="23"/>
      <c r="M4281" s="23"/>
      <c r="N4281" s="23"/>
      <c r="P4281" s="23"/>
    </row>
    <row r="4282" spans="2:16" x14ac:dyDescent="0.25">
      <c r="B4282" s="23"/>
      <c r="E4282" s="23"/>
      <c r="G4282" s="23"/>
      <c r="H4282" s="23"/>
      <c r="J4282" s="23"/>
      <c r="K4282" s="23"/>
      <c r="M4282" s="23"/>
      <c r="N4282" s="23"/>
      <c r="P4282" s="23"/>
    </row>
    <row r="4283" spans="2:16" x14ac:dyDescent="0.25">
      <c r="B4283" s="23"/>
      <c r="E4283" s="23"/>
      <c r="G4283" s="23"/>
      <c r="H4283" s="23"/>
      <c r="J4283" s="23"/>
      <c r="K4283" s="23"/>
      <c r="M4283" s="23"/>
      <c r="N4283" s="23"/>
      <c r="P4283" s="23"/>
    </row>
    <row r="4284" spans="2:16" x14ac:dyDescent="0.25">
      <c r="B4284" s="23"/>
      <c r="E4284" s="23"/>
      <c r="G4284" s="23"/>
      <c r="H4284" s="23"/>
      <c r="J4284" s="23"/>
      <c r="K4284" s="23"/>
      <c r="M4284" s="23"/>
      <c r="N4284" s="23"/>
      <c r="P4284" s="23"/>
    </row>
    <row r="4285" spans="2:16" x14ac:dyDescent="0.25">
      <c r="B4285" s="23"/>
      <c r="E4285" s="23"/>
      <c r="G4285" s="23"/>
      <c r="H4285" s="23"/>
      <c r="J4285" s="23"/>
      <c r="K4285" s="23"/>
      <c r="M4285" s="23"/>
      <c r="N4285" s="23"/>
      <c r="P4285" s="23"/>
    </row>
    <row r="4286" spans="2:16" x14ac:dyDescent="0.25">
      <c r="B4286" s="23"/>
      <c r="E4286" s="23"/>
      <c r="G4286" s="23"/>
      <c r="H4286" s="23"/>
      <c r="J4286" s="23"/>
      <c r="K4286" s="23"/>
      <c r="M4286" s="23"/>
      <c r="N4286" s="23"/>
      <c r="P4286" s="23"/>
    </row>
    <row r="4287" spans="2:16" x14ac:dyDescent="0.25">
      <c r="B4287" s="23"/>
      <c r="E4287" s="23"/>
      <c r="G4287" s="23"/>
      <c r="H4287" s="23"/>
      <c r="J4287" s="23"/>
      <c r="K4287" s="23"/>
      <c r="M4287" s="23"/>
      <c r="N4287" s="23"/>
      <c r="P4287" s="23"/>
    </row>
    <row r="4288" spans="2:16" x14ac:dyDescent="0.25">
      <c r="B4288" s="23"/>
      <c r="E4288" s="23"/>
      <c r="G4288" s="23"/>
      <c r="H4288" s="23"/>
      <c r="J4288" s="23"/>
      <c r="K4288" s="23"/>
      <c r="M4288" s="23"/>
      <c r="N4288" s="23"/>
      <c r="P4288" s="23"/>
    </row>
    <row r="4289" spans="2:16" x14ac:dyDescent="0.25">
      <c r="B4289" s="23"/>
      <c r="E4289" s="23"/>
      <c r="G4289" s="23"/>
      <c r="H4289" s="23"/>
      <c r="J4289" s="23"/>
      <c r="K4289" s="23"/>
      <c r="M4289" s="23"/>
      <c r="N4289" s="23"/>
      <c r="P4289" s="23"/>
    </row>
    <row r="4290" spans="2:16" x14ac:dyDescent="0.25">
      <c r="B4290" s="23"/>
      <c r="E4290" s="23"/>
      <c r="G4290" s="23"/>
      <c r="H4290" s="23"/>
      <c r="J4290" s="23"/>
      <c r="K4290" s="23"/>
      <c r="M4290" s="23"/>
      <c r="N4290" s="23"/>
      <c r="P4290" s="23"/>
    </row>
    <row r="4291" spans="2:16" x14ac:dyDescent="0.25">
      <c r="B4291" s="23"/>
      <c r="E4291" s="23"/>
      <c r="G4291" s="23"/>
      <c r="H4291" s="23"/>
      <c r="J4291" s="23"/>
      <c r="K4291" s="23"/>
      <c r="M4291" s="23"/>
      <c r="N4291" s="23"/>
      <c r="P4291" s="23"/>
    </row>
    <row r="4292" spans="2:16" x14ac:dyDescent="0.25">
      <c r="B4292" s="23"/>
      <c r="E4292" s="23"/>
      <c r="G4292" s="23"/>
      <c r="H4292" s="23"/>
      <c r="J4292" s="23"/>
      <c r="K4292" s="23"/>
      <c r="M4292" s="23"/>
      <c r="N4292" s="23"/>
      <c r="P4292" s="23"/>
    </row>
    <row r="4293" spans="2:16" x14ac:dyDescent="0.25">
      <c r="B4293" s="23"/>
      <c r="E4293" s="23"/>
      <c r="G4293" s="23"/>
      <c r="H4293" s="23"/>
      <c r="J4293" s="23"/>
      <c r="K4293" s="23"/>
      <c r="M4293" s="23"/>
      <c r="N4293" s="23"/>
      <c r="P4293" s="23"/>
    </row>
    <row r="4294" spans="2:16" x14ac:dyDescent="0.25">
      <c r="B4294" s="23"/>
      <c r="E4294" s="23"/>
      <c r="G4294" s="23"/>
      <c r="H4294" s="23"/>
      <c r="J4294" s="23"/>
      <c r="K4294" s="23"/>
      <c r="M4294" s="23"/>
      <c r="N4294" s="23"/>
      <c r="P4294" s="23"/>
    </row>
    <row r="4295" spans="2:16" x14ac:dyDescent="0.25">
      <c r="B4295" s="23"/>
      <c r="E4295" s="23"/>
      <c r="G4295" s="23"/>
      <c r="H4295" s="23"/>
      <c r="J4295" s="23"/>
      <c r="K4295" s="23"/>
      <c r="M4295" s="23"/>
      <c r="N4295" s="23"/>
      <c r="P4295" s="23"/>
    </row>
    <row r="4296" spans="2:16" x14ac:dyDescent="0.25">
      <c r="B4296" s="23"/>
      <c r="E4296" s="23"/>
      <c r="G4296" s="23"/>
      <c r="H4296" s="23"/>
      <c r="J4296" s="23"/>
      <c r="K4296" s="23"/>
      <c r="M4296" s="23"/>
      <c r="N4296" s="23"/>
      <c r="P4296" s="23"/>
    </row>
    <row r="4297" spans="2:16" x14ac:dyDescent="0.25">
      <c r="B4297" s="23"/>
      <c r="E4297" s="23"/>
      <c r="G4297" s="23"/>
      <c r="H4297" s="23"/>
      <c r="J4297" s="23"/>
      <c r="K4297" s="23"/>
      <c r="M4297" s="23"/>
      <c r="N4297" s="23"/>
      <c r="P4297" s="23"/>
    </row>
    <row r="4298" spans="2:16" x14ac:dyDescent="0.25">
      <c r="B4298" s="23"/>
      <c r="E4298" s="23"/>
      <c r="G4298" s="23"/>
      <c r="H4298" s="23"/>
      <c r="J4298" s="23"/>
      <c r="K4298" s="23"/>
      <c r="M4298" s="23"/>
      <c r="N4298" s="23"/>
      <c r="P4298" s="23"/>
    </row>
    <row r="4299" spans="2:16" x14ac:dyDescent="0.25">
      <c r="B4299" s="23"/>
      <c r="E4299" s="23"/>
      <c r="G4299" s="23"/>
      <c r="H4299" s="23"/>
      <c r="J4299" s="23"/>
      <c r="K4299" s="23"/>
      <c r="M4299" s="23"/>
      <c r="N4299" s="23"/>
      <c r="P4299" s="23"/>
    </row>
    <row r="4300" spans="2:16" x14ac:dyDescent="0.25">
      <c r="B4300" s="23"/>
      <c r="E4300" s="23"/>
      <c r="G4300" s="23"/>
      <c r="H4300" s="23"/>
      <c r="J4300" s="23"/>
      <c r="K4300" s="23"/>
      <c r="M4300" s="23"/>
      <c r="N4300" s="23"/>
      <c r="P4300" s="23"/>
    </row>
    <row r="4301" spans="2:16" x14ac:dyDescent="0.25">
      <c r="B4301" s="23"/>
      <c r="E4301" s="23"/>
      <c r="G4301" s="23"/>
      <c r="H4301" s="23"/>
      <c r="J4301" s="23"/>
      <c r="K4301" s="23"/>
      <c r="M4301" s="23"/>
      <c r="N4301" s="23"/>
      <c r="P4301" s="23"/>
    </row>
    <row r="4302" spans="2:16" x14ac:dyDescent="0.25">
      <c r="B4302" s="23"/>
      <c r="E4302" s="23"/>
      <c r="G4302" s="23"/>
      <c r="H4302" s="23"/>
      <c r="J4302" s="23"/>
      <c r="K4302" s="23"/>
      <c r="M4302" s="23"/>
      <c r="N4302" s="23"/>
      <c r="P4302" s="23"/>
    </row>
    <row r="4303" spans="2:16" x14ac:dyDescent="0.25">
      <c r="B4303" s="23"/>
      <c r="E4303" s="23"/>
      <c r="G4303" s="23"/>
      <c r="H4303" s="23"/>
      <c r="J4303" s="23"/>
      <c r="K4303" s="23"/>
      <c r="M4303" s="23"/>
      <c r="N4303" s="23"/>
      <c r="P4303" s="23"/>
    </row>
    <row r="4304" spans="2:16" x14ac:dyDescent="0.25">
      <c r="B4304" s="23"/>
      <c r="E4304" s="23"/>
      <c r="G4304" s="23"/>
      <c r="H4304" s="23"/>
      <c r="J4304" s="23"/>
      <c r="K4304" s="23"/>
      <c r="M4304" s="23"/>
      <c r="N4304" s="23"/>
      <c r="P4304" s="23"/>
    </row>
    <row r="4305" spans="2:16" x14ac:dyDescent="0.25">
      <c r="B4305" s="23"/>
      <c r="E4305" s="23"/>
      <c r="G4305" s="23"/>
      <c r="H4305" s="23"/>
      <c r="J4305" s="23"/>
      <c r="K4305" s="23"/>
      <c r="M4305" s="23"/>
      <c r="N4305" s="23"/>
      <c r="P4305" s="23"/>
    </row>
    <row r="4306" spans="2:16" x14ac:dyDescent="0.25">
      <c r="B4306" s="23"/>
      <c r="E4306" s="23"/>
      <c r="G4306" s="23"/>
      <c r="H4306" s="23"/>
      <c r="J4306" s="23"/>
      <c r="K4306" s="23"/>
      <c r="M4306" s="23"/>
      <c r="N4306" s="23"/>
      <c r="P4306" s="23"/>
    </row>
    <row r="4307" spans="2:16" x14ac:dyDescent="0.25">
      <c r="B4307" s="23"/>
      <c r="E4307" s="23"/>
      <c r="G4307" s="23"/>
      <c r="H4307" s="23"/>
      <c r="J4307" s="23"/>
      <c r="K4307" s="23"/>
      <c r="M4307" s="23"/>
      <c r="N4307" s="23"/>
      <c r="P4307" s="23"/>
    </row>
    <row r="4308" spans="2:16" x14ac:dyDescent="0.25">
      <c r="B4308" s="23"/>
      <c r="E4308" s="23"/>
      <c r="G4308" s="23"/>
      <c r="H4308" s="23"/>
      <c r="J4308" s="23"/>
      <c r="K4308" s="23"/>
      <c r="M4308" s="23"/>
      <c r="N4308" s="23"/>
      <c r="P4308" s="23"/>
    </row>
    <row r="4309" spans="2:16" x14ac:dyDescent="0.25">
      <c r="B4309" s="23"/>
      <c r="E4309" s="23"/>
      <c r="G4309" s="23"/>
      <c r="H4309" s="23"/>
      <c r="J4309" s="23"/>
      <c r="K4309" s="23"/>
      <c r="M4309" s="23"/>
      <c r="N4309" s="23"/>
      <c r="P4309" s="23"/>
    </row>
    <row r="4310" spans="2:16" x14ac:dyDescent="0.25">
      <c r="B4310" s="23"/>
      <c r="E4310" s="23"/>
      <c r="G4310" s="23"/>
      <c r="H4310" s="23"/>
      <c r="J4310" s="23"/>
      <c r="K4310" s="23"/>
      <c r="M4310" s="23"/>
      <c r="N4310" s="23"/>
      <c r="P4310" s="23"/>
    </row>
    <row r="4311" spans="2:16" x14ac:dyDescent="0.25">
      <c r="B4311" s="23"/>
      <c r="E4311" s="23"/>
      <c r="G4311" s="23"/>
      <c r="H4311" s="23"/>
      <c r="J4311" s="23"/>
      <c r="K4311" s="23"/>
      <c r="M4311" s="23"/>
      <c r="N4311" s="23"/>
      <c r="P4311" s="23"/>
    </row>
    <row r="4312" spans="2:16" x14ac:dyDescent="0.25">
      <c r="B4312" s="23"/>
      <c r="E4312" s="23"/>
      <c r="G4312" s="23"/>
      <c r="H4312" s="23"/>
      <c r="J4312" s="23"/>
      <c r="K4312" s="23"/>
      <c r="M4312" s="23"/>
      <c r="N4312" s="23"/>
      <c r="P4312" s="23"/>
    </row>
    <row r="4313" spans="2:16" x14ac:dyDescent="0.25">
      <c r="B4313" s="23"/>
      <c r="E4313" s="23"/>
      <c r="G4313" s="23"/>
      <c r="H4313" s="23"/>
      <c r="J4313" s="23"/>
      <c r="K4313" s="23"/>
      <c r="M4313" s="23"/>
      <c r="N4313" s="23"/>
      <c r="P4313" s="23"/>
    </row>
    <row r="4314" spans="2:16" x14ac:dyDescent="0.25">
      <c r="B4314" s="23"/>
      <c r="E4314" s="23"/>
      <c r="G4314" s="23"/>
      <c r="H4314" s="23"/>
      <c r="J4314" s="23"/>
      <c r="K4314" s="23"/>
      <c r="M4314" s="23"/>
      <c r="N4314" s="23"/>
      <c r="P4314" s="23"/>
    </row>
    <row r="4315" spans="2:16" x14ac:dyDescent="0.25">
      <c r="B4315" s="23"/>
      <c r="E4315" s="23"/>
      <c r="G4315" s="23"/>
      <c r="H4315" s="23"/>
      <c r="J4315" s="23"/>
      <c r="K4315" s="23"/>
      <c r="M4315" s="23"/>
      <c r="N4315" s="23"/>
      <c r="P4315" s="23"/>
    </row>
    <row r="4316" spans="2:16" x14ac:dyDescent="0.25">
      <c r="B4316" s="23"/>
      <c r="E4316" s="23"/>
      <c r="G4316" s="23"/>
      <c r="H4316" s="23"/>
      <c r="J4316" s="23"/>
      <c r="K4316" s="23"/>
      <c r="M4316" s="23"/>
      <c r="N4316" s="23"/>
      <c r="P4316" s="23"/>
    </row>
    <row r="4317" spans="2:16" x14ac:dyDescent="0.25">
      <c r="B4317" s="23"/>
      <c r="E4317" s="23"/>
      <c r="G4317" s="23"/>
      <c r="H4317" s="23"/>
      <c r="J4317" s="23"/>
      <c r="K4317" s="23"/>
      <c r="M4317" s="23"/>
      <c r="N4317" s="23"/>
      <c r="P4317" s="23"/>
    </row>
    <row r="4318" spans="2:16" x14ac:dyDescent="0.25">
      <c r="B4318" s="23"/>
      <c r="E4318" s="23"/>
      <c r="G4318" s="23"/>
      <c r="H4318" s="23"/>
      <c r="J4318" s="23"/>
      <c r="K4318" s="23"/>
      <c r="M4318" s="23"/>
      <c r="N4318" s="23"/>
      <c r="P4318" s="23"/>
    </row>
    <row r="4319" spans="2:16" x14ac:dyDescent="0.25">
      <c r="B4319" s="23"/>
      <c r="E4319" s="23"/>
      <c r="G4319" s="23"/>
      <c r="H4319" s="23"/>
      <c r="J4319" s="23"/>
      <c r="K4319" s="23"/>
      <c r="M4319" s="23"/>
      <c r="N4319" s="23"/>
      <c r="P4319" s="23"/>
    </row>
    <row r="4320" spans="2:16" x14ac:dyDescent="0.25">
      <c r="B4320" s="23"/>
      <c r="E4320" s="23"/>
      <c r="G4320" s="23"/>
      <c r="H4320" s="23"/>
      <c r="J4320" s="23"/>
      <c r="K4320" s="23"/>
      <c r="M4320" s="23"/>
      <c r="N4320" s="23"/>
      <c r="P4320" s="23"/>
    </row>
    <row r="4321" spans="2:16" x14ac:dyDescent="0.25">
      <c r="B4321" s="23"/>
      <c r="E4321" s="23"/>
      <c r="G4321" s="23"/>
      <c r="H4321" s="23"/>
      <c r="J4321" s="23"/>
      <c r="K4321" s="23"/>
      <c r="M4321" s="23"/>
      <c r="N4321" s="23"/>
      <c r="P4321" s="23"/>
    </row>
    <row r="4322" spans="2:16" x14ac:dyDescent="0.25">
      <c r="B4322" s="23"/>
      <c r="E4322" s="23"/>
      <c r="G4322" s="23"/>
      <c r="H4322" s="23"/>
      <c r="J4322" s="23"/>
      <c r="K4322" s="23"/>
      <c r="M4322" s="23"/>
      <c r="N4322" s="23"/>
      <c r="P4322" s="23"/>
    </row>
    <row r="4323" spans="2:16" x14ac:dyDescent="0.25">
      <c r="B4323" s="23"/>
      <c r="E4323" s="23"/>
      <c r="G4323" s="23"/>
      <c r="H4323" s="23"/>
      <c r="J4323" s="23"/>
      <c r="K4323" s="23"/>
      <c r="M4323" s="23"/>
      <c r="N4323" s="23"/>
      <c r="P4323" s="23"/>
    </row>
    <row r="4324" spans="2:16" x14ac:dyDescent="0.25">
      <c r="B4324" s="23"/>
      <c r="E4324" s="23"/>
      <c r="G4324" s="23"/>
      <c r="H4324" s="23"/>
      <c r="J4324" s="23"/>
      <c r="K4324" s="23"/>
      <c r="M4324" s="23"/>
      <c r="N4324" s="23"/>
      <c r="P4324" s="23"/>
    </row>
    <row r="4325" spans="2:16" x14ac:dyDescent="0.25">
      <c r="B4325" s="23"/>
      <c r="E4325" s="23"/>
      <c r="G4325" s="23"/>
      <c r="H4325" s="23"/>
      <c r="J4325" s="23"/>
      <c r="K4325" s="23"/>
      <c r="M4325" s="23"/>
      <c r="N4325" s="23"/>
      <c r="P4325" s="23"/>
    </row>
    <row r="4326" spans="2:16" x14ac:dyDescent="0.25">
      <c r="B4326" s="23"/>
      <c r="E4326" s="23"/>
      <c r="G4326" s="23"/>
      <c r="H4326" s="23"/>
      <c r="J4326" s="23"/>
      <c r="K4326" s="23"/>
      <c r="M4326" s="23"/>
      <c r="N4326" s="23"/>
      <c r="P4326" s="23"/>
    </row>
    <row r="4327" spans="2:16" x14ac:dyDescent="0.25">
      <c r="B4327" s="23"/>
      <c r="E4327" s="23"/>
      <c r="G4327" s="23"/>
      <c r="H4327" s="23"/>
      <c r="J4327" s="23"/>
      <c r="K4327" s="23"/>
      <c r="M4327" s="23"/>
      <c r="N4327" s="23"/>
      <c r="P4327" s="23"/>
    </row>
    <row r="4328" spans="2:16" x14ac:dyDescent="0.25">
      <c r="B4328" s="23"/>
      <c r="E4328" s="23"/>
      <c r="G4328" s="23"/>
      <c r="H4328" s="23"/>
      <c r="J4328" s="23"/>
      <c r="K4328" s="23"/>
      <c r="M4328" s="23"/>
      <c r="N4328" s="23"/>
      <c r="P4328" s="23"/>
    </row>
    <row r="4329" spans="2:16" x14ac:dyDescent="0.25">
      <c r="B4329" s="23"/>
      <c r="E4329" s="23"/>
      <c r="G4329" s="23"/>
      <c r="H4329" s="23"/>
      <c r="J4329" s="23"/>
      <c r="K4329" s="23"/>
      <c r="M4329" s="23"/>
      <c r="N4329" s="23"/>
      <c r="P4329" s="23"/>
    </row>
    <row r="4330" spans="2:16" x14ac:dyDescent="0.25">
      <c r="B4330" s="23"/>
      <c r="E4330" s="23"/>
      <c r="G4330" s="23"/>
      <c r="H4330" s="23"/>
      <c r="J4330" s="23"/>
      <c r="K4330" s="23"/>
      <c r="M4330" s="23"/>
      <c r="N4330" s="23"/>
      <c r="P4330" s="23"/>
    </row>
    <row r="4331" spans="2:16" x14ac:dyDescent="0.25">
      <c r="B4331" s="23"/>
      <c r="E4331" s="23"/>
      <c r="G4331" s="23"/>
      <c r="H4331" s="23"/>
      <c r="J4331" s="23"/>
      <c r="K4331" s="23"/>
      <c r="M4331" s="23"/>
      <c r="N4331" s="23"/>
      <c r="P4331" s="23"/>
    </row>
    <row r="4332" spans="2:16" x14ac:dyDescent="0.25">
      <c r="B4332" s="23"/>
      <c r="E4332" s="23"/>
      <c r="G4332" s="23"/>
      <c r="H4332" s="23"/>
      <c r="J4332" s="23"/>
      <c r="K4332" s="23"/>
      <c r="M4332" s="23"/>
      <c r="N4332" s="23"/>
      <c r="P4332" s="23"/>
    </row>
    <row r="4333" spans="2:16" x14ac:dyDescent="0.25">
      <c r="B4333" s="23"/>
      <c r="E4333" s="23"/>
      <c r="G4333" s="23"/>
      <c r="H4333" s="23"/>
      <c r="J4333" s="23"/>
      <c r="K4333" s="23"/>
      <c r="M4333" s="23"/>
      <c r="N4333" s="23"/>
      <c r="P4333" s="23"/>
    </row>
    <row r="4334" spans="2:16" x14ac:dyDescent="0.25">
      <c r="B4334" s="23"/>
      <c r="E4334" s="23"/>
      <c r="G4334" s="23"/>
      <c r="H4334" s="23"/>
      <c r="J4334" s="23"/>
      <c r="K4334" s="23"/>
      <c r="M4334" s="23"/>
      <c r="N4334" s="23"/>
      <c r="P4334" s="23"/>
    </row>
    <row r="4335" spans="2:16" x14ac:dyDescent="0.25">
      <c r="B4335" s="23"/>
      <c r="E4335" s="23"/>
      <c r="G4335" s="23"/>
      <c r="H4335" s="23"/>
      <c r="J4335" s="23"/>
      <c r="K4335" s="23"/>
      <c r="M4335" s="23"/>
      <c r="N4335" s="23"/>
      <c r="P4335" s="23"/>
    </row>
    <row r="4336" spans="2:16" x14ac:dyDescent="0.25">
      <c r="B4336" s="23"/>
      <c r="E4336" s="23"/>
      <c r="G4336" s="23"/>
      <c r="H4336" s="23"/>
      <c r="J4336" s="23"/>
      <c r="K4336" s="23"/>
      <c r="M4336" s="23"/>
      <c r="N4336" s="23"/>
      <c r="P4336" s="23"/>
    </row>
    <row r="4337" spans="2:16" x14ac:dyDescent="0.25">
      <c r="B4337" s="23"/>
      <c r="E4337" s="23"/>
      <c r="G4337" s="23"/>
      <c r="H4337" s="23"/>
      <c r="J4337" s="23"/>
      <c r="K4337" s="23"/>
      <c r="M4337" s="23"/>
      <c r="N4337" s="23"/>
      <c r="P4337" s="23"/>
    </row>
    <row r="4338" spans="2:16" x14ac:dyDescent="0.25">
      <c r="B4338" s="23"/>
      <c r="E4338" s="23"/>
      <c r="G4338" s="23"/>
      <c r="H4338" s="23"/>
      <c r="J4338" s="23"/>
      <c r="K4338" s="23"/>
      <c r="M4338" s="23"/>
      <c r="N4338" s="23"/>
      <c r="P4338" s="23"/>
    </row>
    <row r="4339" spans="2:16" x14ac:dyDescent="0.25">
      <c r="B4339" s="23"/>
      <c r="E4339" s="23"/>
      <c r="G4339" s="23"/>
      <c r="H4339" s="23"/>
      <c r="J4339" s="23"/>
      <c r="K4339" s="23"/>
      <c r="M4339" s="23"/>
      <c r="N4339" s="23"/>
      <c r="P4339" s="23"/>
    </row>
    <row r="4340" spans="2:16" x14ac:dyDescent="0.25">
      <c r="B4340" s="23"/>
      <c r="E4340" s="23"/>
      <c r="G4340" s="23"/>
      <c r="H4340" s="23"/>
      <c r="J4340" s="23"/>
      <c r="K4340" s="23"/>
      <c r="M4340" s="23"/>
      <c r="N4340" s="23"/>
      <c r="P4340" s="23"/>
    </row>
    <row r="4341" spans="2:16" x14ac:dyDescent="0.25">
      <c r="B4341" s="23"/>
      <c r="E4341" s="23"/>
      <c r="G4341" s="23"/>
      <c r="H4341" s="23"/>
      <c r="J4341" s="23"/>
      <c r="K4341" s="23"/>
      <c r="M4341" s="23"/>
      <c r="N4341" s="23"/>
      <c r="P4341" s="23"/>
    </row>
    <row r="4342" spans="2:16" x14ac:dyDescent="0.25">
      <c r="B4342" s="23"/>
      <c r="E4342" s="23"/>
      <c r="G4342" s="23"/>
      <c r="H4342" s="23"/>
      <c r="J4342" s="23"/>
      <c r="K4342" s="23"/>
      <c r="M4342" s="23"/>
      <c r="N4342" s="23"/>
      <c r="P4342" s="23"/>
    </row>
    <row r="4343" spans="2:16" x14ac:dyDescent="0.25">
      <c r="B4343" s="23"/>
      <c r="E4343" s="23"/>
      <c r="G4343" s="23"/>
      <c r="H4343" s="23"/>
      <c r="J4343" s="23"/>
      <c r="K4343" s="23"/>
      <c r="M4343" s="23"/>
      <c r="N4343" s="23"/>
      <c r="P4343" s="23"/>
    </row>
    <row r="4344" spans="2:16" x14ac:dyDescent="0.25">
      <c r="B4344" s="23"/>
      <c r="E4344" s="23"/>
      <c r="G4344" s="23"/>
      <c r="H4344" s="23"/>
      <c r="J4344" s="23"/>
      <c r="K4344" s="23"/>
      <c r="M4344" s="23"/>
      <c r="N4344" s="23"/>
      <c r="P4344" s="23"/>
    </row>
    <row r="4345" spans="2:16" x14ac:dyDescent="0.25">
      <c r="B4345" s="23"/>
      <c r="E4345" s="23"/>
      <c r="G4345" s="23"/>
      <c r="H4345" s="23"/>
      <c r="J4345" s="23"/>
      <c r="K4345" s="23"/>
      <c r="M4345" s="23"/>
      <c r="N4345" s="23"/>
      <c r="P4345" s="23"/>
    </row>
    <row r="4346" spans="2:16" x14ac:dyDescent="0.25">
      <c r="B4346" s="23"/>
      <c r="E4346" s="23"/>
      <c r="G4346" s="23"/>
      <c r="H4346" s="23"/>
      <c r="J4346" s="23"/>
      <c r="K4346" s="23"/>
      <c r="M4346" s="23"/>
      <c r="N4346" s="23"/>
      <c r="P4346" s="23"/>
    </row>
    <row r="4347" spans="2:16" x14ac:dyDescent="0.25">
      <c r="B4347" s="23"/>
      <c r="E4347" s="23"/>
      <c r="G4347" s="23"/>
      <c r="H4347" s="23"/>
      <c r="J4347" s="23"/>
      <c r="K4347" s="23"/>
      <c r="M4347" s="23"/>
      <c r="N4347" s="23"/>
      <c r="P4347" s="23"/>
    </row>
    <row r="4348" spans="2:16" x14ac:dyDescent="0.25">
      <c r="B4348" s="23"/>
      <c r="E4348" s="23"/>
      <c r="G4348" s="23"/>
      <c r="H4348" s="23"/>
      <c r="J4348" s="23"/>
      <c r="K4348" s="23"/>
      <c r="M4348" s="23"/>
      <c r="N4348" s="23"/>
      <c r="P4348" s="23"/>
    </row>
    <row r="4349" spans="2:16" x14ac:dyDescent="0.25">
      <c r="B4349" s="23"/>
      <c r="E4349" s="23"/>
      <c r="G4349" s="23"/>
      <c r="H4349" s="23"/>
      <c r="J4349" s="23"/>
      <c r="K4349" s="23"/>
      <c r="M4349" s="23"/>
      <c r="N4349" s="23"/>
      <c r="P4349" s="23"/>
    </row>
    <row r="4350" spans="2:16" x14ac:dyDescent="0.25">
      <c r="B4350" s="23"/>
      <c r="E4350" s="23"/>
      <c r="G4350" s="23"/>
      <c r="H4350" s="23"/>
      <c r="J4350" s="23"/>
      <c r="K4350" s="23"/>
      <c r="M4350" s="23"/>
      <c r="N4350" s="23"/>
      <c r="P4350" s="23"/>
    </row>
    <row r="4351" spans="2:16" x14ac:dyDescent="0.25">
      <c r="B4351" s="23"/>
      <c r="E4351" s="23"/>
      <c r="G4351" s="23"/>
      <c r="H4351" s="23"/>
      <c r="J4351" s="23"/>
      <c r="K4351" s="23"/>
      <c r="M4351" s="23"/>
      <c r="N4351" s="23"/>
      <c r="P4351" s="23"/>
    </row>
    <row r="4352" spans="2:16" x14ac:dyDescent="0.25">
      <c r="B4352" s="23"/>
      <c r="E4352" s="23"/>
      <c r="G4352" s="23"/>
      <c r="H4352" s="23"/>
      <c r="J4352" s="23"/>
      <c r="K4352" s="23"/>
      <c r="M4352" s="23"/>
      <c r="N4352" s="23"/>
      <c r="P4352" s="23"/>
    </row>
    <row r="4353" spans="2:16" x14ac:dyDescent="0.25">
      <c r="B4353" s="23"/>
      <c r="E4353" s="23"/>
      <c r="G4353" s="23"/>
      <c r="H4353" s="23"/>
      <c r="J4353" s="23"/>
      <c r="K4353" s="23"/>
      <c r="M4353" s="23"/>
      <c r="N4353" s="23"/>
      <c r="P4353" s="23"/>
    </row>
    <row r="4354" spans="2:16" x14ac:dyDescent="0.25">
      <c r="B4354" s="23"/>
      <c r="E4354" s="23"/>
      <c r="G4354" s="23"/>
      <c r="H4354" s="23"/>
      <c r="J4354" s="23"/>
      <c r="K4354" s="23"/>
      <c r="M4354" s="23"/>
      <c r="N4354" s="23"/>
      <c r="P4354" s="23"/>
    </row>
    <row r="4355" spans="2:16" x14ac:dyDescent="0.25">
      <c r="B4355" s="23"/>
      <c r="E4355" s="23"/>
      <c r="G4355" s="23"/>
      <c r="H4355" s="23"/>
      <c r="J4355" s="23"/>
      <c r="K4355" s="23"/>
      <c r="M4355" s="23"/>
      <c r="N4355" s="23"/>
      <c r="P4355" s="23"/>
    </row>
    <row r="4356" spans="2:16" x14ac:dyDescent="0.25">
      <c r="B4356" s="23"/>
      <c r="E4356" s="23"/>
      <c r="G4356" s="23"/>
      <c r="H4356" s="23"/>
      <c r="J4356" s="23"/>
      <c r="K4356" s="23"/>
      <c r="M4356" s="23"/>
      <c r="N4356" s="23"/>
      <c r="P4356" s="23"/>
    </row>
    <row r="4357" spans="2:16" x14ac:dyDescent="0.25">
      <c r="B4357" s="23"/>
      <c r="E4357" s="23"/>
      <c r="G4357" s="23"/>
      <c r="H4357" s="23"/>
      <c r="J4357" s="23"/>
      <c r="K4357" s="23"/>
      <c r="M4357" s="23"/>
      <c r="N4357" s="23"/>
      <c r="P4357" s="23"/>
    </row>
    <row r="4358" spans="2:16" x14ac:dyDescent="0.25">
      <c r="B4358" s="23"/>
      <c r="E4358" s="23"/>
      <c r="G4358" s="23"/>
      <c r="H4358" s="23"/>
      <c r="J4358" s="23"/>
      <c r="K4358" s="23"/>
      <c r="M4358" s="23"/>
      <c r="N4358" s="23"/>
      <c r="P4358" s="23"/>
    </row>
    <row r="4359" spans="2:16" x14ac:dyDescent="0.25">
      <c r="B4359" s="23"/>
      <c r="E4359" s="23"/>
      <c r="G4359" s="23"/>
      <c r="H4359" s="23"/>
      <c r="J4359" s="23"/>
      <c r="K4359" s="23"/>
      <c r="M4359" s="23"/>
      <c r="N4359" s="23"/>
      <c r="P4359" s="23"/>
    </row>
    <row r="4360" spans="2:16" x14ac:dyDescent="0.25">
      <c r="B4360" s="23"/>
      <c r="E4360" s="23"/>
      <c r="G4360" s="23"/>
      <c r="H4360" s="23"/>
      <c r="J4360" s="23"/>
      <c r="K4360" s="23"/>
      <c r="M4360" s="23"/>
      <c r="N4360" s="23"/>
      <c r="P4360" s="23"/>
    </row>
    <row r="4361" spans="2:16" x14ac:dyDescent="0.25">
      <c r="B4361" s="23"/>
      <c r="E4361" s="23"/>
      <c r="G4361" s="23"/>
      <c r="H4361" s="23"/>
      <c r="J4361" s="23"/>
      <c r="K4361" s="23"/>
      <c r="M4361" s="23"/>
      <c r="N4361" s="23"/>
      <c r="P4361" s="23"/>
    </row>
    <row r="4362" spans="2:16" x14ac:dyDescent="0.25">
      <c r="B4362" s="23"/>
      <c r="E4362" s="23"/>
      <c r="G4362" s="23"/>
      <c r="H4362" s="23"/>
      <c r="J4362" s="23"/>
      <c r="K4362" s="23"/>
      <c r="M4362" s="23"/>
      <c r="N4362" s="23"/>
      <c r="P4362" s="23"/>
    </row>
    <row r="4363" spans="2:16" x14ac:dyDescent="0.25">
      <c r="B4363" s="23"/>
      <c r="E4363" s="23"/>
      <c r="G4363" s="23"/>
      <c r="H4363" s="23"/>
      <c r="J4363" s="23"/>
      <c r="K4363" s="23"/>
      <c r="M4363" s="23"/>
      <c r="N4363" s="23"/>
      <c r="P4363" s="23"/>
    </row>
    <row r="4364" spans="2:16" x14ac:dyDescent="0.25">
      <c r="B4364" s="23"/>
      <c r="E4364" s="23"/>
      <c r="G4364" s="23"/>
      <c r="H4364" s="23"/>
      <c r="J4364" s="23"/>
      <c r="K4364" s="23"/>
      <c r="M4364" s="23"/>
      <c r="N4364" s="23"/>
      <c r="P4364" s="23"/>
    </row>
    <row r="4365" spans="2:16" x14ac:dyDescent="0.25">
      <c r="B4365" s="23"/>
      <c r="E4365" s="23"/>
      <c r="G4365" s="23"/>
      <c r="H4365" s="23"/>
      <c r="J4365" s="23"/>
      <c r="K4365" s="23"/>
      <c r="M4365" s="23"/>
      <c r="N4365" s="23"/>
      <c r="P4365" s="23"/>
    </row>
    <row r="4366" spans="2:16" x14ac:dyDescent="0.25">
      <c r="B4366" s="23"/>
      <c r="E4366" s="23"/>
      <c r="G4366" s="23"/>
      <c r="H4366" s="23"/>
      <c r="J4366" s="23"/>
      <c r="K4366" s="23"/>
      <c r="M4366" s="23"/>
      <c r="N4366" s="23"/>
      <c r="P4366" s="23"/>
    </row>
    <row r="4367" spans="2:16" x14ac:dyDescent="0.25">
      <c r="B4367" s="23"/>
      <c r="E4367" s="23"/>
      <c r="G4367" s="23"/>
      <c r="H4367" s="23"/>
      <c r="J4367" s="23"/>
      <c r="K4367" s="23"/>
      <c r="M4367" s="23"/>
      <c r="N4367" s="23"/>
      <c r="P4367" s="23"/>
    </row>
    <row r="4368" spans="2:16" x14ac:dyDescent="0.25">
      <c r="B4368" s="23"/>
      <c r="E4368" s="23"/>
      <c r="G4368" s="23"/>
      <c r="H4368" s="23"/>
      <c r="J4368" s="23"/>
      <c r="K4368" s="23"/>
      <c r="M4368" s="23"/>
      <c r="N4368" s="23"/>
      <c r="P4368" s="23"/>
    </row>
    <row r="4369" spans="2:16" x14ac:dyDescent="0.25">
      <c r="B4369" s="23"/>
      <c r="E4369" s="23"/>
      <c r="G4369" s="23"/>
      <c r="H4369" s="23"/>
      <c r="J4369" s="23"/>
      <c r="K4369" s="23"/>
      <c r="M4369" s="23"/>
      <c r="N4369" s="23"/>
      <c r="P4369" s="23"/>
    </row>
    <row r="4370" spans="2:16" x14ac:dyDescent="0.25">
      <c r="B4370" s="23"/>
      <c r="E4370" s="23"/>
      <c r="G4370" s="23"/>
      <c r="H4370" s="23"/>
      <c r="J4370" s="23"/>
      <c r="K4370" s="23"/>
      <c r="M4370" s="23"/>
      <c r="N4370" s="23"/>
      <c r="P4370" s="23"/>
    </row>
    <row r="4371" spans="2:16" x14ac:dyDescent="0.25">
      <c r="B4371" s="23"/>
      <c r="E4371" s="23"/>
      <c r="G4371" s="23"/>
      <c r="H4371" s="23"/>
      <c r="J4371" s="23"/>
      <c r="K4371" s="23"/>
      <c r="M4371" s="23"/>
      <c r="N4371" s="23"/>
      <c r="P4371" s="23"/>
    </row>
    <row r="4372" spans="2:16" x14ac:dyDescent="0.25">
      <c r="B4372" s="23"/>
      <c r="E4372" s="23"/>
      <c r="G4372" s="23"/>
      <c r="H4372" s="23"/>
      <c r="J4372" s="23"/>
      <c r="K4372" s="23"/>
      <c r="M4372" s="23"/>
      <c r="N4372" s="23"/>
      <c r="P4372" s="23"/>
    </row>
    <row r="4373" spans="2:16" x14ac:dyDescent="0.25">
      <c r="B4373" s="23"/>
      <c r="E4373" s="23"/>
      <c r="G4373" s="23"/>
      <c r="H4373" s="23"/>
      <c r="J4373" s="23"/>
      <c r="K4373" s="23"/>
      <c r="M4373" s="23"/>
      <c r="N4373" s="23"/>
      <c r="P4373" s="23"/>
    </row>
    <row r="4374" spans="2:16" x14ac:dyDescent="0.25">
      <c r="B4374" s="23"/>
      <c r="E4374" s="23"/>
      <c r="G4374" s="23"/>
      <c r="H4374" s="23"/>
      <c r="J4374" s="23"/>
      <c r="K4374" s="23"/>
      <c r="M4374" s="23"/>
      <c r="N4374" s="23"/>
      <c r="P4374" s="23"/>
    </row>
    <row r="4375" spans="2:16" x14ac:dyDescent="0.25">
      <c r="B4375" s="23"/>
      <c r="E4375" s="23"/>
      <c r="G4375" s="23"/>
      <c r="H4375" s="23"/>
      <c r="J4375" s="23"/>
      <c r="K4375" s="23"/>
      <c r="M4375" s="23"/>
      <c r="N4375" s="23"/>
      <c r="P4375" s="23"/>
    </row>
    <row r="4376" spans="2:16" x14ac:dyDescent="0.25">
      <c r="B4376" s="23"/>
      <c r="E4376" s="23"/>
      <c r="G4376" s="23"/>
      <c r="H4376" s="23"/>
      <c r="J4376" s="23"/>
      <c r="K4376" s="23"/>
      <c r="M4376" s="23"/>
      <c r="N4376" s="23"/>
      <c r="P4376" s="23"/>
    </row>
    <row r="4377" spans="2:16" x14ac:dyDescent="0.25">
      <c r="B4377" s="23"/>
      <c r="E4377" s="23"/>
      <c r="G4377" s="23"/>
      <c r="H4377" s="23"/>
      <c r="J4377" s="23"/>
      <c r="K4377" s="23"/>
      <c r="M4377" s="23"/>
      <c r="N4377" s="23"/>
      <c r="P4377" s="23"/>
    </row>
    <row r="4378" spans="2:16" x14ac:dyDescent="0.25">
      <c r="B4378" s="23"/>
      <c r="E4378" s="23"/>
      <c r="G4378" s="23"/>
      <c r="H4378" s="23"/>
      <c r="J4378" s="23"/>
      <c r="K4378" s="23"/>
      <c r="M4378" s="23"/>
      <c r="N4378" s="23"/>
      <c r="P4378" s="23"/>
    </row>
    <row r="4379" spans="2:16" x14ac:dyDescent="0.25">
      <c r="B4379" s="23"/>
      <c r="E4379" s="23"/>
      <c r="G4379" s="23"/>
      <c r="H4379" s="23"/>
      <c r="J4379" s="23"/>
      <c r="K4379" s="23"/>
      <c r="M4379" s="23"/>
      <c r="N4379" s="23"/>
      <c r="P4379" s="23"/>
    </row>
    <row r="4380" spans="2:16" x14ac:dyDescent="0.25">
      <c r="B4380" s="23"/>
      <c r="E4380" s="23"/>
      <c r="G4380" s="23"/>
      <c r="H4380" s="23"/>
      <c r="J4380" s="23"/>
      <c r="K4380" s="23"/>
      <c r="M4380" s="23"/>
      <c r="N4380" s="23"/>
      <c r="P4380" s="23"/>
    </row>
    <row r="4381" spans="2:16" x14ac:dyDescent="0.25">
      <c r="B4381" s="23"/>
      <c r="E4381" s="23"/>
      <c r="G4381" s="23"/>
      <c r="H4381" s="23"/>
      <c r="J4381" s="23"/>
      <c r="K4381" s="23"/>
      <c r="M4381" s="23"/>
      <c r="N4381" s="23"/>
      <c r="P4381" s="23"/>
    </row>
    <row r="4382" spans="2:16" x14ac:dyDescent="0.25">
      <c r="B4382" s="23"/>
      <c r="E4382" s="23"/>
      <c r="G4382" s="23"/>
      <c r="H4382" s="23"/>
      <c r="J4382" s="23"/>
      <c r="K4382" s="23"/>
      <c r="M4382" s="23"/>
      <c r="N4382" s="23"/>
      <c r="P4382" s="23"/>
    </row>
    <row r="4383" spans="2:16" x14ac:dyDescent="0.25">
      <c r="B4383" s="23"/>
      <c r="E4383" s="23"/>
      <c r="G4383" s="23"/>
      <c r="H4383" s="23"/>
      <c r="J4383" s="23"/>
      <c r="K4383" s="23"/>
      <c r="M4383" s="23"/>
      <c r="N4383" s="23"/>
      <c r="P4383" s="23"/>
    </row>
    <row r="4384" spans="2:16" x14ac:dyDescent="0.25">
      <c r="B4384" s="23"/>
      <c r="E4384" s="23"/>
      <c r="G4384" s="23"/>
      <c r="H4384" s="23"/>
      <c r="J4384" s="23"/>
      <c r="K4384" s="23"/>
      <c r="M4384" s="23"/>
      <c r="N4384" s="23"/>
      <c r="P4384" s="23"/>
    </row>
    <row r="4385" spans="2:16" x14ac:dyDescent="0.25">
      <c r="B4385" s="23"/>
      <c r="E4385" s="23"/>
      <c r="G4385" s="23"/>
      <c r="H4385" s="23"/>
      <c r="J4385" s="23"/>
      <c r="K4385" s="23"/>
      <c r="M4385" s="23"/>
      <c r="N4385" s="23"/>
      <c r="P4385" s="23"/>
    </row>
    <row r="4386" spans="2:16" x14ac:dyDescent="0.25">
      <c r="B4386" s="23"/>
      <c r="E4386" s="23"/>
      <c r="G4386" s="23"/>
      <c r="H4386" s="23"/>
      <c r="J4386" s="23"/>
      <c r="K4386" s="23"/>
      <c r="M4386" s="23"/>
      <c r="N4386" s="23"/>
      <c r="P4386" s="23"/>
    </row>
    <row r="4387" spans="2:16" x14ac:dyDescent="0.25">
      <c r="B4387" s="23"/>
      <c r="E4387" s="23"/>
      <c r="G4387" s="23"/>
      <c r="H4387" s="23"/>
      <c r="J4387" s="23"/>
      <c r="K4387" s="23"/>
      <c r="M4387" s="23"/>
      <c r="N4387" s="23"/>
      <c r="P4387" s="23"/>
    </row>
    <row r="4388" spans="2:16" x14ac:dyDescent="0.25">
      <c r="B4388" s="23"/>
      <c r="E4388" s="23"/>
      <c r="G4388" s="23"/>
      <c r="H4388" s="23"/>
      <c r="J4388" s="23"/>
      <c r="K4388" s="23"/>
      <c r="M4388" s="23"/>
      <c r="N4388" s="23"/>
      <c r="P4388" s="23"/>
    </row>
    <row r="4389" spans="2:16" x14ac:dyDescent="0.25">
      <c r="B4389" s="23"/>
      <c r="E4389" s="23"/>
      <c r="G4389" s="23"/>
      <c r="H4389" s="23"/>
      <c r="J4389" s="23"/>
      <c r="K4389" s="23"/>
      <c r="M4389" s="23"/>
      <c r="N4389" s="23"/>
      <c r="P4389" s="23"/>
    </row>
    <row r="4390" spans="2:16" x14ac:dyDescent="0.25">
      <c r="B4390" s="23"/>
      <c r="E4390" s="23"/>
      <c r="G4390" s="23"/>
      <c r="H4390" s="23"/>
      <c r="J4390" s="23"/>
      <c r="K4390" s="23"/>
      <c r="M4390" s="23"/>
      <c r="N4390" s="23"/>
      <c r="P4390" s="23"/>
    </row>
    <row r="4391" spans="2:16" x14ac:dyDescent="0.25">
      <c r="B4391" s="23"/>
      <c r="E4391" s="23"/>
      <c r="G4391" s="23"/>
      <c r="H4391" s="23"/>
      <c r="J4391" s="23"/>
      <c r="K4391" s="23"/>
      <c r="M4391" s="23"/>
      <c r="N4391" s="23"/>
      <c r="P4391" s="23"/>
    </row>
    <row r="4392" spans="2:16" x14ac:dyDescent="0.25">
      <c r="B4392" s="23"/>
      <c r="E4392" s="23"/>
      <c r="G4392" s="23"/>
      <c r="H4392" s="23"/>
      <c r="J4392" s="23"/>
      <c r="K4392" s="23"/>
      <c r="M4392" s="23"/>
      <c r="N4392" s="23"/>
      <c r="P4392" s="23"/>
    </row>
    <row r="4393" spans="2:16" x14ac:dyDescent="0.25">
      <c r="B4393" s="23"/>
      <c r="E4393" s="23"/>
      <c r="G4393" s="23"/>
      <c r="H4393" s="23"/>
      <c r="J4393" s="23"/>
      <c r="K4393" s="23"/>
      <c r="M4393" s="23"/>
      <c r="N4393" s="23"/>
      <c r="P4393" s="23"/>
    </row>
    <row r="4394" spans="2:16" x14ac:dyDescent="0.25">
      <c r="B4394" s="23"/>
      <c r="E4394" s="23"/>
      <c r="G4394" s="23"/>
      <c r="H4394" s="23"/>
      <c r="J4394" s="23"/>
      <c r="K4394" s="23"/>
      <c r="M4394" s="23"/>
      <c r="N4394" s="23"/>
      <c r="P4394" s="23"/>
    </row>
    <row r="4395" spans="2:16" x14ac:dyDescent="0.25">
      <c r="B4395" s="23"/>
      <c r="E4395" s="23"/>
      <c r="G4395" s="23"/>
      <c r="H4395" s="23"/>
      <c r="J4395" s="23"/>
      <c r="K4395" s="23"/>
      <c r="M4395" s="23"/>
      <c r="N4395" s="23"/>
      <c r="P4395" s="23"/>
    </row>
    <row r="4396" spans="2:16" x14ac:dyDescent="0.25">
      <c r="B4396" s="23"/>
      <c r="E4396" s="23"/>
      <c r="G4396" s="23"/>
      <c r="H4396" s="23"/>
      <c r="J4396" s="23"/>
      <c r="K4396" s="23"/>
      <c r="M4396" s="23"/>
      <c r="N4396" s="23"/>
      <c r="P4396" s="23"/>
    </row>
    <row r="4397" spans="2:16" x14ac:dyDescent="0.25">
      <c r="B4397" s="23"/>
      <c r="E4397" s="23"/>
      <c r="G4397" s="23"/>
      <c r="H4397" s="23"/>
      <c r="J4397" s="23"/>
      <c r="K4397" s="23"/>
      <c r="M4397" s="23"/>
      <c r="N4397" s="23"/>
      <c r="P4397" s="23"/>
    </row>
    <row r="4398" spans="2:16" x14ac:dyDescent="0.25">
      <c r="B4398" s="23"/>
      <c r="E4398" s="23"/>
      <c r="G4398" s="23"/>
      <c r="H4398" s="23"/>
      <c r="J4398" s="23"/>
      <c r="K4398" s="23"/>
      <c r="M4398" s="23"/>
      <c r="N4398" s="23"/>
      <c r="P4398" s="23"/>
    </row>
    <row r="4399" spans="2:16" x14ac:dyDescent="0.25">
      <c r="B4399" s="23"/>
      <c r="E4399" s="23"/>
      <c r="G4399" s="23"/>
      <c r="H4399" s="23"/>
      <c r="J4399" s="23"/>
      <c r="K4399" s="23"/>
      <c r="M4399" s="23"/>
      <c r="N4399" s="23"/>
      <c r="P4399" s="23"/>
    </row>
    <row r="4400" spans="2:16" x14ac:dyDescent="0.25">
      <c r="B4400" s="23"/>
      <c r="E4400" s="23"/>
      <c r="G4400" s="23"/>
      <c r="H4400" s="23"/>
      <c r="J4400" s="23"/>
      <c r="K4400" s="23"/>
      <c r="M4400" s="23"/>
      <c r="N4400" s="23"/>
      <c r="P4400" s="23"/>
    </row>
    <row r="4401" spans="2:16" x14ac:dyDescent="0.25">
      <c r="B4401" s="23"/>
      <c r="E4401" s="23"/>
      <c r="G4401" s="23"/>
      <c r="H4401" s="23"/>
      <c r="J4401" s="23"/>
      <c r="K4401" s="23"/>
      <c r="M4401" s="23"/>
      <c r="N4401" s="23"/>
      <c r="P4401" s="23"/>
    </row>
    <row r="4402" spans="2:16" x14ac:dyDescent="0.25">
      <c r="B4402" s="23"/>
      <c r="E4402" s="23"/>
      <c r="G4402" s="23"/>
      <c r="H4402" s="23"/>
      <c r="J4402" s="23"/>
      <c r="K4402" s="23"/>
      <c r="M4402" s="23"/>
      <c r="N4402" s="23"/>
      <c r="P4402" s="23"/>
    </row>
    <row r="4403" spans="2:16" x14ac:dyDescent="0.25">
      <c r="B4403" s="23"/>
      <c r="E4403" s="23"/>
      <c r="G4403" s="23"/>
      <c r="H4403" s="23"/>
      <c r="J4403" s="23"/>
      <c r="K4403" s="23"/>
      <c r="M4403" s="23"/>
      <c r="N4403" s="23"/>
      <c r="P4403" s="23"/>
    </row>
    <row r="4404" spans="2:16" x14ac:dyDescent="0.25">
      <c r="B4404" s="23"/>
      <c r="E4404" s="23"/>
      <c r="G4404" s="23"/>
      <c r="H4404" s="23"/>
      <c r="J4404" s="23"/>
      <c r="K4404" s="23"/>
      <c r="M4404" s="23"/>
      <c r="N4404" s="23"/>
      <c r="P4404" s="23"/>
    </row>
    <row r="4405" spans="2:16" x14ac:dyDescent="0.25">
      <c r="B4405" s="23"/>
      <c r="E4405" s="23"/>
      <c r="G4405" s="23"/>
      <c r="H4405" s="23"/>
      <c r="J4405" s="23"/>
      <c r="K4405" s="23"/>
      <c r="M4405" s="23"/>
      <c r="N4405" s="23"/>
      <c r="P4405" s="23"/>
    </row>
    <row r="4406" spans="2:16" x14ac:dyDescent="0.25">
      <c r="B4406" s="23"/>
      <c r="E4406" s="23"/>
      <c r="G4406" s="23"/>
      <c r="H4406" s="23"/>
      <c r="J4406" s="23"/>
      <c r="K4406" s="23"/>
      <c r="M4406" s="23"/>
      <c r="N4406" s="23"/>
      <c r="P4406" s="23"/>
    </row>
    <row r="4407" spans="2:16" x14ac:dyDescent="0.25">
      <c r="B4407" s="23"/>
      <c r="E4407" s="23"/>
      <c r="G4407" s="23"/>
      <c r="H4407" s="23"/>
      <c r="J4407" s="23"/>
      <c r="K4407" s="23"/>
      <c r="M4407" s="23"/>
      <c r="N4407" s="23"/>
      <c r="P4407" s="23"/>
    </row>
    <row r="4408" spans="2:16" x14ac:dyDescent="0.25">
      <c r="B4408" s="23"/>
      <c r="E4408" s="23"/>
      <c r="G4408" s="23"/>
      <c r="H4408" s="23"/>
      <c r="J4408" s="23"/>
      <c r="K4408" s="23"/>
      <c r="M4408" s="23"/>
      <c r="N4408" s="23"/>
      <c r="P4408" s="23"/>
    </row>
    <row r="4409" spans="2:16" x14ac:dyDescent="0.25">
      <c r="B4409" s="23"/>
      <c r="E4409" s="23"/>
      <c r="G4409" s="23"/>
      <c r="H4409" s="23"/>
      <c r="J4409" s="23"/>
      <c r="K4409" s="23"/>
      <c r="M4409" s="23"/>
      <c r="N4409" s="23"/>
      <c r="P4409" s="23"/>
    </row>
    <row r="4410" spans="2:16" x14ac:dyDescent="0.25">
      <c r="B4410" s="23"/>
      <c r="E4410" s="23"/>
      <c r="G4410" s="23"/>
      <c r="H4410" s="23"/>
      <c r="J4410" s="23"/>
      <c r="K4410" s="23"/>
      <c r="M4410" s="23"/>
      <c r="N4410" s="23"/>
      <c r="P4410" s="23"/>
    </row>
    <row r="4411" spans="2:16" x14ac:dyDescent="0.25">
      <c r="B4411" s="23"/>
      <c r="E4411" s="23"/>
      <c r="G4411" s="23"/>
      <c r="H4411" s="23"/>
      <c r="J4411" s="23"/>
      <c r="K4411" s="23"/>
      <c r="M4411" s="23"/>
      <c r="N4411" s="23"/>
      <c r="P4411" s="23"/>
    </row>
    <row r="4412" spans="2:16" x14ac:dyDescent="0.25">
      <c r="B4412" s="23"/>
      <c r="E4412" s="23"/>
      <c r="G4412" s="23"/>
      <c r="H4412" s="23"/>
      <c r="J4412" s="23"/>
      <c r="K4412" s="23"/>
      <c r="M4412" s="23"/>
      <c r="N4412" s="23"/>
      <c r="P4412" s="23"/>
    </row>
    <row r="4413" spans="2:16" x14ac:dyDescent="0.25">
      <c r="B4413" s="23"/>
      <c r="E4413" s="23"/>
      <c r="G4413" s="23"/>
      <c r="H4413" s="23"/>
      <c r="J4413" s="23"/>
      <c r="K4413" s="23"/>
      <c r="M4413" s="23"/>
      <c r="N4413" s="23"/>
      <c r="P4413" s="23"/>
    </row>
    <row r="4414" spans="2:16" x14ac:dyDescent="0.25">
      <c r="B4414" s="23"/>
      <c r="E4414" s="23"/>
      <c r="G4414" s="23"/>
      <c r="H4414" s="23"/>
      <c r="J4414" s="23"/>
      <c r="K4414" s="23"/>
      <c r="M4414" s="23"/>
      <c r="N4414" s="23"/>
      <c r="P4414" s="23"/>
    </row>
    <row r="4415" spans="2:16" x14ac:dyDescent="0.25">
      <c r="B4415" s="23"/>
      <c r="E4415" s="23"/>
      <c r="G4415" s="23"/>
      <c r="H4415" s="23"/>
      <c r="J4415" s="23"/>
      <c r="K4415" s="23"/>
      <c r="M4415" s="23"/>
      <c r="N4415" s="23"/>
      <c r="P4415" s="23"/>
    </row>
    <row r="4416" spans="2:16" x14ac:dyDescent="0.25">
      <c r="B4416" s="23"/>
      <c r="E4416" s="23"/>
      <c r="G4416" s="23"/>
      <c r="H4416" s="23"/>
      <c r="J4416" s="23"/>
      <c r="K4416" s="23"/>
      <c r="M4416" s="23"/>
      <c r="N4416" s="23"/>
      <c r="P4416" s="23"/>
    </row>
    <row r="4417" spans="2:16" x14ac:dyDescent="0.25">
      <c r="B4417" s="23"/>
      <c r="E4417" s="23"/>
      <c r="G4417" s="23"/>
      <c r="H4417" s="23"/>
      <c r="J4417" s="23"/>
      <c r="K4417" s="23"/>
      <c r="M4417" s="23"/>
      <c r="N4417" s="23"/>
      <c r="P4417" s="23"/>
    </row>
    <row r="4418" spans="2:16" x14ac:dyDescent="0.25">
      <c r="B4418" s="23"/>
      <c r="E4418" s="23"/>
      <c r="G4418" s="23"/>
      <c r="H4418" s="23"/>
      <c r="J4418" s="23"/>
      <c r="K4418" s="23"/>
      <c r="M4418" s="23"/>
      <c r="N4418" s="23"/>
      <c r="P4418" s="23"/>
    </row>
    <row r="4419" spans="2:16" x14ac:dyDescent="0.25">
      <c r="B4419" s="23"/>
      <c r="E4419" s="23"/>
      <c r="G4419" s="23"/>
      <c r="H4419" s="23"/>
      <c r="J4419" s="23"/>
      <c r="K4419" s="23"/>
      <c r="M4419" s="23"/>
      <c r="N4419" s="23"/>
      <c r="P4419" s="23"/>
    </row>
    <row r="4420" spans="2:16" x14ac:dyDescent="0.25">
      <c r="B4420" s="23"/>
      <c r="E4420" s="23"/>
      <c r="G4420" s="23"/>
      <c r="H4420" s="23"/>
      <c r="J4420" s="23"/>
      <c r="K4420" s="23"/>
      <c r="M4420" s="23"/>
      <c r="N4420" s="23"/>
      <c r="P4420" s="23"/>
    </row>
    <row r="4421" spans="2:16" x14ac:dyDescent="0.25">
      <c r="B4421" s="23"/>
      <c r="E4421" s="23"/>
      <c r="G4421" s="23"/>
      <c r="H4421" s="23"/>
      <c r="J4421" s="23"/>
      <c r="K4421" s="23"/>
      <c r="M4421" s="23"/>
      <c r="N4421" s="23"/>
      <c r="P4421" s="23"/>
    </row>
    <row r="4422" spans="2:16" x14ac:dyDescent="0.25">
      <c r="B4422" s="23"/>
      <c r="E4422" s="23"/>
      <c r="G4422" s="23"/>
      <c r="H4422" s="23"/>
      <c r="J4422" s="23"/>
      <c r="K4422" s="23"/>
      <c r="M4422" s="23"/>
      <c r="N4422" s="23"/>
      <c r="P4422" s="23"/>
    </row>
    <row r="4423" spans="2:16" x14ac:dyDescent="0.25">
      <c r="B4423" s="23"/>
      <c r="E4423" s="23"/>
      <c r="G4423" s="23"/>
      <c r="H4423" s="23"/>
      <c r="J4423" s="23"/>
      <c r="K4423" s="23"/>
      <c r="M4423" s="23"/>
      <c r="N4423" s="23"/>
      <c r="P4423" s="23"/>
    </row>
    <row r="4424" spans="2:16" x14ac:dyDescent="0.25">
      <c r="B4424" s="23"/>
      <c r="E4424" s="23"/>
      <c r="G4424" s="23"/>
      <c r="H4424" s="23"/>
      <c r="J4424" s="23"/>
      <c r="K4424" s="23"/>
      <c r="M4424" s="23"/>
      <c r="N4424" s="23"/>
      <c r="P4424" s="23"/>
    </row>
    <row r="4425" spans="2:16" x14ac:dyDescent="0.25">
      <c r="B4425" s="23"/>
      <c r="E4425" s="23"/>
      <c r="G4425" s="23"/>
      <c r="H4425" s="23"/>
      <c r="J4425" s="23"/>
      <c r="K4425" s="23"/>
      <c r="M4425" s="23"/>
      <c r="N4425" s="23"/>
      <c r="P4425" s="23"/>
    </row>
    <row r="4426" spans="2:16" x14ac:dyDescent="0.25">
      <c r="B4426" s="23"/>
      <c r="E4426" s="23"/>
      <c r="G4426" s="23"/>
      <c r="H4426" s="23"/>
      <c r="J4426" s="23"/>
      <c r="K4426" s="23"/>
      <c r="M4426" s="23"/>
      <c r="N4426" s="23"/>
      <c r="P4426" s="23"/>
    </row>
    <row r="4427" spans="2:16" x14ac:dyDescent="0.25">
      <c r="B4427" s="23"/>
      <c r="E4427" s="23"/>
      <c r="G4427" s="23"/>
      <c r="H4427" s="23"/>
      <c r="J4427" s="23"/>
      <c r="K4427" s="23"/>
      <c r="M4427" s="23"/>
      <c r="N4427" s="23"/>
      <c r="P4427" s="23"/>
    </row>
    <row r="4428" spans="2:16" x14ac:dyDescent="0.25">
      <c r="B4428" s="23"/>
      <c r="E4428" s="23"/>
      <c r="G4428" s="23"/>
      <c r="H4428" s="23"/>
      <c r="J4428" s="23"/>
      <c r="K4428" s="23"/>
      <c r="M4428" s="23"/>
      <c r="N4428" s="23"/>
      <c r="P4428" s="23"/>
    </row>
    <row r="4429" spans="2:16" x14ac:dyDescent="0.25">
      <c r="B4429" s="23"/>
      <c r="E4429" s="23"/>
      <c r="G4429" s="23"/>
      <c r="H4429" s="23"/>
      <c r="J4429" s="23"/>
      <c r="K4429" s="23"/>
      <c r="M4429" s="23"/>
      <c r="N4429" s="23"/>
      <c r="P4429" s="23"/>
    </row>
    <row r="4430" spans="2:16" x14ac:dyDescent="0.25">
      <c r="B4430" s="23"/>
      <c r="E4430" s="23"/>
      <c r="G4430" s="23"/>
      <c r="H4430" s="23"/>
      <c r="J4430" s="23"/>
      <c r="K4430" s="23"/>
      <c r="M4430" s="23"/>
      <c r="N4430" s="23"/>
      <c r="P4430" s="23"/>
    </row>
    <row r="4431" spans="2:16" x14ac:dyDescent="0.25">
      <c r="B4431" s="23"/>
      <c r="E4431" s="23"/>
      <c r="G4431" s="23"/>
      <c r="H4431" s="23"/>
      <c r="J4431" s="23"/>
      <c r="K4431" s="23"/>
      <c r="M4431" s="23"/>
      <c r="N4431" s="23"/>
      <c r="P4431" s="23"/>
    </row>
    <row r="4432" spans="2:16" x14ac:dyDescent="0.25">
      <c r="B4432" s="23"/>
      <c r="E4432" s="23"/>
      <c r="G4432" s="23"/>
      <c r="H4432" s="23"/>
      <c r="J4432" s="23"/>
      <c r="K4432" s="23"/>
      <c r="M4432" s="23"/>
      <c r="N4432" s="23"/>
      <c r="P4432" s="23"/>
    </row>
    <row r="4433" spans="2:16" x14ac:dyDescent="0.25">
      <c r="B4433" s="23"/>
      <c r="E4433" s="23"/>
      <c r="G4433" s="23"/>
      <c r="H4433" s="23"/>
      <c r="J4433" s="23"/>
      <c r="K4433" s="23"/>
      <c r="M4433" s="23"/>
      <c r="N4433" s="23"/>
      <c r="P4433" s="23"/>
    </row>
    <row r="4434" spans="2:16" x14ac:dyDescent="0.25">
      <c r="B4434" s="23"/>
      <c r="E4434" s="23"/>
      <c r="G4434" s="23"/>
      <c r="H4434" s="23"/>
      <c r="J4434" s="23"/>
      <c r="K4434" s="23"/>
      <c r="M4434" s="23"/>
      <c r="N4434" s="23"/>
      <c r="P4434" s="23"/>
    </row>
    <row r="4435" spans="2:16" x14ac:dyDescent="0.25">
      <c r="B4435" s="23"/>
      <c r="E4435" s="23"/>
      <c r="G4435" s="23"/>
      <c r="H4435" s="23"/>
      <c r="J4435" s="23"/>
      <c r="K4435" s="23"/>
      <c r="M4435" s="23"/>
      <c r="N4435" s="23"/>
      <c r="P4435" s="23"/>
    </row>
    <row r="4436" spans="2:16" x14ac:dyDescent="0.25">
      <c r="B4436" s="23"/>
      <c r="E4436" s="23"/>
      <c r="G4436" s="23"/>
      <c r="H4436" s="23"/>
      <c r="J4436" s="23"/>
      <c r="K4436" s="23"/>
      <c r="M4436" s="23"/>
      <c r="N4436" s="23"/>
      <c r="P4436" s="23"/>
    </row>
    <row r="4437" spans="2:16" x14ac:dyDescent="0.25">
      <c r="B4437" s="23"/>
      <c r="E4437" s="23"/>
      <c r="G4437" s="23"/>
      <c r="H4437" s="23"/>
      <c r="J4437" s="23"/>
      <c r="K4437" s="23"/>
      <c r="M4437" s="23"/>
      <c r="N4437" s="23"/>
      <c r="P4437" s="23"/>
    </row>
    <row r="4438" spans="2:16" x14ac:dyDescent="0.25">
      <c r="B4438" s="23"/>
      <c r="E4438" s="23"/>
      <c r="G4438" s="23"/>
      <c r="H4438" s="23"/>
      <c r="J4438" s="23"/>
      <c r="K4438" s="23"/>
      <c r="M4438" s="23"/>
      <c r="N4438" s="23"/>
      <c r="P4438" s="23"/>
    </row>
    <row r="4439" spans="2:16" x14ac:dyDescent="0.25">
      <c r="B4439" s="23"/>
      <c r="E4439" s="23"/>
      <c r="G4439" s="23"/>
      <c r="H4439" s="23"/>
      <c r="J4439" s="23"/>
      <c r="K4439" s="23"/>
      <c r="M4439" s="23"/>
      <c r="N4439" s="23"/>
      <c r="P4439" s="23"/>
    </row>
    <row r="4440" spans="2:16" x14ac:dyDescent="0.25">
      <c r="B4440" s="23"/>
      <c r="E4440" s="23"/>
      <c r="G4440" s="23"/>
      <c r="H4440" s="23"/>
      <c r="J4440" s="23"/>
      <c r="K4440" s="23"/>
      <c r="M4440" s="23"/>
      <c r="N4440" s="23"/>
      <c r="P4440" s="23"/>
    </row>
    <row r="4441" spans="2:16" x14ac:dyDescent="0.25">
      <c r="B4441" s="23"/>
      <c r="E4441" s="23"/>
      <c r="G4441" s="23"/>
      <c r="H4441" s="23"/>
      <c r="J4441" s="23"/>
      <c r="K4441" s="23"/>
      <c r="M4441" s="23"/>
      <c r="N4441" s="23"/>
      <c r="P4441" s="23"/>
    </row>
    <row r="4442" spans="2:16" x14ac:dyDescent="0.25">
      <c r="B4442" s="23"/>
      <c r="E4442" s="23"/>
      <c r="G4442" s="23"/>
      <c r="H4442" s="23"/>
      <c r="J4442" s="23"/>
      <c r="K4442" s="23"/>
      <c r="M4442" s="23"/>
      <c r="N4442" s="23"/>
      <c r="P4442" s="23"/>
    </row>
    <row r="4443" spans="2:16" x14ac:dyDescent="0.25">
      <c r="B4443" s="23"/>
      <c r="E4443" s="23"/>
      <c r="G4443" s="23"/>
      <c r="H4443" s="23"/>
      <c r="J4443" s="23"/>
      <c r="K4443" s="23"/>
      <c r="M4443" s="23"/>
      <c r="N4443" s="23"/>
      <c r="P4443" s="23"/>
    </row>
    <row r="4444" spans="2:16" x14ac:dyDescent="0.25">
      <c r="B4444" s="23"/>
      <c r="E4444" s="23"/>
      <c r="G4444" s="23"/>
      <c r="H4444" s="23"/>
      <c r="J4444" s="23"/>
      <c r="K4444" s="23"/>
      <c r="M4444" s="23"/>
      <c r="N4444" s="23"/>
      <c r="P4444" s="23"/>
    </row>
    <row r="4445" spans="2:16" x14ac:dyDescent="0.25">
      <c r="B4445" s="23"/>
      <c r="E4445" s="23"/>
      <c r="G4445" s="23"/>
      <c r="H4445" s="23"/>
      <c r="J4445" s="23"/>
      <c r="K4445" s="23"/>
      <c r="M4445" s="23"/>
      <c r="N4445" s="23"/>
      <c r="P4445" s="23"/>
    </row>
    <row r="4446" spans="2:16" x14ac:dyDescent="0.25">
      <c r="B4446" s="23"/>
      <c r="E4446" s="23"/>
      <c r="G4446" s="23"/>
      <c r="H4446" s="23"/>
      <c r="J4446" s="23"/>
      <c r="K4446" s="23"/>
      <c r="M4446" s="23"/>
      <c r="N4446" s="23"/>
      <c r="P4446" s="23"/>
    </row>
    <row r="4447" spans="2:16" x14ac:dyDescent="0.25">
      <c r="B4447" s="23"/>
      <c r="E4447" s="23"/>
      <c r="G4447" s="23"/>
      <c r="H4447" s="23"/>
      <c r="J4447" s="23"/>
      <c r="K4447" s="23"/>
      <c r="M4447" s="23"/>
      <c r="N4447" s="23"/>
      <c r="P4447" s="23"/>
    </row>
    <row r="4448" spans="2:16" x14ac:dyDescent="0.25">
      <c r="B4448" s="23"/>
      <c r="E4448" s="23"/>
      <c r="G4448" s="23"/>
      <c r="H4448" s="23"/>
      <c r="J4448" s="23"/>
      <c r="K4448" s="23"/>
      <c r="M4448" s="23"/>
      <c r="N4448" s="23"/>
      <c r="P4448" s="23"/>
    </row>
    <row r="4449" spans="2:16" x14ac:dyDescent="0.25">
      <c r="B4449" s="23"/>
      <c r="E4449" s="23"/>
      <c r="G4449" s="23"/>
      <c r="H4449" s="23"/>
      <c r="J4449" s="23"/>
      <c r="K4449" s="23"/>
      <c r="M4449" s="23"/>
      <c r="N4449" s="23"/>
      <c r="P4449" s="23"/>
    </row>
    <row r="4450" spans="2:16" x14ac:dyDescent="0.25">
      <c r="B4450" s="23"/>
      <c r="E4450" s="23"/>
      <c r="G4450" s="23"/>
      <c r="H4450" s="23"/>
      <c r="J4450" s="23"/>
      <c r="K4450" s="23"/>
      <c r="M4450" s="23"/>
      <c r="N4450" s="23"/>
      <c r="P4450" s="23"/>
    </row>
    <row r="4451" spans="2:16" x14ac:dyDescent="0.25">
      <c r="B4451" s="23"/>
      <c r="E4451" s="23"/>
      <c r="G4451" s="23"/>
      <c r="H4451" s="23"/>
      <c r="J4451" s="23"/>
      <c r="K4451" s="23"/>
      <c r="M4451" s="23"/>
      <c r="N4451" s="23"/>
      <c r="P4451" s="23"/>
    </row>
    <row r="4452" spans="2:16" x14ac:dyDescent="0.25">
      <c r="B4452" s="23"/>
      <c r="E4452" s="23"/>
      <c r="G4452" s="23"/>
      <c r="H4452" s="23"/>
      <c r="J4452" s="23"/>
      <c r="K4452" s="23"/>
      <c r="M4452" s="23"/>
      <c r="N4452" s="23"/>
      <c r="P4452" s="23"/>
    </row>
    <row r="4453" spans="2:16" x14ac:dyDescent="0.25">
      <c r="B4453" s="23"/>
      <c r="E4453" s="23"/>
      <c r="G4453" s="23"/>
      <c r="H4453" s="23"/>
      <c r="J4453" s="23"/>
      <c r="K4453" s="23"/>
      <c r="M4453" s="23"/>
      <c r="N4453" s="23"/>
      <c r="P4453" s="23"/>
    </row>
    <row r="4454" spans="2:16" x14ac:dyDescent="0.25">
      <c r="B4454" s="23"/>
      <c r="E4454" s="23"/>
      <c r="G4454" s="23"/>
      <c r="H4454" s="23"/>
      <c r="J4454" s="23"/>
      <c r="K4454" s="23"/>
      <c r="M4454" s="23"/>
      <c r="N4454" s="23"/>
      <c r="P4454" s="23"/>
    </row>
    <row r="4455" spans="2:16" x14ac:dyDescent="0.25">
      <c r="B4455" s="23"/>
      <c r="E4455" s="23"/>
      <c r="G4455" s="23"/>
      <c r="H4455" s="23"/>
      <c r="J4455" s="23"/>
      <c r="K4455" s="23"/>
      <c r="M4455" s="23"/>
      <c r="N4455" s="23"/>
      <c r="P4455" s="23"/>
    </row>
    <row r="4456" spans="2:16" x14ac:dyDescent="0.25">
      <c r="B4456" s="23"/>
      <c r="E4456" s="23"/>
      <c r="G4456" s="23"/>
      <c r="H4456" s="23"/>
      <c r="J4456" s="23"/>
      <c r="K4456" s="23"/>
      <c r="M4456" s="23"/>
      <c r="N4456" s="23"/>
      <c r="P4456" s="23"/>
    </row>
    <row r="4457" spans="2:16" x14ac:dyDescent="0.25">
      <c r="B4457" s="23"/>
      <c r="E4457" s="23"/>
      <c r="G4457" s="23"/>
      <c r="H4457" s="23"/>
      <c r="J4457" s="23"/>
      <c r="K4457" s="23"/>
      <c r="M4457" s="23"/>
      <c r="N4457" s="23"/>
      <c r="P4457" s="23"/>
    </row>
    <row r="4458" spans="2:16" x14ac:dyDescent="0.25">
      <c r="B4458" s="23"/>
      <c r="E4458" s="23"/>
      <c r="G4458" s="23"/>
      <c r="H4458" s="23"/>
      <c r="J4458" s="23"/>
      <c r="K4458" s="23"/>
      <c r="M4458" s="23"/>
      <c r="N4458" s="23"/>
      <c r="P4458" s="23"/>
    </row>
    <row r="4459" spans="2:16" x14ac:dyDescent="0.25">
      <c r="B4459" s="23"/>
      <c r="E4459" s="23"/>
      <c r="G4459" s="23"/>
      <c r="H4459" s="23"/>
      <c r="J4459" s="23"/>
      <c r="K4459" s="23"/>
      <c r="M4459" s="23"/>
      <c r="N4459" s="23"/>
      <c r="P4459" s="23"/>
    </row>
    <row r="4460" spans="2:16" x14ac:dyDescent="0.25">
      <c r="B4460" s="23"/>
      <c r="E4460" s="23"/>
      <c r="G4460" s="23"/>
      <c r="H4460" s="23"/>
      <c r="J4460" s="23"/>
      <c r="K4460" s="23"/>
      <c r="M4460" s="23"/>
      <c r="N4460" s="23"/>
      <c r="P4460" s="23"/>
    </row>
    <row r="4461" spans="2:16" x14ac:dyDescent="0.25">
      <c r="B4461" s="23"/>
      <c r="E4461" s="23"/>
      <c r="G4461" s="23"/>
      <c r="H4461" s="23"/>
      <c r="J4461" s="23"/>
      <c r="K4461" s="23"/>
      <c r="M4461" s="23"/>
      <c r="N4461" s="23"/>
      <c r="P4461" s="23"/>
    </row>
    <row r="4462" spans="2:16" x14ac:dyDescent="0.25">
      <c r="B4462" s="23"/>
      <c r="E4462" s="23"/>
      <c r="G4462" s="23"/>
      <c r="H4462" s="23"/>
      <c r="J4462" s="23"/>
      <c r="K4462" s="23"/>
      <c r="M4462" s="23"/>
      <c r="N4462" s="23"/>
      <c r="P4462" s="23"/>
    </row>
    <row r="4463" spans="2:16" x14ac:dyDescent="0.25">
      <c r="B4463" s="23"/>
      <c r="E4463" s="23"/>
      <c r="G4463" s="23"/>
      <c r="H4463" s="23"/>
      <c r="J4463" s="23"/>
      <c r="K4463" s="23"/>
      <c r="M4463" s="23"/>
      <c r="N4463" s="23"/>
      <c r="P4463" s="23"/>
    </row>
    <row r="4464" spans="2:16" x14ac:dyDescent="0.25">
      <c r="B4464" s="23"/>
      <c r="E4464" s="23"/>
      <c r="G4464" s="23"/>
      <c r="H4464" s="23"/>
      <c r="J4464" s="23"/>
      <c r="K4464" s="23"/>
      <c r="M4464" s="23"/>
      <c r="N4464" s="23"/>
      <c r="P4464" s="23"/>
    </row>
    <row r="4465" spans="2:16" x14ac:dyDescent="0.25">
      <c r="B4465" s="23"/>
      <c r="E4465" s="23"/>
      <c r="G4465" s="23"/>
      <c r="H4465" s="23"/>
      <c r="J4465" s="23"/>
      <c r="K4465" s="23"/>
      <c r="M4465" s="23"/>
      <c r="N4465" s="23"/>
      <c r="P4465" s="23"/>
    </row>
    <row r="4466" spans="2:16" x14ac:dyDescent="0.25">
      <c r="B4466" s="23"/>
      <c r="E4466" s="23"/>
      <c r="G4466" s="23"/>
      <c r="H4466" s="23"/>
      <c r="J4466" s="23"/>
      <c r="K4466" s="23"/>
      <c r="M4466" s="23"/>
      <c r="N4466" s="23"/>
      <c r="P4466" s="23"/>
    </row>
    <row r="4467" spans="2:16" x14ac:dyDescent="0.25">
      <c r="B4467" s="23"/>
      <c r="E4467" s="23"/>
      <c r="G4467" s="23"/>
      <c r="H4467" s="23"/>
      <c r="J4467" s="23"/>
      <c r="K4467" s="23"/>
      <c r="M4467" s="23"/>
      <c r="N4467" s="23"/>
      <c r="P4467" s="23"/>
    </row>
    <row r="4468" spans="2:16" x14ac:dyDescent="0.25">
      <c r="B4468" s="23"/>
      <c r="E4468" s="23"/>
      <c r="G4468" s="23"/>
      <c r="H4468" s="23"/>
      <c r="J4468" s="23"/>
      <c r="K4468" s="23"/>
      <c r="M4468" s="23"/>
      <c r="N4468" s="23"/>
      <c r="P4468" s="23"/>
    </row>
    <row r="4469" spans="2:16" x14ac:dyDescent="0.25">
      <c r="B4469" s="23"/>
      <c r="E4469" s="23"/>
      <c r="G4469" s="23"/>
      <c r="H4469" s="23"/>
      <c r="J4469" s="23"/>
      <c r="K4469" s="23"/>
      <c r="M4469" s="23"/>
      <c r="N4469" s="23"/>
      <c r="P4469" s="23"/>
    </row>
    <row r="4470" spans="2:16" x14ac:dyDescent="0.25">
      <c r="B4470" s="23"/>
      <c r="E4470" s="23"/>
      <c r="G4470" s="23"/>
      <c r="H4470" s="23"/>
      <c r="J4470" s="23"/>
      <c r="K4470" s="23"/>
      <c r="M4470" s="23"/>
      <c r="N4470" s="23"/>
      <c r="P4470" s="23"/>
    </row>
    <row r="4471" spans="2:16" x14ac:dyDescent="0.25">
      <c r="B4471" s="23"/>
      <c r="E4471" s="23"/>
      <c r="G4471" s="23"/>
      <c r="H4471" s="23"/>
      <c r="J4471" s="23"/>
      <c r="K4471" s="23"/>
      <c r="M4471" s="23"/>
      <c r="N4471" s="23"/>
      <c r="P4471" s="23"/>
    </row>
    <row r="4472" spans="2:16" x14ac:dyDescent="0.25">
      <c r="B4472" s="23"/>
      <c r="E4472" s="23"/>
      <c r="G4472" s="23"/>
      <c r="H4472" s="23"/>
      <c r="J4472" s="23"/>
      <c r="K4472" s="23"/>
      <c r="M4472" s="23"/>
      <c r="N4472" s="23"/>
      <c r="P4472" s="23"/>
    </row>
    <row r="4473" spans="2:16" x14ac:dyDescent="0.25">
      <c r="B4473" s="23"/>
      <c r="E4473" s="23"/>
      <c r="G4473" s="23"/>
      <c r="H4473" s="23"/>
      <c r="J4473" s="23"/>
      <c r="K4473" s="23"/>
      <c r="M4473" s="23"/>
      <c r="N4473" s="23"/>
      <c r="P4473" s="23"/>
    </row>
    <row r="4474" spans="2:16" x14ac:dyDescent="0.25">
      <c r="B4474" s="23"/>
      <c r="E4474" s="23"/>
      <c r="G4474" s="23"/>
      <c r="H4474" s="23"/>
      <c r="J4474" s="23"/>
      <c r="K4474" s="23"/>
      <c r="M4474" s="23"/>
      <c r="N4474" s="23"/>
      <c r="P4474" s="23"/>
    </row>
    <row r="4475" spans="2:16" x14ac:dyDescent="0.25">
      <c r="B4475" s="23"/>
      <c r="E4475" s="23"/>
      <c r="G4475" s="23"/>
      <c r="H4475" s="23"/>
      <c r="J4475" s="23"/>
      <c r="K4475" s="23"/>
      <c r="M4475" s="23"/>
      <c r="N4475" s="23"/>
      <c r="P4475" s="23"/>
    </row>
    <row r="4476" spans="2:16" x14ac:dyDescent="0.25">
      <c r="B4476" s="23"/>
      <c r="E4476" s="23"/>
      <c r="G4476" s="23"/>
      <c r="H4476" s="23"/>
      <c r="J4476" s="23"/>
      <c r="K4476" s="23"/>
      <c r="M4476" s="23"/>
      <c r="N4476" s="23"/>
      <c r="P4476" s="23"/>
    </row>
    <row r="4477" spans="2:16" x14ac:dyDescent="0.25">
      <c r="B4477" s="23"/>
      <c r="E4477" s="23"/>
      <c r="G4477" s="23"/>
      <c r="H4477" s="23"/>
      <c r="J4477" s="23"/>
      <c r="K4477" s="23"/>
      <c r="M4477" s="23"/>
      <c r="N4477" s="23"/>
      <c r="P4477" s="23"/>
    </row>
    <row r="4478" spans="2:16" x14ac:dyDescent="0.25">
      <c r="B4478" s="23"/>
      <c r="E4478" s="23"/>
      <c r="G4478" s="23"/>
      <c r="H4478" s="23"/>
      <c r="J4478" s="23"/>
      <c r="K4478" s="23"/>
      <c r="M4478" s="23"/>
      <c r="N4478" s="23"/>
      <c r="P4478" s="23"/>
    </row>
    <row r="4479" spans="2:16" x14ac:dyDescent="0.25">
      <c r="B4479" s="23"/>
      <c r="E4479" s="23"/>
      <c r="G4479" s="23"/>
      <c r="H4479" s="23"/>
      <c r="J4479" s="23"/>
      <c r="K4479" s="23"/>
      <c r="M4479" s="23"/>
      <c r="N4479" s="23"/>
      <c r="P4479" s="23"/>
    </row>
    <row r="4480" spans="2:16" x14ac:dyDescent="0.25">
      <c r="B4480" s="23"/>
      <c r="E4480" s="23"/>
      <c r="G4480" s="23"/>
      <c r="H4480" s="23"/>
      <c r="J4480" s="23"/>
      <c r="K4480" s="23"/>
      <c r="M4480" s="23"/>
      <c r="N4480" s="23"/>
      <c r="P4480" s="23"/>
    </row>
    <row r="4481" spans="2:16" x14ac:dyDescent="0.25">
      <c r="B4481" s="23"/>
      <c r="E4481" s="23"/>
      <c r="G4481" s="23"/>
      <c r="H4481" s="23"/>
      <c r="J4481" s="23"/>
      <c r="K4481" s="23"/>
      <c r="M4481" s="23"/>
      <c r="N4481" s="23"/>
      <c r="P4481" s="23"/>
    </row>
    <row r="4482" spans="2:16" x14ac:dyDescent="0.25">
      <c r="B4482" s="23"/>
      <c r="E4482" s="23"/>
      <c r="G4482" s="23"/>
      <c r="H4482" s="23"/>
      <c r="J4482" s="23"/>
      <c r="K4482" s="23"/>
      <c r="M4482" s="23"/>
      <c r="N4482" s="23"/>
      <c r="P4482" s="23"/>
    </row>
    <row r="4483" spans="2:16" x14ac:dyDescent="0.25">
      <c r="B4483" s="23"/>
      <c r="E4483" s="23"/>
      <c r="G4483" s="23"/>
      <c r="H4483" s="23"/>
      <c r="J4483" s="23"/>
      <c r="K4483" s="23"/>
      <c r="M4483" s="23"/>
      <c r="N4483" s="23"/>
      <c r="P4483" s="23"/>
    </row>
    <row r="4484" spans="2:16" x14ac:dyDescent="0.25">
      <c r="B4484" s="23"/>
      <c r="E4484" s="23"/>
      <c r="G4484" s="23"/>
      <c r="H4484" s="23"/>
      <c r="J4484" s="23"/>
      <c r="K4484" s="23"/>
      <c r="M4484" s="23"/>
      <c r="N4484" s="23"/>
      <c r="P4484" s="23"/>
    </row>
    <row r="4485" spans="2:16" x14ac:dyDescent="0.25">
      <c r="B4485" s="23"/>
      <c r="E4485" s="23"/>
      <c r="G4485" s="23"/>
      <c r="H4485" s="23"/>
      <c r="J4485" s="23"/>
      <c r="K4485" s="23"/>
      <c r="M4485" s="23"/>
      <c r="N4485" s="23"/>
      <c r="P4485" s="23"/>
    </row>
    <row r="4486" spans="2:16" x14ac:dyDescent="0.25">
      <c r="B4486" s="23"/>
      <c r="E4486" s="23"/>
      <c r="G4486" s="23"/>
      <c r="H4486" s="23"/>
      <c r="J4486" s="23"/>
      <c r="K4486" s="23"/>
      <c r="M4486" s="23"/>
      <c r="N4486" s="23"/>
      <c r="P4486" s="23"/>
    </row>
    <row r="4487" spans="2:16" x14ac:dyDescent="0.25">
      <c r="B4487" s="23"/>
      <c r="E4487" s="23"/>
      <c r="G4487" s="23"/>
      <c r="H4487" s="23"/>
      <c r="J4487" s="23"/>
      <c r="K4487" s="23"/>
      <c r="M4487" s="23"/>
      <c r="N4487" s="23"/>
      <c r="P4487" s="23"/>
    </row>
    <row r="4488" spans="2:16" x14ac:dyDescent="0.25">
      <c r="B4488" s="23"/>
      <c r="E4488" s="23"/>
      <c r="G4488" s="23"/>
      <c r="H4488" s="23"/>
      <c r="J4488" s="23"/>
      <c r="K4488" s="23"/>
      <c r="M4488" s="23"/>
      <c r="N4488" s="23"/>
      <c r="P4488" s="23"/>
    </row>
    <row r="4489" spans="2:16" x14ac:dyDescent="0.25">
      <c r="B4489" s="23"/>
      <c r="E4489" s="23"/>
      <c r="G4489" s="23"/>
      <c r="H4489" s="23"/>
      <c r="J4489" s="23"/>
      <c r="K4489" s="23"/>
      <c r="M4489" s="23"/>
      <c r="N4489" s="23"/>
      <c r="P4489" s="23"/>
    </row>
    <row r="4490" spans="2:16" x14ac:dyDescent="0.25">
      <c r="B4490" s="23"/>
      <c r="E4490" s="23"/>
      <c r="G4490" s="23"/>
      <c r="H4490" s="23"/>
      <c r="J4490" s="23"/>
      <c r="K4490" s="23"/>
      <c r="M4490" s="23"/>
      <c r="N4490" s="23"/>
      <c r="P4490" s="23"/>
    </row>
    <row r="4491" spans="2:16" x14ac:dyDescent="0.25">
      <c r="B4491" s="23"/>
      <c r="E4491" s="23"/>
      <c r="G4491" s="23"/>
      <c r="H4491" s="23"/>
      <c r="J4491" s="23"/>
      <c r="K4491" s="23"/>
      <c r="M4491" s="23"/>
      <c r="N4491" s="23"/>
      <c r="P4491" s="23"/>
    </row>
    <row r="4492" spans="2:16" x14ac:dyDescent="0.25">
      <c r="B4492" s="23"/>
      <c r="E4492" s="23"/>
      <c r="G4492" s="23"/>
      <c r="H4492" s="23"/>
      <c r="J4492" s="23"/>
      <c r="K4492" s="23"/>
      <c r="M4492" s="23"/>
      <c r="N4492" s="23"/>
      <c r="P4492" s="23"/>
    </row>
    <row r="4493" spans="2:16" x14ac:dyDescent="0.25">
      <c r="B4493" s="23"/>
      <c r="E4493" s="23"/>
      <c r="G4493" s="23"/>
      <c r="H4493" s="23"/>
      <c r="J4493" s="23"/>
      <c r="K4493" s="23"/>
      <c r="M4493" s="23"/>
      <c r="N4493" s="23"/>
      <c r="P4493" s="23"/>
    </row>
    <row r="4494" spans="2:16" x14ac:dyDescent="0.25">
      <c r="B4494" s="23"/>
      <c r="E4494" s="23"/>
      <c r="G4494" s="23"/>
      <c r="H4494" s="23"/>
      <c r="J4494" s="23"/>
      <c r="K4494" s="23"/>
      <c r="M4494" s="23"/>
      <c r="N4494" s="23"/>
      <c r="P4494" s="23"/>
    </row>
    <row r="4495" spans="2:16" x14ac:dyDescent="0.25">
      <c r="B4495" s="23"/>
      <c r="E4495" s="23"/>
      <c r="G4495" s="23"/>
      <c r="H4495" s="23"/>
      <c r="J4495" s="23"/>
      <c r="K4495" s="23"/>
      <c r="M4495" s="23"/>
      <c r="N4495" s="23"/>
      <c r="P4495" s="23"/>
    </row>
    <row r="4496" spans="2:16" x14ac:dyDescent="0.25">
      <c r="B4496" s="23"/>
      <c r="E4496" s="23"/>
      <c r="G4496" s="23"/>
      <c r="H4496" s="23"/>
      <c r="J4496" s="23"/>
      <c r="K4496" s="23"/>
      <c r="M4496" s="23"/>
      <c r="N4496" s="23"/>
      <c r="P4496" s="23"/>
    </row>
    <row r="4497" spans="2:16" x14ac:dyDescent="0.25">
      <c r="B4497" s="23"/>
      <c r="E4497" s="23"/>
      <c r="G4497" s="23"/>
      <c r="H4497" s="23"/>
      <c r="J4497" s="23"/>
      <c r="K4497" s="23"/>
      <c r="M4497" s="23"/>
      <c r="N4497" s="23"/>
      <c r="P4497" s="23"/>
    </row>
    <row r="4498" spans="2:16" x14ac:dyDescent="0.25">
      <c r="B4498" s="23"/>
      <c r="E4498" s="23"/>
      <c r="G4498" s="23"/>
      <c r="H4498" s="23"/>
      <c r="J4498" s="23"/>
      <c r="K4498" s="23"/>
      <c r="M4498" s="23"/>
      <c r="N4498" s="23"/>
      <c r="P4498" s="23"/>
    </row>
    <row r="4499" spans="2:16" x14ac:dyDescent="0.25">
      <c r="B4499" s="23"/>
      <c r="E4499" s="23"/>
      <c r="G4499" s="23"/>
      <c r="H4499" s="23"/>
      <c r="J4499" s="23"/>
      <c r="K4499" s="23"/>
      <c r="M4499" s="23"/>
      <c r="N4499" s="23"/>
      <c r="P4499" s="23"/>
    </row>
    <row r="4500" spans="2:16" x14ac:dyDescent="0.25">
      <c r="B4500" s="23"/>
      <c r="E4500" s="23"/>
      <c r="G4500" s="23"/>
      <c r="H4500" s="23"/>
      <c r="J4500" s="23"/>
      <c r="K4500" s="23"/>
      <c r="M4500" s="23"/>
      <c r="N4500" s="23"/>
      <c r="P4500" s="23"/>
    </row>
    <row r="4501" spans="2:16" x14ac:dyDescent="0.25">
      <c r="B4501" s="23"/>
      <c r="E4501" s="23"/>
      <c r="G4501" s="23"/>
      <c r="H4501" s="23"/>
      <c r="J4501" s="23"/>
      <c r="K4501" s="23"/>
      <c r="M4501" s="23"/>
      <c r="N4501" s="23"/>
      <c r="P4501" s="23"/>
    </row>
    <row r="4502" spans="2:16" x14ac:dyDescent="0.25">
      <c r="B4502" s="23"/>
      <c r="E4502" s="23"/>
      <c r="G4502" s="23"/>
      <c r="H4502" s="23"/>
      <c r="J4502" s="23"/>
      <c r="K4502" s="23"/>
      <c r="M4502" s="23"/>
      <c r="N4502" s="23"/>
      <c r="P4502" s="23"/>
    </row>
    <row r="4503" spans="2:16" x14ac:dyDescent="0.25">
      <c r="B4503" s="23"/>
      <c r="E4503" s="23"/>
      <c r="G4503" s="23"/>
      <c r="H4503" s="23"/>
      <c r="J4503" s="23"/>
      <c r="K4503" s="23"/>
      <c r="M4503" s="23"/>
      <c r="N4503" s="23"/>
      <c r="P4503" s="23"/>
    </row>
    <row r="4504" spans="2:16" x14ac:dyDescent="0.25">
      <c r="B4504" s="23"/>
      <c r="E4504" s="23"/>
      <c r="G4504" s="23"/>
      <c r="H4504" s="23"/>
      <c r="J4504" s="23"/>
      <c r="K4504" s="23"/>
      <c r="M4504" s="23"/>
      <c r="N4504" s="23"/>
      <c r="P4504" s="23"/>
    </row>
    <row r="4505" spans="2:16" x14ac:dyDescent="0.25">
      <c r="B4505" s="23"/>
      <c r="E4505" s="23"/>
      <c r="G4505" s="23"/>
      <c r="H4505" s="23"/>
      <c r="J4505" s="23"/>
      <c r="K4505" s="23"/>
      <c r="M4505" s="23"/>
      <c r="N4505" s="23"/>
      <c r="P4505" s="23"/>
    </row>
    <row r="4506" spans="2:16" x14ac:dyDescent="0.25">
      <c r="B4506" s="23"/>
      <c r="E4506" s="23"/>
      <c r="G4506" s="23"/>
      <c r="H4506" s="23"/>
      <c r="J4506" s="23"/>
      <c r="K4506" s="23"/>
      <c r="M4506" s="23"/>
      <c r="N4506" s="23"/>
      <c r="P4506" s="23"/>
    </row>
    <row r="4507" spans="2:16" x14ac:dyDescent="0.25">
      <c r="B4507" s="23"/>
      <c r="E4507" s="23"/>
      <c r="G4507" s="23"/>
      <c r="H4507" s="23"/>
      <c r="J4507" s="23"/>
      <c r="K4507" s="23"/>
      <c r="M4507" s="23"/>
      <c r="N4507" s="23"/>
      <c r="P4507" s="23"/>
    </row>
    <row r="4508" spans="2:16" x14ac:dyDescent="0.25">
      <c r="B4508" s="23"/>
      <c r="E4508" s="23"/>
      <c r="G4508" s="23"/>
      <c r="H4508" s="23"/>
      <c r="J4508" s="23"/>
      <c r="K4508" s="23"/>
      <c r="M4508" s="23"/>
      <c r="N4508" s="23"/>
      <c r="P4508" s="23"/>
    </row>
    <row r="4509" spans="2:16" x14ac:dyDescent="0.25">
      <c r="B4509" s="23"/>
      <c r="E4509" s="23"/>
      <c r="G4509" s="23"/>
      <c r="H4509" s="23"/>
      <c r="J4509" s="23"/>
      <c r="K4509" s="23"/>
      <c r="M4509" s="23"/>
      <c r="N4509" s="23"/>
      <c r="P4509" s="23"/>
    </row>
    <row r="4510" spans="2:16" x14ac:dyDescent="0.25">
      <c r="B4510" s="23"/>
      <c r="E4510" s="23"/>
      <c r="G4510" s="23"/>
      <c r="H4510" s="23"/>
      <c r="J4510" s="23"/>
      <c r="K4510" s="23"/>
      <c r="M4510" s="23"/>
      <c r="N4510" s="23"/>
      <c r="P4510" s="23"/>
    </row>
    <row r="4511" spans="2:16" x14ac:dyDescent="0.25">
      <c r="B4511" s="23"/>
      <c r="E4511" s="23"/>
      <c r="G4511" s="23"/>
      <c r="H4511" s="23"/>
      <c r="J4511" s="23"/>
      <c r="K4511" s="23"/>
      <c r="M4511" s="23"/>
      <c r="N4511" s="23"/>
      <c r="P4511" s="23"/>
    </row>
    <row r="4512" spans="2:16" x14ac:dyDescent="0.25">
      <c r="B4512" s="23"/>
      <c r="E4512" s="23"/>
      <c r="G4512" s="23"/>
      <c r="H4512" s="23"/>
      <c r="J4512" s="23"/>
      <c r="K4512" s="23"/>
      <c r="M4512" s="23"/>
      <c r="N4512" s="23"/>
      <c r="P4512" s="23"/>
    </row>
    <row r="4513" spans="2:16" x14ac:dyDescent="0.25">
      <c r="B4513" s="23"/>
      <c r="E4513" s="23"/>
      <c r="G4513" s="23"/>
      <c r="H4513" s="23"/>
      <c r="J4513" s="23"/>
      <c r="K4513" s="23"/>
      <c r="M4513" s="23"/>
      <c r="N4513" s="23"/>
      <c r="P4513" s="23"/>
    </row>
    <row r="4514" spans="2:16" x14ac:dyDescent="0.25">
      <c r="B4514" s="23"/>
      <c r="E4514" s="23"/>
      <c r="G4514" s="23"/>
      <c r="H4514" s="23"/>
      <c r="J4514" s="23"/>
      <c r="K4514" s="23"/>
      <c r="M4514" s="23"/>
      <c r="N4514" s="23"/>
      <c r="P4514" s="23"/>
    </row>
    <row r="4515" spans="2:16" x14ac:dyDescent="0.25">
      <c r="B4515" s="23"/>
      <c r="E4515" s="23"/>
      <c r="G4515" s="23"/>
      <c r="H4515" s="23"/>
      <c r="J4515" s="23"/>
      <c r="K4515" s="23"/>
      <c r="M4515" s="23"/>
      <c r="N4515" s="23"/>
      <c r="P4515" s="23"/>
    </row>
    <row r="4516" spans="2:16" x14ac:dyDescent="0.25">
      <c r="B4516" s="23"/>
      <c r="E4516" s="23"/>
      <c r="G4516" s="23"/>
      <c r="H4516" s="23"/>
      <c r="J4516" s="23"/>
      <c r="K4516" s="23"/>
      <c r="M4516" s="23"/>
      <c r="N4516" s="23"/>
      <c r="P4516" s="23"/>
    </row>
    <row r="4517" spans="2:16" x14ac:dyDescent="0.25">
      <c r="B4517" s="23"/>
      <c r="E4517" s="23"/>
      <c r="G4517" s="23"/>
      <c r="H4517" s="23"/>
      <c r="J4517" s="23"/>
      <c r="K4517" s="23"/>
      <c r="M4517" s="23"/>
      <c r="N4517" s="23"/>
      <c r="P4517" s="23"/>
    </row>
    <row r="4518" spans="2:16" x14ac:dyDescent="0.25">
      <c r="B4518" s="23"/>
      <c r="E4518" s="23"/>
      <c r="G4518" s="23"/>
      <c r="H4518" s="23"/>
      <c r="J4518" s="23"/>
      <c r="K4518" s="23"/>
      <c r="M4518" s="23"/>
      <c r="N4518" s="23"/>
      <c r="P4518" s="23"/>
    </row>
    <row r="4519" spans="2:16" x14ac:dyDescent="0.25">
      <c r="B4519" s="23"/>
      <c r="E4519" s="23"/>
      <c r="G4519" s="23"/>
      <c r="H4519" s="23"/>
      <c r="J4519" s="23"/>
      <c r="K4519" s="23"/>
      <c r="M4519" s="23"/>
      <c r="N4519" s="23"/>
      <c r="P4519" s="23"/>
    </row>
    <row r="4520" spans="2:16" x14ac:dyDescent="0.25">
      <c r="B4520" s="23"/>
      <c r="E4520" s="23"/>
      <c r="G4520" s="23"/>
      <c r="H4520" s="23"/>
      <c r="J4520" s="23"/>
      <c r="K4520" s="23"/>
      <c r="M4520" s="23"/>
      <c r="N4520" s="23"/>
      <c r="P4520" s="23"/>
    </row>
    <row r="4521" spans="2:16" x14ac:dyDescent="0.25">
      <c r="B4521" s="23"/>
      <c r="E4521" s="23"/>
      <c r="G4521" s="23"/>
      <c r="H4521" s="23"/>
      <c r="J4521" s="23"/>
      <c r="K4521" s="23"/>
      <c r="M4521" s="23"/>
      <c r="N4521" s="23"/>
      <c r="P4521" s="23"/>
    </row>
    <row r="4522" spans="2:16" x14ac:dyDescent="0.25">
      <c r="B4522" s="23"/>
      <c r="E4522" s="23"/>
      <c r="G4522" s="23"/>
      <c r="H4522" s="23"/>
      <c r="J4522" s="23"/>
      <c r="K4522" s="23"/>
      <c r="M4522" s="23"/>
      <c r="N4522" s="23"/>
      <c r="P4522" s="23"/>
    </row>
    <row r="4523" spans="2:16" x14ac:dyDescent="0.25">
      <c r="B4523" s="23"/>
      <c r="E4523" s="23"/>
      <c r="G4523" s="23"/>
      <c r="H4523" s="23"/>
      <c r="J4523" s="23"/>
      <c r="K4523" s="23"/>
      <c r="M4523" s="23"/>
      <c r="N4523" s="23"/>
      <c r="P4523" s="23"/>
    </row>
    <row r="4524" spans="2:16" x14ac:dyDescent="0.25">
      <c r="B4524" s="23"/>
      <c r="E4524" s="23"/>
      <c r="G4524" s="23"/>
      <c r="H4524" s="23"/>
      <c r="J4524" s="23"/>
      <c r="K4524" s="23"/>
      <c r="M4524" s="23"/>
      <c r="N4524" s="23"/>
      <c r="P4524" s="23"/>
    </row>
    <row r="4525" spans="2:16" x14ac:dyDescent="0.25">
      <c r="B4525" s="23"/>
      <c r="E4525" s="23"/>
      <c r="G4525" s="23"/>
      <c r="H4525" s="23"/>
      <c r="J4525" s="23"/>
      <c r="K4525" s="23"/>
      <c r="M4525" s="23"/>
      <c r="N4525" s="23"/>
      <c r="P4525" s="23"/>
    </row>
    <row r="4526" spans="2:16" x14ac:dyDescent="0.25">
      <c r="B4526" s="23"/>
      <c r="E4526" s="23"/>
      <c r="G4526" s="23"/>
      <c r="H4526" s="23"/>
      <c r="J4526" s="23"/>
      <c r="K4526" s="23"/>
      <c r="M4526" s="23"/>
      <c r="N4526" s="23"/>
      <c r="P4526" s="23"/>
    </row>
    <row r="4527" spans="2:16" x14ac:dyDescent="0.25">
      <c r="B4527" s="23"/>
      <c r="E4527" s="23"/>
      <c r="G4527" s="23"/>
      <c r="H4527" s="23"/>
      <c r="J4527" s="23"/>
      <c r="K4527" s="23"/>
      <c r="M4527" s="23"/>
      <c r="N4527" s="23"/>
      <c r="P4527" s="23"/>
    </row>
    <row r="4528" spans="2:16" x14ac:dyDescent="0.25">
      <c r="B4528" s="23"/>
      <c r="E4528" s="23"/>
      <c r="G4528" s="23"/>
      <c r="H4528" s="23"/>
      <c r="J4528" s="23"/>
      <c r="K4528" s="23"/>
      <c r="M4528" s="23"/>
      <c r="N4528" s="23"/>
      <c r="P4528" s="23"/>
    </row>
    <row r="4529" spans="2:16" x14ac:dyDescent="0.25">
      <c r="B4529" s="23"/>
      <c r="E4529" s="23"/>
      <c r="G4529" s="23"/>
      <c r="H4529" s="23"/>
      <c r="J4529" s="23"/>
      <c r="K4529" s="23"/>
      <c r="M4529" s="23"/>
      <c r="N4529" s="23"/>
      <c r="P4529" s="23"/>
    </row>
    <row r="4530" spans="2:16" x14ac:dyDescent="0.25">
      <c r="B4530" s="23"/>
      <c r="E4530" s="23"/>
      <c r="G4530" s="23"/>
      <c r="H4530" s="23"/>
      <c r="J4530" s="23"/>
      <c r="K4530" s="23"/>
      <c r="M4530" s="23"/>
      <c r="N4530" s="23"/>
      <c r="P4530" s="23"/>
    </row>
    <row r="4531" spans="2:16" x14ac:dyDescent="0.25">
      <c r="B4531" s="23"/>
      <c r="E4531" s="23"/>
      <c r="G4531" s="23"/>
      <c r="H4531" s="23"/>
      <c r="J4531" s="23"/>
      <c r="K4531" s="23"/>
      <c r="M4531" s="23"/>
      <c r="N4531" s="23"/>
      <c r="P4531" s="23"/>
    </row>
    <row r="4532" spans="2:16" x14ac:dyDescent="0.25">
      <c r="B4532" s="23"/>
      <c r="E4532" s="23"/>
      <c r="G4532" s="23"/>
      <c r="H4532" s="23"/>
      <c r="J4532" s="23"/>
      <c r="K4532" s="23"/>
      <c r="M4532" s="23"/>
      <c r="N4532" s="23"/>
      <c r="P4532" s="23"/>
    </row>
    <row r="4533" spans="2:16" x14ac:dyDescent="0.25">
      <c r="B4533" s="23"/>
      <c r="E4533" s="23"/>
      <c r="G4533" s="23"/>
      <c r="H4533" s="23"/>
      <c r="J4533" s="23"/>
      <c r="K4533" s="23"/>
      <c r="M4533" s="23"/>
      <c r="N4533" s="23"/>
      <c r="P4533" s="23"/>
    </row>
    <row r="4534" spans="2:16" x14ac:dyDescent="0.25">
      <c r="B4534" s="23"/>
      <c r="E4534" s="23"/>
      <c r="G4534" s="23"/>
      <c r="H4534" s="23"/>
      <c r="J4534" s="23"/>
      <c r="K4534" s="23"/>
      <c r="M4534" s="23"/>
      <c r="N4534" s="23"/>
      <c r="P4534" s="23"/>
    </row>
    <row r="4535" spans="2:16" x14ac:dyDescent="0.25">
      <c r="B4535" s="23"/>
      <c r="E4535" s="23"/>
      <c r="G4535" s="23"/>
      <c r="H4535" s="23"/>
      <c r="J4535" s="23"/>
      <c r="K4535" s="23"/>
      <c r="M4535" s="23"/>
      <c r="N4535" s="23"/>
      <c r="P4535" s="23"/>
    </row>
    <row r="4536" spans="2:16" x14ac:dyDescent="0.25">
      <c r="B4536" s="23"/>
      <c r="E4536" s="23"/>
      <c r="G4536" s="23"/>
      <c r="H4536" s="23"/>
      <c r="J4536" s="23"/>
      <c r="K4536" s="23"/>
      <c r="M4536" s="23"/>
      <c r="N4536" s="23"/>
      <c r="P4536" s="23"/>
    </row>
    <row r="4537" spans="2:16" x14ac:dyDescent="0.25">
      <c r="B4537" s="23"/>
      <c r="E4537" s="23"/>
      <c r="G4537" s="23"/>
      <c r="H4537" s="23"/>
      <c r="J4537" s="23"/>
      <c r="K4537" s="23"/>
      <c r="M4537" s="23"/>
      <c r="N4537" s="23"/>
      <c r="P4537" s="23"/>
    </row>
    <row r="4538" spans="2:16" x14ac:dyDescent="0.25">
      <c r="B4538" s="23"/>
      <c r="E4538" s="23"/>
      <c r="G4538" s="23"/>
      <c r="H4538" s="23"/>
      <c r="J4538" s="23"/>
      <c r="K4538" s="23"/>
      <c r="M4538" s="23"/>
      <c r="N4538" s="23"/>
      <c r="P4538" s="23"/>
    </row>
    <row r="4539" spans="2:16" x14ac:dyDescent="0.25">
      <c r="B4539" s="23"/>
      <c r="E4539" s="23"/>
      <c r="G4539" s="23"/>
      <c r="H4539" s="23"/>
      <c r="J4539" s="23"/>
      <c r="K4539" s="23"/>
      <c r="M4539" s="23"/>
      <c r="N4539" s="23"/>
      <c r="P4539" s="23"/>
    </row>
    <row r="4540" spans="2:16" x14ac:dyDescent="0.25">
      <c r="B4540" s="23"/>
      <c r="E4540" s="23"/>
      <c r="G4540" s="23"/>
      <c r="H4540" s="23"/>
      <c r="J4540" s="23"/>
      <c r="K4540" s="23"/>
      <c r="M4540" s="23"/>
      <c r="N4540" s="23"/>
      <c r="P4540" s="23"/>
    </row>
    <row r="4541" spans="2:16" x14ac:dyDescent="0.25">
      <c r="B4541" s="23"/>
      <c r="E4541" s="23"/>
      <c r="G4541" s="23"/>
      <c r="H4541" s="23"/>
      <c r="J4541" s="23"/>
      <c r="K4541" s="23"/>
      <c r="M4541" s="23"/>
      <c r="N4541" s="23"/>
      <c r="P4541" s="23"/>
    </row>
    <row r="4542" spans="2:16" x14ac:dyDescent="0.25">
      <c r="B4542" s="23"/>
      <c r="E4542" s="23"/>
      <c r="G4542" s="23"/>
      <c r="H4542" s="23"/>
      <c r="J4542" s="23"/>
      <c r="K4542" s="23"/>
      <c r="M4542" s="23"/>
      <c r="N4542" s="23"/>
      <c r="P4542" s="23"/>
    </row>
    <row r="4543" spans="2:16" x14ac:dyDescent="0.25">
      <c r="B4543" s="23"/>
      <c r="E4543" s="23"/>
      <c r="G4543" s="23"/>
      <c r="H4543" s="23"/>
      <c r="J4543" s="23"/>
      <c r="K4543" s="23"/>
      <c r="M4543" s="23"/>
      <c r="N4543" s="23"/>
      <c r="P4543" s="23"/>
    </row>
    <row r="4544" spans="2:16" x14ac:dyDescent="0.25">
      <c r="B4544" s="23"/>
      <c r="E4544" s="23"/>
      <c r="G4544" s="23"/>
      <c r="H4544" s="23"/>
      <c r="J4544" s="23"/>
      <c r="K4544" s="23"/>
      <c r="M4544" s="23"/>
      <c r="N4544" s="23"/>
      <c r="P4544" s="23"/>
    </row>
    <row r="4545" spans="2:16" x14ac:dyDescent="0.25">
      <c r="B4545" s="23"/>
      <c r="E4545" s="23"/>
      <c r="G4545" s="23"/>
      <c r="H4545" s="23"/>
      <c r="J4545" s="23"/>
      <c r="K4545" s="23"/>
      <c r="M4545" s="23"/>
      <c r="N4545" s="23"/>
      <c r="P4545" s="23"/>
    </row>
    <row r="4546" spans="2:16" x14ac:dyDescent="0.25">
      <c r="B4546" s="23"/>
      <c r="E4546" s="23"/>
      <c r="G4546" s="23"/>
      <c r="H4546" s="23"/>
      <c r="J4546" s="23"/>
      <c r="K4546" s="23"/>
      <c r="M4546" s="23"/>
      <c r="N4546" s="23"/>
      <c r="P4546" s="23"/>
    </row>
    <row r="4547" spans="2:16" x14ac:dyDescent="0.25">
      <c r="B4547" s="23"/>
      <c r="E4547" s="23"/>
      <c r="G4547" s="23"/>
      <c r="H4547" s="23"/>
      <c r="J4547" s="23"/>
      <c r="K4547" s="23"/>
      <c r="M4547" s="23"/>
      <c r="N4547" s="23"/>
      <c r="P4547" s="23"/>
    </row>
    <row r="4548" spans="2:16" x14ac:dyDescent="0.25">
      <c r="B4548" s="23"/>
      <c r="E4548" s="23"/>
      <c r="G4548" s="23"/>
      <c r="H4548" s="23"/>
      <c r="J4548" s="23"/>
      <c r="K4548" s="23"/>
      <c r="M4548" s="23"/>
      <c r="N4548" s="23"/>
      <c r="P4548" s="23"/>
    </row>
    <row r="4549" spans="2:16" x14ac:dyDescent="0.25">
      <c r="B4549" s="23"/>
      <c r="E4549" s="23"/>
      <c r="G4549" s="23"/>
      <c r="H4549" s="23"/>
      <c r="J4549" s="23"/>
      <c r="K4549" s="23"/>
      <c r="M4549" s="23"/>
      <c r="N4549" s="23"/>
      <c r="P4549" s="23"/>
    </row>
    <row r="4550" spans="2:16" x14ac:dyDescent="0.25">
      <c r="B4550" s="23"/>
      <c r="E4550" s="23"/>
      <c r="G4550" s="23"/>
      <c r="H4550" s="23"/>
      <c r="J4550" s="23"/>
      <c r="K4550" s="23"/>
      <c r="M4550" s="23"/>
      <c r="N4550" s="23"/>
      <c r="P4550" s="23"/>
    </row>
    <row r="4551" spans="2:16" x14ac:dyDescent="0.25">
      <c r="B4551" s="23"/>
      <c r="E4551" s="23"/>
      <c r="G4551" s="23"/>
      <c r="H4551" s="23"/>
      <c r="J4551" s="23"/>
      <c r="K4551" s="23"/>
      <c r="M4551" s="23"/>
      <c r="N4551" s="23"/>
      <c r="P4551" s="23"/>
    </row>
    <row r="4552" spans="2:16" x14ac:dyDescent="0.25">
      <c r="B4552" s="23"/>
      <c r="E4552" s="23"/>
      <c r="G4552" s="23"/>
      <c r="H4552" s="23"/>
      <c r="J4552" s="23"/>
      <c r="K4552" s="23"/>
      <c r="M4552" s="23"/>
      <c r="N4552" s="23"/>
      <c r="P4552" s="23"/>
    </row>
    <row r="4553" spans="2:16" x14ac:dyDescent="0.25">
      <c r="B4553" s="23"/>
      <c r="E4553" s="23"/>
      <c r="G4553" s="23"/>
      <c r="H4553" s="23"/>
      <c r="J4553" s="23"/>
      <c r="K4553" s="23"/>
      <c r="M4553" s="23"/>
      <c r="N4553" s="23"/>
      <c r="P4553" s="23"/>
    </row>
    <row r="4554" spans="2:16" x14ac:dyDescent="0.25">
      <c r="B4554" s="23"/>
      <c r="E4554" s="23"/>
      <c r="G4554" s="23"/>
      <c r="H4554" s="23"/>
      <c r="J4554" s="23"/>
      <c r="K4554" s="23"/>
      <c r="M4554" s="23"/>
      <c r="N4554" s="23"/>
      <c r="P4554" s="23"/>
    </row>
    <row r="4555" spans="2:16" x14ac:dyDescent="0.25">
      <c r="B4555" s="23"/>
      <c r="E4555" s="23"/>
      <c r="G4555" s="23"/>
      <c r="H4555" s="23"/>
      <c r="J4555" s="23"/>
      <c r="K4555" s="23"/>
      <c r="M4555" s="23"/>
      <c r="N4555" s="23"/>
      <c r="P4555" s="23"/>
    </row>
    <row r="4556" spans="2:16" x14ac:dyDescent="0.25">
      <c r="B4556" s="23"/>
      <c r="E4556" s="23"/>
      <c r="G4556" s="23"/>
      <c r="H4556" s="23"/>
      <c r="J4556" s="23"/>
      <c r="K4556" s="23"/>
      <c r="M4556" s="23"/>
      <c r="N4556" s="23"/>
      <c r="P4556" s="23"/>
    </row>
    <row r="4557" spans="2:16" x14ac:dyDescent="0.25">
      <c r="B4557" s="23"/>
      <c r="E4557" s="23"/>
      <c r="G4557" s="23"/>
      <c r="H4557" s="23"/>
      <c r="J4557" s="23"/>
      <c r="K4557" s="23"/>
      <c r="M4557" s="23"/>
      <c r="N4557" s="23"/>
      <c r="P4557" s="23"/>
    </row>
    <row r="4558" spans="2:16" x14ac:dyDescent="0.25">
      <c r="B4558" s="23"/>
      <c r="E4558" s="23"/>
      <c r="G4558" s="23"/>
      <c r="H4558" s="23"/>
      <c r="J4558" s="23"/>
      <c r="K4558" s="23"/>
      <c r="M4558" s="23"/>
      <c r="N4558" s="23"/>
      <c r="P4558" s="23"/>
    </row>
    <row r="4559" spans="2:16" x14ac:dyDescent="0.25">
      <c r="B4559" s="23"/>
      <c r="E4559" s="23"/>
      <c r="G4559" s="23"/>
      <c r="H4559" s="23"/>
      <c r="J4559" s="23"/>
      <c r="K4559" s="23"/>
      <c r="M4559" s="23"/>
      <c r="N4559" s="23"/>
      <c r="P4559" s="23"/>
    </row>
    <row r="4560" spans="2:16" x14ac:dyDescent="0.25">
      <c r="B4560" s="23"/>
      <c r="E4560" s="23"/>
      <c r="G4560" s="23"/>
      <c r="H4560" s="23"/>
      <c r="J4560" s="23"/>
      <c r="K4560" s="23"/>
      <c r="M4560" s="23"/>
      <c r="N4560" s="23"/>
      <c r="P4560" s="23"/>
    </row>
    <row r="4561" spans="2:16" x14ac:dyDescent="0.25">
      <c r="B4561" s="23"/>
      <c r="E4561" s="23"/>
      <c r="G4561" s="23"/>
      <c r="H4561" s="23"/>
      <c r="J4561" s="23"/>
      <c r="K4561" s="23"/>
      <c r="M4561" s="23"/>
      <c r="N4561" s="23"/>
      <c r="P4561" s="23"/>
    </row>
    <row r="4562" spans="2:16" x14ac:dyDescent="0.25">
      <c r="B4562" s="23"/>
      <c r="E4562" s="23"/>
      <c r="G4562" s="23"/>
      <c r="H4562" s="23"/>
      <c r="J4562" s="23"/>
      <c r="K4562" s="23"/>
      <c r="M4562" s="23"/>
      <c r="N4562" s="23"/>
      <c r="P4562" s="23"/>
    </row>
    <row r="4563" spans="2:16" x14ac:dyDescent="0.25">
      <c r="B4563" s="23"/>
      <c r="E4563" s="23"/>
      <c r="G4563" s="23"/>
      <c r="H4563" s="23"/>
      <c r="J4563" s="23"/>
      <c r="K4563" s="23"/>
      <c r="M4563" s="23"/>
      <c r="N4563" s="23"/>
      <c r="P4563" s="23"/>
    </row>
    <row r="4564" spans="2:16" x14ac:dyDescent="0.25">
      <c r="B4564" s="23"/>
      <c r="E4564" s="23"/>
      <c r="G4564" s="23"/>
      <c r="H4564" s="23"/>
      <c r="J4564" s="23"/>
      <c r="K4564" s="23"/>
      <c r="M4564" s="23"/>
      <c r="N4564" s="23"/>
      <c r="P4564" s="23"/>
    </row>
    <row r="4565" spans="2:16" x14ac:dyDescent="0.25">
      <c r="B4565" s="23"/>
      <c r="E4565" s="23"/>
      <c r="G4565" s="23"/>
      <c r="H4565" s="23"/>
      <c r="J4565" s="23"/>
      <c r="K4565" s="23"/>
      <c r="M4565" s="23"/>
      <c r="N4565" s="23"/>
      <c r="P4565" s="23"/>
    </row>
    <row r="4566" spans="2:16" x14ac:dyDescent="0.25">
      <c r="B4566" s="23"/>
      <c r="E4566" s="23"/>
      <c r="G4566" s="23"/>
      <c r="H4566" s="23"/>
      <c r="J4566" s="23"/>
      <c r="K4566" s="23"/>
      <c r="M4566" s="23"/>
      <c r="N4566" s="23"/>
      <c r="P4566" s="23"/>
    </row>
    <row r="4567" spans="2:16" x14ac:dyDescent="0.25">
      <c r="B4567" s="23"/>
      <c r="E4567" s="23"/>
      <c r="G4567" s="23"/>
      <c r="H4567" s="23"/>
      <c r="J4567" s="23"/>
      <c r="K4567" s="23"/>
      <c r="M4567" s="23"/>
      <c r="N4567" s="23"/>
      <c r="P4567" s="23"/>
    </row>
    <row r="4568" spans="2:16" x14ac:dyDescent="0.25">
      <c r="B4568" s="23"/>
      <c r="E4568" s="23"/>
      <c r="G4568" s="23"/>
      <c r="H4568" s="23"/>
      <c r="J4568" s="23"/>
      <c r="K4568" s="23"/>
      <c r="M4568" s="23"/>
      <c r="N4568" s="23"/>
      <c r="P4568" s="23"/>
    </row>
    <row r="4569" spans="2:16" x14ac:dyDescent="0.25">
      <c r="B4569" s="23"/>
      <c r="E4569" s="23"/>
      <c r="G4569" s="23"/>
      <c r="H4569" s="23"/>
      <c r="J4569" s="23"/>
      <c r="K4569" s="23"/>
      <c r="M4569" s="23"/>
      <c r="N4569" s="23"/>
      <c r="P4569" s="23"/>
    </row>
    <row r="4570" spans="2:16" x14ac:dyDescent="0.25">
      <c r="B4570" s="23"/>
      <c r="E4570" s="23"/>
      <c r="G4570" s="23"/>
      <c r="H4570" s="23"/>
      <c r="J4570" s="23"/>
      <c r="K4570" s="23"/>
      <c r="M4570" s="23"/>
      <c r="N4570" s="23"/>
      <c r="P4570" s="23"/>
    </row>
    <row r="4571" spans="2:16" x14ac:dyDescent="0.25">
      <c r="B4571" s="23"/>
      <c r="E4571" s="23"/>
      <c r="G4571" s="23"/>
      <c r="H4571" s="23"/>
      <c r="J4571" s="23"/>
      <c r="K4571" s="23"/>
      <c r="M4571" s="23"/>
      <c r="N4571" s="23"/>
      <c r="P4571" s="23"/>
    </row>
    <row r="4572" spans="2:16" x14ac:dyDescent="0.25">
      <c r="B4572" s="23"/>
      <c r="E4572" s="23"/>
      <c r="G4572" s="23"/>
      <c r="H4572" s="23"/>
      <c r="J4572" s="23"/>
      <c r="K4572" s="23"/>
      <c r="M4572" s="23"/>
      <c r="N4572" s="23"/>
      <c r="P4572" s="23"/>
    </row>
    <row r="4573" spans="2:16" x14ac:dyDescent="0.25">
      <c r="B4573" s="23"/>
      <c r="E4573" s="23"/>
      <c r="G4573" s="23"/>
      <c r="H4573" s="23"/>
      <c r="J4573" s="23"/>
      <c r="K4573" s="23"/>
      <c r="M4573" s="23"/>
      <c r="N4573" s="23"/>
      <c r="P4573" s="23"/>
    </row>
    <row r="4574" spans="2:16" x14ac:dyDescent="0.25">
      <c r="B4574" s="23"/>
      <c r="E4574" s="23"/>
      <c r="G4574" s="23"/>
      <c r="H4574" s="23"/>
      <c r="J4574" s="23"/>
      <c r="K4574" s="23"/>
      <c r="M4574" s="23"/>
      <c r="N4574" s="23"/>
      <c r="P4574" s="23"/>
    </row>
    <row r="4575" spans="2:16" x14ac:dyDescent="0.25">
      <c r="B4575" s="23"/>
      <c r="E4575" s="23"/>
      <c r="G4575" s="23"/>
      <c r="H4575" s="23"/>
      <c r="J4575" s="23"/>
      <c r="K4575" s="23"/>
      <c r="M4575" s="23"/>
      <c r="N4575" s="23"/>
      <c r="P4575" s="23"/>
    </row>
    <row r="4576" spans="2:16" x14ac:dyDescent="0.25">
      <c r="B4576" s="23"/>
      <c r="E4576" s="23"/>
      <c r="G4576" s="23"/>
      <c r="H4576" s="23"/>
      <c r="J4576" s="23"/>
      <c r="K4576" s="23"/>
      <c r="M4576" s="23"/>
      <c r="N4576" s="23"/>
      <c r="P4576" s="23"/>
    </row>
    <row r="4577" spans="2:16" x14ac:dyDescent="0.25">
      <c r="B4577" s="23"/>
      <c r="E4577" s="23"/>
      <c r="G4577" s="23"/>
      <c r="H4577" s="23"/>
      <c r="J4577" s="23"/>
      <c r="K4577" s="23"/>
      <c r="M4577" s="23"/>
      <c r="N4577" s="23"/>
      <c r="P4577" s="23"/>
    </row>
    <row r="4578" spans="2:16" x14ac:dyDescent="0.25">
      <c r="B4578" s="23"/>
      <c r="E4578" s="23"/>
      <c r="G4578" s="23"/>
      <c r="H4578" s="23"/>
      <c r="J4578" s="23"/>
      <c r="K4578" s="23"/>
      <c r="M4578" s="23"/>
      <c r="N4578" s="23"/>
      <c r="P4578" s="23"/>
    </row>
    <row r="4579" spans="2:16" x14ac:dyDescent="0.25">
      <c r="B4579" s="23"/>
      <c r="E4579" s="23"/>
      <c r="G4579" s="23"/>
      <c r="H4579" s="23"/>
      <c r="J4579" s="23"/>
      <c r="K4579" s="23"/>
      <c r="M4579" s="23"/>
      <c r="N4579" s="23"/>
      <c r="P4579" s="23"/>
    </row>
    <row r="4580" spans="2:16" x14ac:dyDescent="0.25">
      <c r="B4580" s="23"/>
      <c r="E4580" s="23"/>
      <c r="G4580" s="23"/>
      <c r="H4580" s="23"/>
      <c r="J4580" s="23"/>
      <c r="K4580" s="23"/>
      <c r="M4580" s="23"/>
      <c r="N4580" s="23"/>
      <c r="P4580" s="23"/>
    </row>
    <row r="4581" spans="2:16" x14ac:dyDescent="0.25">
      <c r="B4581" s="23"/>
      <c r="E4581" s="23"/>
      <c r="G4581" s="23"/>
      <c r="H4581" s="23"/>
      <c r="J4581" s="23"/>
      <c r="K4581" s="23"/>
      <c r="M4581" s="23"/>
      <c r="N4581" s="23"/>
      <c r="P4581" s="23"/>
    </row>
    <row r="4582" spans="2:16" x14ac:dyDescent="0.25">
      <c r="B4582" s="23"/>
      <c r="E4582" s="23"/>
      <c r="G4582" s="23"/>
      <c r="H4582" s="23"/>
      <c r="J4582" s="23"/>
      <c r="K4582" s="23"/>
      <c r="M4582" s="23"/>
      <c r="N4582" s="23"/>
      <c r="P4582" s="23"/>
    </row>
    <row r="4583" spans="2:16" x14ac:dyDescent="0.25">
      <c r="B4583" s="23"/>
      <c r="E4583" s="23"/>
      <c r="G4583" s="23"/>
      <c r="H4583" s="23"/>
      <c r="J4583" s="23"/>
      <c r="K4583" s="23"/>
      <c r="M4583" s="23"/>
      <c r="N4583" s="23"/>
      <c r="P4583" s="23"/>
    </row>
    <row r="4584" spans="2:16" x14ac:dyDescent="0.25">
      <c r="B4584" s="23"/>
      <c r="E4584" s="23"/>
      <c r="G4584" s="23"/>
      <c r="H4584" s="23"/>
      <c r="J4584" s="23"/>
      <c r="K4584" s="23"/>
      <c r="M4584" s="23"/>
      <c r="N4584" s="23"/>
      <c r="P4584" s="23"/>
    </row>
    <row r="4585" spans="2:16" x14ac:dyDescent="0.25">
      <c r="B4585" s="23"/>
      <c r="E4585" s="23"/>
      <c r="G4585" s="23"/>
      <c r="H4585" s="23"/>
      <c r="J4585" s="23"/>
      <c r="K4585" s="23"/>
      <c r="M4585" s="23"/>
      <c r="N4585" s="23"/>
      <c r="P4585" s="23"/>
    </row>
    <row r="4586" spans="2:16" x14ac:dyDescent="0.25">
      <c r="B4586" s="23"/>
      <c r="E4586" s="23"/>
      <c r="G4586" s="23"/>
      <c r="H4586" s="23"/>
      <c r="J4586" s="23"/>
      <c r="K4586" s="23"/>
      <c r="M4586" s="23"/>
      <c r="N4586" s="23"/>
      <c r="P4586" s="23"/>
    </row>
    <row r="4587" spans="2:16" x14ac:dyDescent="0.25">
      <c r="B4587" s="23"/>
      <c r="E4587" s="23"/>
      <c r="G4587" s="23"/>
      <c r="H4587" s="23"/>
      <c r="J4587" s="23"/>
      <c r="K4587" s="23"/>
      <c r="M4587" s="23"/>
      <c r="N4587" s="23"/>
      <c r="P4587" s="23"/>
    </row>
    <row r="4588" spans="2:16" x14ac:dyDescent="0.25">
      <c r="B4588" s="23"/>
      <c r="E4588" s="23"/>
      <c r="G4588" s="23"/>
      <c r="H4588" s="23"/>
      <c r="J4588" s="23"/>
      <c r="K4588" s="23"/>
      <c r="M4588" s="23"/>
      <c r="N4588" s="23"/>
      <c r="P4588" s="23"/>
    </row>
    <row r="4589" spans="2:16" x14ac:dyDescent="0.25">
      <c r="B4589" s="23"/>
      <c r="E4589" s="23"/>
      <c r="G4589" s="23"/>
      <c r="H4589" s="23"/>
      <c r="J4589" s="23"/>
      <c r="K4589" s="23"/>
      <c r="M4589" s="23"/>
      <c r="N4589" s="23"/>
      <c r="P4589" s="23"/>
    </row>
    <row r="4590" spans="2:16" x14ac:dyDescent="0.25">
      <c r="B4590" s="23"/>
      <c r="E4590" s="23"/>
      <c r="G4590" s="23"/>
      <c r="H4590" s="23"/>
      <c r="J4590" s="23"/>
      <c r="K4590" s="23"/>
      <c r="M4590" s="23"/>
      <c r="N4590" s="23"/>
      <c r="P4590" s="23"/>
    </row>
    <row r="4591" spans="2:16" x14ac:dyDescent="0.25">
      <c r="B4591" s="23"/>
      <c r="E4591" s="23"/>
      <c r="G4591" s="23"/>
      <c r="H4591" s="23"/>
      <c r="J4591" s="23"/>
      <c r="K4591" s="23"/>
      <c r="M4591" s="23"/>
      <c r="N4591" s="23"/>
      <c r="P4591" s="23"/>
    </row>
    <row r="4592" spans="2:16" x14ac:dyDescent="0.25">
      <c r="B4592" s="23"/>
      <c r="E4592" s="23"/>
      <c r="G4592" s="23"/>
      <c r="H4592" s="23"/>
      <c r="J4592" s="23"/>
      <c r="K4592" s="23"/>
      <c r="M4592" s="23"/>
      <c r="N4592" s="23"/>
      <c r="P4592" s="23"/>
    </row>
    <row r="4593" spans="2:16" x14ac:dyDescent="0.25">
      <c r="B4593" s="23"/>
      <c r="E4593" s="23"/>
      <c r="G4593" s="23"/>
      <c r="H4593" s="23"/>
      <c r="J4593" s="23"/>
      <c r="K4593" s="23"/>
      <c r="M4593" s="23"/>
      <c r="N4593" s="23"/>
      <c r="P4593" s="23"/>
    </row>
    <row r="4594" spans="2:16" x14ac:dyDescent="0.25">
      <c r="B4594" s="23"/>
      <c r="E4594" s="23"/>
      <c r="G4594" s="23"/>
      <c r="H4594" s="23"/>
      <c r="J4594" s="23"/>
      <c r="K4594" s="23"/>
      <c r="M4594" s="23"/>
      <c r="N4594" s="23"/>
      <c r="P4594" s="23"/>
    </row>
    <row r="4595" spans="2:16" x14ac:dyDescent="0.25">
      <c r="B4595" s="23"/>
      <c r="E4595" s="23"/>
      <c r="G4595" s="23"/>
      <c r="H4595" s="23"/>
      <c r="J4595" s="23"/>
      <c r="K4595" s="23"/>
      <c r="M4595" s="23"/>
      <c r="N4595" s="23"/>
      <c r="P4595" s="23"/>
    </row>
    <row r="4596" spans="2:16" x14ac:dyDescent="0.25">
      <c r="B4596" s="23"/>
      <c r="E4596" s="23"/>
      <c r="G4596" s="23"/>
      <c r="H4596" s="23"/>
      <c r="J4596" s="23"/>
      <c r="K4596" s="23"/>
      <c r="M4596" s="23"/>
      <c r="N4596" s="23"/>
      <c r="P4596" s="23"/>
    </row>
    <row r="4597" spans="2:16" x14ac:dyDescent="0.25">
      <c r="B4597" s="23"/>
      <c r="E4597" s="23"/>
      <c r="G4597" s="23"/>
      <c r="H4597" s="23"/>
      <c r="J4597" s="23"/>
      <c r="K4597" s="23"/>
      <c r="M4597" s="23"/>
      <c r="N4597" s="23"/>
      <c r="P4597" s="23"/>
    </row>
    <row r="4598" spans="2:16" x14ac:dyDescent="0.25">
      <c r="B4598" s="23"/>
      <c r="E4598" s="23"/>
      <c r="G4598" s="23"/>
      <c r="H4598" s="23"/>
      <c r="J4598" s="23"/>
      <c r="K4598" s="23"/>
      <c r="M4598" s="23"/>
      <c r="N4598" s="23"/>
      <c r="P4598" s="23"/>
    </row>
    <row r="4599" spans="2:16" x14ac:dyDescent="0.25">
      <c r="B4599" s="23"/>
      <c r="E4599" s="23"/>
      <c r="G4599" s="23"/>
      <c r="H4599" s="23"/>
      <c r="J4599" s="23"/>
      <c r="K4599" s="23"/>
      <c r="M4599" s="23"/>
      <c r="N4599" s="23"/>
      <c r="P4599" s="23"/>
    </row>
    <row r="4600" spans="2:16" x14ac:dyDescent="0.25">
      <c r="B4600" s="23"/>
      <c r="E4600" s="23"/>
      <c r="G4600" s="23"/>
      <c r="H4600" s="23"/>
      <c r="J4600" s="23"/>
      <c r="K4600" s="23"/>
      <c r="M4600" s="23"/>
      <c r="N4600" s="23"/>
      <c r="P4600" s="23"/>
    </row>
    <row r="4601" spans="2:16" x14ac:dyDescent="0.25">
      <c r="B4601" s="23"/>
      <c r="E4601" s="23"/>
      <c r="G4601" s="23"/>
      <c r="H4601" s="23"/>
      <c r="J4601" s="23"/>
      <c r="K4601" s="23"/>
      <c r="M4601" s="23"/>
      <c r="N4601" s="23"/>
      <c r="P4601" s="23"/>
    </row>
    <row r="4602" spans="2:16" x14ac:dyDescent="0.25">
      <c r="B4602" s="23"/>
      <c r="E4602" s="23"/>
      <c r="G4602" s="23"/>
      <c r="H4602" s="23"/>
      <c r="J4602" s="23"/>
      <c r="K4602" s="23"/>
      <c r="M4602" s="23"/>
      <c r="N4602" s="23"/>
      <c r="P4602" s="23"/>
    </row>
    <row r="4603" spans="2:16" x14ac:dyDescent="0.25">
      <c r="B4603" s="23"/>
      <c r="E4603" s="23"/>
      <c r="G4603" s="23"/>
      <c r="H4603" s="23"/>
      <c r="J4603" s="23"/>
      <c r="K4603" s="23"/>
      <c r="M4603" s="23"/>
      <c r="N4603" s="23"/>
      <c r="P4603" s="23"/>
    </row>
    <row r="4604" spans="2:16" x14ac:dyDescent="0.25">
      <c r="B4604" s="23"/>
      <c r="E4604" s="23"/>
      <c r="G4604" s="23"/>
      <c r="H4604" s="23"/>
      <c r="J4604" s="23"/>
      <c r="K4604" s="23"/>
      <c r="M4604" s="23"/>
      <c r="N4604" s="23"/>
      <c r="P4604" s="23"/>
    </row>
    <row r="4605" spans="2:16" x14ac:dyDescent="0.25">
      <c r="B4605" s="23"/>
      <c r="E4605" s="23"/>
      <c r="G4605" s="23"/>
      <c r="H4605" s="23"/>
      <c r="J4605" s="23"/>
      <c r="K4605" s="23"/>
      <c r="M4605" s="23"/>
      <c r="N4605" s="23"/>
      <c r="P4605" s="23"/>
    </row>
    <row r="4606" spans="2:16" x14ac:dyDescent="0.25">
      <c r="B4606" s="23"/>
      <c r="E4606" s="23"/>
      <c r="G4606" s="23"/>
      <c r="H4606" s="23"/>
      <c r="J4606" s="23"/>
      <c r="K4606" s="23"/>
      <c r="M4606" s="23"/>
      <c r="N4606" s="23"/>
      <c r="P4606" s="23"/>
    </row>
    <row r="4607" spans="2:16" x14ac:dyDescent="0.25">
      <c r="B4607" s="23"/>
      <c r="E4607" s="23"/>
      <c r="G4607" s="23"/>
      <c r="H4607" s="23"/>
      <c r="J4607" s="23"/>
      <c r="K4607" s="23"/>
      <c r="M4607" s="23"/>
      <c r="N4607" s="23"/>
      <c r="P4607" s="23"/>
    </row>
    <row r="4608" spans="2:16" x14ac:dyDescent="0.25">
      <c r="B4608" s="23"/>
      <c r="E4608" s="23"/>
      <c r="G4608" s="23"/>
      <c r="H4608" s="23"/>
      <c r="J4608" s="23"/>
      <c r="K4608" s="23"/>
      <c r="M4608" s="23"/>
      <c r="N4608" s="23"/>
      <c r="P4608" s="23"/>
    </row>
    <row r="4609" spans="2:16" x14ac:dyDescent="0.25">
      <c r="B4609" s="23"/>
      <c r="E4609" s="23"/>
      <c r="G4609" s="23"/>
      <c r="H4609" s="23"/>
      <c r="J4609" s="23"/>
      <c r="K4609" s="23"/>
      <c r="M4609" s="23"/>
      <c r="N4609" s="23"/>
      <c r="P4609" s="23"/>
    </row>
    <row r="4610" spans="2:16" x14ac:dyDescent="0.25">
      <c r="B4610" s="23"/>
      <c r="E4610" s="23"/>
      <c r="G4610" s="23"/>
      <c r="H4610" s="23"/>
      <c r="J4610" s="23"/>
      <c r="K4610" s="23"/>
      <c r="M4610" s="23"/>
      <c r="N4610" s="23"/>
      <c r="P4610" s="23"/>
    </row>
    <row r="4611" spans="2:16" x14ac:dyDescent="0.25">
      <c r="B4611" s="23"/>
      <c r="E4611" s="23"/>
      <c r="G4611" s="23"/>
      <c r="H4611" s="23"/>
      <c r="J4611" s="23"/>
      <c r="K4611" s="23"/>
      <c r="M4611" s="23"/>
      <c r="N4611" s="23"/>
      <c r="P4611" s="23"/>
    </row>
    <row r="4612" spans="2:16" x14ac:dyDescent="0.25">
      <c r="B4612" s="23"/>
      <c r="E4612" s="23"/>
      <c r="G4612" s="23"/>
      <c r="H4612" s="23"/>
      <c r="J4612" s="23"/>
      <c r="K4612" s="23"/>
      <c r="M4612" s="23"/>
      <c r="N4612" s="23"/>
      <c r="P4612" s="23"/>
    </row>
    <row r="4613" spans="2:16" x14ac:dyDescent="0.25">
      <c r="B4613" s="23"/>
      <c r="E4613" s="23"/>
      <c r="G4613" s="23"/>
      <c r="H4613" s="23"/>
      <c r="J4613" s="23"/>
      <c r="K4613" s="23"/>
      <c r="M4613" s="23"/>
      <c r="N4613" s="23"/>
      <c r="P4613" s="23"/>
    </row>
    <row r="4614" spans="2:16" x14ac:dyDescent="0.25">
      <c r="B4614" s="23"/>
      <c r="E4614" s="23"/>
      <c r="G4614" s="23"/>
      <c r="H4614" s="23"/>
      <c r="J4614" s="23"/>
      <c r="K4614" s="23"/>
      <c r="M4614" s="23"/>
      <c r="N4614" s="23"/>
      <c r="P4614" s="23"/>
    </row>
    <row r="4615" spans="2:16" x14ac:dyDescent="0.25">
      <c r="B4615" s="23"/>
      <c r="E4615" s="23"/>
      <c r="G4615" s="23"/>
      <c r="H4615" s="23"/>
      <c r="J4615" s="23"/>
      <c r="K4615" s="23"/>
      <c r="M4615" s="23"/>
      <c r="N4615" s="23"/>
      <c r="P4615" s="23"/>
    </row>
    <row r="4616" spans="2:16" x14ac:dyDescent="0.25">
      <c r="B4616" s="23"/>
      <c r="E4616" s="23"/>
      <c r="G4616" s="23"/>
      <c r="H4616" s="23"/>
      <c r="J4616" s="23"/>
      <c r="K4616" s="23"/>
      <c r="M4616" s="23"/>
      <c r="N4616" s="23"/>
      <c r="P4616" s="23"/>
    </row>
    <row r="4617" spans="2:16" x14ac:dyDescent="0.25">
      <c r="B4617" s="23"/>
      <c r="E4617" s="23"/>
      <c r="G4617" s="23"/>
      <c r="H4617" s="23"/>
      <c r="J4617" s="23"/>
      <c r="K4617" s="23"/>
      <c r="M4617" s="23"/>
      <c r="N4617" s="23"/>
      <c r="P4617" s="23"/>
    </row>
    <row r="4618" spans="2:16" x14ac:dyDescent="0.25">
      <c r="B4618" s="23"/>
      <c r="E4618" s="23"/>
      <c r="G4618" s="23"/>
      <c r="H4618" s="23"/>
      <c r="J4618" s="23"/>
      <c r="K4618" s="23"/>
      <c r="M4618" s="23"/>
      <c r="N4618" s="23"/>
      <c r="P4618" s="23"/>
    </row>
    <row r="4619" spans="2:16" x14ac:dyDescent="0.25">
      <c r="B4619" s="23"/>
      <c r="E4619" s="23"/>
      <c r="G4619" s="23"/>
      <c r="H4619" s="23"/>
      <c r="J4619" s="23"/>
      <c r="K4619" s="23"/>
      <c r="M4619" s="23"/>
      <c r="N4619" s="23"/>
      <c r="P4619" s="23"/>
    </row>
    <row r="4620" spans="2:16" x14ac:dyDescent="0.25">
      <c r="B4620" s="23"/>
      <c r="E4620" s="23"/>
      <c r="G4620" s="23"/>
      <c r="H4620" s="23"/>
      <c r="J4620" s="23"/>
      <c r="K4620" s="23"/>
      <c r="M4620" s="23"/>
      <c r="N4620" s="23"/>
      <c r="P4620" s="23"/>
    </row>
    <row r="4621" spans="2:16" x14ac:dyDescent="0.25">
      <c r="B4621" s="23"/>
      <c r="E4621" s="23"/>
      <c r="G4621" s="23"/>
      <c r="H4621" s="23"/>
      <c r="J4621" s="23"/>
      <c r="K4621" s="23"/>
      <c r="M4621" s="23"/>
      <c r="N4621" s="23"/>
      <c r="P4621" s="23"/>
    </row>
    <row r="4622" spans="2:16" x14ac:dyDescent="0.25">
      <c r="B4622" s="23"/>
      <c r="E4622" s="23"/>
      <c r="G4622" s="23"/>
      <c r="H4622" s="23"/>
      <c r="J4622" s="23"/>
      <c r="K4622" s="23"/>
      <c r="M4622" s="23"/>
      <c r="N4622" s="23"/>
      <c r="P4622" s="23"/>
    </row>
    <row r="4623" spans="2:16" x14ac:dyDescent="0.25">
      <c r="B4623" s="23"/>
      <c r="E4623" s="23"/>
      <c r="G4623" s="23"/>
      <c r="H4623" s="23"/>
      <c r="J4623" s="23"/>
      <c r="K4623" s="23"/>
      <c r="M4623" s="23"/>
      <c r="N4623" s="23"/>
      <c r="P4623" s="23"/>
    </row>
    <row r="4624" spans="2:16" x14ac:dyDescent="0.25">
      <c r="B4624" s="23"/>
      <c r="E4624" s="23"/>
      <c r="G4624" s="23"/>
      <c r="H4624" s="23"/>
      <c r="J4624" s="23"/>
      <c r="K4624" s="23"/>
      <c r="M4624" s="23"/>
      <c r="N4624" s="23"/>
      <c r="P4624" s="23"/>
    </row>
    <row r="4625" spans="2:16" x14ac:dyDescent="0.25">
      <c r="B4625" s="23"/>
      <c r="E4625" s="23"/>
      <c r="G4625" s="23"/>
      <c r="H4625" s="23"/>
      <c r="J4625" s="23"/>
      <c r="K4625" s="23"/>
      <c r="M4625" s="23"/>
      <c r="N4625" s="23"/>
      <c r="P4625" s="23"/>
    </row>
    <row r="4626" spans="2:16" x14ac:dyDescent="0.25">
      <c r="B4626" s="23"/>
      <c r="E4626" s="23"/>
      <c r="G4626" s="23"/>
      <c r="H4626" s="23"/>
      <c r="J4626" s="23"/>
      <c r="K4626" s="23"/>
      <c r="M4626" s="23"/>
      <c r="N4626" s="23"/>
      <c r="P4626" s="23"/>
    </row>
    <row r="4627" spans="2:16" x14ac:dyDescent="0.25">
      <c r="B4627" s="23"/>
      <c r="E4627" s="23"/>
      <c r="G4627" s="23"/>
      <c r="H4627" s="23"/>
      <c r="J4627" s="23"/>
      <c r="K4627" s="23"/>
      <c r="M4627" s="23"/>
      <c r="N4627" s="23"/>
      <c r="P4627" s="23"/>
    </row>
    <row r="4628" spans="2:16" x14ac:dyDescent="0.25">
      <c r="B4628" s="23"/>
      <c r="E4628" s="23"/>
      <c r="G4628" s="23"/>
      <c r="H4628" s="23"/>
      <c r="J4628" s="23"/>
      <c r="K4628" s="23"/>
      <c r="M4628" s="23"/>
      <c r="N4628" s="23"/>
      <c r="P4628" s="23"/>
    </row>
    <row r="4629" spans="2:16" x14ac:dyDescent="0.25">
      <c r="B4629" s="23"/>
      <c r="E4629" s="23"/>
      <c r="G4629" s="23"/>
      <c r="H4629" s="23"/>
      <c r="J4629" s="23"/>
      <c r="K4629" s="23"/>
      <c r="M4629" s="23"/>
      <c r="N4629" s="23"/>
      <c r="P4629" s="23"/>
    </row>
    <row r="4630" spans="2:16" x14ac:dyDescent="0.25">
      <c r="B4630" s="23"/>
      <c r="E4630" s="23"/>
      <c r="G4630" s="23"/>
      <c r="H4630" s="23"/>
      <c r="J4630" s="23"/>
      <c r="K4630" s="23"/>
      <c r="M4630" s="23"/>
      <c r="N4630" s="23"/>
      <c r="P4630" s="23"/>
    </row>
    <row r="4631" spans="2:16" x14ac:dyDescent="0.25">
      <c r="B4631" s="23"/>
      <c r="E4631" s="23"/>
      <c r="G4631" s="23"/>
      <c r="H4631" s="23"/>
      <c r="J4631" s="23"/>
      <c r="K4631" s="23"/>
      <c r="M4631" s="23"/>
      <c r="N4631" s="23"/>
      <c r="P4631" s="23"/>
    </row>
    <row r="4632" spans="2:16" x14ac:dyDescent="0.25">
      <c r="B4632" s="23"/>
      <c r="E4632" s="23"/>
      <c r="G4632" s="23"/>
      <c r="H4632" s="23"/>
      <c r="J4632" s="23"/>
      <c r="K4632" s="23"/>
      <c r="M4632" s="23"/>
      <c r="N4632" s="23"/>
      <c r="P4632" s="23"/>
    </row>
    <row r="4633" spans="2:16" x14ac:dyDescent="0.25">
      <c r="B4633" s="23"/>
      <c r="E4633" s="23"/>
      <c r="G4633" s="23"/>
      <c r="H4633" s="23"/>
      <c r="J4633" s="23"/>
      <c r="K4633" s="23"/>
      <c r="M4633" s="23"/>
      <c r="N4633" s="23"/>
      <c r="P4633" s="23"/>
    </row>
    <row r="4634" spans="2:16" x14ac:dyDescent="0.25">
      <c r="B4634" s="23"/>
      <c r="E4634" s="23"/>
      <c r="G4634" s="23"/>
      <c r="H4634" s="23"/>
      <c r="J4634" s="23"/>
      <c r="K4634" s="23"/>
      <c r="M4634" s="23"/>
      <c r="N4634" s="23"/>
      <c r="P4634" s="23"/>
    </row>
    <row r="4635" spans="2:16" x14ac:dyDescent="0.25">
      <c r="B4635" s="23"/>
      <c r="E4635" s="23"/>
      <c r="G4635" s="23"/>
      <c r="H4635" s="23"/>
      <c r="J4635" s="23"/>
      <c r="K4635" s="23"/>
      <c r="M4635" s="23"/>
      <c r="N4635" s="23"/>
      <c r="P4635" s="23"/>
    </row>
    <row r="4636" spans="2:16" x14ac:dyDescent="0.25">
      <c r="B4636" s="23"/>
      <c r="E4636" s="23"/>
      <c r="G4636" s="23"/>
      <c r="H4636" s="23"/>
      <c r="J4636" s="23"/>
      <c r="K4636" s="23"/>
      <c r="M4636" s="23"/>
      <c r="N4636" s="23"/>
      <c r="P4636" s="23"/>
    </row>
    <row r="4637" spans="2:16" x14ac:dyDescent="0.25">
      <c r="B4637" s="23"/>
      <c r="E4637" s="23"/>
      <c r="G4637" s="23"/>
      <c r="H4637" s="23"/>
      <c r="J4637" s="23"/>
      <c r="K4637" s="23"/>
      <c r="M4637" s="23"/>
      <c r="N4637" s="23"/>
      <c r="P4637" s="23"/>
    </row>
    <row r="4638" spans="2:16" x14ac:dyDescent="0.25">
      <c r="B4638" s="23"/>
      <c r="E4638" s="23"/>
      <c r="G4638" s="23"/>
      <c r="H4638" s="23"/>
      <c r="J4638" s="23"/>
      <c r="K4638" s="23"/>
      <c r="M4638" s="23"/>
      <c r="N4638" s="23"/>
      <c r="P4638" s="23"/>
    </row>
    <row r="4639" spans="2:16" x14ac:dyDescent="0.25">
      <c r="B4639" s="23"/>
      <c r="E4639" s="23"/>
      <c r="G4639" s="23"/>
      <c r="H4639" s="23"/>
      <c r="J4639" s="23"/>
      <c r="K4639" s="23"/>
      <c r="M4639" s="23"/>
      <c r="N4639" s="23"/>
      <c r="P4639" s="23"/>
    </row>
    <row r="4640" spans="2:16" x14ac:dyDescent="0.25">
      <c r="B4640" s="23"/>
      <c r="E4640" s="23"/>
      <c r="G4640" s="23"/>
      <c r="H4640" s="23"/>
      <c r="J4640" s="23"/>
      <c r="K4640" s="23"/>
      <c r="M4640" s="23"/>
      <c r="N4640" s="23"/>
      <c r="P4640" s="23"/>
    </row>
    <row r="4641" spans="2:16" x14ac:dyDescent="0.25">
      <c r="B4641" s="23"/>
      <c r="E4641" s="23"/>
      <c r="G4641" s="23"/>
      <c r="H4641" s="23"/>
      <c r="J4641" s="23"/>
      <c r="K4641" s="23"/>
      <c r="M4641" s="23"/>
      <c r="N4641" s="23"/>
      <c r="P4641" s="23"/>
    </row>
    <row r="4642" spans="2:16" x14ac:dyDescent="0.25">
      <c r="B4642" s="23"/>
      <c r="E4642" s="23"/>
      <c r="G4642" s="23"/>
      <c r="H4642" s="23"/>
      <c r="J4642" s="23"/>
      <c r="K4642" s="23"/>
      <c r="M4642" s="23"/>
      <c r="N4642" s="23"/>
      <c r="P4642" s="23"/>
    </row>
    <row r="4643" spans="2:16" x14ac:dyDescent="0.25">
      <c r="B4643" s="23"/>
      <c r="E4643" s="23"/>
      <c r="G4643" s="23"/>
      <c r="H4643" s="23"/>
      <c r="J4643" s="23"/>
      <c r="K4643" s="23"/>
      <c r="M4643" s="23"/>
      <c r="N4643" s="23"/>
      <c r="P4643" s="23"/>
    </row>
    <row r="4644" spans="2:16" x14ac:dyDescent="0.25">
      <c r="B4644" s="23"/>
      <c r="E4644" s="23"/>
      <c r="G4644" s="23"/>
      <c r="H4644" s="23"/>
      <c r="J4644" s="23"/>
      <c r="K4644" s="23"/>
      <c r="M4644" s="23"/>
      <c r="N4644" s="23"/>
      <c r="P4644" s="23"/>
    </row>
    <row r="4645" spans="2:16" x14ac:dyDescent="0.25">
      <c r="B4645" s="23"/>
      <c r="E4645" s="23"/>
      <c r="G4645" s="23"/>
      <c r="H4645" s="23"/>
      <c r="J4645" s="23"/>
      <c r="K4645" s="23"/>
      <c r="M4645" s="23"/>
      <c r="N4645" s="23"/>
      <c r="P4645" s="23"/>
    </row>
    <row r="4646" spans="2:16" x14ac:dyDescent="0.25">
      <c r="B4646" s="23"/>
      <c r="E4646" s="23"/>
      <c r="G4646" s="23"/>
      <c r="H4646" s="23"/>
      <c r="J4646" s="23"/>
      <c r="K4646" s="23"/>
      <c r="M4646" s="23"/>
      <c r="N4646" s="23"/>
      <c r="P4646" s="23"/>
    </row>
    <row r="4647" spans="2:16" x14ac:dyDescent="0.25">
      <c r="B4647" s="23"/>
      <c r="E4647" s="23"/>
      <c r="G4647" s="23"/>
      <c r="H4647" s="23"/>
      <c r="J4647" s="23"/>
      <c r="K4647" s="23"/>
      <c r="M4647" s="23"/>
      <c r="N4647" s="23"/>
      <c r="P4647" s="23"/>
    </row>
    <row r="4648" spans="2:16" x14ac:dyDescent="0.25">
      <c r="B4648" s="23"/>
      <c r="E4648" s="23"/>
      <c r="G4648" s="23"/>
      <c r="H4648" s="23"/>
      <c r="J4648" s="23"/>
      <c r="K4648" s="23"/>
      <c r="M4648" s="23"/>
      <c r="N4648" s="23"/>
      <c r="P4648" s="23"/>
    </row>
    <row r="4649" spans="2:16" x14ac:dyDescent="0.25">
      <c r="B4649" s="23"/>
      <c r="E4649" s="23"/>
      <c r="G4649" s="23"/>
      <c r="H4649" s="23"/>
      <c r="J4649" s="23"/>
      <c r="K4649" s="23"/>
      <c r="M4649" s="23"/>
      <c r="N4649" s="23"/>
      <c r="P4649" s="23"/>
    </row>
    <row r="4650" spans="2:16" x14ac:dyDescent="0.25">
      <c r="B4650" s="23"/>
      <c r="E4650" s="23"/>
      <c r="G4650" s="23"/>
      <c r="H4650" s="23"/>
      <c r="J4650" s="23"/>
      <c r="K4650" s="23"/>
      <c r="M4650" s="23"/>
      <c r="N4650" s="23"/>
      <c r="P4650" s="23"/>
    </row>
    <row r="4651" spans="2:16" x14ac:dyDescent="0.25">
      <c r="B4651" s="23"/>
      <c r="E4651" s="23"/>
      <c r="G4651" s="23"/>
      <c r="H4651" s="23"/>
      <c r="J4651" s="23"/>
      <c r="K4651" s="23"/>
      <c r="M4651" s="23"/>
      <c r="N4651" s="23"/>
      <c r="P4651" s="23"/>
    </row>
    <row r="4652" spans="2:16" x14ac:dyDescent="0.25">
      <c r="B4652" s="23"/>
      <c r="E4652" s="23"/>
      <c r="G4652" s="23"/>
      <c r="H4652" s="23"/>
      <c r="J4652" s="23"/>
      <c r="K4652" s="23"/>
      <c r="M4652" s="23"/>
      <c r="N4652" s="23"/>
      <c r="P4652" s="23"/>
    </row>
    <row r="4653" spans="2:16" x14ac:dyDescent="0.25">
      <c r="B4653" s="23"/>
      <c r="E4653" s="23"/>
      <c r="G4653" s="23"/>
      <c r="H4653" s="23"/>
      <c r="J4653" s="23"/>
      <c r="K4653" s="23"/>
      <c r="M4653" s="23"/>
      <c r="N4653" s="23"/>
      <c r="P4653" s="23"/>
    </row>
    <row r="4654" spans="2:16" x14ac:dyDescent="0.25">
      <c r="B4654" s="23"/>
      <c r="E4654" s="23"/>
      <c r="G4654" s="23"/>
      <c r="H4654" s="23"/>
      <c r="J4654" s="23"/>
      <c r="K4654" s="23"/>
      <c r="M4654" s="23"/>
      <c r="N4654" s="23"/>
      <c r="P4654" s="23"/>
    </row>
    <row r="4655" spans="2:16" x14ac:dyDescent="0.25">
      <c r="B4655" s="23"/>
      <c r="E4655" s="23"/>
      <c r="G4655" s="23"/>
      <c r="H4655" s="23"/>
      <c r="J4655" s="23"/>
      <c r="K4655" s="23"/>
      <c r="M4655" s="23"/>
      <c r="N4655" s="23"/>
      <c r="P4655" s="23"/>
    </row>
    <row r="4656" spans="2:16" x14ac:dyDescent="0.25">
      <c r="B4656" s="23"/>
      <c r="E4656" s="23"/>
      <c r="G4656" s="23"/>
      <c r="H4656" s="23"/>
      <c r="J4656" s="23"/>
      <c r="K4656" s="23"/>
      <c r="M4656" s="23"/>
      <c r="N4656" s="23"/>
      <c r="P4656" s="23"/>
    </row>
    <row r="4657" spans="2:16" x14ac:dyDescent="0.25">
      <c r="B4657" s="23"/>
      <c r="E4657" s="23"/>
      <c r="G4657" s="23"/>
      <c r="H4657" s="23"/>
      <c r="J4657" s="23"/>
      <c r="K4657" s="23"/>
      <c r="M4657" s="23"/>
      <c r="N4657" s="23"/>
      <c r="P4657" s="23"/>
    </row>
    <row r="4658" spans="2:16" x14ac:dyDescent="0.25">
      <c r="B4658" s="23"/>
      <c r="E4658" s="23"/>
      <c r="G4658" s="23"/>
      <c r="H4658" s="23"/>
      <c r="J4658" s="23"/>
      <c r="K4658" s="23"/>
      <c r="M4658" s="23"/>
      <c r="N4658" s="23"/>
      <c r="P4658" s="23"/>
    </row>
    <row r="4659" spans="2:16" x14ac:dyDescent="0.25">
      <c r="B4659" s="23"/>
      <c r="E4659" s="23"/>
      <c r="G4659" s="23"/>
      <c r="H4659" s="23"/>
      <c r="J4659" s="23"/>
      <c r="K4659" s="23"/>
      <c r="M4659" s="23"/>
      <c r="N4659" s="23"/>
      <c r="P4659" s="23"/>
    </row>
    <row r="4660" spans="2:16" x14ac:dyDescent="0.25">
      <c r="B4660" s="23"/>
      <c r="E4660" s="23"/>
      <c r="G4660" s="23"/>
      <c r="H4660" s="23"/>
      <c r="J4660" s="23"/>
      <c r="K4660" s="23"/>
      <c r="M4660" s="23"/>
      <c r="N4660" s="23"/>
      <c r="P4660" s="23"/>
    </row>
    <row r="4661" spans="2:16" x14ac:dyDescent="0.25">
      <c r="B4661" s="23"/>
      <c r="E4661" s="23"/>
      <c r="G4661" s="23"/>
      <c r="H4661" s="23"/>
      <c r="J4661" s="23"/>
      <c r="K4661" s="23"/>
      <c r="M4661" s="23"/>
      <c r="N4661" s="23"/>
      <c r="P4661" s="23"/>
    </row>
    <row r="4662" spans="2:16" x14ac:dyDescent="0.25">
      <c r="B4662" s="23"/>
      <c r="E4662" s="23"/>
      <c r="G4662" s="23"/>
      <c r="H4662" s="23"/>
      <c r="J4662" s="23"/>
      <c r="K4662" s="23"/>
      <c r="M4662" s="23"/>
      <c r="N4662" s="23"/>
      <c r="P4662" s="23"/>
    </row>
    <row r="4663" spans="2:16" x14ac:dyDescent="0.25">
      <c r="B4663" s="23"/>
      <c r="E4663" s="23"/>
      <c r="G4663" s="23"/>
      <c r="H4663" s="23"/>
      <c r="J4663" s="23"/>
      <c r="K4663" s="23"/>
      <c r="M4663" s="23"/>
      <c r="N4663" s="23"/>
      <c r="P4663" s="23"/>
    </row>
    <row r="4664" spans="2:16" x14ac:dyDescent="0.25">
      <c r="B4664" s="23"/>
      <c r="E4664" s="23"/>
      <c r="G4664" s="23"/>
      <c r="H4664" s="23"/>
      <c r="J4664" s="23"/>
      <c r="K4664" s="23"/>
      <c r="M4664" s="23"/>
      <c r="N4664" s="23"/>
      <c r="P4664" s="23"/>
    </row>
    <row r="4665" spans="2:16" x14ac:dyDescent="0.25">
      <c r="B4665" s="23"/>
      <c r="E4665" s="23"/>
      <c r="G4665" s="23"/>
      <c r="H4665" s="23"/>
      <c r="J4665" s="23"/>
      <c r="K4665" s="23"/>
      <c r="M4665" s="23"/>
      <c r="N4665" s="23"/>
      <c r="P4665" s="23"/>
    </row>
    <row r="4666" spans="2:16" x14ac:dyDescent="0.25">
      <c r="B4666" s="23"/>
      <c r="E4666" s="23"/>
      <c r="G4666" s="23"/>
      <c r="H4666" s="23"/>
      <c r="J4666" s="23"/>
      <c r="K4666" s="23"/>
      <c r="M4666" s="23"/>
      <c r="N4666" s="23"/>
      <c r="P4666" s="23"/>
    </row>
    <row r="4667" spans="2:16" x14ac:dyDescent="0.25">
      <c r="B4667" s="23"/>
      <c r="E4667" s="23"/>
      <c r="G4667" s="23"/>
      <c r="H4667" s="23"/>
      <c r="J4667" s="23"/>
      <c r="K4667" s="23"/>
      <c r="M4667" s="23"/>
      <c r="N4667" s="23"/>
      <c r="P4667" s="23"/>
    </row>
    <row r="4668" spans="2:16" x14ac:dyDescent="0.25">
      <c r="B4668" s="23"/>
      <c r="E4668" s="23"/>
      <c r="G4668" s="23"/>
      <c r="H4668" s="23"/>
      <c r="J4668" s="23"/>
      <c r="K4668" s="23"/>
      <c r="M4668" s="23"/>
      <c r="N4668" s="23"/>
      <c r="P4668" s="23"/>
    </row>
    <row r="4669" spans="2:16" x14ac:dyDescent="0.25">
      <c r="B4669" s="23"/>
      <c r="E4669" s="23"/>
      <c r="G4669" s="23"/>
      <c r="H4669" s="23"/>
      <c r="J4669" s="23"/>
      <c r="K4669" s="23"/>
      <c r="M4669" s="23"/>
      <c r="N4669" s="23"/>
      <c r="P4669" s="23"/>
    </row>
    <row r="4670" spans="2:16" x14ac:dyDescent="0.25">
      <c r="B4670" s="23"/>
      <c r="E4670" s="23"/>
      <c r="G4670" s="23"/>
      <c r="H4670" s="23"/>
      <c r="J4670" s="23"/>
      <c r="K4670" s="23"/>
      <c r="M4670" s="23"/>
      <c r="N4670" s="23"/>
      <c r="P4670" s="23"/>
    </row>
    <row r="4671" spans="2:16" x14ac:dyDescent="0.25">
      <c r="B4671" s="23"/>
      <c r="E4671" s="23"/>
      <c r="G4671" s="23"/>
      <c r="H4671" s="23"/>
      <c r="J4671" s="23"/>
      <c r="K4671" s="23"/>
      <c r="M4671" s="23"/>
      <c r="N4671" s="23"/>
      <c r="P4671" s="23"/>
    </row>
    <row r="4672" spans="2:16" x14ac:dyDescent="0.25">
      <c r="B4672" s="23"/>
      <c r="E4672" s="23"/>
      <c r="G4672" s="23"/>
      <c r="H4672" s="23"/>
      <c r="J4672" s="23"/>
      <c r="K4672" s="23"/>
      <c r="M4672" s="23"/>
      <c r="N4672" s="23"/>
      <c r="P4672" s="23"/>
    </row>
    <row r="4673" spans="2:16" x14ac:dyDescent="0.25">
      <c r="B4673" s="23"/>
      <c r="E4673" s="23"/>
      <c r="G4673" s="23"/>
      <c r="H4673" s="23"/>
      <c r="J4673" s="23"/>
      <c r="K4673" s="23"/>
      <c r="M4673" s="23"/>
      <c r="N4673" s="23"/>
      <c r="P4673" s="23"/>
    </row>
    <row r="4674" spans="2:16" x14ac:dyDescent="0.25">
      <c r="B4674" s="23"/>
      <c r="E4674" s="23"/>
      <c r="G4674" s="23"/>
      <c r="H4674" s="23"/>
      <c r="J4674" s="23"/>
      <c r="K4674" s="23"/>
      <c r="M4674" s="23"/>
      <c r="N4674" s="23"/>
      <c r="P4674" s="23"/>
    </row>
    <row r="4675" spans="2:16" x14ac:dyDescent="0.25">
      <c r="B4675" s="23"/>
      <c r="E4675" s="23"/>
      <c r="G4675" s="23"/>
      <c r="H4675" s="23"/>
      <c r="J4675" s="23"/>
      <c r="K4675" s="23"/>
      <c r="M4675" s="23"/>
      <c r="N4675" s="23"/>
      <c r="P4675" s="23"/>
    </row>
    <row r="4676" spans="2:16" x14ac:dyDescent="0.25">
      <c r="B4676" s="23"/>
      <c r="E4676" s="23"/>
      <c r="G4676" s="23"/>
      <c r="H4676" s="23"/>
      <c r="J4676" s="23"/>
      <c r="K4676" s="23"/>
      <c r="M4676" s="23"/>
      <c r="N4676" s="23"/>
      <c r="P4676" s="23"/>
    </row>
    <row r="4677" spans="2:16" x14ac:dyDescent="0.25">
      <c r="B4677" s="23"/>
      <c r="E4677" s="23"/>
      <c r="G4677" s="23"/>
      <c r="H4677" s="23"/>
      <c r="J4677" s="23"/>
      <c r="K4677" s="23"/>
      <c r="M4677" s="23"/>
      <c r="N4677" s="23"/>
      <c r="P4677" s="23"/>
    </row>
    <row r="4678" spans="2:16" x14ac:dyDescent="0.25">
      <c r="B4678" s="23"/>
      <c r="E4678" s="23"/>
      <c r="G4678" s="23"/>
      <c r="H4678" s="23"/>
      <c r="J4678" s="23"/>
      <c r="K4678" s="23"/>
      <c r="M4678" s="23"/>
      <c r="N4678" s="23"/>
      <c r="P4678" s="23"/>
    </row>
    <row r="4679" spans="2:16" x14ac:dyDescent="0.25">
      <c r="B4679" s="23"/>
      <c r="E4679" s="23"/>
      <c r="G4679" s="23"/>
      <c r="H4679" s="23"/>
      <c r="J4679" s="23"/>
      <c r="K4679" s="23"/>
      <c r="M4679" s="23"/>
      <c r="N4679" s="23"/>
      <c r="P4679" s="23"/>
    </row>
    <row r="4680" spans="2:16" x14ac:dyDescent="0.25">
      <c r="B4680" s="23"/>
      <c r="E4680" s="23"/>
      <c r="G4680" s="23"/>
      <c r="H4680" s="23"/>
      <c r="J4680" s="23"/>
      <c r="K4680" s="23"/>
      <c r="M4680" s="23"/>
      <c r="N4680" s="23"/>
      <c r="P4680" s="23"/>
    </row>
    <row r="4681" spans="2:16" x14ac:dyDescent="0.25">
      <c r="B4681" s="23"/>
      <c r="E4681" s="23"/>
      <c r="G4681" s="23"/>
      <c r="H4681" s="23"/>
      <c r="J4681" s="23"/>
      <c r="K4681" s="23"/>
      <c r="M4681" s="23"/>
      <c r="N4681" s="23"/>
      <c r="P4681" s="23"/>
    </row>
    <row r="4682" spans="2:16" x14ac:dyDescent="0.25">
      <c r="B4682" s="23"/>
      <c r="E4682" s="23"/>
      <c r="G4682" s="23"/>
      <c r="H4682" s="23"/>
      <c r="J4682" s="23"/>
      <c r="K4682" s="23"/>
      <c r="M4682" s="23"/>
      <c r="N4682" s="23"/>
      <c r="P4682" s="23"/>
    </row>
    <row r="4683" spans="2:16" x14ac:dyDescent="0.25">
      <c r="B4683" s="23"/>
      <c r="E4683" s="23"/>
      <c r="G4683" s="23"/>
      <c r="H4683" s="23"/>
      <c r="J4683" s="23"/>
      <c r="K4683" s="23"/>
      <c r="M4683" s="23"/>
      <c r="N4683" s="23"/>
      <c r="P4683" s="23"/>
    </row>
    <row r="4684" spans="2:16" x14ac:dyDescent="0.25">
      <c r="B4684" s="23"/>
      <c r="E4684" s="23"/>
      <c r="G4684" s="23"/>
      <c r="H4684" s="23"/>
      <c r="J4684" s="23"/>
      <c r="K4684" s="23"/>
      <c r="M4684" s="23"/>
      <c r="N4684" s="23"/>
      <c r="P4684" s="23"/>
    </row>
    <row r="4685" spans="2:16" x14ac:dyDescent="0.25">
      <c r="B4685" s="23"/>
      <c r="E4685" s="23"/>
      <c r="G4685" s="23"/>
      <c r="H4685" s="23"/>
      <c r="J4685" s="23"/>
      <c r="K4685" s="23"/>
      <c r="M4685" s="23"/>
      <c r="N4685" s="23"/>
      <c r="P4685" s="23"/>
    </row>
    <row r="4686" spans="2:16" x14ac:dyDescent="0.25">
      <c r="B4686" s="23"/>
      <c r="E4686" s="23"/>
      <c r="G4686" s="23"/>
      <c r="H4686" s="23"/>
      <c r="J4686" s="23"/>
      <c r="K4686" s="23"/>
      <c r="M4686" s="23"/>
      <c r="N4686" s="23"/>
      <c r="P4686" s="23"/>
    </row>
    <row r="4687" spans="2:16" x14ac:dyDescent="0.25">
      <c r="B4687" s="23"/>
      <c r="E4687" s="23"/>
      <c r="G4687" s="23"/>
      <c r="H4687" s="23"/>
      <c r="J4687" s="23"/>
      <c r="K4687" s="23"/>
      <c r="M4687" s="23"/>
      <c r="N4687" s="23"/>
      <c r="P4687" s="23"/>
    </row>
    <row r="4688" spans="2:16" x14ac:dyDescent="0.25">
      <c r="B4688" s="23"/>
      <c r="E4688" s="23"/>
      <c r="G4688" s="23"/>
      <c r="H4688" s="23"/>
      <c r="J4688" s="23"/>
      <c r="K4688" s="23"/>
      <c r="M4688" s="23"/>
      <c r="N4688" s="23"/>
      <c r="P4688" s="23"/>
    </row>
    <row r="4689" spans="2:16" x14ac:dyDescent="0.25">
      <c r="B4689" s="23"/>
      <c r="E4689" s="23"/>
      <c r="G4689" s="23"/>
      <c r="H4689" s="23"/>
      <c r="J4689" s="23"/>
      <c r="K4689" s="23"/>
      <c r="M4689" s="23"/>
      <c r="N4689" s="23"/>
      <c r="P4689" s="23"/>
    </row>
    <row r="4690" spans="2:16" x14ac:dyDescent="0.25">
      <c r="B4690" s="23"/>
      <c r="E4690" s="23"/>
      <c r="G4690" s="23"/>
      <c r="H4690" s="23"/>
      <c r="J4690" s="23"/>
      <c r="K4690" s="23"/>
      <c r="M4690" s="23"/>
      <c r="N4690" s="23"/>
      <c r="P4690" s="23"/>
    </row>
    <row r="4691" spans="2:16" x14ac:dyDescent="0.25">
      <c r="B4691" s="23"/>
      <c r="E4691" s="23"/>
      <c r="G4691" s="23"/>
      <c r="H4691" s="23"/>
      <c r="J4691" s="23"/>
      <c r="K4691" s="23"/>
      <c r="M4691" s="23"/>
      <c r="N4691" s="23"/>
      <c r="P4691" s="23"/>
    </row>
    <row r="4692" spans="2:16" x14ac:dyDescent="0.25">
      <c r="B4692" s="23"/>
      <c r="E4692" s="23"/>
      <c r="G4692" s="23"/>
      <c r="H4692" s="23"/>
      <c r="J4692" s="23"/>
      <c r="K4692" s="23"/>
      <c r="M4692" s="23"/>
      <c r="N4692" s="23"/>
      <c r="P4692" s="23"/>
    </row>
    <row r="4693" spans="2:16" x14ac:dyDescent="0.25">
      <c r="B4693" s="23"/>
      <c r="E4693" s="23"/>
      <c r="G4693" s="23"/>
      <c r="H4693" s="23"/>
      <c r="J4693" s="23"/>
      <c r="K4693" s="23"/>
      <c r="M4693" s="23"/>
      <c r="N4693" s="23"/>
      <c r="P4693" s="23"/>
    </row>
    <row r="4694" spans="2:16" x14ac:dyDescent="0.25">
      <c r="B4694" s="23"/>
      <c r="E4694" s="23"/>
      <c r="G4694" s="23"/>
      <c r="H4694" s="23"/>
      <c r="J4694" s="23"/>
      <c r="K4694" s="23"/>
      <c r="M4694" s="23"/>
      <c r="N4694" s="23"/>
      <c r="P4694" s="23"/>
    </row>
    <row r="4695" spans="2:16" x14ac:dyDescent="0.25">
      <c r="B4695" s="23"/>
      <c r="E4695" s="23"/>
      <c r="G4695" s="23"/>
      <c r="H4695" s="23"/>
      <c r="J4695" s="23"/>
      <c r="K4695" s="23"/>
      <c r="M4695" s="23"/>
      <c r="N4695" s="23"/>
      <c r="P4695" s="23"/>
    </row>
    <row r="4696" spans="2:16" x14ac:dyDescent="0.25">
      <c r="B4696" s="23"/>
      <c r="E4696" s="23"/>
      <c r="G4696" s="23"/>
      <c r="H4696" s="23"/>
      <c r="J4696" s="23"/>
      <c r="K4696" s="23"/>
      <c r="M4696" s="23"/>
      <c r="N4696" s="23"/>
      <c r="P4696" s="23"/>
    </row>
    <row r="4697" spans="2:16" x14ac:dyDescent="0.25">
      <c r="B4697" s="23"/>
      <c r="E4697" s="23"/>
      <c r="G4697" s="23"/>
      <c r="H4697" s="23"/>
      <c r="J4697" s="23"/>
      <c r="K4697" s="23"/>
      <c r="M4697" s="23"/>
      <c r="N4697" s="23"/>
      <c r="P4697" s="23"/>
    </row>
    <row r="4698" spans="2:16" x14ac:dyDescent="0.25">
      <c r="B4698" s="23"/>
      <c r="E4698" s="23"/>
      <c r="G4698" s="23"/>
      <c r="H4698" s="23"/>
      <c r="J4698" s="23"/>
      <c r="K4698" s="23"/>
      <c r="M4698" s="23"/>
      <c r="N4698" s="23"/>
      <c r="P4698" s="23"/>
    </row>
    <row r="4699" spans="2:16" x14ac:dyDescent="0.25">
      <c r="B4699" s="23"/>
      <c r="E4699" s="23"/>
      <c r="G4699" s="23"/>
      <c r="H4699" s="23"/>
      <c r="J4699" s="23"/>
      <c r="K4699" s="23"/>
      <c r="M4699" s="23"/>
      <c r="N4699" s="23"/>
      <c r="P4699" s="23"/>
    </row>
    <row r="4700" spans="2:16" x14ac:dyDescent="0.25">
      <c r="B4700" s="23"/>
      <c r="E4700" s="23"/>
      <c r="G4700" s="23"/>
      <c r="H4700" s="23"/>
      <c r="J4700" s="23"/>
      <c r="K4700" s="23"/>
      <c r="M4700" s="23"/>
      <c r="N4700" s="23"/>
      <c r="P4700" s="23"/>
    </row>
    <row r="4701" spans="2:16" x14ac:dyDescent="0.25">
      <c r="B4701" s="23"/>
      <c r="E4701" s="23"/>
      <c r="G4701" s="23"/>
      <c r="H4701" s="23"/>
      <c r="J4701" s="23"/>
      <c r="K4701" s="23"/>
      <c r="M4701" s="23"/>
      <c r="N4701" s="23"/>
      <c r="P4701" s="23"/>
    </row>
    <row r="4702" spans="2:16" x14ac:dyDescent="0.25">
      <c r="B4702" s="23"/>
      <c r="E4702" s="23"/>
      <c r="G4702" s="23"/>
      <c r="H4702" s="23"/>
      <c r="J4702" s="23"/>
      <c r="K4702" s="23"/>
      <c r="M4702" s="23"/>
      <c r="N4702" s="23"/>
      <c r="P4702" s="23"/>
    </row>
    <row r="4703" spans="2:16" x14ac:dyDescent="0.25">
      <c r="B4703" s="23"/>
      <c r="E4703" s="23"/>
      <c r="G4703" s="23"/>
      <c r="H4703" s="23"/>
      <c r="J4703" s="23"/>
      <c r="K4703" s="23"/>
      <c r="M4703" s="23"/>
      <c r="N4703" s="23"/>
      <c r="P4703" s="23"/>
    </row>
    <row r="4704" spans="2:16" x14ac:dyDescent="0.25">
      <c r="B4704" s="23"/>
      <c r="E4704" s="23"/>
      <c r="G4704" s="23"/>
      <c r="H4704" s="23"/>
      <c r="J4704" s="23"/>
      <c r="K4704" s="23"/>
      <c r="M4704" s="23"/>
      <c r="N4704" s="23"/>
      <c r="P4704" s="23"/>
    </row>
    <row r="4705" spans="2:16" x14ac:dyDescent="0.25">
      <c r="B4705" s="23"/>
      <c r="E4705" s="23"/>
      <c r="G4705" s="23"/>
      <c r="H4705" s="23"/>
      <c r="J4705" s="23"/>
      <c r="K4705" s="23"/>
      <c r="M4705" s="23"/>
      <c r="N4705" s="23"/>
      <c r="P4705" s="23"/>
    </row>
    <row r="4706" spans="2:16" x14ac:dyDescent="0.25">
      <c r="B4706" s="23"/>
      <c r="E4706" s="23"/>
      <c r="G4706" s="23"/>
      <c r="H4706" s="23"/>
      <c r="J4706" s="23"/>
      <c r="K4706" s="23"/>
      <c r="M4706" s="23"/>
      <c r="N4706" s="23"/>
      <c r="P4706" s="23"/>
    </row>
    <row r="4707" spans="2:16" x14ac:dyDescent="0.25">
      <c r="B4707" s="23"/>
      <c r="E4707" s="23"/>
      <c r="G4707" s="23"/>
      <c r="H4707" s="23"/>
      <c r="J4707" s="23"/>
      <c r="K4707" s="23"/>
      <c r="M4707" s="23"/>
      <c r="N4707" s="23"/>
      <c r="P4707" s="23"/>
    </row>
    <row r="4708" spans="2:16" x14ac:dyDescent="0.25">
      <c r="B4708" s="23"/>
      <c r="E4708" s="23"/>
      <c r="G4708" s="23"/>
      <c r="H4708" s="23"/>
      <c r="J4708" s="23"/>
      <c r="K4708" s="23"/>
      <c r="M4708" s="23"/>
      <c r="N4708" s="23"/>
      <c r="P4708" s="23"/>
    </row>
    <row r="4709" spans="2:16" x14ac:dyDescent="0.25">
      <c r="B4709" s="23"/>
      <c r="E4709" s="23"/>
      <c r="G4709" s="23"/>
      <c r="H4709" s="23"/>
      <c r="J4709" s="23"/>
      <c r="K4709" s="23"/>
      <c r="M4709" s="23"/>
      <c r="N4709" s="23"/>
      <c r="P4709" s="23"/>
    </row>
    <row r="4710" spans="2:16" x14ac:dyDescent="0.25">
      <c r="B4710" s="23"/>
      <c r="E4710" s="23"/>
      <c r="G4710" s="23"/>
      <c r="H4710" s="23"/>
      <c r="J4710" s="23"/>
      <c r="K4710" s="23"/>
      <c r="M4710" s="23"/>
      <c r="N4710" s="23"/>
      <c r="P4710" s="23"/>
    </row>
    <row r="4711" spans="2:16" x14ac:dyDescent="0.25">
      <c r="B4711" s="23"/>
      <c r="E4711" s="23"/>
      <c r="G4711" s="23"/>
      <c r="H4711" s="23"/>
      <c r="J4711" s="23"/>
      <c r="K4711" s="23"/>
      <c r="M4711" s="23"/>
      <c r="N4711" s="23"/>
      <c r="P4711" s="23"/>
    </row>
    <row r="4712" spans="2:16" x14ac:dyDescent="0.25">
      <c r="B4712" s="23"/>
      <c r="E4712" s="23"/>
      <c r="G4712" s="23"/>
      <c r="H4712" s="23"/>
      <c r="J4712" s="23"/>
      <c r="K4712" s="23"/>
      <c r="M4712" s="23"/>
      <c r="N4712" s="23"/>
      <c r="P4712" s="23"/>
    </row>
    <row r="4713" spans="2:16" x14ac:dyDescent="0.25">
      <c r="B4713" s="23"/>
      <c r="E4713" s="23"/>
      <c r="G4713" s="23"/>
      <c r="H4713" s="23"/>
      <c r="J4713" s="23"/>
      <c r="K4713" s="23"/>
      <c r="M4713" s="23"/>
      <c r="N4713" s="23"/>
      <c r="P4713" s="23"/>
    </row>
    <row r="4714" spans="2:16" x14ac:dyDescent="0.25">
      <c r="B4714" s="23"/>
      <c r="E4714" s="23"/>
      <c r="G4714" s="23"/>
      <c r="H4714" s="23"/>
      <c r="J4714" s="23"/>
      <c r="K4714" s="23"/>
      <c r="M4714" s="23"/>
      <c r="N4714" s="23"/>
      <c r="P4714" s="23"/>
    </row>
    <row r="4715" spans="2:16" x14ac:dyDescent="0.25">
      <c r="B4715" s="23"/>
      <c r="E4715" s="23"/>
      <c r="G4715" s="23"/>
      <c r="H4715" s="23"/>
      <c r="J4715" s="23"/>
      <c r="K4715" s="23"/>
      <c r="M4715" s="23"/>
      <c r="N4715" s="23"/>
      <c r="P4715" s="23"/>
    </row>
    <row r="4716" spans="2:16" x14ac:dyDescent="0.25">
      <c r="B4716" s="23"/>
      <c r="E4716" s="23"/>
      <c r="G4716" s="23"/>
      <c r="H4716" s="23"/>
      <c r="J4716" s="23"/>
      <c r="K4716" s="23"/>
      <c r="M4716" s="23"/>
      <c r="N4716" s="23"/>
      <c r="P4716" s="23"/>
    </row>
    <row r="4717" spans="2:16" x14ac:dyDescent="0.25">
      <c r="B4717" s="23"/>
      <c r="E4717" s="23"/>
      <c r="G4717" s="23"/>
      <c r="H4717" s="23"/>
      <c r="J4717" s="23"/>
      <c r="K4717" s="23"/>
      <c r="M4717" s="23"/>
      <c r="N4717" s="23"/>
      <c r="P4717" s="23"/>
    </row>
    <row r="4718" spans="2:16" x14ac:dyDescent="0.25">
      <c r="B4718" s="23"/>
      <c r="E4718" s="23"/>
      <c r="G4718" s="23"/>
      <c r="H4718" s="23"/>
      <c r="J4718" s="23"/>
      <c r="K4718" s="23"/>
      <c r="M4718" s="23"/>
      <c r="N4718" s="23"/>
      <c r="P4718" s="23"/>
    </row>
    <row r="4719" spans="2:16" x14ac:dyDescent="0.25">
      <c r="B4719" s="23"/>
      <c r="E4719" s="23"/>
      <c r="G4719" s="23"/>
      <c r="H4719" s="23"/>
      <c r="J4719" s="23"/>
      <c r="K4719" s="23"/>
      <c r="M4719" s="23"/>
      <c r="N4719" s="23"/>
      <c r="P4719" s="23"/>
    </row>
    <row r="4720" spans="2:16" x14ac:dyDescent="0.25">
      <c r="B4720" s="23"/>
      <c r="E4720" s="23"/>
      <c r="G4720" s="23"/>
      <c r="H4720" s="23"/>
      <c r="J4720" s="23"/>
      <c r="K4720" s="23"/>
      <c r="M4720" s="23"/>
      <c r="N4720" s="23"/>
      <c r="P4720" s="23"/>
    </row>
    <row r="4721" spans="2:16" x14ac:dyDescent="0.25">
      <c r="B4721" s="23"/>
      <c r="E4721" s="23"/>
      <c r="G4721" s="23"/>
      <c r="H4721" s="23"/>
      <c r="J4721" s="23"/>
      <c r="K4721" s="23"/>
      <c r="M4721" s="23"/>
      <c r="N4721" s="23"/>
      <c r="P4721" s="23"/>
    </row>
    <row r="4722" spans="2:16" x14ac:dyDescent="0.25">
      <c r="B4722" s="23"/>
      <c r="E4722" s="23"/>
      <c r="G4722" s="23"/>
      <c r="H4722" s="23"/>
      <c r="J4722" s="23"/>
      <c r="K4722" s="23"/>
      <c r="M4722" s="23"/>
      <c r="N4722" s="23"/>
      <c r="P4722" s="23"/>
    </row>
    <row r="4723" spans="2:16" x14ac:dyDescent="0.25">
      <c r="B4723" s="23"/>
      <c r="E4723" s="23"/>
      <c r="G4723" s="23"/>
      <c r="H4723" s="23"/>
      <c r="J4723" s="23"/>
      <c r="K4723" s="23"/>
      <c r="M4723" s="23"/>
      <c r="N4723" s="23"/>
      <c r="P4723" s="23"/>
    </row>
    <row r="4724" spans="2:16" x14ac:dyDescent="0.25">
      <c r="B4724" s="23"/>
      <c r="E4724" s="23"/>
      <c r="G4724" s="23"/>
      <c r="H4724" s="23"/>
      <c r="J4724" s="23"/>
      <c r="K4724" s="23"/>
      <c r="M4724" s="23"/>
      <c r="N4724" s="23"/>
      <c r="P4724" s="23"/>
    </row>
    <row r="4725" spans="2:16" x14ac:dyDescent="0.25">
      <c r="B4725" s="23"/>
      <c r="E4725" s="23"/>
      <c r="G4725" s="23"/>
      <c r="H4725" s="23"/>
      <c r="J4725" s="23"/>
      <c r="K4725" s="23"/>
      <c r="M4725" s="23"/>
      <c r="N4725" s="23"/>
      <c r="P4725" s="23"/>
    </row>
    <row r="4726" spans="2:16" x14ac:dyDescent="0.25">
      <c r="B4726" s="23"/>
      <c r="E4726" s="23"/>
      <c r="G4726" s="23"/>
      <c r="H4726" s="23"/>
      <c r="J4726" s="23"/>
      <c r="K4726" s="23"/>
      <c r="M4726" s="23"/>
      <c r="N4726" s="23"/>
      <c r="P4726" s="23"/>
    </row>
    <row r="4727" spans="2:16" x14ac:dyDescent="0.25">
      <c r="B4727" s="23"/>
      <c r="E4727" s="23"/>
      <c r="G4727" s="23"/>
      <c r="H4727" s="23"/>
      <c r="J4727" s="23"/>
      <c r="K4727" s="23"/>
      <c r="M4727" s="23"/>
      <c r="N4727" s="23"/>
      <c r="P4727" s="23"/>
    </row>
    <row r="4728" spans="2:16" x14ac:dyDescent="0.25">
      <c r="B4728" s="23"/>
      <c r="E4728" s="23"/>
      <c r="G4728" s="23"/>
      <c r="H4728" s="23"/>
      <c r="J4728" s="23"/>
      <c r="K4728" s="23"/>
      <c r="M4728" s="23"/>
      <c r="N4728" s="23"/>
      <c r="P4728" s="23"/>
    </row>
    <row r="4729" spans="2:16" x14ac:dyDescent="0.25">
      <c r="B4729" s="23"/>
      <c r="E4729" s="23"/>
      <c r="G4729" s="23"/>
      <c r="H4729" s="23"/>
      <c r="J4729" s="23"/>
      <c r="K4729" s="23"/>
      <c r="M4729" s="23"/>
      <c r="N4729" s="23"/>
      <c r="P4729" s="23"/>
    </row>
    <row r="4730" spans="2:16" x14ac:dyDescent="0.25">
      <c r="B4730" s="23"/>
      <c r="E4730" s="23"/>
      <c r="G4730" s="23"/>
      <c r="H4730" s="23"/>
      <c r="J4730" s="23"/>
      <c r="K4730" s="23"/>
      <c r="M4730" s="23"/>
      <c r="N4730" s="23"/>
      <c r="P4730" s="23"/>
    </row>
    <row r="4731" spans="2:16" x14ac:dyDescent="0.25">
      <c r="B4731" s="23"/>
      <c r="E4731" s="23"/>
      <c r="G4731" s="23"/>
      <c r="H4731" s="23"/>
      <c r="J4731" s="23"/>
      <c r="K4731" s="23"/>
      <c r="M4731" s="23"/>
      <c r="N4731" s="23"/>
      <c r="P4731" s="23"/>
    </row>
    <row r="4732" spans="2:16" x14ac:dyDescent="0.25">
      <c r="B4732" s="23"/>
      <c r="E4732" s="23"/>
      <c r="G4732" s="23"/>
      <c r="H4732" s="23"/>
      <c r="J4732" s="23"/>
      <c r="K4732" s="23"/>
      <c r="M4732" s="23"/>
      <c r="N4732" s="23"/>
      <c r="P4732" s="23"/>
    </row>
    <row r="4733" spans="2:16" x14ac:dyDescent="0.25">
      <c r="B4733" s="23"/>
      <c r="E4733" s="23"/>
      <c r="G4733" s="23"/>
      <c r="H4733" s="23"/>
      <c r="J4733" s="23"/>
      <c r="K4733" s="23"/>
      <c r="M4733" s="23"/>
      <c r="N4733" s="23"/>
      <c r="P4733" s="23"/>
    </row>
    <row r="4734" spans="2:16" x14ac:dyDescent="0.25">
      <c r="B4734" s="23"/>
      <c r="E4734" s="23"/>
      <c r="G4734" s="23"/>
      <c r="H4734" s="23"/>
      <c r="J4734" s="23"/>
      <c r="K4734" s="23"/>
      <c r="M4734" s="23"/>
      <c r="N4734" s="23"/>
      <c r="P4734" s="23"/>
    </row>
    <row r="4735" spans="2:16" x14ac:dyDescent="0.25">
      <c r="B4735" s="23"/>
      <c r="E4735" s="23"/>
      <c r="G4735" s="23"/>
      <c r="H4735" s="23"/>
      <c r="J4735" s="23"/>
      <c r="K4735" s="23"/>
      <c r="M4735" s="23"/>
      <c r="N4735" s="23"/>
      <c r="P4735" s="23"/>
    </row>
    <row r="4736" spans="2:16" x14ac:dyDescent="0.25">
      <c r="B4736" s="23"/>
      <c r="E4736" s="23"/>
      <c r="G4736" s="23"/>
      <c r="H4736" s="23"/>
      <c r="J4736" s="23"/>
      <c r="K4736" s="23"/>
      <c r="M4736" s="23"/>
      <c r="N4736" s="23"/>
      <c r="P4736" s="23"/>
    </row>
    <row r="4737" spans="2:16" x14ac:dyDescent="0.25">
      <c r="B4737" s="23"/>
      <c r="E4737" s="23"/>
      <c r="G4737" s="23"/>
      <c r="H4737" s="23"/>
      <c r="J4737" s="23"/>
      <c r="K4737" s="23"/>
      <c r="M4737" s="23"/>
      <c r="N4737" s="23"/>
      <c r="P4737" s="23"/>
    </row>
    <row r="4738" spans="2:16" x14ac:dyDescent="0.25">
      <c r="B4738" s="23"/>
      <c r="E4738" s="23"/>
      <c r="G4738" s="23"/>
      <c r="H4738" s="23"/>
      <c r="J4738" s="23"/>
      <c r="K4738" s="23"/>
      <c r="M4738" s="23"/>
      <c r="N4738" s="23"/>
      <c r="P4738" s="23"/>
    </row>
    <row r="4739" spans="2:16" x14ac:dyDescent="0.25">
      <c r="B4739" s="23"/>
      <c r="E4739" s="23"/>
      <c r="G4739" s="23"/>
      <c r="H4739" s="23"/>
      <c r="J4739" s="23"/>
      <c r="K4739" s="23"/>
      <c r="M4739" s="23"/>
      <c r="N4739" s="23"/>
      <c r="P4739" s="23"/>
    </row>
    <row r="4740" spans="2:16" x14ac:dyDescent="0.25">
      <c r="B4740" s="23"/>
      <c r="E4740" s="23"/>
      <c r="G4740" s="23"/>
      <c r="H4740" s="23"/>
      <c r="J4740" s="23"/>
      <c r="K4740" s="23"/>
      <c r="M4740" s="23"/>
      <c r="N4740" s="23"/>
      <c r="P4740" s="23"/>
    </row>
    <row r="4741" spans="2:16" x14ac:dyDescent="0.25">
      <c r="B4741" s="23"/>
      <c r="E4741" s="23"/>
      <c r="G4741" s="23"/>
      <c r="H4741" s="23"/>
      <c r="J4741" s="23"/>
      <c r="K4741" s="23"/>
      <c r="M4741" s="23"/>
      <c r="N4741" s="23"/>
      <c r="P4741" s="23"/>
    </row>
    <row r="4742" spans="2:16" x14ac:dyDescent="0.25">
      <c r="B4742" s="23"/>
      <c r="E4742" s="23"/>
      <c r="G4742" s="23"/>
      <c r="H4742" s="23"/>
      <c r="J4742" s="23"/>
      <c r="K4742" s="23"/>
      <c r="M4742" s="23"/>
      <c r="N4742" s="23"/>
      <c r="P4742" s="23"/>
    </row>
    <row r="4743" spans="2:16" x14ac:dyDescent="0.25">
      <c r="B4743" s="23"/>
      <c r="E4743" s="23"/>
      <c r="G4743" s="23"/>
      <c r="H4743" s="23"/>
      <c r="J4743" s="23"/>
      <c r="K4743" s="23"/>
      <c r="M4743" s="23"/>
      <c r="N4743" s="23"/>
      <c r="P4743" s="23"/>
    </row>
    <row r="4744" spans="2:16" x14ac:dyDescent="0.25">
      <c r="B4744" s="23"/>
      <c r="E4744" s="23"/>
      <c r="G4744" s="23"/>
      <c r="H4744" s="23"/>
      <c r="J4744" s="23"/>
      <c r="K4744" s="23"/>
      <c r="M4744" s="23"/>
      <c r="N4744" s="23"/>
      <c r="P4744" s="23"/>
    </row>
    <row r="4745" spans="2:16" x14ac:dyDescent="0.25">
      <c r="B4745" s="23"/>
      <c r="E4745" s="23"/>
      <c r="G4745" s="23"/>
      <c r="H4745" s="23"/>
      <c r="J4745" s="23"/>
      <c r="K4745" s="23"/>
      <c r="M4745" s="23"/>
      <c r="N4745" s="23"/>
      <c r="P4745" s="23"/>
    </row>
    <row r="4746" spans="2:16" x14ac:dyDescent="0.25">
      <c r="B4746" s="23"/>
      <c r="E4746" s="23"/>
      <c r="G4746" s="23"/>
      <c r="H4746" s="23"/>
      <c r="J4746" s="23"/>
      <c r="K4746" s="23"/>
      <c r="M4746" s="23"/>
      <c r="N4746" s="23"/>
      <c r="P4746" s="23"/>
    </row>
    <row r="4747" spans="2:16" x14ac:dyDescent="0.25">
      <c r="B4747" s="23"/>
      <c r="E4747" s="23"/>
      <c r="G4747" s="23"/>
      <c r="H4747" s="23"/>
      <c r="J4747" s="23"/>
      <c r="K4747" s="23"/>
      <c r="M4747" s="23"/>
      <c r="N4747" s="23"/>
      <c r="P4747" s="23"/>
    </row>
    <row r="4748" spans="2:16" x14ac:dyDescent="0.25">
      <c r="B4748" s="23"/>
      <c r="E4748" s="23"/>
      <c r="G4748" s="23"/>
      <c r="H4748" s="23"/>
      <c r="J4748" s="23"/>
      <c r="K4748" s="23"/>
      <c r="M4748" s="23"/>
      <c r="N4748" s="23"/>
      <c r="P4748" s="23"/>
    </row>
    <row r="4749" spans="2:16" x14ac:dyDescent="0.25">
      <c r="B4749" s="23"/>
      <c r="E4749" s="23"/>
      <c r="G4749" s="23"/>
      <c r="H4749" s="23"/>
      <c r="J4749" s="23"/>
      <c r="K4749" s="23"/>
      <c r="M4749" s="23"/>
      <c r="N4749" s="23"/>
      <c r="P4749" s="23"/>
    </row>
    <row r="4750" spans="2:16" x14ac:dyDescent="0.25">
      <c r="B4750" s="23"/>
      <c r="E4750" s="23"/>
      <c r="G4750" s="23"/>
      <c r="H4750" s="23"/>
      <c r="J4750" s="23"/>
      <c r="K4750" s="23"/>
      <c r="M4750" s="23"/>
      <c r="N4750" s="23"/>
      <c r="P4750" s="23"/>
    </row>
    <row r="4751" spans="2:16" x14ac:dyDescent="0.25">
      <c r="B4751" s="23"/>
      <c r="E4751" s="23"/>
      <c r="G4751" s="23"/>
      <c r="H4751" s="23"/>
      <c r="J4751" s="23"/>
      <c r="K4751" s="23"/>
      <c r="M4751" s="23"/>
      <c r="N4751" s="23"/>
      <c r="P4751" s="23"/>
    </row>
    <row r="4752" spans="2:16" x14ac:dyDescent="0.25">
      <c r="B4752" s="23"/>
      <c r="E4752" s="23"/>
      <c r="G4752" s="23"/>
      <c r="H4752" s="23"/>
      <c r="J4752" s="23"/>
      <c r="K4752" s="23"/>
      <c r="M4752" s="23"/>
      <c r="N4752" s="23"/>
      <c r="P4752" s="23"/>
    </row>
    <row r="4753" spans="2:16" x14ac:dyDescent="0.25">
      <c r="B4753" s="23"/>
      <c r="E4753" s="23"/>
      <c r="G4753" s="23"/>
      <c r="H4753" s="23"/>
      <c r="J4753" s="23"/>
      <c r="K4753" s="23"/>
      <c r="M4753" s="23"/>
      <c r="N4753" s="23"/>
      <c r="P4753" s="23"/>
    </row>
    <row r="4754" spans="2:16" x14ac:dyDescent="0.25">
      <c r="B4754" s="23"/>
      <c r="E4754" s="23"/>
      <c r="G4754" s="23"/>
      <c r="H4754" s="23"/>
      <c r="J4754" s="23"/>
      <c r="K4754" s="23"/>
      <c r="M4754" s="23"/>
      <c r="N4754" s="23"/>
      <c r="P4754" s="23"/>
    </row>
    <row r="4755" spans="2:16" x14ac:dyDescent="0.25">
      <c r="B4755" s="23"/>
      <c r="E4755" s="23"/>
      <c r="G4755" s="23"/>
      <c r="H4755" s="23"/>
      <c r="J4755" s="23"/>
      <c r="K4755" s="23"/>
      <c r="M4755" s="23"/>
      <c r="N4755" s="23"/>
      <c r="P4755" s="23"/>
    </row>
    <row r="4756" spans="2:16" x14ac:dyDescent="0.25">
      <c r="B4756" s="23"/>
      <c r="E4756" s="23"/>
      <c r="G4756" s="23"/>
      <c r="H4756" s="23"/>
      <c r="J4756" s="23"/>
      <c r="K4756" s="23"/>
      <c r="M4756" s="23"/>
      <c r="N4756" s="23"/>
      <c r="P4756" s="23"/>
    </row>
    <row r="4757" spans="2:16" x14ac:dyDescent="0.25">
      <c r="B4757" s="23"/>
      <c r="E4757" s="23"/>
      <c r="G4757" s="23"/>
      <c r="H4757" s="23"/>
      <c r="J4757" s="23"/>
      <c r="K4757" s="23"/>
      <c r="M4757" s="23"/>
      <c r="N4757" s="23"/>
      <c r="P4757" s="23"/>
    </row>
    <row r="4758" spans="2:16" x14ac:dyDescent="0.25">
      <c r="B4758" s="23"/>
      <c r="E4758" s="23"/>
      <c r="G4758" s="23"/>
      <c r="H4758" s="23"/>
      <c r="J4758" s="23"/>
      <c r="K4758" s="23"/>
      <c r="M4758" s="23"/>
      <c r="N4758" s="23"/>
      <c r="P4758" s="23"/>
    </row>
    <row r="4759" spans="2:16" x14ac:dyDescent="0.25">
      <c r="B4759" s="23"/>
      <c r="E4759" s="23"/>
      <c r="G4759" s="23"/>
      <c r="H4759" s="23"/>
      <c r="J4759" s="23"/>
      <c r="K4759" s="23"/>
      <c r="M4759" s="23"/>
      <c r="N4759" s="23"/>
      <c r="P4759" s="23"/>
    </row>
    <row r="4760" spans="2:16" x14ac:dyDescent="0.25">
      <c r="B4760" s="23"/>
      <c r="E4760" s="23"/>
      <c r="G4760" s="23"/>
      <c r="H4760" s="23"/>
      <c r="J4760" s="23"/>
      <c r="K4760" s="23"/>
      <c r="M4760" s="23"/>
      <c r="N4760" s="23"/>
      <c r="P4760" s="23"/>
    </row>
    <row r="4761" spans="2:16" x14ac:dyDescent="0.25">
      <c r="B4761" s="23"/>
      <c r="E4761" s="23"/>
      <c r="G4761" s="23"/>
      <c r="H4761" s="23"/>
      <c r="J4761" s="23"/>
      <c r="K4761" s="23"/>
      <c r="M4761" s="23"/>
      <c r="N4761" s="23"/>
      <c r="P4761" s="23"/>
    </row>
    <row r="4762" spans="2:16" x14ac:dyDescent="0.25">
      <c r="B4762" s="23"/>
      <c r="E4762" s="23"/>
      <c r="G4762" s="23"/>
      <c r="H4762" s="23"/>
      <c r="J4762" s="23"/>
      <c r="K4762" s="23"/>
      <c r="M4762" s="23"/>
      <c r="N4762" s="23"/>
      <c r="P4762" s="23"/>
    </row>
    <row r="4763" spans="2:16" x14ac:dyDescent="0.25">
      <c r="B4763" s="23"/>
      <c r="E4763" s="23"/>
      <c r="G4763" s="23"/>
      <c r="H4763" s="23"/>
      <c r="J4763" s="23"/>
      <c r="K4763" s="23"/>
      <c r="M4763" s="23"/>
      <c r="N4763" s="23"/>
      <c r="P4763" s="23"/>
    </row>
    <row r="4764" spans="2:16" x14ac:dyDescent="0.25">
      <c r="B4764" s="23"/>
      <c r="E4764" s="23"/>
      <c r="G4764" s="23"/>
      <c r="H4764" s="23"/>
      <c r="J4764" s="23"/>
      <c r="K4764" s="23"/>
      <c r="M4764" s="23"/>
      <c r="N4764" s="23"/>
      <c r="P4764" s="23"/>
    </row>
    <row r="4765" spans="2:16" x14ac:dyDescent="0.25">
      <c r="B4765" s="23"/>
      <c r="E4765" s="23"/>
      <c r="G4765" s="23"/>
      <c r="H4765" s="23"/>
      <c r="J4765" s="23"/>
      <c r="K4765" s="23"/>
      <c r="M4765" s="23"/>
      <c r="N4765" s="23"/>
      <c r="P4765" s="23"/>
    </row>
    <row r="4766" spans="2:16" x14ac:dyDescent="0.25">
      <c r="B4766" s="23"/>
      <c r="E4766" s="23"/>
      <c r="G4766" s="23"/>
      <c r="H4766" s="23"/>
      <c r="J4766" s="23"/>
      <c r="K4766" s="23"/>
      <c r="M4766" s="23"/>
      <c r="N4766" s="23"/>
      <c r="P4766" s="23"/>
    </row>
    <row r="4767" spans="2:16" x14ac:dyDescent="0.25">
      <c r="B4767" s="23"/>
      <c r="E4767" s="23"/>
      <c r="G4767" s="23"/>
      <c r="H4767" s="23"/>
      <c r="J4767" s="23"/>
      <c r="K4767" s="23"/>
      <c r="M4767" s="23"/>
      <c r="N4767" s="23"/>
      <c r="P4767" s="23"/>
    </row>
    <row r="4768" spans="2:16" x14ac:dyDescent="0.25">
      <c r="B4768" s="23"/>
      <c r="E4768" s="23"/>
      <c r="G4768" s="23"/>
      <c r="H4768" s="23"/>
      <c r="J4768" s="23"/>
      <c r="K4768" s="23"/>
      <c r="M4768" s="23"/>
      <c r="N4768" s="23"/>
      <c r="P4768" s="23"/>
    </row>
    <row r="4769" spans="2:16" x14ac:dyDescent="0.25">
      <c r="B4769" s="23"/>
      <c r="E4769" s="23"/>
      <c r="G4769" s="23"/>
      <c r="H4769" s="23"/>
      <c r="J4769" s="23"/>
      <c r="K4769" s="23"/>
      <c r="M4769" s="23"/>
      <c r="N4769" s="23"/>
      <c r="P4769" s="23"/>
    </row>
    <row r="4770" spans="2:16" x14ac:dyDescent="0.25">
      <c r="B4770" s="23"/>
      <c r="E4770" s="23"/>
      <c r="G4770" s="23"/>
      <c r="H4770" s="23"/>
      <c r="J4770" s="23"/>
      <c r="K4770" s="23"/>
      <c r="M4770" s="23"/>
      <c r="N4770" s="23"/>
      <c r="P4770" s="23"/>
    </row>
    <row r="4771" spans="2:16" x14ac:dyDescent="0.25">
      <c r="B4771" s="23"/>
      <c r="E4771" s="23"/>
      <c r="G4771" s="23"/>
      <c r="H4771" s="23"/>
      <c r="J4771" s="23"/>
      <c r="K4771" s="23"/>
      <c r="M4771" s="23"/>
      <c r="N4771" s="23"/>
      <c r="P4771" s="23"/>
    </row>
    <row r="4772" spans="2:16" x14ac:dyDescent="0.25">
      <c r="B4772" s="23"/>
      <c r="E4772" s="23"/>
      <c r="G4772" s="23"/>
      <c r="H4772" s="23"/>
      <c r="J4772" s="23"/>
      <c r="K4772" s="23"/>
      <c r="M4772" s="23"/>
      <c r="N4772" s="23"/>
      <c r="P4772" s="23"/>
    </row>
    <row r="4773" spans="2:16" x14ac:dyDescent="0.25">
      <c r="B4773" s="23"/>
      <c r="E4773" s="23"/>
      <c r="G4773" s="23"/>
      <c r="H4773" s="23"/>
      <c r="J4773" s="23"/>
      <c r="K4773" s="23"/>
      <c r="M4773" s="23"/>
      <c r="N4773" s="23"/>
      <c r="P4773" s="23"/>
    </row>
    <row r="4774" spans="2:16" x14ac:dyDescent="0.25">
      <c r="B4774" s="23"/>
      <c r="E4774" s="23"/>
      <c r="G4774" s="23"/>
      <c r="H4774" s="23"/>
      <c r="J4774" s="23"/>
      <c r="K4774" s="23"/>
      <c r="M4774" s="23"/>
      <c r="N4774" s="23"/>
      <c r="P4774" s="23"/>
    </row>
    <row r="4775" spans="2:16" x14ac:dyDescent="0.25">
      <c r="B4775" s="23"/>
      <c r="E4775" s="23"/>
      <c r="G4775" s="23"/>
      <c r="H4775" s="23"/>
      <c r="J4775" s="23"/>
      <c r="K4775" s="23"/>
      <c r="M4775" s="23"/>
      <c r="N4775" s="23"/>
      <c r="P4775" s="23"/>
    </row>
    <row r="4776" spans="2:16" x14ac:dyDescent="0.25">
      <c r="B4776" s="23"/>
      <c r="E4776" s="23"/>
      <c r="G4776" s="23"/>
      <c r="H4776" s="23"/>
      <c r="J4776" s="23"/>
      <c r="K4776" s="23"/>
      <c r="M4776" s="23"/>
      <c r="N4776" s="23"/>
      <c r="P4776" s="23"/>
    </row>
    <row r="4777" spans="2:16" x14ac:dyDescent="0.25">
      <c r="B4777" s="23"/>
      <c r="E4777" s="23"/>
      <c r="G4777" s="23"/>
      <c r="H4777" s="23"/>
      <c r="J4777" s="23"/>
      <c r="K4777" s="23"/>
      <c r="M4777" s="23"/>
      <c r="N4777" s="23"/>
      <c r="P4777" s="23"/>
    </row>
    <row r="4778" spans="2:16" x14ac:dyDescent="0.25">
      <c r="B4778" s="23"/>
      <c r="E4778" s="23"/>
      <c r="G4778" s="23"/>
      <c r="H4778" s="23"/>
      <c r="J4778" s="23"/>
      <c r="K4778" s="23"/>
      <c r="M4778" s="23"/>
      <c r="N4778" s="23"/>
      <c r="P4778" s="23"/>
    </row>
    <row r="4779" spans="2:16" x14ac:dyDescent="0.25">
      <c r="B4779" s="23"/>
      <c r="E4779" s="23"/>
      <c r="G4779" s="23"/>
      <c r="H4779" s="23"/>
      <c r="J4779" s="23"/>
      <c r="K4779" s="23"/>
      <c r="M4779" s="23"/>
      <c r="N4779" s="23"/>
      <c r="P4779" s="23"/>
    </row>
    <row r="4780" spans="2:16" x14ac:dyDescent="0.25">
      <c r="B4780" s="23"/>
      <c r="E4780" s="23"/>
      <c r="G4780" s="23"/>
      <c r="H4780" s="23"/>
      <c r="J4780" s="23"/>
      <c r="K4780" s="23"/>
      <c r="M4780" s="23"/>
      <c r="N4780" s="23"/>
      <c r="P4780" s="23"/>
    </row>
    <row r="4781" spans="2:16" x14ac:dyDescent="0.25">
      <c r="B4781" s="23"/>
      <c r="E4781" s="23"/>
      <c r="G4781" s="23"/>
      <c r="H4781" s="23"/>
      <c r="J4781" s="23"/>
      <c r="K4781" s="23"/>
      <c r="M4781" s="23"/>
      <c r="N4781" s="23"/>
      <c r="P4781" s="23"/>
    </row>
    <row r="4782" spans="2:16" x14ac:dyDescent="0.25">
      <c r="B4782" s="23"/>
      <c r="E4782" s="23"/>
      <c r="G4782" s="23"/>
      <c r="H4782" s="23"/>
      <c r="J4782" s="23"/>
      <c r="K4782" s="23"/>
      <c r="M4782" s="23"/>
      <c r="N4782" s="23"/>
      <c r="P4782" s="23"/>
    </row>
    <row r="4783" spans="2:16" x14ac:dyDescent="0.25">
      <c r="B4783" s="23"/>
      <c r="E4783" s="23"/>
      <c r="G4783" s="23"/>
      <c r="H4783" s="23"/>
      <c r="J4783" s="23"/>
      <c r="K4783" s="23"/>
      <c r="M4783" s="23"/>
      <c r="N4783" s="23"/>
      <c r="P4783" s="23"/>
    </row>
    <row r="4784" spans="2:16" x14ac:dyDescent="0.25">
      <c r="B4784" s="23"/>
      <c r="E4784" s="23"/>
      <c r="G4784" s="23"/>
      <c r="H4784" s="23"/>
      <c r="J4784" s="23"/>
      <c r="K4784" s="23"/>
      <c r="M4784" s="23"/>
      <c r="N4784" s="23"/>
      <c r="P4784" s="23"/>
    </row>
    <row r="4785" spans="2:16" x14ac:dyDescent="0.25">
      <c r="B4785" s="23"/>
      <c r="E4785" s="23"/>
      <c r="G4785" s="23"/>
      <c r="H4785" s="23"/>
      <c r="J4785" s="23"/>
      <c r="K4785" s="23"/>
      <c r="M4785" s="23"/>
      <c r="N4785" s="23"/>
      <c r="P4785" s="23"/>
    </row>
    <row r="4786" spans="2:16" x14ac:dyDescent="0.25">
      <c r="B4786" s="23"/>
      <c r="E4786" s="23"/>
      <c r="G4786" s="23"/>
      <c r="H4786" s="23"/>
      <c r="J4786" s="23"/>
      <c r="K4786" s="23"/>
      <c r="M4786" s="23"/>
      <c r="N4786" s="23"/>
      <c r="P4786" s="23"/>
    </row>
    <row r="4787" spans="2:16" x14ac:dyDescent="0.25">
      <c r="B4787" s="23"/>
      <c r="E4787" s="23"/>
      <c r="G4787" s="23"/>
      <c r="H4787" s="23"/>
      <c r="J4787" s="23"/>
      <c r="K4787" s="23"/>
      <c r="M4787" s="23"/>
      <c r="N4787" s="23"/>
      <c r="P4787" s="23"/>
    </row>
    <row r="4788" spans="2:16" x14ac:dyDescent="0.25">
      <c r="B4788" s="23"/>
      <c r="E4788" s="23"/>
      <c r="G4788" s="23"/>
      <c r="H4788" s="23"/>
      <c r="J4788" s="23"/>
      <c r="K4788" s="23"/>
      <c r="M4788" s="23"/>
      <c r="N4788" s="23"/>
      <c r="P4788" s="23"/>
    </row>
    <row r="4789" spans="2:16" x14ac:dyDescent="0.25">
      <c r="B4789" s="23"/>
      <c r="E4789" s="23"/>
      <c r="G4789" s="23"/>
      <c r="H4789" s="23"/>
      <c r="J4789" s="23"/>
      <c r="K4789" s="23"/>
      <c r="M4789" s="23"/>
      <c r="N4789" s="23"/>
      <c r="P4789" s="23"/>
    </row>
    <row r="4790" spans="2:16" x14ac:dyDescent="0.25">
      <c r="B4790" s="23"/>
      <c r="E4790" s="23"/>
      <c r="G4790" s="23"/>
      <c r="H4790" s="23"/>
      <c r="J4790" s="23"/>
      <c r="K4790" s="23"/>
      <c r="M4790" s="23"/>
      <c r="N4790" s="23"/>
      <c r="P4790" s="23"/>
    </row>
    <row r="4791" spans="2:16" x14ac:dyDescent="0.25">
      <c r="B4791" s="23"/>
      <c r="E4791" s="23"/>
      <c r="G4791" s="23"/>
      <c r="H4791" s="23"/>
      <c r="J4791" s="23"/>
      <c r="K4791" s="23"/>
      <c r="M4791" s="23"/>
      <c r="N4791" s="23"/>
      <c r="P4791" s="23"/>
    </row>
    <row r="4792" spans="2:16" x14ac:dyDescent="0.25">
      <c r="B4792" s="23"/>
      <c r="E4792" s="23"/>
      <c r="G4792" s="23"/>
      <c r="H4792" s="23"/>
      <c r="J4792" s="23"/>
      <c r="K4792" s="23"/>
      <c r="M4792" s="23"/>
      <c r="N4792" s="23"/>
      <c r="P4792" s="23"/>
    </row>
    <row r="4793" spans="2:16" x14ac:dyDescent="0.25">
      <c r="B4793" s="23"/>
      <c r="E4793" s="23"/>
      <c r="G4793" s="23"/>
      <c r="H4793" s="23"/>
      <c r="J4793" s="23"/>
      <c r="K4793" s="23"/>
      <c r="M4793" s="23"/>
      <c r="N4793" s="23"/>
      <c r="P4793" s="23"/>
    </row>
    <row r="4794" spans="2:16" x14ac:dyDescent="0.25">
      <c r="B4794" s="23"/>
      <c r="E4794" s="23"/>
      <c r="G4794" s="23"/>
      <c r="H4794" s="23"/>
      <c r="J4794" s="23"/>
      <c r="K4794" s="23"/>
      <c r="M4794" s="23"/>
      <c r="N4794" s="23"/>
      <c r="P4794" s="23"/>
    </row>
    <row r="4795" spans="2:16" x14ac:dyDescent="0.25">
      <c r="B4795" s="23"/>
      <c r="E4795" s="23"/>
      <c r="G4795" s="23"/>
      <c r="H4795" s="23"/>
      <c r="J4795" s="23"/>
      <c r="K4795" s="23"/>
      <c r="M4795" s="23"/>
      <c r="N4795" s="23"/>
      <c r="P4795" s="23"/>
    </row>
    <row r="4796" spans="2:16" x14ac:dyDescent="0.25">
      <c r="B4796" s="23"/>
      <c r="E4796" s="23"/>
      <c r="G4796" s="23"/>
      <c r="H4796" s="23"/>
      <c r="J4796" s="23"/>
      <c r="K4796" s="23"/>
      <c r="M4796" s="23"/>
      <c r="N4796" s="23"/>
      <c r="P4796" s="23"/>
    </row>
    <row r="4797" spans="2:16" x14ac:dyDescent="0.25">
      <c r="B4797" s="23"/>
      <c r="E4797" s="23"/>
      <c r="G4797" s="23"/>
      <c r="H4797" s="23"/>
      <c r="J4797" s="23"/>
      <c r="K4797" s="23"/>
      <c r="M4797" s="23"/>
      <c r="N4797" s="23"/>
      <c r="P4797" s="23"/>
    </row>
    <row r="4798" spans="2:16" x14ac:dyDescent="0.25">
      <c r="B4798" s="23"/>
      <c r="E4798" s="23"/>
      <c r="G4798" s="23"/>
      <c r="H4798" s="23"/>
      <c r="J4798" s="23"/>
      <c r="K4798" s="23"/>
      <c r="M4798" s="23"/>
      <c r="N4798" s="23"/>
      <c r="P4798" s="23"/>
    </row>
    <row r="4799" spans="2:16" x14ac:dyDescent="0.25">
      <c r="B4799" s="23"/>
      <c r="E4799" s="23"/>
      <c r="G4799" s="23"/>
      <c r="H4799" s="23"/>
      <c r="J4799" s="23"/>
      <c r="K4799" s="23"/>
      <c r="M4799" s="23"/>
      <c r="N4799" s="23"/>
      <c r="P4799" s="23"/>
    </row>
    <row r="4800" spans="2:16" x14ac:dyDescent="0.25">
      <c r="B4800" s="23"/>
      <c r="E4800" s="23"/>
      <c r="G4800" s="23"/>
      <c r="H4800" s="23"/>
      <c r="J4800" s="23"/>
      <c r="K4800" s="23"/>
      <c r="M4800" s="23"/>
      <c r="N4800" s="23"/>
      <c r="P4800" s="23"/>
    </row>
    <row r="4801" spans="2:16" x14ac:dyDescent="0.25">
      <c r="B4801" s="23"/>
      <c r="E4801" s="23"/>
      <c r="G4801" s="23"/>
      <c r="H4801" s="23"/>
      <c r="J4801" s="23"/>
      <c r="K4801" s="23"/>
      <c r="M4801" s="23"/>
      <c r="N4801" s="23"/>
      <c r="P4801" s="23"/>
    </row>
    <row r="4802" spans="2:16" x14ac:dyDescent="0.25">
      <c r="B4802" s="23"/>
      <c r="E4802" s="23"/>
      <c r="G4802" s="23"/>
      <c r="H4802" s="23"/>
      <c r="J4802" s="23"/>
      <c r="K4802" s="23"/>
      <c r="M4802" s="23"/>
      <c r="N4802" s="23"/>
      <c r="P4802" s="23"/>
    </row>
    <row r="4803" spans="2:16" x14ac:dyDescent="0.25">
      <c r="B4803" s="23"/>
      <c r="E4803" s="23"/>
      <c r="G4803" s="23"/>
      <c r="H4803" s="23"/>
      <c r="J4803" s="23"/>
      <c r="K4803" s="23"/>
      <c r="M4803" s="23"/>
      <c r="N4803" s="23"/>
      <c r="P4803" s="23"/>
    </row>
    <row r="4804" spans="2:16" x14ac:dyDescent="0.25">
      <c r="B4804" s="23"/>
      <c r="E4804" s="23"/>
      <c r="G4804" s="23"/>
      <c r="H4804" s="23"/>
      <c r="J4804" s="23"/>
      <c r="K4804" s="23"/>
      <c r="M4804" s="23"/>
      <c r="N4804" s="23"/>
      <c r="P4804" s="23"/>
    </row>
    <row r="4805" spans="2:16" x14ac:dyDescent="0.25">
      <c r="B4805" s="23"/>
      <c r="E4805" s="23"/>
      <c r="G4805" s="23"/>
      <c r="H4805" s="23"/>
      <c r="J4805" s="23"/>
      <c r="K4805" s="23"/>
      <c r="M4805" s="23"/>
      <c r="N4805" s="23"/>
      <c r="P4805" s="23"/>
    </row>
    <row r="4806" spans="2:16" x14ac:dyDescent="0.25">
      <c r="B4806" s="23"/>
      <c r="E4806" s="23"/>
      <c r="G4806" s="23"/>
      <c r="H4806" s="23"/>
      <c r="J4806" s="23"/>
      <c r="K4806" s="23"/>
      <c r="M4806" s="23"/>
      <c r="N4806" s="23"/>
      <c r="P4806" s="23"/>
    </row>
    <row r="4807" spans="2:16" x14ac:dyDescent="0.25">
      <c r="B4807" s="23"/>
      <c r="E4807" s="23"/>
      <c r="G4807" s="23"/>
      <c r="H4807" s="23"/>
      <c r="J4807" s="23"/>
      <c r="K4807" s="23"/>
      <c r="M4807" s="23"/>
      <c r="N4807" s="23"/>
      <c r="P4807" s="23"/>
    </row>
    <row r="4808" spans="2:16" x14ac:dyDescent="0.25">
      <c r="B4808" s="23"/>
      <c r="E4808" s="23"/>
      <c r="G4808" s="23"/>
      <c r="H4808" s="23"/>
      <c r="J4808" s="23"/>
      <c r="K4808" s="23"/>
      <c r="M4808" s="23"/>
      <c r="N4808" s="23"/>
      <c r="P4808" s="23"/>
    </row>
    <row r="4809" spans="2:16" x14ac:dyDescent="0.25">
      <c r="B4809" s="23"/>
      <c r="E4809" s="23"/>
      <c r="G4809" s="23"/>
      <c r="H4809" s="23"/>
      <c r="J4809" s="23"/>
      <c r="K4809" s="23"/>
      <c r="M4809" s="23"/>
      <c r="N4809" s="23"/>
      <c r="P4809" s="23"/>
    </row>
    <row r="4810" spans="2:16" x14ac:dyDescent="0.25">
      <c r="B4810" s="23"/>
      <c r="E4810" s="23"/>
      <c r="G4810" s="23"/>
      <c r="H4810" s="23"/>
      <c r="J4810" s="23"/>
      <c r="K4810" s="23"/>
      <c r="M4810" s="23"/>
      <c r="N4810" s="23"/>
      <c r="P4810" s="23"/>
    </row>
    <row r="4811" spans="2:16" x14ac:dyDescent="0.25">
      <c r="B4811" s="23"/>
      <c r="E4811" s="23"/>
      <c r="G4811" s="23"/>
      <c r="H4811" s="23"/>
      <c r="J4811" s="23"/>
      <c r="K4811" s="23"/>
      <c r="M4811" s="23"/>
      <c r="N4811" s="23"/>
      <c r="P4811" s="23"/>
    </row>
    <row r="4812" spans="2:16" x14ac:dyDescent="0.25">
      <c r="B4812" s="23"/>
      <c r="E4812" s="23"/>
      <c r="G4812" s="23"/>
      <c r="H4812" s="23"/>
      <c r="J4812" s="23"/>
      <c r="K4812" s="23"/>
      <c r="M4812" s="23"/>
      <c r="N4812" s="23"/>
      <c r="P4812" s="23"/>
    </row>
    <row r="4813" spans="2:16" x14ac:dyDescent="0.25">
      <c r="B4813" s="23"/>
      <c r="E4813" s="23"/>
      <c r="G4813" s="23"/>
      <c r="H4813" s="23"/>
      <c r="J4813" s="23"/>
      <c r="K4813" s="23"/>
      <c r="M4813" s="23"/>
      <c r="N4813" s="23"/>
      <c r="P4813" s="23"/>
    </row>
    <row r="4814" spans="2:16" x14ac:dyDescent="0.25">
      <c r="B4814" s="23"/>
      <c r="E4814" s="23"/>
      <c r="G4814" s="23"/>
      <c r="H4814" s="23"/>
      <c r="J4814" s="23"/>
      <c r="K4814" s="23"/>
      <c r="M4814" s="23"/>
      <c r="N4814" s="23"/>
      <c r="P4814" s="23"/>
    </row>
    <row r="4815" spans="2:16" x14ac:dyDescent="0.25">
      <c r="B4815" s="23"/>
      <c r="E4815" s="23"/>
      <c r="G4815" s="23"/>
      <c r="H4815" s="23"/>
      <c r="J4815" s="23"/>
      <c r="K4815" s="23"/>
      <c r="M4815" s="23"/>
      <c r="N4815" s="23"/>
      <c r="P4815" s="23"/>
    </row>
    <row r="4816" spans="2:16" x14ac:dyDescent="0.25">
      <c r="B4816" s="23"/>
      <c r="E4816" s="23"/>
      <c r="G4816" s="23"/>
      <c r="H4816" s="23"/>
      <c r="J4816" s="23"/>
      <c r="K4816" s="23"/>
      <c r="M4816" s="23"/>
      <c r="N4816" s="23"/>
      <c r="P4816" s="23"/>
    </row>
    <row r="4817" spans="2:16" x14ac:dyDescent="0.25">
      <c r="B4817" s="23"/>
      <c r="E4817" s="23"/>
      <c r="G4817" s="23"/>
      <c r="H4817" s="23"/>
      <c r="J4817" s="23"/>
      <c r="K4817" s="23"/>
      <c r="M4817" s="23"/>
      <c r="N4817" s="23"/>
      <c r="P4817" s="23"/>
    </row>
    <row r="4818" spans="2:16" x14ac:dyDescent="0.25">
      <c r="B4818" s="23"/>
      <c r="E4818" s="23"/>
      <c r="G4818" s="23"/>
      <c r="H4818" s="23"/>
      <c r="J4818" s="23"/>
      <c r="K4818" s="23"/>
      <c r="M4818" s="23"/>
      <c r="N4818" s="23"/>
      <c r="P4818" s="23"/>
    </row>
    <row r="4819" spans="2:16" x14ac:dyDescent="0.25">
      <c r="B4819" s="23"/>
      <c r="E4819" s="23"/>
      <c r="G4819" s="23"/>
      <c r="H4819" s="23"/>
      <c r="J4819" s="23"/>
      <c r="K4819" s="23"/>
      <c r="M4819" s="23"/>
      <c r="N4819" s="23"/>
      <c r="P4819" s="23"/>
    </row>
    <row r="4820" spans="2:16" x14ac:dyDescent="0.25">
      <c r="B4820" s="23"/>
      <c r="E4820" s="23"/>
      <c r="G4820" s="23"/>
      <c r="H4820" s="23"/>
      <c r="J4820" s="23"/>
      <c r="K4820" s="23"/>
      <c r="M4820" s="23"/>
      <c r="N4820" s="23"/>
      <c r="P4820" s="23"/>
    </row>
    <row r="4821" spans="2:16" x14ac:dyDescent="0.25">
      <c r="B4821" s="23"/>
      <c r="E4821" s="23"/>
      <c r="G4821" s="23"/>
      <c r="H4821" s="23"/>
      <c r="J4821" s="23"/>
      <c r="K4821" s="23"/>
      <c r="M4821" s="23"/>
      <c r="N4821" s="23"/>
      <c r="P4821" s="23"/>
    </row>
    <row r="4822" spans="2:16" x14ac:dyDescent="0.25">
      <c r="B4822" s="23"/>
      <c r="E4822" s="23"/>
      <c r="G4822" s="23"/>
      <c r="H4822" s="23"/>
      <c r="J4822" s="23"/>
      <c r="K4822" s="23"/>
      <c r="M4822" s="23"/>
      <c r="N4822" s="23"/>
      <c r="P4822" s="23"/>
    </row>
    <row r="4823" spans="2:16" x14ac:dyDescent="0.25">
      <c r="B4823" s="23"/>
      <c r="E4823" s="23"/>
      <c r="G4823" s="23"/>
      <c r="H4823" s="23"/>
      <c r="J4823" s="23"/>
      <c r="K4823" s="23"/>
      <c r="M4823" s="23"/>
      <c r="N4823" s="23"/>
      <c r="P4823" s="23"/>
    </row>
    <row r="4824" spans="2:16" x14ac:dyDescent="0.25">
      <c r="B4824" s="23"/>
      <c r="E4824" s="23"/>
      <c r="G4824" s="23"/>
      <c r="H4824" s="23"/>
      <c r="J4824" s="23"/>
      <c r="K4824" s="23"/>
      <c r="M4824" s="23"/>
      <c r="N4824" s="23"/>
      <c r="P4824" s="23"/>
    </row>
    <row r="4825" spans="2:16" x14ac:dyDescent="0.25">
      <c r="B4825" s="23"/>
      <c r="E4825" s="23"/>
      <c r="G4825" s="23"/>
      <c r="H4825" s="23"/>
      <c r="J4825" s="23"/>
      <c r="K4825" s="23"/>
      <c r="M4825" s="23"/>
      <c r="N4825" s="23"/>
      <c r="P4825" s="23"/>
    </row>
    <row r="4826" spans="2:16" x14ac:dyDescent="0.25">
      <c r="B4826" s="23"/>
      <c r="E4826" s="23"/>
      <c r="G4826" s="23"/>
      <c r="H4826" s="23"/>
      <c r="J4826" s="23"/>
      <c r="K4826" s="23"/>
      <c r="M4826" s="23"/>
      <c r="N4826" s="23"/>
      <c r="P4826" s="23"/>
    </row>
    <row r="4827" spans="2:16" x14ac:dyDescent="0.25">
      <c r="B4827" s="23"/>
      <c r="E4827" s="23"/>
      <c r="G4827" s="23"/>
      <c r="H4827" s="23"/>
      <c r="J4827" s="23"/>
      <c r="K4827" s="23"/>
      <c r="M4827" s="23"/>
      <c r="N4827" s="23"/>
      <c r="P4827" s="23"/>
    </row>
    <row r="4828" spans="2:16" x14ac:dyDescent="0.25">
      <c r="B4828" s="23"/>
      <c r="E4828" s="23"/>
      <c r="G4828" s="23"/>
      <c r="H4828" s="23"/>
      <c r="J4828" s="23"/>
      <c r="K4828" s="23"/>
      <c r="M4828" s="23"/>
      <c r="N4828" s="23"/>
      <c r="P4828" s="23"/>
    </row>
    <row r="4829" spans="2:16" x14ac:dyDescent="0.25">
      <c r="B4829" s="23"/>
      <c r="E4829" s="23"/>
      <c r="G4829" s="23"/>
      <c r="H4829" s="23"/>
      <c r="J4829" s="23"/>
      <c r="K4829" s="23"/>
      <c r="M4829" s="23"/>
      <c r="N4829" s="23"/>
      <c r="P4829" s="23"/>
    </row>
    <row r="4830" spans="2:16" x14ac:dyDescent="0.25">
      <c r="B4830" s="23"/>
      <c r="E4830" s="23"/>
      <c r="G4830" s="23"/>
      <c r="H4830" s="23"/>
      <c r="J4830" s="23"/>
      <c r="K4830" s="23"/>
      <c r="M4830" s="23"/>
      <c r="N4830" s="23"/>
      <c r="P4830" s="23"/>
    </row>
    <row r="4831" spans="2:16" x14ac:dyDescent="0.25">
      <c r="B4831" s="23"/>
      <c r="E4831" s="23"/>
      <c r="G4831" s="23"/>
      <c r="H4831" s="23"/>
      <c r="J4831" s="23"/>
      <c r="K4831" s="23"/>
      <c r="M4831" s="23"/>
      <c r="N4831" s="23"/>
      <c r="P4831" s="23"/>
    </row>
    <row r="4832" spans="2:16" x14ac:dyDescent="0.25">
      <c r="B4832" s="23"/>
      <c r="E4832" s="23"/>
      <c r="G4832" s="23"/>
      <c r="H4832" s="23"/>
      <c r="J4832" s="23"/>
      <c r="K4832" s="23"/>
      <c r="M4832" s="23"/>
      <c r="N4832" s="23"/>
      <c r="P4832" s="23"/>
    </row>
    <row r="4833" spans="2:16" x14ac:dyDescent="0.25">
      <c r="B4833" s="23"/>
      <c r="E4833" s="23"/>
      <c r="G4833" s="23"/>
      <c r="H4833" s="23"/>
      <c r="J4833" s="23"/>
      <c r="K4833" s="23"/>
      <c r="M4833" s="23"/>
      <c r="N4833" s="23"/>
      <c r="P4833" s="23"/>
    </row>
    <row r="4834" spans="2:16" x14ac:dyDescent="0.25">
      <c r="B4834" s="23"/>
      <c r="E4834" s="23"/>
      <c r="G4834" s="23"/>
      <c r="H4834" s="23"/>
      <c r="J4834" s="23"/>
      <c r="K4834" s="23"/>
      <c r="M4834" s="23"/>
      <c r="N4834" s="23"/>
      <c r="P4834" s="23"/>
    </row>
    <row r="4835" spans="2:16" x14ac:dyDescent="0.25">
      <c r="B4835" s="23"/>
      <c r="E4835" s="23"/>
      <c r="G4835" s="23"/>
      <c r="H4835" s="23"/>
      <c r="J4835" s="23"/>
      <c r="K4835" s="23"/>
      <c r="M4835" s="23"/>
      <c r="N4835" s="23"/>
      <c r="P4835" s="23"/>
    </row>
    <row r="4836" spans="2:16" x14ac:dyDescent="0.25">
      <c r="B4836" s="23"/>
      <c r="E4836" s="23"/>
      <c r="G4836" s="23"/>
      <c r="H4836" s="23"/>
      <c r="J4836" s="23"/>
      <c r="K4836" s="23"/>
      <c r="M4836" s="23"/>
      <c r="N4836" s="23"/>
      <c r="P4836" s="23"/>
    </row>
    <row r="4837" spans="2:16" x14ac:dyDescent="0.25">
      <c r="B4837" s="23"/>
      <c r="E4837" s="23"/>
      <c r="G4837" s="23"/>
      <c r="H4837" s="23"/>
      <c r="J4837" s="23"/>
      <c r="K4837" s="23"/>
      <c r="M4837" s="23"/>
      <c r="N4837" s="23"/>
      <c r="P4837" s="23"/>
    </row>
    <row r="4838" spans="2:16" x14ac:dyDescent="0.25">
      <c r="B4838" s="23"/>
      <c r="E4838" s="23"/>
      <c r="G4838" s="23"/>
      <c r="H4838" s="23"/>
      <c r="J4838" s="23"/>
      <c r="K4838" s="23"/>
      <c r="M4838" s="23"/>
      <c r="N4838" s="23"/>
      <c r="P4838" s="23"/>
    </row>
    <row r="4839" spans="2:16" x14ac:dyDescent="0.25">
      <c r="B4839" s="23"/>
      <c r="E4839" s="23"/>
      <c r="G4839" s="23"/>
      <c r="H4839" s="23"/>
      <c r="J4839" s="23"/>
      <c r="K4839" s="23"/>
      <c r="M4839" s="23"/>
      <c r="N4839" s="23"/>
      <c r="P4839" s="23"/>
    </row>
    <row r="4840" spans="2:16" x14ac:dyDescent="0.25">
      <c r="B4840" s="23"/>
      <c r="E4840" s="23"/>
      <c r="G4840" s="23"/>
      <c r="H4840" s="23"/>
      <c r="J4840" s="23"/>
      <c r="K4840" s="23"/>
      <c r="M4840" s="23"/>
      <c r="N4840" s="23"/>
      <c r="P4840" s="23"/>
    </row>
    <row r="4841" spans="2:16" x14ac:dyDescent="0.25">
      <c r="B4841" s="23"/>
      <c r="E4841" s="23"/>
      <c r="G4841" s="23"/>
      <c r="H4841" s="23"/>
      <c r="J4841" s="23"/>
      <c r="K4841" s="23"/>
      <c r="M4841" s="23"/>
      <c r="N4841" s="23"/>
      <c r="P4841" s="23"/>
    </row>
    <row r="4842" spans="2:16" x14ac:dyDescent="0.25">
      <c r="B4842" s="23"/>
      <c r="E4842" s="23"/>
      <c r="G4842" s="23"/>
      <c r="H4842" s="23"/>
      <c r="J4842" s="23"/>
      <c r="K4842" s="23"/>
      <c r="M4842" s="23"/>
      <c r="N4842" s="23"/>
      <c r="P4842" s="23"/>
    </row>
    <row r="4843" spans="2:16" x14ac:dyDescent="0.25">
      <c r="B4843" s="23"/>
      <c r="E4843" s="23"/>
      <c r="G4843" s="23"/>
      <c r="H4843" s="23"/>
      <c r="J4843" s="23"/>
      <c r="K4843" s="23"/>
      <c r="M4843" s="23"/>
      <c r="N4843" s="23"/>
      <c r="P4843" s="23"/>
    </row>
    <row r="4844" spans="2:16" x14ac:dyDescent="0.25">
      <c r="B4844" s="23"/>
      <c r="E4844" s="23"/>
      <c r="G4844" s="23"/>
      <c r="H4844" s="23"/>
      <c r="J4844" s="23"/>
      <c r="K4844" s="23"/>
      <c r="M4844" s="23"/>
      <c r="N4844" s="23"/>
      <c r="P4844" s="23"/>
    </row>
    <row r="4845" spans="2:16" x14ac:dyDescent="0.25">
      <c r="B4845" s="23"/>
      <c r="E4845" s="23"/>
      <c r="G4845" s="23"/>
      <c r="H4845" s="23"/>
      <c r="J4845" s="23"/>
      <c r="K4845" s="23"/>
      <c r="M4845" s="23"/>
      <c r="N4845" s="23"/>
      <c r="P4845" s="23"/>
    </row>
    <row r="4846" spans="2:16" x14ac:dyDescent="0.25">
      <c r="B4846" s="23"/>
      <c r="E4846" s="23"/>
      <c r="G4846" s="23"/>
      <c r="H4846" s="23"/>
      <c r="J4846" s="23"/>
      <c r="K4846" s="23"/>
      <c r="M4846" s="23"/>
      <c r="N4846" s="23"/>
      <c r="P4846" s="23"/>
    </row>
    <row r="4847" spans="2:16" x14ac:dyDescent="0.25">
      <c r="B4847" s="23"/>
      <c r="E4847" s="23"/>
      <c r="G4847" s="23"/>
      <c r="H4847" s="23"/>
      <c r="J4847" s="23"/>
      <c r="K4847" s="23"/>
      <c r="M4847" s="23"/>
      <c r="N4847" s="23"/>
      <c r="P4847" s="23"/>
    </row>
    <row r="4848" spans="2:16" x14ac:dyDescent="0.25">
      <c r="B4848" s="23"/>
      <c r="E4848" s="23"/>
      <c r="G4848" s="23"/>
      <c r="H4848" s="23"/>
      <c r="J4848" s="23"/>
      <c r="K4848" s="23"/>
      <c r="M4848" s="23"/>
      <c r="N4848" s="23"/>
      <c r="P4848" s="23"/>
    </row>
    <row r="4849" spans="2:16" x14ac:dyDescent="0.25">
      <c r="B4849" s="23"/>
      <c r="E4849" s="23"/>
      <c r="G4849" s="23"/>
      <c r="H4849" s="23"/>
      <c r="J4849" s="23"/>
      <c r="K4849" s="23"/>
      <c r="M4849" s="23"/>
      <c r="N4849" s="23"/>
      <c r="P4849" s="23"/>
    </row>
    <row r="4850" spans="2:16" x14ac:dyDescent="0.25">
      <c r="B4850" s="23"/>
      <c r="E4850" s="23"/>
      <c r="G4850" s="23"/>
      <c r="H4850" s="23"/>
      <c r="J4850" s="23"/>
      <c r="K4850" s="23"/>
      <c r="M4850" s="23"/>
      <c r="N4850" s="23"/>
      <c r="P4850" s="23"/>
    </row>
    <row r="4851" spans="2:16" x14ac:dyDescent="0.25">
      <c r="B4851" s="23"/>
      <c r="E4851" s="23"/>
      <c r="G4851" s="23"/>
      <c r="H4851" s="23"/>
      <c r="J4851" s="23"/>
      <c r="K4851" s="23"/>
      <c r="M4851" s="23"/>
      <c r="N4851" s="23"/>
      <c r="P4851" s="23"/>
    </row>
    <row r="4852" spans="2:16" x14ac:dyDescent="0.25">
      <c r="B4852" s="23"/>
      <c r="E4852" s="23"/>
      <c r="G4852" s="23"/>
      <c r="H4852" s="23"/>
      <c r="J4852" s="23"/>
      <c r="K4852" s="23"/>
      <c r="M4852" s="23"/>
      <c r="N4852" s="23"/>
      <c r="P4852" s="23"/>
    </row>
    <row r="4853" spans="2:16" x14ac:dyDescent="0.25">
      <c r="B4853" s="23"/>
      <c r="E4853" s="23"/>
      <c r="G4853" s="23"/>
      <c r="H4853" s="23"/>
      <c r="J4853" s="23"/>
      <c r="K4853" s="23"/>
      <c r="M4853" s="23"/>
      <c r="N4853" s="23"/>
      <c r="P4853" s="23"/>
    </row>
    <row r="4854" spans="2:16" x14ac:dyDescent="0.25">
      <c r="B4854" s="23"/>
      <c r="E4854" s="23"/>
      <c r="G4854" s="23"/>
      <c r="H4854" s="23"/>
      <c r="J4854" s="23"/>
      <c r="K4854" s="23"/>
      <c r="M4854" s="23"/>
      <c r="N4854" s="23"/>
      <c r="P4854" s="23"/>
    </row>
    <row r="4855" spans="2:16" x14ac:dyDescent="0.25">
      <c r="B4855" s="23"/>
      <c r="E4855" s="23"/>
      <c r="G4855" s="23"/>
      <c r="H4855" s="23"/>
      <c r="J4855" s="23"/>
      <c r="K4855" s="23"/>
      <c r="M4855" s="23"/>
      <c r="N4855" s="23"/>
      <c r="P4855" s="23"/>
    </row>
    <row r="4856" spans="2:16" x14ac:dyDescent="0.25">
      <c r="B4856" s="23"/>
      <c r="E4856" s="23"/>
      <c r="G4856" s="23"/>
      <c r="H4856" s="23"/>
      <c r="J4856" s="23"/>
      <c r="K4856" s="23"/>
      <c r="M4856" s="23"/>
      <c r="N4856" s="23"/>
      <c r="P4856" s="23"/>
    </row>
    <row r="4857" spans="2:16" x14ac:dyDescent="0.25">
      <c r="B4857" s="23"/>
      <c r="E4857" s="23"/>
      <c r="G4857" s="23"/>
      <c r="H4857" s="23"/>
      <c r="J4857" s="23"/>
      <c r="K4857" s="23"/>
      <c r="M4857" s="23"/>
      <c r="N4857" s="23"/>
      <c r="P4857" s="23"/>
    </row>
    <row r="4858" spans="2:16" x14ac:dyDescent="0.25">
      <c r="B4858" s="23"/>
      <c r="E4858" s="23"/>
      <c r="G4858" s="23"/>
      <c r="H4858" s="23"/>
      <c r="J4858" s="23"/>
      <c r="K4858" s="23"/>
      <c r="M4858" s="23"/>
      <c r="N4858" s="23"/>
      <c r="P4858" s="23"/>
    </row>
    <row r="4859" spans="2:16" x14ac:dyDescent="0.25">
      <c r="B4859" s="23"/>
      <c r="E4859" s="23"/>
      <c r="G4859" s="23"/>
      <c r="H4859" s="23"/>
      <c r="J4859" s="23"/>
      <c r="K4859" s="23"/>
      <c r="M4859" s="23"/>
      <c r="N4859" s="23"/>
      <c r="P4859" s="23"/>
    </row>
    <row r="4860" spans="2:16" x14ac:dyDescent="0.25">
      <c r="B4860" s="23"/>
      <c r="E4860" s="23"/>
      <c r="G4860" s="23"/>
      <c r="H4860" s="23"/>
      <c r="J4860" s="23"/>
      <c r="K4860" s="23"/>
      <c r="M4860" s="23"/>
      <c r="N4860" s="23"/>
      <c r="P4860" s="23"/>
    </row>
    <row r="4861" spans="2:16" x14ac:dyDescent="0.25">
      <c r="B4861" s="23"/>
      <c r="E4861" s="23"/>
      <c r="G4861" s="23"/>
      <c r="H4861" s="23"/>
      <c r="J4861" s="23"/>
      <c r="K4861" s="23"/>
      <c r="M4861" s="23"/>
      <c r="N4861" s="23"/>
      <c r="P4861" s="23"/>
    </row>
    <row r="4862" spans="2:16" x14ac:dyDescent="0.25">
      <c r="B4862" s="23"/>
      <c r="E4862" s="23"/>
      <c r="G4862" s="23"/>
      <c r="H4862" s="23"/>
      <c r="J4862" s="23"/>
      <c r="K4862" s="23"/>
      <c r="M4862" s="23"/>
      <c r="N4862" s="23"/>
      <c r="P4862" s="23"/>
    </row>
    <row r="4863" spans="2:16" x14ac:dyDescent="0.25">
      <c r="B4863" s="23"/>
      <c r="E4863" s="23"/>
      <c r="G4863" s="23"/>
      <c r="H4863" s="23"/>
      <c r="J4863" s="23"/>
      <c r="K4863" s="23"/>
      <c r="M4863" s="23"/>
      <c r="N4863" s="23"/>
      <c r="P4863" s="23"/>
    </row>
    <row r="4864" spans="2:16" x14ac:dyDescent="0.25">
      <c r="B4864" s="23"/>
      <c r="E4864" s="23"/>
      <c r="G4864" s="23"/>
      <c r="H4864" s="23"/>
      <c r="J4864" s="23"/>
      <c r="K4864" s="23"/>
      <c r="M4864" s="23"/>
      <c r="N4864" s="23"/>
      <c r="P4864" s="23"/>
    </row>
    <row r="4865" spans="2:16" x14ac:dyDescent="0.25">
      <c r="B4865" s="23"/>
      <c r="E4865" s="23"/>
      <c r="G4865" s="23"/>
      <c r="H4865" s="23"/>
      <c r="J4865" s="23"/>
      <c r="K4865" s="23"/>
      <c r="M4865" s="23"/>
      <c r="N4865" s="23"/>
      <c r="P4865" s="23"/>
    </row>
    <row r="4866" spans="2:16" x14ac:dyDescent="0.25">
      <c r="B4866" s="23"/>
      <c r="E4866" s="23"/>
      <c r="G4866" s="23"/>
      <c r="H4866" s="23"/>
      <c r="J4866" s="23"/>
      <c r="K4866" s="23"/>
      <c r="M4866" s="23"/>
      <c r="N4866" s="23"/>
      <c r="P4866" s="23"/>
    </row>
    <row r="4867" spans="2:16" x14ac:dyDescent="0.25">
      <c r="B4867" s="23"/>
      <c r="E4867" s="23"/>
      <c r="G4867" s="23"/>
      <c r="H4867" s="23"/>
      <c r="J4867" s="23"/>
      <c r="K4867" s="23"/>
      <c r="M4867" s="23"/>
      <c r="N4867" s="23"/>
      <c r="P4867" s="23"/>
    </row>
    <row r="4868" spans="2:16" x14ac:dyDescent="0.25">
      <c r="B4868" s="23"/>
      <c r="E4868" s="23"/>
      <c r="G4868" s="23"/>
      <c r="H4868" s="23"/>
      <c r="J4868" s="23"/>
      <c r="K4868" s="23"/>
      <c r="M4868" s="23"/>
      <c r="N4868" s="23"/>
      <c r="P4868" s="23"/>
    </row>
    <row r="4869" spans="2:16" x14ac:dyDescent="0.25">
      <c r="B4869" s="23"/>
      <c r="E4869" s="23"/>
      <c r="G4869" s="23"/>
      <c r="H4869" s="23"/>
      <c r="J4869" s="23"/>
      <c r="K4869" s="23"/>
      <c r="M4869" s="23"/>
      <c r="N4869" s="23"/>
      <c r="P4869" s="23"/>
    </row>
    <row r="4870" spans="2:16" x14ac:dyDescent="0.25">
      <c r="B4870" s="23"/>
      <c r="E4870" s="23"/>
      <c r="G4870" s="23"/>
      <c r="H4870" s="23"/>
      <c r="J4870" s="23"/>
      <c r="K4870" s="23"/>
      <c r="M4870" s="23"/>
      <c r="N4870" s="23"/>
      <c r="P4870" s="23"/>
    </row>
    <row r="4871" spans="2:16" x14ac:dyDescent="0.25">
      <c r="B4871" s="23"/>
      <c r="E4871" s="23"/>
      <c r="G4871" s="23"/>
      <c r="H4871" s="23"/>
      <c r="J4871" s="23"/>
      <c r="K4871" s="23"/>
      <c r="M4871" s="23"/>
      <c r="N4871" s="23"/>
      <c r="P4871" s="23"/>
    </row>
    <row r="4872" spans="2:16" x14ac:dyDescent="0.25">
      <c r="B4872" s="23"/>
      <c r="E4872" s="23"/>
      <c r="G4872" s="23"/>
      <c r="H4872" s="23"/>
      <c r="J4872" s="23"/>
      <c r="K4872" s="23"/>
      <c r="M4872" s="23"/>
      <c r="N4872" s="23"/>
      <c r="P4872" s="23"/>
    </row>
    <row r="4873" spans="2:16" x14ac:dyDescent="0.25">
      <c r="B4873" s="23"/>
      <c r="E4873" s="23"/>
      <c r="G4873" s="23"/>
      <c r="H4873" s="23"/>
      <c r="J4873" s="23"/>
      <c r="K4873" s="23"/>
      <c r="M4873" s="23"/>
      <c r="N4873" s="23"/>
      <c r="P4873" s="23"/>
    </row>
    <row r="4874" spans="2:16" x14ac:dyDescent="0.25">
      <c r="B4874" s="23"/>
      <c r="E4874" s="23"/>
      <c r="G4874" s="23"/>
      <c r="H4874" s="23"/>
      <c r="J4874" s="23"/>
      <c r="K4874" s="23"/>
      <c r="M4874" s="23"/>
      <c r="N4874" s="23"/>
      <c r="P4874" s="23"/>
    </row>
    <row r="4875" spans="2:16" x14ac:dyDescent="0.25">
      <c r="B4875" s="23"/>
      <c r="E4875" s="23"/>
      <c r="G4875" s="23"/>
      <c r="H4875" s="23"/>
      <c r="J4875" s="23"/>
      <c r="K4875" s="23"/>
      <c r="M4875" s="23"/>
      <c r="N4875" s="23"/>
      <c r="P4875" s="23"/>
    </row>
    <row r="4876" spans="2:16" x14ac:dyDescent="0.25">
      <c r="B4876" s="23"/>
      <c r="E4876" s="23"/>
      <c r="G4876" s="23"/>
      <c r="H4876" s="23"/>
      <c r="J4876" s="23"/>
      <c r="K4876" s="23"/>
      <c r="M4876" s="23"/>
      <c r="N4876" s="23"/>
      <c r="P4876" s="23"/>
    </row>
    <row r="4877" spans="2:16" x14ac:dyDescent="0.25">
      <c r="B4877" s="23"/>
      <c r="E4877" s="23"/>
      <c r="G4877" s="23"/>
      <c r="H4877" s="23"/>
      <c r="J4877" s="23"/>
      <c r="K4877" s="23"/>
      <c r="M4877" s="23"/>
      <c r="N4877" s="23"/>
      <c r="P4877" s="23"/>
    </row>
    <row r="4878" spans="2:16" x14ac:dyDescent="0.25">
      <c r="B4878" s="23"/>
      <c r="E4878" s="23"/>
      <c r="G4878" s="23"/>
      <c r="H4878" s="23"/>
      <c r="J4878" s="23"/>
      <c r="K4878" s="23"/>
      <c r="M4878" s="23"/>
      <c r="N4878" s="23"/>
      <c r="P4878" s="23"/>
    </row>
    <row r="4879" spans="2:16" x14ac:dyDescent="0.25">
      <c r="B4879" s="23"/>
      <c r="E4879" s="23"/>
      <c r="G4879" s="23"/>
      <c r="H4879" s="23"/>
      <c r="J4879" s="23"/>
      <c r="K4879" s="23"/>
      <c r="M4879" s="23"/>
      <c r="N4879" s="23"/>
      <c r="P4879" s="23"/>
    </row>
    <row r="4880" spans="2:16" x14ac:dyDescent="0.25">
      <c r="B4880" s="23"/>
      <c r="E4880" s="23"/>
      <c r="G4880" s="23"/>
      <c r="H4880" s="23"/>
      <c r="J4880" s="23"/>
      <c r="K4880" s="23"/>
      <c r="M4880" s="23"/>
      <c r="N4880" s="23"/>
      <c r="P4880" s="23"/>
    </row>
    <row r="4881" spans="2:16" x14ac:dyDescent="0.25">
      <c r="B4881" s="23"/>
      <c r="E4881" s="23"/>
      <c r="G4881" s="23"/>
      <c r="H4881" s="23"/>
      <c r="J4881" s="23"/>
      <c r="K4881" s="23"/>
      <c r="M4881" s="23"/>
      <c r="N4881" s="23"/>
      <c r="P4881" s="23"/>
    </row>
    <row r="4882" spans="2:16" x14ac:dyDescent="0.25">
      <c r="B4882" s="23"/>
      <c r="E4882" s="23"/>
      <c r="G4882" s="23"/>
      <c r="H4882" s="23"/>
      <c r="J4882" s="23"/>
      <c r="K4882" s="23"/>
      <c r="M4882" s="23"/>
      <c r="N4882" s="23"/>
      <c r="P4882" s="23"/>
    </row>
    <row r="4883" spans="2:16" x14ac:dyDescent="0.25">
      <c r="B4883" s="23"/>
      <c r="E4883" s="23"/>
      <c r="G4883" s="23"/>
      <c r="H4883" s="23"/>
      <c r="J4883" s="23"/>
      <c r="K4883" s="23"/>
      <c r="M4883" s="23"/>
      <c r="N4883" s="23"/>
      <c r="P4883" s="23"/>
    </row>
    <row r="4884" spans="2:16" x14ac:dyDescent="0.25">
      <c r="B4884" s="23"/>
      <c r="E4884" s="23"/>
      <c r="G4884" s="23"/>
      <c r="H4884" s="23"/>
      <c r="J4884" s="23"/>
      <c r="K4884" s="23"/>
      <c r="M4884" s="23"/>
      <c r="N4884" s="23"/>
      <c r="P4884" s="23"/>
    </row>
    <row r="4885" spans="2:16" x14ac:dyDescent="0.25">
      <c r="B4885" s="23"/>
      <c r="E4885" s="23"/>
      <c r="G4885" s="23"/>
      <c r="H4885" s="23"/>
      <c r="J4885" s="23"/>
      <c r="K4885" s="23"/>
      <c r="M4885" s="23"/>
      <c r="N4885" s="23"/>
      <c r="P4885" s="23"/>
    </row>
    <row r="4886" spans="2:16" x14ac:dyDescent="0.25">
      <c r="B4886" s="23"/>
      <c r="E4886" s="23"/>
      <c r="G4886" s="23"/>
      <c r="H4886" s="23"/>
      <c r="J4886" s="23"/>
      <c r="K4886" s="23"/>
      <c r="M4886" s="23"/>
      <c r="N4886" s="23"/>
      <c r="P4886" s="23"/>
    </row>
    <row r="4887" spans="2:16" x14ac:dyDescent="0.25">
      <c r="B4887" s="23"/>
      <c r="E4887" s="23"/>
      <c r="G4887" s="23"/>
      <c r="H4887" s="23"/>
      <c r="J4887" s="23"/>
      <c r="K4887" s="23"/>
      <c r="M4887" s="23"/>
      <c r="N4887" s="23"/>
      <c r="P4887" s="23"/>
    </row>
    <row r="4888" spans="2:16" x14ac:dyDescent="0.25">
      <c r="B4888" s="23"/>
      <c r="E4888" s="23"/>
      <c r="G4888" s="23"/>
      <c r="H4888" s="23"/>
      <c r="J4888" s="23"/>
      <c r="K4888" s="23"/>
      <c r="M4888" s="23"/>
      <c r="N4888" s="23"/>
      <c r="P4888" s="23"/>
    </row>
    <row r="4889" spans="2:16" x14ac:dyDescent="0.25">
      <c r="B4889" s="23"/>
      <c r="E4889" s="23"/>
      <c r="G4889" s="23"/>
      <c r="H4889" s="23"/>
      <c r="J4889" s="23"/>
      <c r="K4889" s="23"/>
      <c r="M4889" s="23"/>
      <c r="N4889" s="23"/>
      <c r="P4889" s="23"/>
    </row>
    <row r="4890" spans="2:16" x14ac:dyDescent="0.25">
      <c r="B4890" s="23"/>
      <c r="E4890" s="23"/>
      <c r="G4890" s="23"/>
      <c r="H4890" s="23"/>
      <c r="J4890" s="23"/>
      <c r="K4890" s="23"/>
      <c r="M4890" s="23"/>
      <c r="N4890" s="23"/>
      <c r="P4890" s="23"/>
    </row>
    <row r="4891" spans="2:16" x14ac:dyDescent="0.25">
      <c r="B4891" s="23"/>
      <c r="E4891" s="23"/>
      <c r="G4891" s="23"/>
      <c r="H4891" s="23"/>
      <c r="J4891" s="23"/>
      <c r="K4891" s="23"/>
      <c r="M4891" s="23"/>
      <c r="N4891" s="23"/>
      <c r="P4891" s="23"/>
    </row>
    <row r="4892" spans="2:16" x14ac:dyDescent="0.25">
      <c r="B4892" s="23"/>
      <c r="E4892" s="23"/>
      <c r="G4892" s="23"/>
      <c r="H4892" s="23"/>
      <c r="J4892" s="23"/>
      <c r="K4892" s="23"/>
      <c r="M4892" s="23"/>
      <c r="N4892" s="23"/>
      <c r="P4892" s="23"/>
    </row>
    <row r="4893" spans="2:16" x14ac:dyDescent="0.25">
      <c r="B4893" s="23"/>
      <c r="E4893" s="23"/>
      <c r="G4893" s="23"/>
      <c r="H4893" s="23"/>
      <c r="J4893" s="23"/>
      <c r="K4893" s="23"/>
      <c r="M4893" s="23"/>
      <c r="N4893" s="23"/>
      <c r="P4893" s="23"/>
    </row>
    <row r="4894" spans="2:16" x14ac:dyDescent="0.25">
      <c r="B4894" s="23"/>
      <c r="E4894" s="23"/>
      <c r="G4894" s="23"/>
      <c r="H4894" s="23"/>
      <c r="J4894" s="23"/>
      <c r="K4894" s="23"/>
      <c r="M4894" s="23"/>
      <c r="N4894" s="23"/>
      <c r="P4894" s="23"/>
    </row>
    <row r="4895" spans="2:16" x14ac:dyDescent="0.25">
      <c r="B4895" s="23"/>
      <c r="E4895" s="23"/>
      <c r="G4895" s="23"/>
      <c r="H4895" s="23"/>
      <c r="J4895" s="23"/>
      <c r="K4895" s="23"/>
      <c r="M4895" s="23"/>
      <c r="N4895" s="23"/>
      <c r="P4895" s="23"/>
    </row>
    <row r="4896" spans="2:16" x14ac:dyDescent="0.25">
      <c r="B4896" s="23"/>
      <c r="E4896" s="23"/>
      <c r="G4896" s="23"/>
      <c r="H4896" s="23"/>
      <c r="J4896" s="23"/>
      <c r="K4896" s="23"/>
      <c r="M4896" s="23"/>
      <c r="N4896" s="23"/>
      <c r="P4896" s="23"/>
    </row>
    <row r="4897" spans="2:16" x14ac:dyDescent="0.25">
      <c r="B4897" s="23"/>
      <c r="E4897" s="23"/>
      <c r="G4897" s="23"/>
      <c r="H4897" s="23"/>
      <c r="J4897" s="23"/>
      <c r="K4897" s="23"/>
      <c r="M4897" s="23"/>
      <c r="N4897" s="23"/>
      <c r="P4897" s="23"/>
    </row>
    <row r="4898" spans="2:16" x14ac:dyDescent="0.25">
      <c r="B4898" s="23"/>
      <c r="E4898" s="23"/>
      <c r="G4898" s="23"/>
      <c r="H4898" s="23"/>
      <c r="J4898" s="23"/>
      <c r="K4898" s="23"/>
      <c r="M4898" s="23"/>
      <c r="N4898" s="23"/>
      <c r="P4898" s="23"/>
    </row>
    <row r="4899" spans="2:16" x14ac:dyDescent="0.25">
      <c r="B4899" s="23"/>
      <c r="E4899" s="23"/>
      <c r="G4899" s="23"/>
      <c r="H4899" s="23"/>
      <c r="J4899" s="23"/>
      <c r="K4899" s="23"/>
      <c r="M4899" s="23"/>
      <c r="N4899" s="23"/>
      <c r="P4899" s="23"/>
    </row>
    <row r="4900" spans="2:16" x14ac:dyDescent="0.25">
      <c r="B4900" s="23"/>
      <c r="E4900" s="23"/>
      <c r="G4900" s="23"/>
      <c r="H4900" s="23"/>
      <c r="J4900" s="23"/>
      <c r="K4900" s="23"/>
      <c r="M4900" s="23"/>
      <c r="N4900" s="23"/>
      <c r="P4900" s="23"/>
    </row>
    <row r="4901" spans="2:16" x14ac:dyDescent="0.25">
      <c r="B4901" s="23"/>
      <c r="E4901" s="23"/>
      <c r="G4901" s="23"/>
      <c r="H4901" s="23"/>
      <c r="J4901" s="23"/>
      <c r="K4901" s="23"/>
      <c r="M4901" s="23"/>
      <c r="N4901" s="23"/>
      <c r="P4901" s="23"/>
    </row>
    <row r="4902" spans="2:16" x14ac:dyDescent="0.25">
      <c r="B4902" s="23"/>
      <c r="E4902" s="23"/>
      <c r="G4902" s="23"/>
      <c r="H4902" s="23"/>
      <c r="J4902" s="23"/>
      <c r="K4902" s="23"/>
      <c r="M4902" s="23"/>
      <c r="N4902" s="23"/>
      <c r="P4902" s="23"/>
    </row>
    <row r="4903" spans="2:16" x14ac:dyDescent="0.25">
      <c r="B4903" s="23"/>
      <c r="E4903" s="23"/>
      <c r="G4903" s="23"/>
      <c r="H4903" s="23"/>
      <c r="J4903" s="23"/>
      <c r="K4903" s="23"/>
      <c r="M4903" s="23"/>
      <c r="N4903" s="23"/>
      <c r="P4903" s="23"/>
    </row>
    <row r="4904" spans="2:16" x14ac:dyDescent="0.25">
      <c r="B4904" s="23"/>
      <c r="E4904" s="23"/>
      <c r="G4904" s="23"/>
      <c r="H4904" s="23"/>
      <c r="J4904" s="23"/>
      <c r="K4904" s="23"/>
      <c r="M4904" s="23"/>
      <c r="N4904" s="23"/>
      <c r="P4904" s="23"/>
    </row>
    <row r="4905" spans="2:16" x14ac:dyDescent="0.25">
      <c r="B4905" s="23"/>
      <c r="E4905" s="23"/>
      <c r="G4905" s="23"/>
      <c r="H4905" s="23"/>
      <c r="J4905" s="23"/>
      <c r="K4905" s="23"/>
      <c r="M4905" s="23"/>
      <c r="N4905" s="23"/>
      <c r="P4905" s="23"/>
    </row>
    <row r="4906" spans="2:16" x14ac:dyDescent="0.25">
      <c r="B4906" s="23"/>
      <c r="E4906" s="23"/>
      <c r="G4906" s="23"/>
      <c r="H4906" s="23"/>
      <c r="J4906" s="23"/>
      <c r="K4906" s="23"/>
      <c r="M4906" s="23"/>
      <c r="N4906" s="23"/>
      <c r="P4906" s="23"/>
    </row>
    <row r="4907" spans="2:16" x14ac:dyDescent="0.25">
      <c r="B4907" s="23"/>
      <c r="E4907" s="23"/>
      <c r="G4907" s="23"/>
      <c r="H4907" s="23"/>
      <c r="J4907" s="23"/>
      <c r="K4907" s="23"/>
      <c r="M4907" s="23"/>
      <c r="N4907" s="23"/>
      <c r="P4907" s="23"/>
    </row>
    <row r="4908" spans="2:16" x14ac:dyDescent="0.25">
      <c r="B4908" s="23"/>
      <c r="E4908" s="23"/>
      <c r="G4908" s="23"/>
      <c r="H4908" s="23"/>
      <c r="J4908" s="23"/>
      <c r="K4908" s="23"/>
      <c r="M4908" s="23"/>
      <c r="N4908" s="23"/>
      <c r="P4908" s="23"/>
    </row>
    <row r="4909" spans="2:16" x14ac:dyDescent="0.25">
      <c r="B4909" s="23"/>
      <c r="E4909" s="23"/>
      <c r="G4909" s="23"/>
      <c r="H4909" s="23"/>
      <c r="J4909" s="23"/>
      <c r="K4909" s="23"/>
      <c r="M4909" s="23"/>
      <c r="N4909" s="23"/>
      <c r="P4909" s="23"/>
    </row>
    <row r="4910" spans="2:16" x14ac:dyDescent="0.25">
      <c r="B4910" s="23"/>
      <c r="E4910" s="23"/>
      <c r="G4910" s="23"/>
      <c r="H4910" s="23"/>
      <c r="J4910" s="23"/>
      <c r="K4910" s="23"/>
      <c r="M4910" s="23"/>
      <c r="N4910" s="23"/>
      <c r="P4910" s="23"/>
    </row>
    <row r="4911" spans="2:16" x14ac:dyDescent="0.25">
      <c r="B4911" s="23"/>
      <c r="E4911" s="23"/>
      <c r="G4911" s="23"/>
      <c r="H4911" s="23"/>
      <c r="J4911" s="23"/>
      <c r="K4911" s="23"/>
      <c r="M4911" s="23"/>
      <c r="N4911" s="23"/>
      <c r="P4911" s="23"/>
    </row>
    <row r="4912" spans="2:16" x14ac:dyDescent="0.25">
      <c r="B4912" s="23"/>
      <c r="E4912" s="23"/>
      <c r="G4912" s="23"/>
      <c r="H4912" s="23"/>
      <c r="J4912" s="23"/>
      <c r="K4912" s="23"/>
      <c r="M4912" s="23"/>
      <c r="N4912" s="23"/>
      <c r="P4912" s="23"/>
    </row>
    <row r="4913" spans="2:16" x14ac:dyDescent="0.25">
      <c r="B4913" s="23"/>
      <c r="E4913" s="23"/>
      <c r="G4913" s="23"/>
      <c r="H4913" s="23"/>
      <c r="J4913" s="23"/>
      <c r="K4913" s="23"/>
      <c r="M4913" s="23"/>
      <c r="N4913" s="23"/>
      <c r="P4913" s="23"/>
    </row>
    <row r="4914" spans="2:16" x14ac:dyDescent="0.25">
      <c r="B4914" s="23"/>
      <c r="E4914" s="23"/>
      <c r="G4914" s="23"/>
      <c r="H4914" s="23"/>
      <c r="J4914" s="23"/>
      <c r="K4914" s="23"/>
      <c r="M4914" s="23"/>
      <c r="N4914" s="23"/>
      <c r="P4914" s="23"/>
    </row>
    <row r="4915" spans="2:16" x14ac:dyDescent="0.25">
      <c r="B4915" s="23"/>
      <c r="E4915" s="23"/>
      <c r="G4915" s="23"/>
      <c r="H4915" s="23"/>
      <c r="J4915" s="23"/>
      <c r="K4915" s="23"/>
      <c r="M4915" s="23"/>
      <c r="N4915" s="23"/>
      <c r="P4915" s="23"/>
    </row>
    <row r="4916" spans="2:16" x14ac:dyDescent="0.25">
      <c r="B4916" s="23"/>
      <c r="E4916" s="23"/>
      <c r="G4916" s="23"/>
      <c r="H4916" s="23"/>
      <c r="J4916" s="23"/>
      <c r="K4916" s="23"/>
      <c r="M4916" s="23"/>
      <c r="N4916" s="23"/>
      <c r="P4916" s="23"/>
    </row>
    <row r="4917" spans="2:16" x14ac:dyDescent="0.25">
      <c r="B4917" s="23"/>
      <c r="E4917" s="23"/>
      <c r="G4917" s="23"/>
      <c r="H4917" s="23"/>
      <c r="J4917" s="23"/>
      <c r="K4917" s="23"/>
      <c r="M4917" s="23"/>
      <c r="N4917" s="23"/>
      <c r="P4917" s="23"/>
    </row>
    <row r="4918" spans="2:16" x14ac:dyDescent="0.25">
      <c r="B4918" s="23"/>
      <c r="E4918" s="23"/>
      <c r="G4918" s="23"/>
      <c r="H4918" s="23"/>
      <c r="J4918" s="23"/>
      <c r="K4918" s="23"/>
      <c r="M4918" s="23"/>
      <c r="N4918" s="23"/>
      <c r="P4918" s="23"/>
    </row>
    <row r="4919" spans="2:16" x14ac:dyDescent="0.25">
      <c r="B4919" s="23"/>
      <c r="E4919" s="23"/>
      <c r="G4919" s="23"/>
      <c r="H4919" s="23"/>
      <c r="J4919" s="23"/>
      <c r="K4919" s="23"/>
      <c r="M4919" s="23"/>
      <c r="N4919" s="23"/>
      <c r="P4919" s="23"/>
    </row>
    <row r="4920" spans="2:16" x14ac:dyDescent="0.25">
      <c r="B4920" s="23"/>
      <c r="E4920" s="23"/>
      <c r="G4920" s="23"/>
      <c r="H4920" s="23"/>
      <c r="J4920" s="23"/>
      <c r="K4920" s="23"/>
      <c r="M4920" s="23"/>
      <c r="N4920" s="23"/>
      <c r="P4920" s="23"/>
    </row>
    <row r="4921" spans="2:16" x14ac:dyDescent="0.25">
      <c r="B4921" s="23"/>
      <c r="E4921" s="23"/>
      <c r="G4921" s="23"/>
      <c r="H4921" s="23"/>
      <c r="J4921" s="23"/>
      <c r="K4921" s="23"/>
      <c r="M4921" s="23"/>
      <c r="N4921" s="23"/>
      <c r="P4921" s="23"/>
    </row>
    <row r="4922" spans="2:16" x14ac:dyDescent="0.25">
      <c r="B4922" s="23"/>
      <c r="E4922" s="23"/>
      <c r="G4922" s="23"/>
      <c r="H4922" s="23"/>
      <c r="J4922" s="23"/>
      <c r="K4922" s="23"/>
      <c r="M4922" s="23"/>
      <c r="N4922" s="23"/>
      <c r="P4922" s="23"/>
    </row>
    <row r="4923" spans="2:16" x14ac:dyDescent="0.25">
      <c r="B4923" s="23"/>
      <c r="E4923" s="23"/>
      <c r="G4923" s="23"/>
      <c r="H4923" s="23"/>
      <c r="J4923" s="23"/>
      <c r="K4923" s="23"/>
      <c r="M4923" s="23"/>
      <c r="N4923" s="23"/>
      <c r="P4923" s="23"/>
    </row>
    <row r="4924" spans="2:16" x14ac:dyDescent="0.25">
      <c r="B4924" s="23"/>
      <c r="E4924" s="23"/>
      <c r="G4924" s="23"/>
      <c r="H4924" s="23"/>
      <c r="J4924" s="23"/>
      <c r="K4924" s="23"/>
      <c r="M4924" s="23"/>
      <c r="N4924" s="23"/>
      <c r="P4924" s="23"/>
    </row>
    <row r="4925" spans="2:16" x14ac:dyDescent="0.25">
      <c r="B4925" s="23"/>
      <c r="E4925" s="23"/>
      <c r="G4925" s="23"/>
      <c r="H4925" s="23"/>
      <c r="J4925" s="23"/>
      <c r="K4925" s="23"/>
      <c r="M4925" s="23"/>
      <c r="N4925" s="23"/>
      <c r="P4925" s="23"/>
    </row>
    <row r="4926" spans="2:16" x14ac:dyDescent="0.25">
      <c r="B4926" s="23"/>
      <c r="E4926" s="23"/>
      <c r="G4926" s="23"/>
      <c r="H4926" s="23"/>
      <c r="J4926" s="23"/>
      <c r="K4926" s="23"/>
      <c r="M4926" s="23"/>
      <c r="N4926" s="23"/>
      <c r="P4926" s="23"/>
    </row>
    <row r="4927" spans="2:16" x14ac:dyDescent="0.25">
      <c r="B4927" s="23"/>
      <c r="E4927" s="23"/>
      <c r="G4927" s="23"/>
      <c r="H4927" s="23"/>
      <c r="J4927" s="23"/>
      <c r="K4927" s="23"/>
      <c r="M4927" s="23"/>
      <c r="N4927" s="23"/>
      <c r="P4927" s="23"/>
    </row>
    <row r="4928" spans="2:16" x14ac:dyDescent="0.25">
      <c r="B4928" s="23"/>
      <c r="E4928" s="23"/>
      <c r="G4928" s="23"/>
      <c r="H4928" s="23"/>
      <c r="J4928" s="23"/>
      <c r="K4928" s="23"/>
      <c r="M4928" s="23"/>
      <c r="N4928" s="23"/>
      <c r="P4928" s="23"/>
    </row>
    <row r="4929" spans="2:16" x14ac:dyDescent="0.25">
      <c r="B4929" s="23"/>
      <c r="E4929" s="23"/>
      <c r="G4929" s="23"/>
      <c r="H4929" s="23"/>
      <c r="J4929" s="23"/>
      <c r="K4929" s="23"/>
      <c r="M4929" s="23"/>
      <c r="N4929" s="23"/>
      <c r="P4929" s="23"/>
    </row>
    <row r="4930" spans="2:16" x14ac:dyDescent="0.25">
      <c r="B4930" s="23"/>
      <c r="E4930" s="23"/>
      <c r="G4930" s="23"/>
      <c r="H4930" s="23"/>
      <c r="J4930" s="23"/>
      <c r="K4930" s="23"/>
      <c r="M4930" s="23"/>
      <c r="N4930" s="23"/>
      <c r="P4930" s="23"/>
    </row>
    <row r="4931" spans="2:16" x14ac:dyDescent="0.25">
      <c r="B4931" s="23"/>
      <c r="E4931" s="23"/>
      <c r="G4931" s="23"/>
      <c r="H4931" s="23"/>
      <c r="J4931" s="23"/>
      <c r="K4931" s="23"/>
      <c r="M4931" s="23"/>
      <c r="N4931" s="23"/>
      <c r="P4931" s="23"/>
    </row>
    <row r="4932" spans="2:16" x14ac:dyDescent="0.25">
      <c r="B4932" s="23"/>
      <c r="E4932" s="23"/>
      <c r="G4932" s="23"/>
      <c r="H4932" s="23"/>
      <c r="J4932" s="23"/>
      <c r="K4932" s="23"/>
      <c r="M4932" s="23"/>
      <c r="N4932" s="23"/>
      <c r="P4932" s="23"/>
    </row>
    <row r="4933" spans="2:16" x14ac:dyDescent="0.25">
      <c r="B4933" s="23"/>
      <c r="E4933" s="23"/>
      <c r="G4933" s="23"/>
      <c r="H4933" s="23"/>
      <c r="J4933" s="23"/>
      <c r="K4933" s="23"/>
      <c r="M4933" s="23"/>
      <c r="N4933" s="23"/>
      <c r="P4933" s="23"/>
    </row>
    <row r="4934" spans="2:16" x14ac:dyDescent="0.25">
      <c r="B4934" s="23"/>
      <c r="E4934" s="23"/>
      <c r="G4934" s="23"/>
      <c r="H4934" s="23"/>
      <c r="J4934" s="23"/>
      <c r="K4934" s="23"/>
      <c r="M4934" s="23"/>
      <c r="N4934" s="23"/>
      <c r="P4934" s="23"/>
    </row>
    <row r="4935" spans="2:16" x14ac:dyDescent="0.25">
      <c r="B4935" s="23"/>
      <c r="E4935" s="23"/>
      <c r="G4935" s="23"/>
      <c r="H4935" s="23"/>
      <c r="J4935" s="23"/>
      <c r="K4935" s="23"/>
      <c r="M4935" s="23"/>
      <c r="N4935" s="23"/>
      <c r="P4935" s="23"/>
    </row>
    <row r="4936" spans="2:16" x14ac:dyDescent="0.25">
      <c r="B4936" s="23"/>
      <c r="E4936" s="23"/>
      <c r="G4936" s="23"/>
      <c r="H4936" s="23"/>
      <c r="J4936" s="23"/>
      <c r="K4936" s="23"/>
      <c r="M4936" s="23"/>
      <c r="N4936" s="23"/>
      <c r="P4936" s="23"/>
    </row>
    <row r="4937" spans="2:16" x14ac:dyDescent="0.25">
      <c r="B4937" s="23"/>
      <c r="E4937" s="23"/>
      <c r="G4937" s="23"/>
      <c r="H4937" s="23"/>
      <c r="J4937" s="23"/>
      <c r="K4937" s="23"/>
      <c r="M4937" s="23"/>
      <c r="N4937" s="23"/>
      <c r="P4937" s="23"/>
    </row>
    <row r="4938" spans="2:16" x14ac:dyDescent="0.25">
      <c r="B4938" s="23"/>
      <c r="E4938" s="23"/>
      <c r="G4938" s="23"/>
      <c r="H4938" s="23"/>
      <c r="J4938" s="23"/>
      <c r="K4938" s="23"/>
      <c r="M4938" s="23"/>
      <c r="N4938" s="23"/>
      <c r="P4938" s="23"/>
    </row>
    <row r="4939" spans="2:16" x14ac:dyDescent="0.25">
      <c r="B4939" s="23"/>
      <c r="E4939" s="23"/>
      <c r="G4939" s="23"/>
      <c r="H4939" s="23"/>
      <c r="J4939" s="23"/>
      <c r="K4939" s="23"/>
      <c r="M4939" s="23"/>
      <c r="N4939" s="23"/>
      <c r="P4939" s="23"/>
    </row>
    <row r="4940" spans="2:16" x14ac:dyDescent="0.25">
      <c r="B4940" s="23"/>
      <c r="E4940" s="23"/>
      <c r="G4940" s="23"/>
      <c r="H4940" s="23"/>
      <c r="J4940" s="23"/>
      <c r="K4940" s="23"/>
      <c r="M4940" s="23"/>
      <c r="N4940" s="23"/>
      <c r="P4940" s="23"/>
    </row>
    <row r="4941" spans="2:16" x14ac:dyDescent="0.25">
      <c r="B4941" s="23"/>
      <c r="E4941" s="23"/>
      <c r="G4941" s="23"/>
      <c r="H4941" s="23"/>
      <c r="J4941" s="23"/>
      <c r="K4941" s="23"/>
      <c r="M4941" s="23"/>
      <c r="N4941" s="23"/>
      <c r="P4941" s="23"/>
    </row>
    <row r="4942" spans="2:16" x14ac:dyDescent="0.25">
      <c r="B4942" s="23"/>
      <c r="E4942" s="23"/>
      <c r="G4942" s="23"/>
      <c r="H4942" s="23"/>
      <c r="J4942" s="23"/>
      <c r="K4942" s="23"/>
      <c r="M4942" s="23"/>
      <c r="N4942" s="23"/>
      <c r="P4942" s="23"/>
    </row>
    <row r="4943" spans="2:16" x14ac:dyDescent="0.25">
      <c r="B4943" s="23"/>
      <c r="E4943" s="23"/>
      <c r="G4943" s="23"/>
      <c r="H4943" s="23"/>
      <c r="J4943" s="23"/>
      <c r="K4943" s="23"/>
      <c r="M4943" s="23"/>
      <c r="N4943" s="23"/>
      <c r="P4943" s="23"/>
    </row>
    <row r="4944" spans="2:16" x14ac:dyDescent="0.25">
      <c r="B4944" s="23"/>
      <c r="E4944" s="23"/>
      <c r="G4944" s="23"/>
      <c r="H4944" s="23"/>
      <c r="J4944" s="23"/>
      <c r="K4944" s="23"/>
      <c r="M4944" s="23"/>
      <c r="N4944" s="23"/>
      <c r="P4944" s="23"/>
    </row>
    <row r="4945" spans="2:16" x14ac:dyDescent="0.25">
      <c r="B4945" s="23"/>
      <c r="E4945" s="23"/>
      <c r="G4945" s="23"/>
      <c r="H4945" s="23"/>
      <c r="J4945" s="23"/>
      <c r="K4945" s="23"/>
      <c r="M4945" s="23"/>
      <c r="N4945" s="23"/>
      <c r="P4945" s="23"/>
    </row>
    <row r="4946" spans="2:16" x14ac:dyDescent="0.25">
      <c r="B4946" s="23"/>
      <c r="E4946" s="23"/>
      <c r="G4946" s="23"/>
      <c r="H4946" s="23"/>
      <c r="J4946" s="23"/>
      <c r="K4946" s="23"/>
      <c r="M4946" s="23"/>
      <c r="N4946" s="23"/>
      <c r="P4946" s="23"/>
    </row>
    <row r="4947" spans="2:16" x14ac:dyDescent="0.25">
      <c r="B4947" s="23"/>
      <c r="E4947" s="23"/>
      <c r="G4947" s="23"/>
      <c r="H4947" s="23"/>
      <c r="J4947" s="23"/>
      <c r="K4947" s="23"/>
      <c r="M4947" s="23"/>
      <c r="N4947" s="23"/>
      <c r="P4947" s="23"/>
    </row>
    <row r="4948" spans="2:16" x14ac:dyDescent="0.25">
      <c r="B4948" s="23"/>
      <c r="E4948" s="23"/>
      <c r="G4948" s="23"/>
      <c r="H4948" s="23"/>
      <c r="J4948" s="23"/>
      <c r="K4948" s="23"/>
      <c r="M4948" s="23"/>
      <c r="N4948" s="23"/>
      <c r="P4948" s="23"/>
    </row>
    <row r="4949" spans="2:16" x14ac:dyDescent="0.25">
      <c r="B4949" s="23"/>
      <c r="E4949" s="23"/>
      <c r="G4949" s="23"/>
      <c r="H4949" s="23"/>
      <c r="J4949" s="23"/>
      <c r="K4949" s="23"/>
      <c r="M4949" s="23"/>
      <c r="N4949" s="23"/>
      <c r="P4949" s="23"/>
    </row>
    <row r="4950" spans="2:16" x14ac:dyDescent="0.25">
      <c r="B4950" s="23"/>
      <c r="E4950" s="23"/>
      <c r="G4950" s="23"/>
      <c r="H4950" s="23"/>
      <c r="J4950" s="23"/>
      <c r="K4950" s="23"/>
      <c r="M4950" s="23"/>
      <c r="N4950" s="23"/>
      <c r="P4950" s="23"/>
    </row>
    <row r="4951" spans="2:16" x14ac:dyDescent="0.25">
      <c r="B4951" s="23"/>
      <c r="E4951" s="23"/>
      <c r="G4951" s="23"/>
      <c r="H4951" s="23"/>
      <c r="J4951" s="23"/>
      <c r="K4951" s="23"/>
      <c r="M4951" s="23"/>
      <c r="N4951" s="23"/>
      <c r="P4951" s="23"/>
    </row>
    <row r="4952" spans="2:16" x14ac:dyDescent="0.25">
      <c r="B4952" s="23"/>
      <c r="E4952" s="23"/>
      <c r="G4952" s="23"/>
      <c r="H4952" s="23"/>
      <c r="J4952" s="23"/>
      <c r="K4952" s="23"/>
      <c r="M4952" s="23"/>
      <c r="N4952" s="23"/>
      <c r="P4952" s="23"/>
    </row>
    <row r="4953" spans="2:16" x14ac:dyDescent="0.25">
      <c r="B4953" s="23"/>
      <c r="E4953" s="23"/>
      <c r="G4953" s="23"/>
      <c r="H4953" s="23"/>
      <c r="J4953" s="23"/>
      <c r="K4953" s="23"/>
      <c r="M4953" s="23"/>
      <c r="N4953" s="23"/>
      <c r="P4953" s="23"/>
    </row>
    <row r="4954" spans="2:16" x14ac:dyDescent="0.25">
      <c r="B4954" s="23"/>
      <c r="E4954" s="23"/>
      <c r="G4954" s="23"/>
      <c r="H4954" s="23"/>
      <c r="J4954" s="23"/>
      <c r="K4954" s="23"/>
      <c r="M4954" s="23"/>
      <c r="N4954" s="23"/>
      <c r="P4954" s="23"/>
    </row>
    <row r="4955" spans="2:16" x14ac:dyDescent="0.25">
      <c r="B4955" s="23"/>
      <c r="E4955" s="23"/>
      <c r="G4955" s="23"/>
      <c r="H4955" s="23"/>
      <c r="J4955" s="23"/>
      <c r="K4955" s="23"/>
      <c r="M4955" s="23"/>
      <c r="N4955" s="23"/>
      <c r="P4955" s="23"/>
    </row>
    <row r="4956" spans="2:16" x14ac:dyDescent="0.25">
      <c r="B4956" s="23"/>
      <c r="E4956" s="23"/>
      <c r="G4956" s="23"/>
      <c r="H4956" s="23"/>
      <c r="J4956" s="23"/>
      <c r="K4956" s="23"/>
      <c r="M4956" s="23"/>
      <c r="N4956" s="23"/>
      <c r="P4956" s="23"/>
    </row>
    <row r="4957" spans="2:16" x14ac:dyDescent="0.25">
      <c r="B4957" s="23"/>
      <c r="E4957" s="23"/>
      <c r="G4957" s="23"/>
      <c r="H4957" s="23"/>
      <c r="J4957" s="23"/>
      <c r="K4957" s="23"/>
      <c r="M4957" s="23"/>
      <c r="N4957" s="23"/>
      <c r="P4957" s="23"/>
    </row>
    <row r="4958" spans="2:16" x14ac:dyDescent="0.25">
      <c r="B4958" s="23"/>
      <c r="E4958" s="23"/>
      <c r="G4958" s="23"/>
      <c r="H4958" s="23"/>
      <c r="J4958" s="23"/>
      <c r="K4958" s="23"/>
      <c r="M4958" s="23"/>
      <c r="N4958" s="23"/>
      <c r="P4958" s="23"/>
    </row>
    <row r="4959" spans="2:16" x14ac:dyDescent="0.25">
      <c r="B4959" s="23"/>
      <c r="E4959" s="23"/>
      <c r="G4959" s="23"/>
      <c r="H4959" s="23"/>
      <c r="J4959" s="23"/>
      <c r="K4959" s="23"/>
      <c r="M4959" s="23"/>
      <c r="N4959" s="23"/>
      <c r="P4959" s="23"/>
    </row>
    <row r="4960" spans="2:16" x14ac:dyDescent="0.25">
      <c r="B4960" s="23"/>
      <c r="E4960" s="23"/>
      <c r="G4960" s="23"/>
      <c r="H4960" s="23"/>
      <c r="J4960" s="23"/>
      <c r="K4960" s="23"/>
      <c r="M4960" s="23"/>
      <c r="N4960" s="23"/>
      <c r="P4960" s="23"/>
    </row>
    <row r="4961" spans="2:16" x14ac:dyDescent="0.25">
      <c r="B4961" s="23"/>
      <c r="E4961" s="23"/>
      <c r="G4961" s="23"/>
      <c r="H4961" s="23"/>
      <c r="J4961" s="23"/>
      <c r="K4961" s="23"/>
      <c r="M4961" s="23"/>
      <c r="N4961" s="23"/>
      <c r="P4961" s="23"/>
    </row>
    <row r="4962" spans="2:16" x14ac:dyDescent="0.25">
      <c r="B4962" s="23"/>
      <c r="E4962" s="23"/>
      <c r="G4962" s="23"/>
      <c r="H4962" s="23"/>
      <c r="J4962" s="23"/>
      <c r="K4962" s="23"/>
      <c r="M4962" s="23"/>
      <c r="N4962" s="23"/>
      <c r="P4962" s="23"/>
    </row>
    <row r="4963" spans="2:16" x14ac:dyDescent="0.25">
      <c r="B4963" s="23"/>
      <c r="E4963" s="23"/>
      <c r="G4963" s="23"/>
      <c r="H4963" s="23"/>
      <c r="J4963" s="23"/>
      <c r="K4963" s="23"/>
      <c r="M4963" s="23"/>
      <c r="N4963" s="23"/>
      <c r="P4963" s="23"/>
    </row>
    <row r="4964" spans="2:16" x14ac:dyDescent="0.25">
      <c r="B4964" s="23"/>
      <c r="E4964" s="23"/>
      <c r="G4964" s="23"/>
      <c r="H4964" s="23"/>
      <c r="J4964" s="23"/>
      <c r="K4964" s="23"/>
      <c r="M4964" s="23"/>
      <c r="N4964" s="23"/>
      <c r="P4964" s="23"/>
    </row>
    <row r="4965" spans="2:16" x14ac:dyDescent="0.25">
      <c r="B4965" s="23"/>
      <c r="E4965" s="23"/>
      <c r="G4965" s="23"/>
      <c r="H4965" s="23"/>
      <c r="J4965" s="23"/>
      <c r="K4965" s="23"/>
      <c r="M4965" s="23"/>
      <c r="N4965" s="23"/>
      <c r="P4965" s="23"/>
    </row>
    <row r="4966" spans="2:16" x14ac:dyDescent="0.25">
      <c r="B4966" s="23"/>
      <c r="E4966" s="23"/>
      <c r="G4966" s="23"/>
      <c r="H4966" s="23"/>
      <c r="J4966" s="23"/>
      <c r="K4966" s="23"/>
      <c r="M4966" s="23"/>
      <c r="N4966" s="23"/>
      <c r="P4966" s="23"/>
    </row>
    <row r="4967" spans="2:16" x14ac:dyDescent="0.25">
      <c r="B4967" s="23"/>
      <c r="E4967" s="23"/>
      <c r="G4967" s="23"/>
      <c r="H4967" s="23"/>
      <c r="J4967" s="23"/>
      <c r="K4967" s="23"/>
      <c r="M4967" s="23"/>
      <c r="N4967" s="23"/>
      <c r="P4967" s="23"/>
    </row>
    <row r="4968" spans="2:16" x14ac:dyDescent="0.25">
      <c r="B4968" s="23"/>
      <c r="E4968" s="23"/>
      <c r="G4968" s="23"/>
      <c r="H4968" s="23"/>
      <c r="J4968" s="23"/>
      <c r="K4968" s="23"/>
      <c r="M4968" s="23"/>
      <c r="N4968" s="23"/>
      <c r="P4968" s="23"/>
    </row>
    <row r="4969" spans="2:16" x14ac:dyDescent="0.25">
      <c r="B4969" s="23"/>
      <c r="E4969" s="23"/>
      <c r="G4969" s="23"/>
      <c r="H4969" s="23"/>
      <c r="J4969" s="23"/>
      <c r="K4969" s="23"/>
      <c r="M4969" s="23"/>
      <c r="N4969" s="23"/>
      <c r="P4969" s="23"/>
    </row>
    <row r="4970" spans="2:16" x14ac:dyDescent="0.25">
      <c r="B4970" s="23"/>
      <c r="E4970" s="23"/>
      <c r="G4970" s="23"/>
      <c r="H4970" s="23"/>
      <c r="J4970" s="23"/>
      <c r="K4970" s="23"/>
      <c r="M4970" s="23"/>
      <c r="N4970" s="23"/>
      <c r="P4970" s="23"/>
    </row>
    <row r="4971" spans="2:16" x14ac:dyDescent="0.25">
      <c r="B4971" s="23"/>
      <c r="E4971" s="23"/>
      <c r="G4971" s="23"/>
      <c r="H4971" s="23"/>
      <c r="J4971" s="23"/>
      <c r="K4971" s="23"/>
      <c r="M4971" s="23"/>
      <c r="N4971" s="23"/>
      <c r="P4971" s="23"/>
    </row>
    <row r="4972" spans="2:16" x14ac:dyDescent="0.25">
      <c r="B4972" s="23"/>
      <c r="E4972" s="23"/>
      <c r="G4972" s="23"/>
      <c r="H4972" s="23"/>
      <c r="J4972" s="23"/>
      <c r="K4972" s="23"/>
      <c r="M4972" s="23"/>
      <c r="N4972" s="23"/>
      <c r="P4972" s="23"/>
    </row>
    <row r="4973" spans="2:16" x14ac:dyDescent="0.25">
      <c r="B4973" s="23"/>
      <c r="E4973" s="23"/>
      <c r="G4973" s="23"/>
      <c r="H4973" s="23"/>
      <c r="J4973" s="23"/>
      <c r="K4973" s="23"/>
      <c r="M4973" s="23"/>
      <c r="N4973" s="23"/>
      <c r="P4973" s="23"/>
    </row>
    <row r="4974" spans="2:16" x14ac:dyDescent="0.25">
      <c r="B4974" s="23"/>
      <c r="E4974" s="23"/>
      <c r="G4974" s="23"/>
      <c r="H4974" s="23"/>
      <c r="J4974" s="23"/>
      <c r="K4974" s="23"/>
      <c r="M4974" s="23"/>
      <c r="N4974" s="23"/>
      <c r="P4974" s="23"/>
    </row>
    <row r="4975" spans="2:16" x14ac:dyDescent="0.25">
      <c r="B4975" s="23"/>
      <c r="E4975" s="23"/>
      <c r="G4975" s="23"/>
      <c r="H4975" s="23"/>
      <c r="J4975" s="23"/>
      <c r="K4975" s="23"/>
      <c r="M4975" s="23"/>
      <c r="N4975" s="23"/>
      <c r="P4975" s="23"/>
    </row>
    <row r="4976" spans="2:16" x14ac:dyDescent="0.25">
      <c r="B4976" s="23"/>
      <c r="E4976" s="23"/>
      <c r="G4976" s="23"/>
      <c r="H4976" s="23"/>
      <c r="J4976" s="23"/>
      <c r="K4976" s="23"/>
      <c r="M4976" s="23"/>
      <c r="N4976" s="23"/>
      <c r="P4976" s="23"/>
    </row>
    <row r="4977" spans="2:16" x14ac:dyDescent="0.25">
      <c r="B4977" s="23"/>
      <c r="E4977" s="23"/>
      <c r="G4977" s="23"/>
      <c r="H4977" s="23"/>
      <c r="J4977" s="23"/>
      <c r="K4977" s="23"/>
      <c r="M4977" s="23"/>
      <c r="N4977" s="23"/>
      <c r="P4977" s="23"/>
    </row>
    <row r="4978" spans="2:16" x14ac:dyDescent="0.25">
      <c r="B4978" s="23"/>
      <c r="E4978" s="23"/>
      <c r="G4978" s="23"/>
      <c r="H4978" s="23"/>
      <c r="J4978" s="23"/>
      <c r="K4978" s="23"/>
      <c r="M4978" s="23"/>
      <c r="N4978" s="23"/>
      <c r="P4978" s="23"/>
    </row>
    <row r="4979" spans="2:16" x14ac:dyDescent="0.25">
      <c r="B4979" s="23"/>
      <c r="E4979" s="23"/>
      <c r="G4979" s="23"/>
      <c r="H4979" s="23"/>
      <c r="J4979" s="23"/>
      <c r="K4979" s="23"/>
      <c r="M4979" s="23"/>
      <c r="N4979" s="23"/>
      <c r="P4979" s="23"/>
    </row>
    <row r="4980" spans="2:16" x14ac:dyDescent="0.25">
      <c r="B4980" s="23"/>
      <c r="E4980" s="23"/>
      <c r="G4980" s="23"/>
      <c r="H4980" s="23"/>
      <c r="J4980" s="23"/>
      <c r="K4980" s="23"/>
      <c r="M4980" s="23"/>
      <c r="N4980" s="23"/>
      <c r="P4980" s="23"/>
    </row>
    <row r="4981" spans="2:16" x14ac:dyDescent="0.25">
      <c r="B4981" s="23"/>
      <c r="E4981" s="23"/>
      <c r="G4981" s="23"/>
      <c r="H4981" s="23"/>
      <c r="J4981" s="23"/>
      <c r="K4981" s="23"/>
      <c r="M4981" s="23"/>
      <c r="N4981" s="23"/>
      <c r="P4981" s="23"/>
    </row>
    <row r="4982" spans="2:16" x14ac:dyDescent="0.25">
      <c r="B4982" s="23"/>
      <c r="E4982" s="23"/>
      <c r="G4982" s="23"/>
      <c r="H4982" s="23"/>
      <c r="J4982" s="23"/>
      <c r="K4982" s="23"/>
      <c r="M4982" s="23"/>
      <c r="N4982" s="23"/>
      <c r="P4982" s="23"/>
    </row>
    <row r="4983" spans="2:16" x14ac:dyDescent="0.25">
      <c r="B4983" s="23"/>
      <c r="E4983" s="23"/>
      <c r="G4983" s="23"/>
      <c r="H4983" s="23"/>
      <c r="J4983" s="23"/>
      <c r="K4983" s="23"/>
      <c r="M4983" s="23"/>
      <c r="N4983" s="23"/>
      <c r="P4983" s="23"/>
    </row>
    <row r="4984" spans="2:16" x14ac:dyDescent="0.25">
      <c r="B4984" s="23"/>
      <c r="E4984" s="23"/>
      <c r="G4984" s="23"/>
      <c r="H4984" s="23"/>
      <c r="J4984" s="23"/>
      <c r="K4984" s="23"/>
      <c r="M4984" s="23"/>
      <c r="N4984" s="23"/>
      <c r="P4984" s="23"/>
    </row>
    <row r="4985" spans="2:16" x14ac:dyDescent="0.25">
      <c r="B4985" s="23"/>
      <c r="E4985" s="23"/>
      <c r="G4985" s="23"/>
      <c r="H4985" s="23"/>
      <c r="J4985" s="23"/>
      <c r="K4985" s="23"/>
      <c r="M4985" s="23"/>
      <c r="N4985" s="23"/>
      <c r="P4985" s="23"/>
    </row>
    <row r="4986" spans="2:16" x14ac:dyDescent="0.25">
      <c r="B4986" s="23"/>
      <c r="E4986" s="23"/>
      <c r="G4986" s="23"/>
      <c r="H4986" s="23"/>
      <c r="J4986" s="23"/>
      <c r="K4986" s="23"/>
      <c r="M4986" s="23"/>
      <c r="N4986" s="23"/>
      <c r="P4986" s="23"/>
    </row>
    <row r="4987" spans="2:16" x14ac:dyDescent="0.25">
      <c r="B4987" s="23"/>
      <c r="E4987" s="23"/>
      <c r="G4987" s="23"/>
      <c r="H4987" s="23"/>
      <c r="J4987" s="23"/>
      <c r="K4987" s="23"/>
      <c r="M4987" s="23"/>
      <c r="N4987" s="23"/>
      <c r="P4987" s="23"/>
    </row>
    <row r="4988" spans="2:16" x14ac:dyDescent="0.25">
      <c r="B4988" s="23"/>
      <c r="E4988" s="23"/>
      <c r="G4988" s="23"/>
      <c r="H4988" s="23"/>
      <c r="J4988" s="23"/>
      <c r="K4988" s="23"/>
      <c r="M4988" s="23"/>
      <c r="N4988" s="23"/>
      <c r="P4988" s="23"/>
    </row>
    <row r="4989" spans="2:16" x14ac:dyDescent="0.25">
      <c r="B4989" s="23"/>
      <c r="E4989" s="23"/>
      <c r="G4989" s="23"/>
      <c r="H4989" s="23"/>
      <c r="J4989" s="23"/>
      <c r="K4989" s="23"/>
      <c r="M4989" s="23"/>
      <c r="N4989" s="23"/>
      <c r="P4989" s="23"/>
    </row>
    <row r="4990" spans="2:16" x14ac:dyDescent="0.25">
      <c r="B4990" s="23"/>
      <c r="E4990" s="23"/>
      <c r="G4990" s="23"/>
      <c r="H4990" s="23"/>
      <c r="J4990" s="23"/>
      <c r="K4990" s="23"/>
      <c r="M4990" s="23"/>
      <c r="N4990" s="23"/>
      <c r="P4990" s="23"/>
    </row>
    <row r="4991" spans="2:16" x14ac:dyDescent="0.25">
      <c r="B4991" s="23"/>
      <c r="E4991" s="23"/>
      <c r="G4991" s="23"/>
      <c r="H4991" s="23"/>
      <c r="J4991" s="23"/>
      <c r="K4991" s="23"/>
      <c r="M4991" s="23"/>
      <c r="N4991" s="23"/>
      <c r="P4991" s="23"/>
    </row>
    <row r="4992" spans="2:16" x14ac:dyDescent="0.25">
      <c r="B4992" s="23"/>
      <c r="E4992" s="23"/>
      <c r="G4992" s="23"/>
      <c r="H4992" s="23"/>
      <c r="J4992" s="23"/>
      <c r="K4992" s="23"/>
      <c r="M4992" s="23"/>
      <c r="N4992" s="23"/>
      <c r="P4992" s="23"/>
    </row>
    <row r="4993" spans="2:16" x14ac:dyDescent="0.25">
      <c r="B4993" s="23"/>
      <c r="E4993" s="23"/>
      <c r="G4993" s="23"/>
      <c r="H4993" s="23"/>
      <c r="J4993" s="23"/>
      <c r="K4993" s="23"/>
      <c r="M4993" s="23"/>
      <c r="N4993" s="23"/>
      <c r="P4993" s="23"/>
    </row>
    <row r="4994" spans="2:16" x14ac:dyDescent="0.25">
      <c r="B4994" s="23"/>
      <c r="E4994" s="23"/>
      <c r="G4994" s="23"/>
      <c r="H4994" s="23"/>
      <c r="J4994" s="23"/>
      <c r="K4994" s="23"/>
      <c r="M4994" s="23"/>
      <c r="N4994" s="23"/>
      <c r="P4994" s="23"/>
    </row>
    <row r="4995" spans="2:16" x14ac:dyDescent="0.25">
      <c r="B4995" s="23"/>
      <c r="E4995" s="23"/>
      <c r="G4995" s="23"/>
      <c r="H4995" s="23"/>
      <c r="J4995" s="23"/>
      <c r="K4995" s="23"/>
      <c r="M4995" s="23"/>
      <c r="N4995" s="23"/>
      <c r="P4995" s="23"/>
    </row>
    <row r="4996" spans="2:16" x14ac:dyDescent="0.25">
      <c r="B4996" s="23"/>
      <c r="E4996" s="23"/>
      <c r="G4996" s="23"/>
      <c r="H4996" s="23"/>
      <c r="J4996" s="23"/>
      <c r="K4996" s="23"/>
      <c r="M4996" s="23"/>
      <c r="N4996" s="23"/>
      <c r="P4996" s="23"/>
    </row>
    <row r="4997" spans="2:16" x14ac:dyDescent="0.25">
      <c r="B4997" s="23"/>
      <c r="E4997" s="23"/>
      <c r="G4997" s="23"/>
      <c r="H4997" s="23"/>
      <c r="J4997" s="23"/>
      <c r="K4997" s="23"/>
      <c r="M4997" s="23"/>
      <c r="N4997" s="23"/>
      <c r="P4997" s="23"/>
    </row>
    <row r="4998" spans="2:16" x14ac:dyDescent="0.25">
      <c r="B4998" s="23"/>
      <c r="E4998" s="23"/>
      <c r="G4998" s="23"/>
      <c r="H4998" s="23"/>
      <c r="J4998" s="23"/>
      <c r="K4998" s="23"/>
      <c r="M4998" s="23"/>
      <c r="N4998" s="23"/>
      <c r="P4998" s="23"/>
    </row>
    <row r="4999" spans="2:16" x14ac:dyDescent="0.25">
      <c r="B4999" s="23"/>
      <c r="E4999" s="23"/>
      <c r="G4999" s="23"/>
      <c r="H4999" s="23"/>
      <c r="J4999" s="23"/>
      <c r="K4999" s="23"/>
      <c r="M4999" s="23"/>
      <c r="N4999" s="23"/>
      <c r="P4999" s="23"/>
    </row>
    <row r="5000" spans="2:16" x14ac:dyDescent="0.25">
      <c r="B5000" s="23"/>
      <c r="E5000" s="23"/>
      <c r="G5000" s="23"/>
      <c r="H5000" s="23"/>
      <c r="J5000" s="23"/>
      <c r="K5000" s="23"/>
      <c r="M5000" s="23"/>
      <c r="N5000" s="23"/>
      <c r="P5000" s="23"/>
    </row>
    <row r="5001" spans="2:16" x14ac:dyDescent="0.25">
      <c r="B5001" s="23"/>
      <c r="E5001" s="23"/>
      <c r="G5001" s="23"/>
      <c r="H5001" s="23"/>
      <c r="J5001" s="23"/>
      <c r="K5001" s="23"/>
      <c r="M5001" s="23"/>
      <c r="N5001" s="23"/>
      <c r="P5001" s="23"/>
    </row>
    <row r="5002" spans="2:16" x14ac:dyDescent="0.25">
      <c r="B5002" s="23"/>
      <c r="E5002" s="23"/>
      <c r="G5002" s="23"/>
      <c r="H5002" s="23"/>
      <c r="J5002" s="23"/>
      <c r="K5002" s="23"/>
      <c r="M5002" s="23"/>
      <c r="N5002" s="23"/>
      <c r="P5002" s="23"/>
    </row>
    <row r="5003" spans="2:16" x14ac:dyDescent="0.25">
      <c r="B5003" s="23"/>
      <c r="E5003" s="23"/>
      <c r="G5003" s="23"/>
      <c r="H5003" s="23"/>
      <c r="J5003" s="23"/>
      <c r="K5003" s="23"/>
      <c r="M5003" s="23"/>
      <c r="N5003" s="23"/>
      <c r="P5003" s="23"/>
    </row>
    <row r="5004" spans="2:16" x14ac:dyDescent="0.25">
      <c r="B5004" s="23"/>
      <c r="E5004" s="23"/>
      <c r="G5004" s="23"/>
      <c r="H5004" s="23"/>
      <c r="J5004" s="23"/>
      <c r="K5004" s="23"/>
      <c r="M5004" s="23"/>
      <c r="N5004" s="23"/>
      <c r="P5004" s="23"/>
    </row>
    <row r="5005" spans="2:16" x14ac:dyDescent="0.25">
      <c r="B5005" s="23"/>
      <c r="E5005" s="23"/>
      <c r="G5005" s="23"/>
      <c r="H5005" s="23"/>
      <c r="J5005" s="23"/>
      <c r="K5005" s="23"/>
      <c r="M5005" s="23"/>
      <c r="N5005" s="23"/>
      <c r="P5005" s="23"/>
    </row>
    <row r="5006" spans="2:16" x14ac:dyDescent="0.25">
      <c r="B5006" s="23"/>
      <c r="E5006" s="23"/>
      <c r="G5006" s="23"/>
      <c r="H5006" s="23"/>
      <c r="J5006" s="23"/>
      <c r="K5006" s="23"/>
      <c r="M5006" s="23"/>
      <c r="N5006" s="23"/>
      <c r="P5006" s="23"/>
    </row>
    <row r="5007" spans="2:16" x14ac:dyDescent="0.25">
      <c r="B5007" s="23"/>
      <c r="E5007" s="23"/>
      <c r="G5007" s="23"/>
      <c r="H5007" s="23"/>
      <c r="J5007" s="23"/>
      <c r="K5007" s="23"/>
      <c r="M5007" s="23"/>
      <c r="N5007" s="23"/>
      <c r="P5007" s="23"/>
    </row>
    <row r="5008" spans="2:16" x14ac:dyDescent="0.25">
      <c r="B5008" s="23"/>
      <c r="E5008" s="23"/>
      <c r="G5008" s="23"/>
      <c r="H5008" s="23"/>
      <c r="J5008" s="23"/>
      <c r="K5008" s="23"/>
      <c r="M5008" s="23"/>
      <c r="N5008" s="23"/>
      <c r="P5008" s="23"/>
    </row>
    <row r="5009" spans="2:16" x14ac:dyDescent="0.25">
      <c r="B5009" s="23"/>
      <c r="E5009" s="23"/>
      <c r="G5009" s="23"/>
      <c r="H5009" s="23"/>
      <c r="J5009" s="23"/>
      <c r="K5009" s="23"/>
      <c r="M5009" s="23"/>
      <c r="N5009" s="23"/>
      <c r="P5009" s="23"/>
    </row>
    <row r="5010" spans="2:16" x14ac:dyDescent="0.25">
      <c r="B5010" s="23"/>
      <c r="E5010" s="23"/>
      <c r="G5010" s="23"/>
      <c r="H5010" s="23"/>
      <c r="J5010" s="23"/>
      <c r="K5010" s="23"/>
      <c r="M5010" s="23"/>
      <c r="N5010" s="23"/>
      <c r="P5010" s="23"/>
    </row>
    <row r="5011" spans="2:16" x14ac:dyDescent="0.25">
      <c r="B5011" s="23"/>
      <c r="E5011" s="23"/>
      <c r="G5011" s="23"/>
      <c r="H5011" s="23"/>
      <c r="J5011" s="23"/>
      <c r="K5011" s="23"/>
      <c r="M5011" s="23"/>
      <c r="N5011" s="23"/>
      <c r="P5011" s="23"/>
    </row>
    <row r="5012" spans="2:16" x14ac:dyDescent="0.25">
      <c r="B5012" s="23"/>
      <c r="E5012" s="23"/>
      <c r="G5012" s="23"/>
      <c r="H5012" s="23"/>
      <c r="J5012" s="23"/>
      <c r="K5012" s="23"/>
      <c r="M5012" s="23"/>
      <c r="N5012" s="23"/>
      <c r="P5012" s="23"/>
    </row>
    <row r="5013" spans="2:16" x14ac:dyDescent="0.25">
      <c r="B5013" s="23"/>
      <c r="E5013" s="23"/>
      <c r="G5013" s="23"/>
      <c r="H5013" s="23"/>
      <c r="J5013" s="23"/>
      <c r="K5013" s="23"/>
      <c r="M5013" s="23"/>
      <c r="N5013" s="23"/>
      <c r="P5013" s="23"/>
    </row>
    <row r="5014" spans="2:16" x14ac:dyDescent="0.25">
      <c r="B5014" s="23"/>
      <c r="E5014" s="23"/>
      <c r="G5014" s="23"/>
      <c r="H5014" s="23"/>
      <c r="J5014" s="23"/>
      <c r="K5014" s="23"/>
      <c r="M5014" s="23"/>
      <c r="N5014" s="23"/>
      <c r="P5014" s="23"/>
    </row>
    <row r="5015" spans="2:16" x14ac:dyDescent="0.25">
      <c r="B5015" s="23"/>
      <c r="E5015" s="23"/>
      <c r="G5015" s="23"/>
      <c r="H5015" s="23"/>
      <c r="J5015" s="23"/>
      <c r="K5015" s="23"/>
      <c r="M5015" s="23"/>
      <c r="N5015" s="23"/>
      <c r="P5015" s="23"/>
    </row>
    <row r="5016" spans="2:16" x14ac:dyDescent="0.25">
      <c r="B5016" s="23"/>
      <c r="E5016" s="23"/>
      <c r="G5016" s="23"/>
      <c r="H5016" s="23"/>
      <c r="J5016" s="23"/>
      <c r="K5016" s="23"/>
      <c r="M5016" s="23"/>
      <c r="N5016" s="23"/>
      <c r="P5016" s="23"/>
    </row>
    <row r="5017" spans="2:16" x14ac:dyDescent="0.25">
      <c r="B5017" s="23"/>
      <c r="E5017" s="23"/>
      <c r="G5017" s="23"/>
      <c r="H5017" s="23"/>
      <c r="J5017" s="23"/>
      <c r="K5017" s="23"/>
      <c r="M5017" s="23"/>
      <c r="N5017" s="23"/>
      <c r="P5017" s="23"/>
    </row>
    <row r="5018" spans="2:16" x14ac:dyDescent="0.25">
      <c r="B5018" s="23"/>
      <c r="E5018" s="23"/>
      <c r="G5018" s="23"/>
      <c r="H5018" s="23"/>
      <c r="J5018" s="23"/>
      <c r="K5018" s="23"/>
      <c r="M5018" s="23"/>
      <c r="N5018" s="23"/>
      <c r="P5018" s="23"/>
    </row>
    <row r="5019" spans="2:16" x14ac:dyDescent="0.25">
      <c r="B5019" s="23"/>
      <c r="E5019" s="23"/>
      <c r="G5019" s="23"/>
      <c r="H5019" s="23"/>
      <c r="J5019" s="23"/>
      <c r="K5019" s="23"/>
      <c r="M5019" s="23"/>
      <c r="N5019" s="23"/>
      <c r="P5019" s="23"/>
    </row>
    <row r="5020" spans="2:16" x14ac:dyDescent="0.25">
      <c r="B5020" s="23"/>
      <c r="E5020" s="23"/>
      <c r="G5020" s="23"/>
      <c r="H5020" s="23"/>
      <c r="J5020" s="23"/>
      <c r="K5020" s="23"/>
      <c r="M5020" s="23"/>
      <c r="N5020" s="23"/>
      <c r="P5020" s="23"/>
    </row>
    <row r="5021" spans="2:16" x14ac:dyDescent="0.25">
      <c r="B5021" s="23"/>
      <c r="E5021" s="23"/>
      <c r="G5021" s="23"/>
      <c r="H5021" s="23"/>
      <c r="J5021" s="23"/>
      <c r="K5021" s="23"/>
      <c r="M5021" s="23"/>
      <c r="N5021" s="23"/>
      <c r="P5021" s="23"/>
    </row>
    <row r="5022" spans="2:16" x14ac:dyDescent="0.25">
      <c r="B5022" s="23"/>
      <c r="E5022" s="23"/>
      <c r="G5022" s="23"/>
      <c r="H5022" s="23"/>
      <c r="J5022" s="23"/>
      <c r="K5022" s="23"/>
      <c r="M5022" s="23"/>
      <c r="N5022" s="23"/>
      <c r="P5022" s="23"/>
    </row>
    <row r="5023" spans="2:16" x14ac:dyDescent="0.25">
      <c r="B5023" s="23"/>
      <c r="E5023" s="23"/>
      <c r="G5023" s="23"/>
      <c r="H5023" s="23"/>
      <c r="J5023" s="23"/>
      <c r="K5023" s="23"/>
      <c r="M5023" s="23"/>
      <c r="N5023" s="23"/>
      <c r="P5023" s="23"/>
    </row>
    <row r="5024" spans="2:16" x14ac:dyDescent="0.25">
      <c r="B5024" s="23"/>
      <c r="E5024" s="23"/>
      <c r="G5024" s="23"/>
      <c r="H5024" s="23"/>
      <c r="J5024" s="23"/>
      <c r="K5024" s="23"/>
      <c r="M5024" s="23"/>
      <c r="N5024" s="23"/>
      <c r="P5024" s="23"/>
    </row>
    <row r="5025" spans="2:16" x14ac:dyDescent="0.25">
      <c r="B5025" s="23"/>
      <c r="E5025" s="23"/>
      <c r="G5025" s="23"/>
      <c r="H5025" s="23"/>
      <c r="J5025" s="23"/>
      <c r="K5025" s="23"/>
      <c r="M5025" s="23"/>
      <c r="N5025" s="23"/>
      <c r="P5025" s="23"/>
    </row>
    <row r="5026" spans="2:16" x14ac:dyDescent="0.25">
      <c r="B5026" s="23"/>
      <c r="E5026" s="23"/>
      <c r="G5026" s="23"/>
      <c r="H5026" s="23"/>
      <c r="J5026" s="23"/>
      <c r="K5026" s="23"/>
      <c r="M5026" s="23"/>
      <c r="N5026" s="23"/>
      <c r="P5026" s="23"/>
    </row>
    <row r="5027" spans="2:16" x14ac:dyDescent="0.25">
      <c r="B5027" s="23"/>
      <c r="E5027" s="23"/>
      <c r="G5027" s="23"/>
      <c r="H5027" s="23"/>
      <c r="J5027" s="23"/>
      <c r="K5027" s="23"/>
      <c r="M5027" s="23"/>
      <c r="N5027" s="23"/>
      <c r="P5027" s="23"/>
    </row>
    <row r="5028" spans="2:16" x14ac:dyDescent="0.25">
      <c r="B5028" s="23"/>
      <c r="E5028" s="23"/>
      <c r="G5028" s="23"/>
      <c r="H5028" s="23"/>
      <c r="J5028" s="23"/>
      <c r="K5028" s="23"/>
      <c r="M5028" s="23"/>
      <c r="N5028" s="23"/>
      <c r="P5028" s="23"/>
    </row>
    <row r="5029" spans="2:16" x14ac:dyDescent="0.25">
      <c r="B5029" s="23"/>
      <c r="E5029" s="23"/>
      <c r="G5029" s="23"/>
      <c r="H5029" s="23"/>
      <c r="J5029" s="23"/>
      <c r="K5029" s="23"/>
      <c r="M5029" s="23"/>
      <c r="N5029" s="23"/>
      <c r="P5029" s="23"/>
    </row>
    <row r="5030" spans="2:16" x14ac:dyDescent="0.25">
      <c r="B5030" s="23"/>
      <c r="E5030" s="23"/>
      <c r="G5030" s="23"/>
      <c r="H5030" s="23"/>
      <c r="J5030" s="23"/>
      <c r="K5030" s="23"/>
      <c r="M5030" s="23"/>
      <c r="N5030" s="23"/>
      <c r="P5030" s="23"/>
    </row>
    <row r="5031" spans="2:16" x14ac:dyDescent="0.25">
      <c r="B5031" s="23"/>
      <c r="E5031" s="23"/>
      <c r="G5031" s="23"/>
      <c r="H5031" s="23"/>
      <c r="J5031" s="23"/>
      <c r="K5031" s="23"/>
      <c r="M5031" s="23"/>
      <c r="N5031" s="23"/>
      <c r="P5031" s="23"/>
    </row>
    <row r="5032" spans="2:16" x14ac:dyDescent="0.25">
      <c r="B5032" s="23"/>
      <c r="E5032" s="23"/>
      <c r="G5032" s="23"/>
      <c r="H5032" s="23"/>
      <c r="J5032" s="23"/>
      <c r="K5032" s="23"/>
      <c r="M5032" s="23"/>
      <c r="N5032" s="23"/>
      <c r="P5032" s="23"/>
    </row>
    <row r="5033" spans="2:16" x14ac:dyDescent="0.25">
      <c r="B5033" s="23"/>
      <c r="E5033" s="23"/>
      <c r="G5033" s="23"/>
      <c r="H5033" s="23"/>
      <c r="J5033" s="23"/>
      <c r="K5033" s="23"/>
      <c r="M5033" s="23"/>
      <c r="N5033" s="23"/>
      <c r="P5033" s="23"/>
    </row>
    <row r="5034" spans="2:16" x14ac:dyDescent="0.25">
      <c r="B5034" s="23"/>
      <c r="E5034" s="23"/>
      <c r="G5034" s="23"/>
      <c r="H5034" s="23"/>
      <c r="J5034" s="23"/>
      <c r="K5034" s="23"/>
      <c r="M5034" s="23"/>
      <c r="N5034" s="23"/>
      <c r="P5034" s="23"/>
    </row>
    <row r="5035" spans="2:16" x14ac:dyDescent="0.25">
      <c r="B5035" s="23"/>
      <c r="E5035" s="23"/>
      <c r="G5035" s="23"/>
      <c r="H5035" s="23"/>
      <c r="J5035" s="23"/>
      <c r="K5035" s="23"/>
      <c r="M5035" s="23"/>
      <c r="N5035" s="23"/>
      <c r="P5035" s="23"/>
    </row>
    <row r="5036" spans="2:16" x14ac:dyDescent="0.25">
      <c r="B5036" s="23"/>
      <c r="E5036" s="23"/>
      <c r="G5036" s="23"/>
      <c r="H5036" s="23"/>
      <c r="J5036" s="23"/>
      <c r="K5036" s="23"/>
      <c r="M5036" s="23"/>
      <c r="N5036" s="23"/>
      <c r="P5036" s="23"/>
    </row>
    <row r="5037" spans="2:16" x14ac:dyDescent="0.25">
      <c r="B5037" s="23"/>
      <c r="E5037" s="23"/>
      <c r="G5037" s="23"/>
      <c r="H5037" s="23"/>
      <c r="J5037" s="23"/>
      <c r="K5037" s="23"/>
      <c r="M5037" s="23"/>
      <c r="N5037" s="23"/>
      <c r="P5037" s="23"/>
    </row>
    <row r="5038" spans="2:16" x14ac:dyDescent="0.25">
      <c r="B5038" s="23"/>
      <c r="E5038" s="23"/>
      <c r="G5038" s="23"/>
      <c r="H5038" s="23"/>
      <c r="J5038" s="23"/>
      <c r="K5038" s="23"/>
      <c r="M5038" s="23"/>
      <c r="N5038" s="23"/>
      <c r="P5038" s="23"/>
    </row>
    <row r="5039" spans="2:16" x14ac:dyDescent="0.25">
      <c r="B5039" s="23"/>
      <c r="E5039" s="23"/>
      <c r="G5039" s="23"/>
      <c r="H5039" s="23"/>
      <c r="J5039" s="23"/>
      <c r="K5039" s="23"/>
      <c r="M5039" s="23"/>
      <c r="N5039" s="23"/>
      <c r="P5039" s="23"/>
    </row>
    <row r="5040" spans="2:16" x14ac:dyDescent="0.25">
      <c r="B5040" s="23"/>
      <c r="E5040" s="23"/>
      <c r="G5040" s="23"/>
      <c r="H5040" s="23"/>
      <c r="J5040" s="23"/>
      <c r="K5040" s="23"/>
      <c r="M5040" s="23"/>
      <c r="N5040" s="23"/>
      <c r="P5040" s="23"/>
    </row>
    <row r="5041" spans="2:16" x14ac:dyDescent="0.25">
      <c r="B5041" s="23"/>
      <c r="E5041" s="23"/>
      <c r="G5041" s="23"/>
      <c r="H5041" s="23"/>
      <c r="J5041" s="23"/>
      <c r="K5041" s="23"/>
      <c r="M5041" s="23"/>
      <c r="N5041" s="23"/>
      <c r="P5041" s="23"/>
    </row>
    <row r="5042" spans="2:16" x14ac:dyDescent="0.25">
      <c r="B5042" s="23"/>
      <c r="E5042" s="23"/>
      <c r="G5042" s="23"/>
      <c r="H5042" s="23"/>
      <c r="J5042" s="23"/>
      <c r="K5042" s="23"/>
      <c r="M5042" s="23"/>
      <c r="N5042" s="23"/>
      <c r="P5042" s="23"/>
    </row>
    <row r="5043" spans="2:16" x14ac:dyDescent="0.25">
      <c r="B5043" s="23"/>
      <c r="E5043" s="23"/>
      <c r="G5043" s="23"/>
      <c r="H5043" s="23"/>
      <c r="J5043" s="23"/>
      <c r="K5043" s="23"/>
      <c r="M5043" s="23"/>
      <c r="N5043" s="23"/>
      <c r="P5043" s="23"/>
    </row>
    <row r="5044" spans="2:16" x14ac:dyDescent="0.25">
      <c r="B5044" s="23"/>
      <c r="E5044" s="23"/>
      <c r="G5044" s="23"/>
      <c r="H5044" s="23"/>
      <c r="J5044" s="23"/>
      <c r="K5044" s="23"/>
      <c r="M5044" s="23"/>
      <c r="N5044" s="23"/>
      <c r="P5044" s="23"/>
    </row>
    <row r="5045" spans="2:16" x14ac:dyDescent="0.25">
      <c r="B5045" s="23"/>
      <c r="E5045" s="23"/>
      <c r="G5045" s="23"/>
      <c r="H5045" s="23"/>
      <c r="J5045" s="23"/>
      <c r="K5045" s="23"/>
      <c r="M5045" s="23"/>
      <c r="N5045" s="23"/>
      <c r="P5045" s="23"/>
    </row>
    <row r="5046" spans="2:16" x14ac:dyDescent="0.25">
      <c r="B5046" s="23"/>
      <c r="E5046" s="23"/>
      <c r="G5046" s="23"/>
      <c r="H5046" s="23"/>
      <c r="J5046" s="23"/>
      <c r="K5046" s="23"/>
      <c r="M5046" s="23"/>
      <c r="N5046" s="23"/>
      <c r="P5046" s="23"/>
    </row>
    <row r="5047" spans="2:16" x14ac:dyDescent="0.25">
      <c r="B5047" s="23"/>
      <c r="E5047" s="23"/>
      <c r="G5047" s="23"/>
      <c r="H5047" s="23"/>
      <c r="J5047" s="23"/>
      <c r="K5047" s="23"/>
      <c r="M5047" s="23"/>
      <c r="N5047" s="23"/>
      <c r="P5047" s="23"/>
    </row>
    <row r="5048" spans="2:16" x14ac:dyDescent="0.25">
      <c r="B5048" s="23"/>
      <c r="E5048" s="23"/>
      <c r="G5048" s="23"/>
      <c r="H5048" s="23"/>
      <c r="J5048" s="23"/>
      <c r="K5048" s="23"/>
      <c r="M5048" s="23"/>
      <c r="N5048" s="23"/>
      <c r="P5048" s="23"/>
    </row>
    <row r="5049" spans="2:16" x14ac:dyDescent="0.25">
      <c r="B5049" s="23"/>
      <c r="E5049" s="23"/>
      <c r="G5049" s="23"/>
      <c r="H5049" s="23"/>
      <c r="J5049" s="23"/>
      <c r="K5049" s="23"/>
      <c r="M5049" s="23"/>
      <c r="N5049" s="23"/>
      <c r="P5049" s="23"/>
    </row>
    <row r="5050" spans="2:16" x14ac:dyDescent="0.25">
      <c r="B5050" s="23"/>
      <c r="E5050" s="23"/>
      <c r="G5050" s="23"/>
      <c r="H5050" s="23"/>
      <c r="J5050" s="23"/>
      <c r="K5050" s="23"/>
      <c r="M5050" s="23"/>
      <c r="N5050" s="23"/>
      <c r="P5050" s="23"/>
    </row>
    <row r="5051" spans="2:16" x14ac:dyDescent="0.25">
      <c r="B5051" s="23"/>
      <c r="E5051" s="23"/>
      <c r="G5051" s="23"/>
      <c r="H5051" s="23"/>
      <c r="J5051" s="23"/>
      <c r="K5051" s="23"/>
      <c r="M5051" s="23"/>
      <c r="N5051" s="23"/>
      <c r="P5051" s="23"/>
    </row>
    <row r="5052" spans="2:16" x14ac:dyDescent="0.25">
      <c r="B5052" s="23"/>
      <c r="E5052" s="23"/>
      <c r="G5052" s="23"/>
      <c r="H5052" s="23"/>
      <c r="J5052" s="23"/>
      <c r="K5052" s="23"/>
      <c r="M5052" s="23"/>
      <c r="N5052" s="23"/>
      <c r="P5052" s="23"/>
    </row>
    <row r="5053" spans="2:16" x14ac:dyDescent="0.25">
      <c r="B5053" s="23"/>
      <c r="E5053" s="23"/>
      <c r="G5053" s="23"/>
      <c r="H5053" s="23"/>
      <c r="J5053" s="23"/>
      <c r="K5053" s="23"/>
      <c r="M5053" s="23"/>
      <c r="N5053" s="23"/>
      <c r="P5053" s="23"/>
    </row>
    <row r="5054" spans="2:16" x14ac:dyDescent="0.25">
      <c r="B5054" s="23"/>
      <c r="E5054" s="23"/>
      <c r="G5054" s="23"/>
      <c r="H5054" s="23"/>
      <c r="J5054" s="23"/>
      <c r="K5054" s="23"/>
      <c r="M5054" s="23"/>
      <c r="N5054" s="23"/>
      <c r="P5054" s="23"/>
    </row>
    <row r="5055" spans="2:16" x14ac:dyDescent="0.25">
      <c r="B5055" s="23"/>
      <c r="E5055" s="23"/>
      <c r="G5055" s="23"/>
      <c r="H5055" s="23"/>
      <c r="J5055" s="23"/>
      <c r="K5055" s="23"/>
      <c r="M5055" s="23"/>
      <c r="N5055" s="23"/>
      <c r="P5055" s="23"/>
    </row>
    <row r="5056" spans="2:16" x14ac:dyDescent="0.25">
      <c r="B5056" s="23"/>
      <c r="E5056" s="23"/>
      <c r="G5056" s="23"/>
      <c r="H5056" s="23"/>
      <c r="J5056" s="23"/>
      <c r="K5056" s="23"/>
      <c r="M5056" s="23"/>
      <c r="N5056" s="23"/>
      <c r="P5056" s="23"/>
    </row>
    <row r="5057" spans="2:16" x14ac:dyDescent="0.25">
      <c r="B5057" s="23"/>
      <c r="E5057" s="23"/>
      <c r="G5057" s="23"/>
      <c r="H5057" s="23"/>
      <c r="J5057" s="23"/>
      <c r="K5057" s="23"/>
      <c r="M5057" s="23"/>
      <c r="N5057" s="23"/>
      <c r="P5057" s="23"/>
    </row>
    <row r="5058" spans="2:16" x14ac:dyDescent="0.25">
      <c r="B5058" s="23"/>
      <c r="E5058" s="23"/>
      <c r="G5058" s="23"/>
      <c r="H5058" s="23"/>
      <c r="J5058" s="23"/>
      <c r="K5058" s="23"/>
      <c r="M5058" s="23"/>
      <c r="N5058" s="23"/>
      <c r="P5058" s="23"/>
    </row>
    <row r="5059" spans="2:16" x14ac:dyDescent="0.25">
      <c r="B5059" s="23"/>
      <c r="E5059" s="23"/>
      <c r="G5059" s="23"/>
      <c r="H5059" s="23"/>
      <c r="J5059" s="23"/>
      <c r="K5059" s="23"/>
      <c r="M5059" s="23"/>
      <c r="N5059" s="23"/>
      <c r="P5059" s="23"/>
    </row>
    <row r="5060" spans="2:16" x14ac:dyDescent="0.25">
      <c r="B5060" s="23"/>
      <c r="E5060" s="23"/>
      <c r="G5060" s="23"/>
      <c r="H5060" s="23"/>
      <c r="J5060" s="23"/>
      <c r="K5060" s="23"/>
      <c r="M5060" s="23"/>
      <c r="N5060" s="23"/>
      <c r="P5060" s="23"/>
    </row>
    <row r="5061" spans="2:16" x14ac:dyDescent="0.25">
      <c r="B5061" s="23"/>
      <c r="E5061" s="23"/>
      <c r="G5061" s="23"/>
      <c r="H5061" s="23"/>
      <c r="J5061" s="23"/>
      <c r="K5061" s="23"/>
      <c r="M5061" s="23"/>
      <c r="N5061" s="23"/>
      <c r="P5061" s="23"/>
    </row>
    <row r="5062" spans="2:16" x14ac:dyDescent="0.25">
      <c r="B5062" s="23"/>
      <c r="E5062" s="23"/>
      <c r="G5062" s="23"/>
      <c r="H5062" s="23"/>
      <c r="J5062" s="23"/>
      <c r="K5062" s="23"/>
      <c r="M5062" s="23"/>
      <c r="N5062" s="23"/>
      <c r="P5062" s="23"/>
    </row>
    <row r="5063" spans="2:16" x14ac:dyDescent="0.25">
      <c r="B5063" s="23"/>
      <c r="E5063" s="23"/>
      <c r="G5063" s="23"/>
      <c r="H5063" s="23"/>
      <c r="J5063" s="23"/>
      <c r="K5063" s="23"/>
      <c r="M5063" s="23"/>
      <c r="N5063" s="23"/>
      <c r="P5063" s="23"/>
    </row>
    <row r="5064" spans="2:16" x14ac:dyDescent="0.25">
      <c r="B5064" s="23"/>
      <c r="E5064" s="23"/>
      <c r="G5064" s="23"/>
      <c r="H5064" s="23"/>
      <c r="J5064" s="23"/>
      <c r="K5064" s="23"/>
      <c r="M5064" s="23"/>
      <c r="N5064" s="23"/>
      <c r="P5064" s="23"/>
    </row>
    <row r="5065" spans="2:16" x14ac:dyDescent="0.25">
      <c r="B5065" s="23"/>
      <c r="E5065" s="23"/>
      <c r="G5065" s="23"/>
      <c r="H5065" s="23"/>
      <c r="J5065" s="23"/>
      <c r="K5065" s="23"/>
      <c r="M5065" s="23"/>
      <c r="N5065" s="23"/>
      <c r="P5065" s="23"/>
    </row>
    <row r="5066" spans="2:16" x14ac:dyDescent="0.25">
      <c r="B5066" s="23"/>
      <c r="E5066" s="23"/>
      <c r="G5066" s="23"/>
      <c r="H5066" s="23"/>
      <c r="J5066" s="23"/>
      <c r="K5066" s="23"/>
      <c r="M5066" s="23"/>
      <c r="N5066" s="23"/>
      <c r="P5066" s="23"/>
    </row>
    <row r="5067" spans="2:16" x14ac:dyDescent="0.25">
      <c r="B5067" s="23"/>
      <c r="E5067" s="23"/>
      <c r="G5067" s="23"/>
      <c r="H5067" s="23"/>
      <c r="J5067" s="23"/>
      <c r="K5067" s="23"/>
      <c r="M5067" s="23"/>
      <c r="N5067" s="23"/>
      <c r="P5067" s="23"/>
    </row>
    <row r="5068" spans="2:16" x14ac:dyDescent="0.25">
      <c r="B5068" s="23"/>
      <c r="E5068" s="23"/>
      <c r="G5068" s="23"/>
      <c r="H5068" s="23"/>
      <c r="J5068" s="23"/>
      <c r="K5068" s="23"/>
      <c r="M5068" s="23"/>
      <c r="N5068" s="23"/>
      <c r="P5068" s="23"/>
    </row>
    <row r="5069" spans="2:16" x14ac:dyDescent="0.25">
      <c r="B5069" s="23"/>
      <c r="E5069" s="23"/>
      <c r="G5069" s="23"/>
      <c r="H5069" s="23"/>
      <c r="J5069" s="23"/>
      <c r="K5069" s="23"/>
      <c r="M5069" s="23"/>
      <c r="N5069" s="23"/>
      <c r="P5069" s="23"/>
    </row>
    <row r="5070" spans="2:16" x14ac:dyDescent="0.25">
      <c r="B5070" s="23"/>
      <c r="E5070" s="23"/>
      <c r="G5070" s="23"/>
      <c r="H5070" s="23"/>
      <c r="J5070" s="23"/>
      <c r="K5070" s="23"/>
      <c r="M5070" s="23"/>
      <c r="N5070" s="23"/>
      <c r="P5070" s="23"/>
    </row>
    <row r="5071" spans="2:16" x14ac:dyDescent="0.25">
      <c r="B5071" s="23"/>
      <c r="E5071" s="23"/>
      <c r="G5071" s="23"/>
      <c r="H5071" s="23"/>
      <c r="J5071" s="23"/>
      <c r="K5071" s="23"/>
      <c r="M5071" s="23"/>
      <c r="N5071" s="23"/>
      <c r="P5071" s="23"/>
    </row>
    <row r="5072" spans="2:16" x14ac:dyDescent="0.25">
      <c r="B5072" s="23"/>
      <c r="E5072" s="23"/>
      <c r="G5072" s="23"/>
      <c r="H5072" s="23"/>
      <c r="J5072" s="23"/>
      <c r="K5072" s="23"/>
      <c r="M5072" s="23"/>
      <c r="N5072" s="23"/>
      <c r="P5072" s="23"/>
    </row>
    <row r="5073" spans="2:16" x14ac:dyDescent="0.25">
      <c r="B5073" s="23"/>
      <c r="E5073" s="23"/>
      <c r="G5073" s="23"/>
      <c r="H5073" s="23"/>
      <c r="J5073" s="23"/>
      <c r="K5073" s="23"/>
      <c r="M5073" s="23"/>
      <c r="N5073" s="23"/>
      <c r="P5073" s="23"/>
    </row>
    <row r="5074" spans="2:16" x14ac:dyDescent="0.25">
      <c r="B5074" s="23"/>
      <c r="E5074" s="23"/>
      <c r="G5074" s="23"/>
      <c r="H5074" s="23"/>
      <c r="J5074" s="23"/>
      <c r="K5074" s="23"/>
      <c r="M5074" s="23"/>
      <c r="N5074" s="23"/>
      <c r="P5074" s="23"/>
    </row>
    <row r="5075" spans="2:16" x14ac:dyDescent="0.25">
      <c r="B5075" s="23"/>
      <c r="E5075" s="23"/>
      <c r="G5075" s="23"/>
      <c r="H5075" s="23"/>
      <c r="J5075" s="23"/>
      <c r="K5075" s="23"/>
      <c r="M5075" s="23"/>
      <c r="N5075" s="23"/>
      <c r="P5075" s="23"/>
    </row>
    <row r="5076" spans="2:16" x14ac:dyDescent="0.25">
      <c r="B5076" s="23"/>
      <c r="E5076" s="23"/>
      <c r="G5076" s="23"/>
      <c r="H5076" s="23"/>
      <c r="J5076" s="23"/>
      <c r="K5076" s="23"/>
      <c r="M5076" s="23"/>
      <c r="N5076" s="23"/>
      <c r="P5076" s="23"/>
    </row>
    <row r="5077" spans="2:16" x14ac:dyDescent="0.25">
      <c r="B5077" s="23"/>
      <c r="E5077" s="23"/>
      <c r="G5077" s="23"/>
      <c r="H5077" s="23"/>
      <c r="J5077" s="23"/>
      <c r="K5077" s="23"/>
      <c r="M5077" s="23"/>
      <c r="N5077" s="23"/>
      <c r="P5077" s="23"/>
    </row>
    <row r="5078" spans="2:16" x14ac:dyDescent="0.25">
      <c r="B5078" s="23"/>
      <c r="E5078" s="23"/>
      <c r="G5078" s="23"/>
      <c r="H5078" s="23"/>
      <c r="J5078" s="23"/>
      <c r="K5078" s="23"/>
      <c r="M5078" s="23"/>
      <c r="N5078" s="23"/>
      <c r="P5078" s="23"/>
    </row>
    <row r="5079" spans="2:16" x14ac:dyDescent="0.25">
      <c r="B5079" s="23"/>
      <c r="E5079" s="23"/>
      <c r="G5079" s="23"/>
      <c r="H5079" s="23"/>
      <c r="J5079" s="23"/>
      <c r="K5079" s="23"/>
      <c r="M5079" s="23"/>
      <c r="N5079" s="23"/>
      <c r="P5079" s="23"/>
    </row>
    <row r="5080" spans="2:16" x14ac:dyDescent="0.25">
      <c r="B5080" s="23"/>
      <c r="E5080" s="23"/>
      <c r="G5080" s="23"/>
      <c r="H5080" s="23"/>
      <c r="J5080" s="23"/>
      <c r="K5080" s="23"/>
      <c r="M5080" s="23"/>
      <c r="N5080" s="23"/>
      <c r="P5080" s="23"/>
    </row>
    <row r="5081" spans="2:16" x14ac:dyDescent="0.25">
      <c r="B5081" s="23"/>
      <c r="E5081" s="23"/>
      <c r="G5081" s="23"/>
      <c r="H5081" s="23"/>
      <c r="J5081" s="23"/>
      <c r="K5081" s="23"/>
      <c r="M5081" s="23"/>
      <c r="N5081" s="23"/>
      <c r="P5081" s="23"/>
    </row>
    <row r="5082" spans="2:16" x14ac:dyDescent="0.25">
      <c r="B5082" s="23"/>
      <c r="E5082" s="23"/>
      <c r="G5082" s="23"/>
      <c r="H5082" s="23"/>
      <c r="J5082" s="23"/>
      <c r="K5082" s="23"/>
      <c r="M5082" s="23"/>
      <c r="N5082" s="23"/>
      <c r="P5082" s="23"/>
    </row>
    <row r="5083" spans="2:16" x14ac:dyDescent="0.25">
      <c r="B5083" s="23"/>
      <c r="E5083" s="23"/>
      <c r="G5083" s="23"/>
      <c r="H5083" s="23"/>
      <c r="J5083" s="23"/>
      <c r="K5083" s="23"/>
      <c r="M5083" s="23"/>
      <c r="N5083" s="23"/>
      <c r="P5083" s="23"/>
    </row>
    <row r="5084" spans="2:16" x14ac:dyDescent="0.25">
      <c r="B5084" s="23"/>
      <c r="E5084" s="23"/>
      <c r="G5084" s="23"/>
      <c r="H5084" s="23"/>
      <c r="J5084" s="23"/>
      <c r="K5084" s="23"/>
      <c r="M5084" s="23"/>
      <c r="N5084" s="23"/>
      <c r="P5084" s="23"/>
    </row>
    <row r="5085" spans="2:16" x14ac:dyDescent="0.25">
      <c r="B5085" s="23"/>
      <c r="E5085" s="23"/>
      <c r="G5085" s="23"/>
      <c r="H5085" s="23"/>
      <c r="J5085" s="23"/>
      <c r="K5085" s="23"/>
      <c r="M5085" s="23"/>
      <c r="N5085" s="23"/>
      <c r="P5085" s="23"/>
    </row>
    <row r="5086" spans="2:16" x14ac:dyDescent="0.25">
      <c r="B5086" s="23"/>
      <c r="E5086" s="23"/>
      <c r="G5086" s="23"/>
      <c r="H5086" s="23"/>
      <c r="J5086" s="23"/>
      <c r="K5086" s="23"/>
      <c r="M5086" s="23"/>
      <c r="N5086" s="23"/>
      <c r="P5086" s="23"/>
    </row>
    <row r="5087" spans="2:16" x14ac:dyDescent="0.25">
      <c r="B5087" s="23"/>
      <c r="E5087" s="23"/>
      <c r="G5087" s="23"/>
      <c r="H5087" s="23"/>
      <c r="J5087" s="23"/>
      <c r="K5087" s="23"/>
      <c r="M5087" s="23"/>
      <c r="N5087" s="23"/>
      <c r="P5087" s="23"/>
    </row>
    <row r="5088" spans="2:16" x14ac:dyDescent="0.25">
      <c r="B5088" s="23"/>
      <c r="E5088" s="23"/>
      <c r="G5088" s="23"/>
      <c r="H5088" s="23"/>
      <c r="J5088" s="23"/>
      <c r="K5088" s="23"/>
      <c r="M5088" s="23"/>
      <c r="N5088" s="23"/>
      <c r="P5088" s="23"/>
    </row>
    <row r="5089" spans="2:16" x14ac:dyDescent="0.25">
      <c r="B5089" s="23"/>
      <c r="E5089" s="23"/>
      <c r="G5089" s="23"/>
      <c r="H5089" s="23"/>
      <c r="J5089" s="23"/>
      <c r="K5089" s="23"/>
      <c r="M5089" s="23"/>
      <c r="N5089" s="23"/>
      <c r="P5089" s="23"/>
    </row>
    <row r="5090" spans="2:16" x14ac:dyDescent="0.25">
      <c r="B5090" s="23"/>
      <c r="E5090" s="23"/>
      <c r="G5090" s="23"/>
      <c r="H5090" s="23"/>
      <c r="J5090" s="23"/>
      <c r="K5090" s="23"/>
      <c r="M5090" s="23"/>
      <c r="N5090" s="23"/>
      <c r="P5090" s="23"/>
    </row>
    <row r="5091" spans="2:16" x14ac:dyDescent="0.25">
      <c r="B5091" s="23"/>
      <c r="E5091" s="23"/>
      <c r="G5091" s="23"/>
      <c r="H5091" s="23"/>
      <c r="J5091" s="23"/>
      <c r="K5091" s="23"/>
      <c r="M5091" s="23"/>
      <c r="N5091" s="23"/>
      <c r="P5091" s="23"/>
    </row>
    <row r="5092" spans="2:16" x14ac:dyDescent="0.25">
      <c r="B5092" s="23"/>
      <c r="E5092" s="23"/>
      <c r="G5092" s="23"/>
      <c r="H5092" s="23"/>
      <c r="J5092" s="23"/>
      <c r="K5092" s="23"/>
      <c r="M5092" s="23"/>
      <c r="N5092" s="23"/>
      <c r="P5092" s="23"/>
    </row>
    <row r="5093" spans="2:16" x14ac:dyDescent="0.25">
      <c r="B5093" s="23"/>
      <c r="E5093" s="23"/>
      <c r="G5093" s="23"/>
      <c r="H5093" s="23"/>
      <c r="J5093" s="23"/>
      <c r="K5093" s="23"/>
      <c r="M5093" s="23"/>
      <c r="N5093" s="23"/>
      <c r="P5093" s="23"/>
    </row>
    <row r="5094" spans="2:16" x14ac:dyDescent="0.25">
      <c r="B5094" s="23"/>
      <c r="E5094" s="23"/>
      <c r="G5094" s="23"/>
      <c r="H5094" s="23"/>
      <c r="J5094" s="23"/>
      <c r="K5094" s="23"/>
      <c r="M5094" s="23"/>
      <c r="N5094" s="23"/>
      <c r="P5094" s="23"/>
    </row>
    <row r="5095" spans="2:16" x14ac:dyDescent="0.25">
      <c r="B5095" s="23"/>
      <c r="E5095" s="23"/>
      <c r="G5095" s="23"/>
      <c r="H5095" s="23"/>
      <c r="J5095" s="23"/>
      <c r="K5095" s="23"/>
      <c r="M5095" s="23"/>
      <c r="N5095" s="23"/>
      <c r="P5095" s="23"/>
    </row>
    <row r="5096" spans="2:16" x14ac:dyDescent="0.25">
      <c r="B5096" s="23"/>
      <c r="E5096" s="23"/>
      <c r="G5096" s="23"/>
      <c r="H5096" s="23"/>
      <c r="J5096" s="23"/>
      <c r="K5096" s="23"/>
      <c r="M5096" s="23"/>
      <c r="N5096" s="23"/>
      <c r="P5096" s="23"/>
    </row>
    <row r="5097" spans="2:16" x14ac:dyDescent="0.25">
      <c r="B5097" s="23"/>
      <c r="E5097" s="23"/>
      <c r="G5097" s="23"/>
      <c r="H5097" s="23"/>
      <c r="J5097" s="23"/>
      <c r="K5097" s="23"/>
      <c r="M5097" s="23"/>
      <c r="N5097" s="23"/>
      <c r="P5097" s="23"/>
    </row>
    <row r="5098" spans="2:16" x14ac:dyDescent="0.25">
      <c r="B5098" s="23"/>
      <c r="E5098" s="23"/>
      <c r="G5098" s="23"/>
      <c r="H5098" s="23"/>
      <c r="J5098" s="23"/>
      <c r="K5098" s="23"/>
      <c r="M5098" s="23"/>
      <c r="N5098" s="23"/>
      <c r="P5098" s="23"/>
    </row>
    <row r="5099" spans="2:16" x14ac:dyDescent="0.25">
      <c r="B5099" s="23"/>
      <c r="E5099" s="23"/>
      <c r="G5099" s="23"/>
      <c r="H5099" s="23"/>
      <c r="J5099" s="23"/>
      <c r="K5099" s="23"/>
      <c r="M5099" s="23"/>
      <c r="N5099" s="23"/>
      <c r="P5099" s="23"/>
    </row>
    <row r="5100" spans="2:16" x14ac:dyDescent="0.25">
      <c r="B5100" s="23"/>
      <c r="E5100" s="23"/>
      <c r="G5100" s="23"/>
      <c r="H5100" s="23"/>
      <c r="J5100" s="23"/>
      <c r="K5100" s="23"/>
      <c r="M5100" s="23"/>
      <c r="N5100" s="23"/>
      <c r="P5100" s="23"/>
    </row>
    <row r="5101" spans="2:16" x14ac:dyDescent="0.25">
      <c r="B5101" s="23"/>
      <c r="E5101" s="23"/>
      <c r="G5101" s="23"/>
      <c r="H5101" s="23"/>
      <c r="J5101" s="23"/>
      <c r="K5101" s="23"/>
      <c r="M5101" s="23"/>
      <c r="N5101" s="23"/>
      <c r="P5101" s="23"/>
    </row>
    <row r="5102" spans="2:16" x14ac:dyDescent="0.25">
      <c r="B5102" s="23"/>
      <c r="E5102" s="23"/>
      <c r="G5102" s="23"/>
      <c r="H5102" s="23"/>
      <c r="J5102" s="23"/>
      <c r="K5102" s="23"/>
      <c r="M5102" s="23"/>
      <c r="N5102" s="23"/>
      <c r="P5102" s="23"/>
    </row>
    <row r="5103" spans="2:16" x14ac:dyDescent="0.25">
      <c r="B5103" s="23"/>
      <c r="E5103" s="23"/>
      <c r="G5103" s="23"/>
      <c r="H5103" s="23"/>
      <c r="J5103" s="23"/>
      <c r="K5103" s="23"/>
      <c r="M5103" s="23"/>
      <c r="N5103" s="23"/>
      <c r="P5103" s="23"/>
    </row>
    <row r="5104" spans="2:16" x14ac:dyDescent="0.25">
      <c r="B5104" s="23"/>
      <c r="E5104" s="23"/>
      <c r="G5104" s="23"/>
      <c r="H5104" s="23"/>
      <c r="J5104" s="23"/>
      <c r="K5104" s="23"/>
      <c r="M5104" s="23"/>
      <c r="N5104" s="23"/>
      <c r="P5104" s="23"/>
    </row>
    <row r="5105" spans="2:16" x14ac:dyDescent="0.25">
      <c r="B5105" s="23"/>
      <c r="E5105" s="23"/>
      <c r="G5105" s="23"/>
      <c r="H5105" s="23"/>
      <c r="J5105" s="23"/>
      <c r="K5105" s="23"/>
      <c r="M5105" s="23"/>
      <c r="N5105" s="23"/>
      <c r="P5105" s="23"/>
    </row>
    <row r="5106" spans="2:16" x14ac:dyDescent="0.25">
      <c r="B5106" s="23"/>
      <c r="E5106" s="23"/>
      <c r="G5106" s="23"/>
      <c r="H5106" s="23"/>
      <c r="J5106" s="23"/>
      <c r="K5106" s="23"/>
      <c r="M5106" s="23"/>
      <c r="N5106" s="23"/>
      <c r="P5106" s="23"/>
    </row>
    <row r="5107" spans="2:16" x14ac:dyDescent="0.25">
      <c r="B5107" s="23"/>
      <c r="E5107" s="23"/>
      <c r="G5107" s="23"/>
      <c r="H5107" s="23"/>
      <c r="J5107" s="23"/>
      <c r="K5107" s="23"/>
      <c r="M5107" s="23"/>
      <c r="N5107" s="23"/>
      <c r="P5107" s="23"/>
    </row>
    <row r="5108" spans="2:16" x14ac:dyDescent="0.25">
      <c r="B5108" s="23"/>
      <c r="E5108" s="23"/>
      <c r="G5108" s="23"/>
      <c r="H5108" s="23"/>
      <c r="J5108" s="23"/>
      <c r="K5108" s="23"/>
      <c r="M5108" s="23"/>
      <c r="N5108" s="23"/>
      <c r="P5108" s="23"/>
    </row>
    <row r="5109" spans="2:16" x14ac:dyDescent="0.25">
      <c r="B5109" s="23"/>
      <c r="E5109" s="23"/>
      <c r="G5109" s="23"/>
      <c r="H5109" s="23"/>
      <c r="J5109" s="23"/>
      <c r="K5109" s="23"/>
      <c r="M5109" s="23"/>
      <c r="N5109" s="23"/>
      <c r="P5109" s="23"/>
    </row>
    <row r="5110" spans="2:16" x14ac:dyDescent="0.25">
      <c r="B5110" s="23"/>
      <c r="E5110" s="23"/>
      <c r="G5110" s="23"/>
      <c r="H5110" s="23"/>
      <c r="J5110" s="23"/>
      <c r="K5110" s="23"/>
      <c r="M5110" s="23"/>
      <c r="N5110" s="23"/>
      <c r="P5110" s="23"/>
    </row>
    <row r="5111" spans="2:16" x14ac:dyDescent="0.25">
      <c r="B5111" s="23"/>
      <c r="E5111" s="23"/>
      <c r="G5111" s="23"/>
      <c r="H5111" s="23"/>
      <c r="J5111" s="23"/>
      <c r="K5111" s="23"/>
      <c r="M5111" s="23"/>
      <c r="N5111" s="23"/>
      <c r="P5111" s="23"/>
    </row>
    <row r="5112" spans="2:16" x14ac:dyDescent="0.25">
      <c r="B5112" s="23"/>
      <c r="E5112" s="23"/>
      <c r="G5112" s="23"/>
      <c r="H5112" s="23"/>
      <c r="J5112" s="23"/>
      <c r="K5112" s="23"/>
      <c r="M5112" s="23"/>
      <c r="N5112" s="23"/>
      <c r="P5112" s="23"/>
    </row>
    <row r="5113" spans="2:16" x14ac:dyDescent="0.25">
      <c r="B5113" s="23"/>
      <c r="E5113" s="23"/>
      <c r="G5113" s="23"/>
      <c r="H5113" s="23"/>
      <c r="J5113" s="23"/>
      <c r="K5113" s="23"/>
      <c r="M5113" s="23"/>
      <c r="N5113" s="23"/>
      <c r="P5113" s="23"/>
    </row>
    <row r="5114" spans="2:16" x14ac:dyDescent="0.25">
      <c r="B5114" s="23"/>
      <c r="E5114" s="23"/>
      <c r="G5114" s="23"/>
      <c r="H5114" s="23"/>
      <c r="J5114" s="23"/>
      <c r="K5114" s="23"/>
      <c r="M5114" s="23"/>
      <c r="N5114" s="23"/>
      <c r="P5114" s="23"/>
    </row>
    <row r="5115" spans="2:16" x14ac:dyDescent="0.25">
      <c r="B5115" s="23"/>
      <c r="E5115" s="23"/>
      <c r="G5115" s="23"/>
      <c r="H5115" s="23"/>
      <c r="J5115" s="23"/>
      <c r="K5115" s="23"/>
      <c r="M5115" s="23"/>
      <c r="N5115" s="23"/>
      <c r="P5115" s="23"/>
    </row>
    <row r="5116" spans="2:16" x14ac:dyDescent="0.25">
      <c r="B5116" s="23"/>
      <c r="E5116" s="23"/>
      <c r="G5116" s="23"/>
      <c r="H5116" s="23"/>
      <c r="J5116" s="23"/>
      <c r="K5116" s="23"/>
      <c r="M5116" s="23"/>
      <c r="N5116" s="23"/>
      <c r="P5116" s="23"/>
    </row>
    <row r="5117" spans="2:16" x14ac:dyDescent="0.25">
      <c r="B5117" s="23"/>
      <c r="E5117" s="23"/>
      <c r="G5117" s="23"/>
      <c r="H5117" s="23"/>
      <c r="J5117" s="23"/>
      <c r="K5117" s="23"/>
      <c r="M5117" s="23"/>
      <c r="N5117" s="23"/>
      <c r="P5117" s="23"/>
    </row>
    <row r="5118" spans="2:16" x14ac:dyDescent="0.25">
      <c r="B5118" s="23"/>
      <c r="E5118" s="23"/>
      <c r="G5118" s="23"/>
      <c r="H5118" s="23"/>
      <c r="J5118" s="23"/>
      <c r="K5118" s="23"/>
      <c r="M5118" s="23"/>
      <c r="N5118" s="23"/>
      <c r="P5118" s="23"/>
    </row>
    <row r="5119" spans="2:16" x14ac:dyDescent="0.25">
      <c r="B5119" s="23"/>
      <c r="E5119" s="23"/>
      <c r="G5119" s="23"/>
      <c r="H5119" s="23"/>
      <c r="J5119" s="23"/>
      <c r="K5119" s="23"/>
      <c r="M5119" s="23"/>
      <c r="N5119" s="23"/>
      <c r="P5119" s="23"/>
    </row>
    <row r="5120" spans="2:16" x14ac:dyDescent="0.25">
      <c r="B5120" s="23"/>
      <c r="E5120" s="23"/>
      <c r="G5120" s="23"/>
      <c r="H5120" s="23"/>
      <c r="J5120" s="23"/>
      <c r="K5120" s="23"/>
      <c r="M5120" s="23"/>
      <c r="N5120" s="23"/>
      <c r="P5120" s="23"/>
    </row>
    <row r="5121" spans="2:16" x14ac:dyDescent="0.25">
      <c r="B5121" s="23"/>
      <c r="E5121" s="23"/>
      <c r="G5121" s="23"/>
      <c r="H5121" s="23"/>
      <c r="J5121" s="23"/>
      <c r="K5121" s="23"/>
      <c r="M5121" s="23"/>
      <c r="N5121" s="23"/>
      <c r="P5121" s="23"/>
    </row>
    <row r="5122" spans="2:16" x14ac:dyDescent="0.25">
      <c r="B5122" s="23"/>
      <c r="E5122" s="23"/>
      <c r="G5122" s="23"/>
      <c r="H5122" s="23"/>
      <c r="J5122" s="23"/>
      <c r="K5122" s="23"/>
      <c r="M5122" s="23"/>
      <c r="N5122" s="23"/>
      <c r="P5122" s="23"/>
    </row>
    <row r="5123" spans="2:16" x14ac:dyDescent="0.25">
      <c r="B5123" s="23"/>
      <c r="E5123" s="23"/>
      <c r="G5123" s="23"/>
      <c r="H5123" s="23"/>
      <c r="J5123" s="23"/>
      <c r="K5123" s="23"/>
      <c r="M5123" s="23"/>
      <c r="N5123" s="23"/>
      <c r="P5123" s="23"/>
    </row>
    <row r="5124" spans="2:16" x14ac:dyDescent="0.25">
      <c r="B5124" s="23"/>
      <c r="E5124" s="23"/>
      <c r="G5124" s="23"/>
      <c r="H5124" s="23"/>
      <c r="J5124" s="23"/>
      <c r="K5124" s="23"/>
      <c r="M5124" s="23"/>
      <c r="N5124" s="23"/>
      <c r="P5124" s="23"/>
    </row>
    <row r="5125" spans="2:16" x14ac:dyDescent="0.25">
      <c r="B5125" s="23"/>
      <c r="E5125" s="23"/>
      <c r="G5125" s="23"/>
      <c r="H5125" s="23"/>
      <c r="J5125" s="23"/>
      <c r="K5125" s="23"/>
      <c r="M5125" s="23"/>
      <c r="N5125" s="23"/>
      <c r="P5125" s="23"/>
    </row>
    <row r="5126" spans="2:16" x14ac:dyDescent="0.25">
      <c r="B5126" s="23"/>
      <c r="E5126" s="23"/>
      <c r="G5126" s="23"/>
      <c r="H5126" s="23"/>
      <c r="J5126" s="23"/>
      <c r="K5126" s="23"/>
      <c r="M5126" s="23"/>
      <c r="N5126" s="23"/>
      <c r="P5126" s="23"/>
    </row>
    <row r="5127" spans="2:16" x14ac:dyDescent="0.25">
      <c r="B5127" s="23"/>
      <c r="E5127" s="23"/>
      <c r="G5127" s="23"/>
      <c r="H5127" s="23"/>
      <c r="J5127" s="23"/>
      <c r="K5127" s="23"/>
      <c r="M5127" s="23"/>
      <c r="N5127" s="23"/>
      <c r="P5127" s="23"/>
    </row>
    <row r="5128" spans="2:16" x14ac:dyDescent="0.25">
      <c r="B5128" s="23"/>
      <c r="E5128" s="23"/>
      <c r="G5128" s="23"/>
      <c r="H5128" s="23"/>
      <c r="J5128" s="23"/>
      <c r="K5128" s="23"/>
      <c r="M5128" s="23"/>
      <c r="N5128" s="23"/>
      <c r="P5128" s="23"/>
    </row>
    <row r="5129" spans="2:16" x14ac:dyDescent="0.25">
      <c r="B5129" s="23"/>
      <c r="E5129" s="23"/>
      <c r="G5129" s="23"/>
      <c r="H5129" s="23"/>
      <c r="J5129" s="23"/>
      <c r="K5129" s="23"/>
      <c r="M5129" s="23"/>
      <c r="N5129" s="23"/>
      <c r="P5129" s="23"/>
    </row>
    <row r="5130" spans="2:16" x14ac:dyDescent="0.25">
      <c r="B5130" s="23"/>
      <c r="E5130" s="23"/>
      <c r="G5130" s="23"/>
      <c r="H5130" s="23"/>
      <c r="J5130" s="23"/>
      <c r="K5130" s="23"/>
      <c r="M5130" s="23"/>
      <c r="N5130" s="23"/>
      <c r="P5130" s="23"/>
    </row>
    <row r="5131" spans="2:16" x14ac:dyDescent="0.25">
      <c r="B5131" s="23"/>
      <c r="E5131" s="23"/>
      <c r="G5131" s="23"/>
      <c r="H5131" s="23"/>
      <c r="J5131" s="23"/>
      <c r="K5131" s="23"/>
      <c r="M5131" s="23"/>
      <c r="N5131" s="23"/>
      <c r="P5131" s="23"/>
    </row>
    <row r="5132" spans="2:16" x14ac:dyDescent="0.25">
      <c r="B5132" s="23"/>
      <c r="E5132" s="23"/>
      <c r="G5132" s="23"/>
      <c r="H5132" s="23"/>
      <c r="J5132" s="23"/>
      <c r="K5132" s="23"/>
      <c r="M5132" s="23"/>
      <c r="N5132" s="23"/>
      <c r="P5132" s="23"/>
    </row>
    <row r="5133" spans="2:16" x14ac:dyDescent="0.25">
      <c r="B5133" s="23"/>
      <c r="E5133" s="23"/>
      <c r="G5133" s="23"/>
      <c r="H5133" s="23"/>
      <c r="J5133" s="23"/>
      <c r="K5133" s="23"/>
      <c r="M5133" s="23"/>
      <c r="N5133" s="23"/>
      <c r="P5133" s="23"/>
    </row>
    <row r="5134" spans="2:16" x14ac:dyDescent="0.25">
      <c r="B5134" s="23"/>
      <c r="E5134" s="23"/>
      <c r="G5134" s="23"/>
      <c r="H5134" s="23"/>
      <c r="J5134" s="23"/>
      <c r="K5134" s="23"/>
      <c r="M5134" s="23"/>
      <c r="N5134" s="23"/>
      <c r="P5134" s="23"/>
    </row>
    <row r="5135" spans="2:16" x14ac:dyDescent="0.25">
      <c r="B5135" s="23"/>
      <c r="E5135" s="23"/>
      <c r="G5135" s="23"/>
      <c r="H5135" s="23"/>
      <c r="J5135" s="23"/>
      <c r="K5135" s="23"/>
      <c r="M5135" s="23"/>
      <c r="N5135" s="23"/>
      <c r="P5135" s="23"/>
    </row>
    <row r="5136" spans="2:16" x14ac:dyDescent="0.25">
      <c r="B5136" s="23"/>
      <c r="E5136" s="23"/>
      <c r="G5136" s="23"/>
      <c r="H5136" s="23"/>
      <c r="J5136" s="23"/>
      <c r="K5136" s="23"/>
      <c r="M5136" s="23"/>
      <c r="N5136" s="23"/>
      <c r="P5136" s="23"/>
    </row>
    <row r="5137" spans="2:16" x14ac:dyDescent="0.25">
      <c r="B5137" s="23"/>
      <c r="E5137" s="23"/>
      <c r="G5137" s="23"/>
      <c r="H5137" s="23"/>
      <c r="J5137" s="23"/>
      <c r="K5137" s="23"/>
      <c r="M5137" s="23"/>
      <c r="N5137" s="23"/>
      <c r="P5137" s="23"/>
    </row>
    <row r="5138" spans="2:16" x14ac:dyDescent="0.25">
      <c r="B5138" s="23"/>
      <c r="E5138" s="23"/>
      <c r="G5138" s="23"/>
      <c r="H5138" s="23"/>
      <c r="J5138" s="23"/>
      <c r="K5138" s="23"/>
      <c r="M5138" s="23"/>
      <c r="N5138" s="23"/>
      <c r="P5138" s="23"/>
    </row>
    <row r="5139" spans="2:16" x14ac:dyDescent="0.25">
      <c r="B5139" s="23"/>
      <c r="E5139" s="23"/>
      <c r="G5139" s="23"/>
      <c r="H5139" s="23"/>
      <c r="J5139" s="23"/>
      <c r="K5139" s="23"/>
      <c r="M5139" s="23"/>
      <c r="N5139" s="23"/>
      <c r="P5139" s="23"/>
    </row>
    <row r="5140" spans="2:16" x14ac:dyDescent="0.25">
      <c r="B5140" s="23"/>
      <c r="E5140" s="23"/>
      <c r="G5140" s="23"/>
      <c r="H5140" s="23"/>
      <c r="J5140" s="23"/>
      <c r="K5140" s="23"/>
      <c r="M5140" s="23"/>
      <c r="N5140" s="23"/>
      <c r="P5140" s="23"/>
    </row>
    <row r="5141" spans="2:16" x14ac:dyDescent="0.25">
      <c r="B5141" s="23"/>
      <c r="E5141" s="23"/>
      <c r="G5141" s="23"/>
      <c r="H5141" s="23"/>
      <c r="J5141" s="23"/>
      <c r="K5141" s="23"/>
      <c r="M5141" s="23"/>
      <c r="N5141" s="23"/>
      <c r="P5141" s="23"/>
    </row>
    <row r="5142" spans="2:16" x14ac:dyDescent="0.25">
      <c r="B5142" s="23"/>
      <c r="E5142" s="23"/>
      <c r="G5142" s="23"/>
      <c r="H5142" s="23"/>
      <c r="J5142" s="23"/>
      <c r="K5142" s="23"/>
      <c r="M5142" s="23"/>
      <c r="N5142" s="23"/>
      <c r="P5142" s="23"/>
    </row>
    <row r="5143" spans="2:16" x14ac:dyDescent="0.25">
      <c r="B5143" s="23"/>
      <c r="E5143" s="23"/>
      <c r="G5143" s="23"/>
      <c r="H5143" s="23"/>
      <c r="J5143" s="23"/>
      <c r="K5143" s="23"/>
      <c r="M5143" s="23"/>
      <c r="N5143" s="23"/>
      <c r="P5143" s="23"/>
    </row>
    <row r="5144" spans="2:16" x14ac:dyDescent="0.25">
      <c r="B5144" s="23"/>
      <c r="E5144" s="23"/>
      <c r="G5144" s="23"/>
      <c r="H5144" s="23"/>
      <c r="J5144" s="23"/>
      <c r="K5144" s="23"/>
      <c r="M5144" s="23"/>
      <c r="N5144" s="23"/>
      <c r="P5144" s="23"/>
    </row>
    <row r="5145" spans="2:16" x14ac:dyDescent="0.25">
      <c r="B5145" s="23"/>
      <c r="E5145" s="23"/>
      <c r="G5145" s="23"/>
      <c r="H5145" s="23"/>
      <c r="J5145" s="23"/>
      <c r="K5145" s="23"/>
      <c r="M5145" s="23"/>
      <c r="N5145" s="23"/>
      <c r="P5145" s="23"/>
    </row>
    <row r="5146" spans="2:16" x14ac:dyDescent="0.25">
      <c r="B5146" s="23"/>
      <c r="E5146" s="23"/>
      <c r="G5146" s="23"/>
      <c r="H5146" s="23"/>
      <c r="J5146" s="23"/>
      <c r="K5146" s="23"/>
      <c r="M5146" s="23"/>
      <c r="N5146" s="23"/>
      <c r="P5146" s="23"/>
    </row>
    <row r="5147" spans="2:16" x14ac:dyDescent="0.25">
      <c r="B5147" s="23"/>
      <c r="E5147" s="23"/>
      <c r="G5147" s="23"/>
      <c r="H5147" s="23"/>
      <c r="J5147" s="23"/>
      <c r="K5147" s="23"/>
      <c r="M5147" s="23"/>
      <c r="N5147" s="23"/>
      <c r="P5147" s="23"/>
    </row>
    <row r="5148" spans="2:16" x14ac:dyDescent="0.25">
      <c r="B5148" s="23"/>
      <c r="E5148" s="23"/>
      <c r="G5148" s="23"/>
      <c r="H5148" s="23"/>
      <c r="J5148" s="23"/>
      <c r="K5148" s="23"/>
      <c r="M5148" s="23"/>
      <c r="N5148" s="23"/>
      <c r="P5148" s="23"/>
    </row>
    <row r="5149" spans="2:16" x14ac:dyDescent="0.25">
      <c r="B5149" s="23"/>
      <c r="E5149" s="23"/>
      <c r="G5149" s="23"/>
      <c r="H5149" s="23"/>
      <c r="J5149" s="23"/>
      <c r="K5149" s="23"/>
      <c r="M5149" s="23"/>
      <c r="N5149" s="23"/>
      <c r="P5149" s="23"/>
    </row>
    <row r="5150" spans="2:16" x14ac:dyDescent="0.25">
      <c r="B5150" s="23"/>
      <c r="E5150" s="23"/>
      <c r="G5150" s="23"/>
      <c r="H5150" s="23"/>
      <c r="J5150" s="23"/>
      <c r="K5150" s="23"/>
      <c r="M5150" s="23"/>
      <c r="N5150" s="23"/>
      <c r="P5150" s="23"/>
    </row>
    <row r="5151" spans="2:16" x14ac:dyDescent="0.25">
      <c r="B5151" s="23"/>
      <c r="E5151" s="23"/>
      <c r="G5151" s="23"/>
      <c r="H5151" s="23"/>
      <c r="J5151" s="23"/>
      <c r="K5151" s="23"/>
      <c r="M5151" s="23"/>
      <c r="N5151" s="23"/>
      <c r="P5151" s="23"/>
    </row>
    <row r="5152" spans="2:16" x14ac:dyDescent="0.25">
      <c r="B5152" s="23"/>
      <c r="E5152" s="23"/>
      <c r="G5152" s="23"/>
      <c r="H5152" s="23"/>
      <c r="J5152" s="23"/>
      <c r="K5152" s="23"/>
      <c r="M5152" s="23"/>
      <c r="N5152" s="23"/>
      <c r="P5152" s="23"/>
    </row>
    <row r="5153" spans="2:16" x14ac:dyDescent="0.25">
      <c r="B5153" s="23"/>
      <c r="E5153" s="23"/>
      <c r="G5153" s="23"/>
      <c r="H5153" s="23"/>
      <c r="J5153" s="23"/>
      <c r="K5153" s="23"/>
      <c r="M5153" s="23"/>
      <c r="N5153" s="23"/>
      <c r="P5153" s="23"/>
    </row>
    <row r="5154" spans="2:16" x14ac:dyDescent="0.25">
      <c r="B5154" s="23"/>
      <c r="E5154" s="23"/>
      <c r="G5154" s="23"/>
      <c r="H5154" s="23"/>
      <c r="J5154" s="23"/>
      <c r="K5154" s="23"/>
      <c r="M5154" s="23"/>
      <c r="N5154" s="23"/>
      <c r="P5154" s="23"/>
    </row>
    <row r="5155" spans="2:16" x14ac:dyDescent="0.25">
      <c r="B5155" s="23"/>
      <c r="E5155" s="23"/>
      <c r="G5155" s="23"/>
      <c r="H5155" s="23"/>
      <c r="J5155" s="23"/>
      <c r="K5155" s="23"/>
      <c r="M5155" s="23"/>
      <c r="N5155" s="23"/>
      <c r="P5155" s="23"/>
    </row>
    <row r="5156" spans="2:16" x14ac:dyDescent="0.25">
      <c r="B5156" s="23"/>
      <c r="E5156" s="23"/>
      <c r="G5156" s="23"/>
      <c r="H5156" s="23"/>
      <c r="J5156" s="23"/>
      <c r="K5156" s="23"/>
      <c r="M5156" s="23"/>
      <c r="N5156" s="23"/>
      <c r="P5156" s="23"/>
    </row>
    <row r="5157" spans="2:16" x14ac:dyDescent="0.25">
      <c r="B5157" s="23"/>
      <c r="E5157" s="23"/>
      <c r="G5157" s="23"/>
      <c r="H5157" s="23"/>
      <c r="J5157" s="23"/>
      <c r="K5157" s="23"/>
      <c r="M5157" s="23"/>
      <c r="N5157" s="23"/>
      <c r="P5157" s="23"/>
    </row>
    <row r="5158" spans="2:16" x14ac:dyDescent="0.25">
      <c r="B5158" s="23"/>
      <c r="E5158" s="23"/>
      <c r="G5158" s="23"/>
      <c r="H5158" s="23"/>
      <c r="J5158" s="23"/>
      <c r="K5158" s="23"/>
      <c r="M5158" s="23"/>
      <c r="N5158" s="23"/>
      <c r="P5158" s="23"/>
    </row>
    <row r="5159" spans="2:16" x14ac:dyDescent="0.25">
      <c r="B5159" s="23"/>
      <c r="E5159" s="23"/>
      <c r="G5159" s="23"/>
      <c r="H5159" s="23"/>
      <c r="J5159" s="23"/>
      <c r="K5159" s="23"/>
      <c r="M5159" s="23"/>
      <c r="N5159" s="23"/>
      <c r="P5159" s="23"/>
    </row>
    <row r="5160" spans="2:16" x14ac:dyDescent="0.25">
      <c r="B5160" s="23"/>
      <c r="E5160" s="23"/>
      <c r="G5160" s="23"/>
      <c r="H5160" s="23"/>
      <c r="J5160" s="23"/>
      <c r="K5160" s="23"/>
      <c r="M5160" s="23"/>
      <c r="N5160" s="23"/>
      <c r="P5160" s="23"/>
    </row>
    <row r="5161" spans="2:16" x14ac:dyDescent="0.25">
      <c r="B5161" s="23"/>
      <c r="E5161" s="23"/>
      <c r="G5161" s="23"/>
      <c r="H5161" s="23"/>
      <c r="J5161" s="23"/>
      <c r="K5161" s="23"/>
      <c r="M5161" s="23"/>
      <c r="N5161" s="23"/>
      <c r="P5161" s="23"/>
    </row>
    <row r="5162" spans="2:16" x14ac:dyDescent="0.25">
      <c r="B5162" s="23"/>
      <c r="E5162" s="23"/>
      <c r="G5162" s="23"/>
      <c r="H5162" s="23"/>
      <c r="J5162" s="23"/>
      <c r="K5162" s="23"/>
      <c r="M5162" s="23"/>
      <c r="N5162" s="23"/>
      <c r="P5162" s="23"/>
    </row>
    <row r="5163" spans="2:16" x14ac:dyDescent="0.25">
      <c r="B5163" s="23"/>
      <c r="E5163" s="23"/>
      <c r="G5163" s="23"/>
      <c r="H5163" s="23"/>
      <c r="J5163" s="23"/>
      <c r="K5163" s="23"/>
      <c r="M5163" s="23"/>
      <c r="N5163" s="23"/>
      <c r="P5163" s="23"/>
    </row>
    <row r="5164" spans="2:16" x14ac:dyDescent="0.25">
      <c r="B5164" s="23"/>
      <c r="E5164" s="23"/>
      <c r="G5164" s="23"/>
      <c r="H5164" s="23"/>
      <c r="J5164" s="23"/>
      <c r="K5164" s="23"/>
      <c r="M5164" s="23"/>
      <c r="N5164" s="23"/>
      <c r="P5164" s="23"/>
    </row>
    <row r="5165" spans="2:16" x14ac:dyDescent="0.25">
      <c r="B5165" s="23"/>
      <c r="E5165" s="23"/>
      <c r="G5165" s="23"/>
      <c r="H5165" s="23"/>
      <c r="J5165" s="23"/>
      <c r="K5165" s="23"/>
      <c r="M5165" s="23"/>
      <c r="N5165" s="23"/>
      <c r="P5165" s="23"/>
    </row>
    <row r="5166" spans="2:16" x14ac:dyDescent="0.25">
      <c r="B5166" s="23"/>
      <c r="E5166" s="23"/>
      <c r="G5166" s="23"/>
      <c r="H5166" s="23"/>
      <c r="J5166" s="23"/>
      <c r="K5166" s="23"/>
      <c r="M5166" s="23"/>
      <c r="N5166" s="23"/>
      <c r="P5166" s="23"/>
    </row>
    <row r="5167" spans="2:16" x14ac:dyDescent="0.25">
      <c r="B5167" s="23"/>
      <c r="E5167" s="23"/>
      <c r="G5167" s="23"/>
      <c r="H5167" s="23"/>
      <c r="J5167" s="23"/>
      <c r="K5167" s="23"/>
      <c r="M5167" s="23"/>
      <c r="N5167" s="23"/>
      <c r="P5167" s="23"/>
    </row>
    <row r="5168" spans="2:16" x14ac:dyDescent="0.25">
      <c r="B5168" s="23"/>
      <c r="E5168" s="23"/>
      <c r="G5168" s="23"/>
      <c r="H5168" s="23"/>
      <c r="J5168" s="23"/>
      <c r="K5168" s="23"/>
      <c r="M5168" s="23"/>
      <c r="N5168" s="23"/>
      <c r="P5168" s="23"/>
    </row>
    <row r="5169" spans="2:16" x14ac:dyDescent="0.25">
      <c r="B5169" s="23"/>
      <c r="E5169" s="23"/>
      <c r="G5169" s="23"/>
      <c r="H5169" s="23"/>
      <c r="J5169" s="23"/>
      <c r="K5169" s="23"/>
      <c r="M5169" s="23"/>
      <c r="N5169" s="23"/>
      <c r="P5169" s="23"/>
    </row>
    <row r="5170" spans="2:16" x14ac:dyDescent="0.25">
      <c r="B5170" s="23"/>
      <c r="E5170" s="23"/>
      <c r="G5170" s="23"/>
      <c r="H5170" s="23"/>
      <c r="J5170" s="23"/>
      <c r="K5170" s="23"/>
      <c r="M5170" s="23"/>
      <c r="N5170" s="23"/>
      <c r="P5170" s="23"/>
    </row>
    <row r="5171" spans="2:16" x14ac:dyDescent="0.25">
      <c r="B5171" s="23"/>
      <c r="E5171" s="23"/>
      <c r="G5171" s="23"/>
      <c r="H5171" s="23"/>
      <c r="J5171" s="23"/>
      <c r="K5171" s="23"/>
      <c r="M5171" s="23"/>
      <c r="N5171" s="23"/>
      <c r="P5171" s="23"/>
    </row>
    <row r="5172" spans="2:16" x14ac:dyDescent="0.25">
      <c r="B5172" s="23"/>
      <c r="E5172" s="23"/>
      <c r="G5172" s="23"/>
      <c r="H5172" s="23"/>
      <c r="J5172" s="23"/>
      <c r="K5172" s="23"/>
      <c r="M5172" s="23"/>
      <c r="N5172" s="23"/>
      <c r="P5172" s="23"/>
    </row>
    <row r="5173" spans="2:16" x14ac:dyDescent="0.25">
      <c r="B5173" s="23"/>
      <c r="E5173" s="23"/>
      <c r="G5173" s="23"/>
      <c r="H5173" s="23"/>
      <c r="J5173" s="23"/>
      <c r="K5173" s="23"/>
      <c r="M5173" s="23"/>
      <c r="N5173" s="23"/>
      <c r="P5173" s="23"/>
    </row>
    <row r="5174" spans="2:16" x14ac:dyDescent="0.25">
      <c r="B5174" s="23"/>
      <c r="E5174" s="23"/>
      <c r="G5174" s="23"/>
      <c r="H5174" s="23"/>
      <c r="J5174" s="23"/>
      <c r="K5174" s="23"/>
      <c r="M5174" s="23"/>
      <c r="N5174" s="23"/>
      <c r="P5174" s="23"/>
    </row>
    <row r="5175" spans="2:16" x14ac:dyDescent="0.25">
      <c r="B5175" s="23"/>
      <c r="E5175" s="23"/>
      <c r="G5175" s="23"/>
      <c r="H5175" s="23"/>
      <c r="J5175" s="23"/>
      <c r="K5175" s="23"/>
      <c r="M5175" s="23"/>
      <c r="N5175" s="23"/>
      <c r="P5175" s="23"/>
    </row>
    <row r="5176" spans="2:16" x14ac:dyDescent="0.25">
      <c r="B5176" s="23"/>
      <c r="E5176" s="23"/>
      <c r="G5176" s="23"/>
      <c r="H5176" s="23"/>
      <c r="J5176" s="23"/>
      <c r="K5176" s="23"/>
      <c r="M5176" s="23"/>
      <c r="N5176" s="23"/>
      <c r="P5176" s="23"/>
    </row>
    <row r="5177" spans="2:16" x14ac:dyDescent="0.25">
      <c r="B5177" s="23"/>
      <c r="E5177" s="23"/>
      <c r="G5177" s="23"/>
      <c r="H5177" s="23"/>
      <c r="J5177" s="23"/>
      <c r="K5177" s="23"/>
      <c r="M5177" s="23"/>
      <c r="N5177" s="23"/>
      <c r="P5177" s="23"/>
    </row>
    <row r="5178" spans="2:16" x14ac:dyDescent="0.25">
      <c r="B5178" s="23"/>
      <c r="E5178" s="23"/>
      <c r="G5178" s="23"/>
      <c r="H5178" s="23"/>
      <c r="J5178" s="23"/>
      <c r="K5178" s="23"/>
      <c r="M5178" s="23"/>
      <c r="N5178" s="23"/>
      <c r="P5178" s="23"/>
    </row>
    <row r="5179" spans="2:16" x14ac:dyDescent="0.25">
      <c r="B5179" s="23"/>
      <c r="E5179" s="23"/>
      <c r="G5179" s="23"/>
      <c r="H5179" s="23"/>
      <c r="J5179" s="23"/>
      <c r="K5179" s="23"/>
      <c r="M5179" s="23"/>
      <c r="N5179" s="23"/>
      <c r="P5179" s="23"/>
    </row>
    <row r="5180" spans="2:16" x14ac:dyDescent="0.25">
      <c r="B5180" s="23"/>
      <c r="E5180" s="23"/>
      <c r="G5180" s="23"/>
      <c r="H5180" s="23"/>
      <c r="J5180" s="23"/>
      <c r="K5180" s="23"/>
      <c r="M5180" s="23"/>
      <c r="N5180" s="23"/>
      <c r="P5180" s="23"/>
    </row>
    <row r="5181" spans="2:16" x14ac:dyDescent="0.25">
      <c r="B5181" s="23"/>
      <c r="E5181" s="23"/>
      <c r="G5181" s="23"/>
      <c r="H5181" s="23"/>
      <c r="J5181" s="23"/>
      <c r="K5181" s="23"/>
      <c r="M5181" s="23"/>
      <c r="N5181" s="23"/>
      <c r="P5181" s="23"/>
    </row>
    <row r="5182" spans="2:16" x14ac:dyDescent="0.25">
      <c r="B5182" s="23"/>
      <c r="E5182" s="23"/>
      <c r="G5182" s="23"/>
      <c r="H5182" s="23"/>
      <c r="J5182" s="23"/>
      <c r="K5182" s="23"/>
      <c r="M5182" s="23"/>
      <c r="N5182" s="23"/>
      <c r="P5182" s="23"/>
    </row>
    <row r="5183" spans="2:16" x14ac:dyDescent="0.25">
      <c r="B5183" s="23"/>
      <c r="E5183" s="23"/>
      <c r="G5183" s="23"/>
      <c r="H5183" s="23"/>
      <c r="J5183" s="23"/>
      <c r="K5183" s="23"/>
      <c r="M5183" s="23"/>
      <c r="N5183" s="23"/>
      <c r="P5183" s="23"/>
    </row>
    <row r="5184" spans="2:16" x14ac:dyDescent="0.25">
      <c r="B5184" s="23"/>
      <c r="E5184" s="23"/>
      <c r="G5184" s="23"/>
      <c r="H5184" s="23"/>
      <c r="J5184" s="23"/>
      <c r="K5184" s="23"/>
      <c r="M5184" s="23"/>
      <c r="N5184" s="23"/>
      <c r="P5184" s="23"/>
    </row>
    <row r="5185" spans="2:16" x14ac:dyDescent="0.25">
      <c r="B5185" s="23"/>
      <c r="E5185" s="23"/>
      <c r="G5185" s="23"/>
      <c r="H5185" s="23"/>
      <c r="J5185" s="23"/>
      <c r="K5185" s="23"/>
      <c r="M5185" s="23"/>
      <c r="N5185" s="23"/>
      <c r="P5185" s="23"/>
    </row>
    <row r="5186" spans="2:16" x14ac:dyDescent="0.25">
      <c r="B5186" s="23"/>
      <c r="E5186" s="23"/>
      <c r="G5186" s="23"/>
      <c r="H5186" s="23"/>
      <c r="J5186" s="23"/>
      <c r="K5186" s="23"/>
      <c r="M5186" s="23"/>
      <c r="N5186" s="23"/>
      <c r="P5186" s="23"/>
    </row>
    <row r="5187" spans="2:16" x14ac:dyDescent="0.25">
      <c r="B5187" s="23"/>
      <c r="E5187" s="23"/>
      <c r="G5187" s="23"/>
      <c r="H5187" s="23"/>
      <c r="J5187" s="23"/>
      <c r="K5187" s="23"/>
      <c r="M5187" s="23"/>
      <c r="N5187" s="23"/>
      <c r="P5187" s="23"/>
    </row>
    <row r="5188" spans="2:16" x14ac:dyDescent="0.25">
      <c r="B5188" s="23"/>
      <c r="E5188" s="23"/>
      <c r="G5188" s="23"/>
      <c r="H5188" s="23"/>
      <c r="J5188" s="23"/>
      <c r="K5188" s="23"/>
      <c r="M5188" s="23"/>
      <c r="N5188" s="23"/>
      <c r="P5188" s="23"/>
    </row>
    <row r="5189" spans="2:16" x14ac:dyDescent="0.25">
      <c r="B5189" s="23"/>
      <c r="E5189" s="23"/>
      <c r="G5189" s="23"/>
      <c r="H5189" s="23"/>
      <c r="J5189" s="23"/>
      <c r="K5189" s="23"/>
      <c r="M5189" s="23"/>
      <c r="N5189" s="23"/>
      <c r="P5189" s="23"/>
    </row>
    <row r="5190" spans="2:16" x14ac:dyDescent="0.25">
      <c r="B5190" s="23"/>
      <c r="E5190" s="23"/>
      <c r="G5190" s="23"/>
      <c r="H5190" s="23"/>
      <c r="J5190" s="23"/>
      <c r="K5190" s="23"/>
      <c r="M5190" s="23"/>
      <c r="N5190" s="23"/>
      <c r="P5190" s="23"/>
    </row>
    <row r="5191" spans="2:16" x14ac:dyDescent="0.25">
      <c r="B5191" s="23"/>
      <c r="E5191" s="23"/>
      <c r="G5191" s="23"/>
      <c r="H5191" s="23"/>
      <c r="J5191" s="23"/>
      <c r="K5191" s="23"/>
      <c r="M5191" s="23"/>
      <c r="N5191" s="23"/>
      <c r="P5191" s="23"/>
    </row>
    <row r="5192" spans="2:16" x14ac:dyDescent="0.25">
      <c r="B5192" s="23"/>
      <c r="E5192" s="23"/>
      <c r="G5192" s="23"/>
      <c r="H5192" s="23"/>
      <c r="J5192" s="23"/>
      <c r="K5192" s="23"/>
      <c r="M5192" s="23"/>
      <c r="N5192" s="23"/>
      <c r="P5192" s="23"/>
    </row>
    <row r="5193" spans="2:16" x14ac:dyDescent="0.25">
      <c r="B5193" s="23"/>
      <c r="E5193" s="23"/>
      <c r="G5193" s="23"/>
      <c r="H5193" s="23"/>
      <c r="J5193" s="23"/>
      <c r="K5193" s="23"/>
      <c r="M5193" s="23"/>
      <c r="N5193" s="23"/>
      <c r="P5193" s="23"/>
    </row>
    <row r="5194" spans="2:16" x14ac:dyDescent="0.25">
      <c r="B5194" s="23"/>
      <c r="E5194" s="23"/>
      <c r="G5194" s="23"/>
      <c r="H5194" s="23"/>
      <c r="J5194" s="23"/>
      <c r="K5194" s="23"/>
      <c r="M5194" s="23"/>
      <c r="N5194" s="23"/>
      <c r="P5194" s="23"/>
    </row>
    <row r="5195" spans="2:16" x14ac:dyDescent="0.25">
      <c r="B5195" s="23"/>
      <c r="E5195" s="23"/>
      <c r="G5195" s="23"/>
      <c r="H5195" s="23"/>
      <c r="J5195" s="23"/>
      <c r="K5195" s="23"/>
      <c r="M5195" s="23"/>
      <c r="N5195" s="23"/>
      <c r="P5195" s="23"/>
    </row>
    <row r="5196" spans="2:16" x14ac:dyDescent="0.25">
      <c r="B5196" s="23"/>
      <c r="E5196" s="23"/>
      <c r="G5196" s="23"/>
      <c r="H5196" s="23"/>
      <c r="J5196" s="23"/>
      <c r="K5196" s="23"/>
      <c r="M5196" s="23"/>
      <c r="N5196" s="23"/>
      <c r="P5196" s="23"/>
    </row>
    <row r="5197" spans="2:16" x14ac:dyDescent="0.25">
      <c r="B5197" s="23"/>
      <c r="E5197" s="23"/>
      <c r="G5197" s="23"/>
      <c r="H5197" s="23"/>
      <c r="J5197" s="23"/>
      <c r="K5197" s="23"/>
      <c r="M5197" s="23"/>
      <c r="N5197" s="23"/>
      <c r="P5197" s="23"/>
    </row>
    <row r="5198" spans="2:16" x14ac:dyDescent="0.25">
      <c r="B5198" s="23"/>
      <c r="E5198" s="23"/>
      <c r="G5198" s="23"/>
      <c r="H5198" s="23"/>
      <c r="J5198" s="23"/>
      <c r="K5198" s="23"/>
      <c r="M5198" s="23"/>
      <c r="N5198" s="23"/>
      <c r="P5198" s="23"/>
    </row>
    <row r="5199" spans="2:16" x14ac:dyDescent="0.25">
      <c r="B5199" s="23"/>
      <c r="E5199" s="23"/>
      <c r="G5199" s="23"/>
      <c r="H5199" s="23"/>
      <c r="J5199" s="23"/>
      <c r="K5199" s="23"/>
      <c r="M5199" s="23"/>
      <c r="N5199" s="23"/>
      <c r="P5199" s="23"/>
    </row>
    <row r="5200" spans="2:16" x14ac:dyDescent="0.25">
      <c r="B5200" s="23"/>
      <c r="E5200" s="23"/>
      <c r="G5200" s="23"/>
      <c r="H5200" s="23"/>
      <c r="J5200" s="23"/>
      <c r="K5200" s="23"/>
      <c r="M5200" s="23"/>
      <c r="N5200" s="23"/>
      <c r="P5200" s="23"/>
    </row>
    <row r="5201" spans="2:16" x14ac:dyDescent="0.25">
      <c r="B5201" s="23"/>
      <c r="E5201" s="23"/>
      <c r="G5201" s="23"/>
      <c r="H5201" s="23"/>
      <c r="J5201" s="23"/>
      <c r="K5201" s="23"/>
      <c r="M5201" s="23"/>
      <c r="N5201" s="23"/>
      <c r="P5201" s="23"/>
    </row>
    <row r="5202" spans="2:16" x14ac:dyDescent="0.25">
      <c r="B5202" s="23"/>
      <c r="E5202" s="23"/>
      <c r="G5202" s="23"/>
      <c r="H5202" s="23"/>
      <c r="J5202" s="23"/>
      <c r="K5202" s="23"/>
      <c r="M5202" s="23"/>
      <c r="N5202" s="23"/>
      <c r="P5202" s="23"/>
    </row>
    <row r="5203" spans="2:16" x14ac:dyDescent="0.25">
      <c r="B5203" s="23"/>
      <c r="E5203" s="23"/>
      <c r="G5203" s="23"/>
      <c r="H5203" s="23"/>
      <c r="J5203" s="23"/>
      <c r="K5203" s="23"/>
      <c r="M5203" s="23"/>
      <c r="N5203" s="23"/>
      <c r="P5203" s="23"/>
    </row>
    <row r="5204" spans="2:16" x14ac:dyDescent="0.25">
      <c r="B5204" s="23"/>
      <c r="E5204" s="23"/>
      <c r="G5204" s="23"/>
      <c r="H5204" s="23"/>
      <c r="J5204" s="23"/>
      <c r="K5204" s="23"/>
      <c r="M5204" s="23"/>
      <c r="N5204" s="23"/>
      <c r="P5204" s="23"/>
    </row>
    <row r="5205" spans="2:16" x14ac:dyDescent="0.25">
      <c r="B5205" s="23"/>
      <c r="E5205" s="23"/>
      <c r="G5205" s="23"/>
      <c r="H5205" s="23"/>
      <c r="J5205" s="23"/>
      <c r="K5205" s="23"/>
      <c r="M5205" s="23"/>
      <c r="N5205" s="23"/>
      <c r="P5205" s="23"/>
    </row>
    <row r="5206" spans="2:16" x14ac:dyDescent="0.25">
      <c r="B5206" s="23"/>
      <c r="E5206" s="23"/>
      <c r="G5206" s="23"/>
      <c r="H5206" s="23"/>
      <c r="J5206" s="23"/>
      <c r="K5206" s="23"/>
      <c r="M5206" s="23"/>
      <c r="N5206" s="23"/>
      <c r="P5206" s="23"/>
    </row>
    <row r="5207" spans="2:16" x14ac:dyDescent="0.25">
      <c r="B5207" s="23"/>
      <c r="E5207" s="23"/>
      <c r="G5207" s="23"/>
      <c r="H5207" s="23"/>
      <c r="J5207" s="23"/>
      <c r="K5207" s="23"/>
      <c r="M5207" s="23"/>
      <c r="N5207" s="23"/>
      <c r="P5207" s="23"/>
    </row>
    <row r="5208" spans="2:16" x14ac:dyDescent="0.25">
      <c r="B5208" s="23"/>
      <c r="E5208" s="23"/>
      <c r="G5208" s="23"/>
      <c r="H5208" s="23"/>
      <c r="J5208" s="23"/>
      <c r="K5208" s="23"/>
      <c r="M5208" s="23"/>
      <c r="N5208" s="23"/>
      <c r="P5208" s="23"/>
    </row>
    <row r="5209" spans="2:16" x14ac:dyDescent="0.25">
      <c r="B5209" s="23"/>
      <c r="E5209" s="23"/>
      <c r="G5209" s="23"/>
      <c r="H5209" s="23"/>
      <c r="J5209" s="23"/>
      <c r="K5209" s="23"/>
      <c r="M5209" s="23"/>
      <c r="N5209" s="23"/>
      <c r="P5209" s="23"/>
    </row>
    <row r="5210" spans="2:16" x14ac:dyDescent="0.25">
      <c r="B5210" s="23"/>
      <c r="E5210" s="23"/>
      <c r="G5210" s="23"/>
      <c r="H5210" s="23"/>
      <c r="J5210" s="23"/>
      <c r="K5210" s="23"/>
      <c r="M5210" s="23"/>
      <c r="N5210" s="23"/>
      <c r="P5210" s="23"/>
    </row>
    <row r="5211" spans="2:16" x14ac:dyDescent="0.25">
      <c r="B5211" s="23"/>
      <c r="E5211" s="23"/>
      <c r="G5211" s="23"/>
      <c r="H5211" s="23"/>
      <c r="J5211" s="23"/>
      <c r="K5211" s="23"/>
      <c r="M5211" s="23"/>
      <c r="N5211" s="23"/>
      <c r="P5211" s="23"/>
    </row>
    <row r="5212" spans="2:16" x14ac:dyDescent="0.25">
      <c r="B5212" s="23"/>
      <c r="E5212" s="23"/>
      <c r="G5212" s="23"/>
      <c r="H5212" s="23"/>
      <c r="J5212" s="23"/>
      <c r="K5212" s="23"/>
      <c r="M5212" s="23"/>
      <c r="N5212" s="23"/>
      <c r="P5212" s="23"/>
    </row>
    <row r="5213" spans="2:16" x14ac:dyDescent="0.25">
      <c r="B5213" s="23"/>
      <c r="E5213" s="23"/>
      <c r="G5213" s="23"/>
      <c r="H5213" s="23"/>
      <c r="J5213" s="23"/>
      <c r="K5213" s="23"/>
      <c r="M5213" s="23"/>
      <c r="N5213" s="23"/>
      <c r="P5213" s="23"/>
    </row>
    <row r="5214" spans="2:16" x14ac:dyDescent="0.25">
      <c r="B5214" s="23"/>
      <c r="E5214" s="23"/>
      <c r="G5214" s="23"/>
      <c r="H5214" s="23"/>
      <c r="J5214" s="23"/>
      <c r="K5214" s="23"/>
      <c r="M5214" s="23"/>
      <c r="N5214" s="23"/>
      <c r="P5214" s="23"/>
    </row>
    <row r="5215" spans="2:16" x14ac:dyDescent="0.25">
      <c r="B5215" s="23"/>
      <c r="E5215" s="23"/>
      <c r="G5215" s="23"/>
      <c r="H5215" s="23"/>
      <c r="J5215" s="23"/>
      <c r="K5215" s="23"/>
      <c r="M5215" s="23"/>
      <c r="N5215" s="23"/>
      <c r="P5215" s="23"/>
    </row>
    <row r="5216" spans="2:16" x14ac:dyDescent="0.25">
      <c r="B5216" s="23"/>
      <c r="E5216" s="23"/>
      <c r="G5216" s="23"/>
      <c r="H5216" s="23"/>
      <c r="J5216" s="23"/>
      <c r="K5216" s="23"/>
      <c r="M5216" s="23"/>
      <c r="N5216" s="23"/>
      <c r="P5216" s="23"/>
    </row>
    <row r="5217" spans="2:16" x14ac:dyDescent="0.25">
      <c r="B5217" s="23"/>
      <c r="E5217" s="23"/>
      <c r="G5217" s="23"/>
      <c r="H5217" s="23"/>
      <c r="J5217" s="23"/>
      <c r="K5217" s="23"/>
      <c r="M5217" s="23"/>
      <c r="N5217" s="23"/>
      <c r="P5217" s="23"/>
    </row>
    <row r="5218" spans="2:16" x14ac:dyDescent="0.25">
      <c r="B5218" s="23"/>
      <c r="E5218" s="23"/>
      <c r="G5218" s="23"/>
      <c r="H5218" s="23"/>
      <c r="J5218" s="23"/>
      <c r="K5218" s="23"/>
      <c r="M5218" s="23"/>
      <c r="N5218" s="23"/>
      <c r="P5218" s="23"/>
    </row>
    <row r="5219" spans="2:16" x14ac:dyDescent="0.25">
      <c r="B5219" s="23"/>
      <c r="E5219" s="23"/>
      <c r="G5219" s="23"/>
      <c r="H5219" s="23"/>
      <c r="J5219" s="23"/>
      <c r="K5219" s="23"/>
      <c r="M5219" s="23"/>
      <c r="N5219" s="23"/>
      <c r="P5219" s="23"/>
    </row>
    <row r="5220" spans="2:16" x14ac:dyDescent="0.25">
      <c r="B5220" s="23"/>
      <c r="E5220" s="23"/>
      <c r="G5220" s="23"/>
      <c r="H5220" s="23"/>
      <c r="J5220" s="23"/>
      <c r="K5220" s="23"/>
      <c r="M5220" s="23"/>
      <c r="N5220" s="23"/>
      <c r="P5220" s="23"/>
    </row>
    <row r="5221" spans="2:16" x14ac:dyDescent="0.25">
      <c r="B5221" s="23"/>
      <c r="E5221" s="23"/>
      <c r="G5221" s="23"/>
      <c r="H5221" s="23"/>
      <c r="J5221" s="23"/>
      <c r="K5221" s="23"/>
      <c r="M5221" s="23"/>
      <c r="N5221" s="23"/>
      <c r="P5221" s="23"/>
    </row>
    <row r="5222" spans="2:16" x14ac:dyDescent="0.25">
      <c r="B5222" s="23"/>
      <c r="E5222" s="23"/>
      <c r="G5222" s="23"/>
      <c r="H5222" s="23"/>
      <c r="J5222" s="23"/>
      <c r="K5222" s="23"/>
      <c r="M5222" s="23"/>
      <c r="N5222" s="23"/>
      <c r="P5222" s="23"/>
    </row>
    <row r="5223" spans="2:16" x14ac:dyDescent="0.25">
      <c r="B5223" s="23"/>
      <c r="E5223" s="23"/>
      <c r="G5223" s="23"/>
      <c r="H5223" s="23"/>
      <c r="J5223" s="23"/>
      <c r="K5223" s="23"/>
      <c r="M5223" s="23"/>
      <c r="N5223" s="23"/>
      <c r="P5223" s="23"/>
    </row>
    <row r="5224" spans="2:16" x14ac:dyDescent="0.25">
      <c r="B5224" s="23"/>
      <c r="E5224" s="23"/>
      <c r="G5224" s="23"/>
      <c r="H5224" s="23"/>
      <c r="J5224" s="23"/>
      <c r="K5224" s="23"/>
      <c r="M5224" s="23"/>
      <c r="N5224" s="23"/>
      <c r="P5224" s="23"/>
    </row>
    <row r="5225" spans="2:16" x14ac:dyDescent="0.25">
      <c r="B5225" s="23"/>
      <c r="E5225" s="23"/>
      <c r="G5225" s="23"/>
      <c r="H5225" s="23"/>
      <c r="J5225" s="23"/>
      <c r="K5225" s="23"/>
      <c r="M5225" s="23"/>
      <c r="N5225" s="23"/>
      <c r="P5225" s="23"/>
    </row>
    <row r="5226" spans="2:16" x14ac:dyDescent="0.25">
      <c r="B5226" s="23"/>
      <c r="E5226" s="23"/>
      <c r="G5226" s="23"/>
      <c r="H5226" s="23"/>
      <c r="J5226" s="23"/>
      <c r="K5226" s="23"/>
      <c r="M5226" s="23"/>
      <c r="N5226" s="23"/>
      <c r="P5226" s="23"/>
    </row>
    <row r="5227" spans="2:16" x14ac:dyDescent="0.25">
      <c r="B5227" s="23"/>
      <c r="E5227" s="23"/>
      <c r="G5227" s="23"/>
      <c r="H5227" s="23"/>
      <c r="J5227" s="23"/>
      <c r="K5227" s="23"/>
      <c r="M5227" s="23"/>
      <c r="N5227" s="23"/>
      <c r="P5227" s="23"/>
    </row>
    <row r="5228" spans="2:16" x14ac:dyDescent="0.25">
      <c r="B5228" s="23"/>
      <c r="E5228" s="23"/>
      <c r="G5228" s="23"/>
      <c r="H5228" s="23"/>
      <c r="J5228" s="23"/>
      <c r="K5228" s="23"/>
      <c r="M5228" s="23"/>
      <c r="N5228" s="23"/>
      <c r="P5228" s="23"/>
    </row>
    <row r="5229" spans="2:16" x14ac:dyDescent="0.25">
      <c r="B5229" s="23"/>
      <c r="E5229" s="23"/>
      <c r="G5229" s="23"/>
      <c r="H5229" s="23"/>
      <c r="J5229" s="23"/>
      <c r="K5229" s="23"/>
      <c r="M5229" s="23"/>
      <c r="N5229" s="23"/>
      <c r="P5229" s="23"/>
    </row>
    <row r="5230" spans="2:16" x14ac:dyDescent="0.25">
      <c r="B5230" s="23"/>
      <c r="E5230" s="23"/>
      <c r="G5230" s="23"/>
      <c r="H5230" s="23"/>
      <c r="J5230" s="23"/>
      <c r="K5230" s="23"/>
      <c r="M5230" s="23"/>
      <c r="N5230" s="23"/>
      <c r="P5230" s="23"/>
    </row>
    <row r="5231" spans="2:16" x14ac:dyDescent="0.25">
      <c r="B5231" s="23"/>
      <c r="E5231" s="23"/>
      <c r="G5231" s="23"/>
      <c r="H5231" s="23"/>
      <c r="J5231" s="23"/>
      <c r="K5231" s="23"/>
      <c r="M5231" s="23"/>
      <c r="N5231" s="23"/>
      <c r="P5231" s="23"/>
    </row>
    <row r="5232" spans="2:16" x14ac:dyDescent="0.25">
      <c r="B5232" s="23"/>
      <c r="E5232" s="23"/>
      <c r="G5232" s="23"/>
      <c r="H5232" s="23"/>
      <c r="J5232" s="23"/>
      <c r="K5232" s="23"/>
      <c r="M5232" s="23"/>
      <c r="N5232" s="23"/>
      <c r="P5232" s="23"/>
    </row>
    <row r="5233" spans="2:16" x14ac:dyDescent="0.25">
      <c r="B5233" s="23"/>
      <c r="E5233" s="23"/>
      <c r="G5233" s="23"/>
      <c r="H5233" s="23"/>
      <c r="J5233" s="23"/>
      <c r="K5233" s="23"/>
      <c r="M5233" s="23"/>
      <c r="N5233" s="23"/>
      <c r="P5233" s="23"/>
    </row>
    <row r="5234" spans="2:16" x14ac:dyDescent="0.25">
      <c r="B5234" s="23"/>
      <c r="E5234" s="23"/>
      <c r="G5234" s="23"/>
      <c r="H5234" s="23"/>
      <c r="J5234" s="23"/>
      <c r="K5234" s="23"/>
      <c r="M5234" s="23"/>
      <c r="N5234" s="23"/>
      <c r="P5234" s="23"/>
    </row>
    <row r="5235" spans="2:16" x14ac:dyDescent="0.25">
      <c r="B5235" s="23"/>
      <c r="E5235" s="23"/>
      <c r="G5235" s="23"/>
      <c r="H5235" s="23"/>
      <c r="J5235" s="23"/>
      <c r="K5235" s="23"/>
      <c r="M5235" s="23"/>
      <c r="N5235" s="23"/>
      <c r="P5235" s="23"/>
    </row>
    <row r="5236" spans="2:16" x14ac:dyDescent="0.25">
      <c r="B5236" s="23"/>
      <c r="E5236" s="23"/>
      <c r="G5236" s="23"/>
      <c r="H5236" s="23"/>
      <c r="J5236" s="23"/>
      <c r="K5236" s="23"/>
      <c r="M5236" s="23"/>
      <c r="N5236" s="23"/>
      <c r="P5236" s="23"/>
    </row>
    <row r="5237" spans="2:16" x14ac:dyDescent="0.25">
      <c r="B5237" s="23"/>
      <c r="E5237" s="23"/>
      <c r="G5237" s="23"/>
      <c r="H5237" s="23"/>
      <c r="J5237" s="23"/>
      <c r="K5237" s="23"/>
      <c r="M5237" s="23"/>
      <c r="N5237" s="23"/>
      <c r="P5237" s="23"/>
    </row>
    <row r="5238" spans="2:16" x14ac:dyDescent="0.25">
      <c r="B5238" s="23"/>
      <c r="E5238" s="23"/>
      <c r="G5238" s="23"/>
      <c r="H5238" s="23"/>
      <c r="J5238" s="23"/>
      <c r="K5238" s="23"/>
      <c r="M5238" s="23"/>
      <c r="N5238" s="23"/>
      <c r="P5238" s="23"/>
    </row>
    <row r="5239" spans="2:16" x14ac:dyDescent="0.25">
      <c r="B5239" s="23"/>
      <c r="E5239" s="23"/>
      <c r="G5239" s="23"/>
      <c r="H5239" s="23"/>
      <c r="J5239" s="23"/>
      <c r="K5239" s="23"/>
      <c r="M5239" s="23"/>
      <c r="N5239" s="23"/>
      <c r="P5239" s="23"/>
    </row>
    <row r="5240" spans="2:16" x14ac:dyDescent="0.25">
      <c r="B5240" s="23"/>
      <c r="E5240" s="23"/>
      <c r="G5240" s="23"/>
      <c r="H5240" s="23"/>
      <c r="J5240" s="23"/>
      <c r="K5240" s="23"/>
      <c r="M5240" s="23"/>
      <c r="N5240" s="23"/>
      <c r="P5240" s="23"/>
    </row>
    <row r="5241" spans="2:16" x14ac:dyDescent="0.25">
      <c r="B5241" s="23"/>
      <c r="E5241" s="23"/>
      <c r="G5241" s="23"/>
      <c r="H5241" s="23"/>
      <c r="J5241" s="23"/>
      <c r="K5241" s="23"/>
      <c r="M5241" s="23"/>
      <c r="N5241" s="23"/>
      <c r="P5241" s="23"/>
    </row>
    <row r="5242" spans="2:16" x14ac:dyDescent="0.25">
      <c r="B5242" s="23"/>
      <c r="E5242" s="23"/>
      <c r="G5242" s="23"/>
      <c r="H5242" s="23"/>
      <c r="J5242" s="23"/>
      <c r="K5242" s="23"/>
      <c r="M5242" s="23"/>
      <c r="N5242" s="23"/>
      <c r="P5242" s="23"/>
    </row>
    <row r="5243" spans="2:16" x14ac:dyDescent="0.25">
      <c r="B5243" s="23"/>
      <c r="E5243" s="23"/>
      <c r="G5243" s="23"/>
      <c r="H5243" s="23"/>
      <c r="J5243" s="23"/>
      <c r="K5243" s="23"/>
      <c r="M5243" s="23"/>
      <c r="N5243" s="23"/>
      <c r="P5243" s="23"/>
    </row>
    <row r="5244" spans="2:16" x14ac:dyDescent="0.25">
      <c r="B5244" s="23"/>
      <c r="E5244" s="23"/>
      <c r="G5244" s="23"/>
      <c r="H5244" s="23"/>
      <c r="J5244" s="23"/>
      <c r="K5244" s="23"/>
      <c r="M5244" s="23"/>
      <c r="N5244" s="23"/>
      <c r="P5244" s="23"/>
    </row>
    <row r="5245" spans="2:16" x14ac:dyDescent="0.25">
      <c r="B5245" s="23"/>
      <c r="E5245" s="23"/>
      <c r="G5245" s="23"/>
      <c r="H5245" s="23"/>
      <c r="J5245" s="23"/>
      <c r="K5245" s="23"/>
      <c r="M5245" s="23"/>
      <c r="N5245" s="23"/>
      <c r="P5245" s="23"/>
    </row>
    <row r="5246" spans="2:16" x14ac:dyDescent="0.25">
      <c r="B5246" s="23"/>
      <c r="E5246" s="23"/>
      <c r="G5246" s="23"/>
      <c r="H5246" s="23"/>
      <c r="J5246" s="23"/>
      <c r="K5246" s="23"/>
      <c r="M5246" s="23"/>
      <c r="N5246" s="23"/>
      <c r="P5246" s="23"/>
    </row>
    <row r="5247" spans="2:16" x14ac:dyDescent="0.25">
      <c r="B5247" s="23"/>
      <c r="E5247" s="23"/>
      <c r="G5247" s="23"/>
      <c r="H5247" s="23"/>
      <c r="J5247" s="23"/>
      <c r="K5247" s="23"/>
      <c r="M5247" s="23"/>
      <c r="N5247" s="23"/>
      <c r="P5247" s="23"/>
    </row>
    <row r="5248" spans="2:16" x14ac:dyDescent="0.25">
      <c r="B5248" s="23"/>
      <c r="E5248" s="23"/>
      <c r="G5248" s="23"/>
      <c r="H5248" s="23"/>
      <c r="J5248" s="23"/>
      <c r="K5248" s="23"/>
      <c r="M5248" s="23"/>
      <c r="N5248" s="23"/>
      <c r="P5248" s="23"/>
    </row>
    <row r="5249" spans="2:16" x14ac:dyDescent="0.25">
      <c r="B5249" s="23"/>
      <c r="E5249" s="23"/>
      <c r="G5249" s="23"/>
      <c r="H5249" s="23"/>
      <c r="J5249" s="23"/>
      <c r="K5249" s="23"/>
      <c r="M5249" s="23"/>
      <c r="N5249" s="23"/>
      <c r="P5249" s="23"/>
    </row>
    <row r="5250" spans="2:16" x14ac:dyDescent="0.25">
      <c r="B5250" s="23"/>
      <c r="E5250" s="23"/>
      <c r="G5250" s="23"/>
      <c r="H5250" s="23"/>
      <c r="J5250" s="23"/>
      <c r="K5250" s="23"/>
      <c r="M5250" s="23"/>
      <c r="N5250" s="23"/>
      <c r="P5250" s="23"/>
    </row>
    <row r="5251" spans="2:16" x14ac:dyDescent="0.25">
      <c r="B5251" s="23"/>
      <c r="E5251" s="23"/>
      <c r="G5251" s="23"/>
      <c r="H5251" s="23"/>
      <c r="J5251" s="23"/>
      <c r="K5251" s="23"/>
      <c r="M5251" s="23"/>
      <c r="N5251" s="23"/>
      <c r="P5251" s="23"/>
    </row>
    <row r="5252" spans="2:16" x14ac:dyDescent="0.25">
      <c r="B5252" s="23"/>
      <c r="E5252" s="23"/>
      <c r="G5252" s="23"/>
      <c r="H5252" s="23"/>
      <c r="J5252" s="23"/>
      <c r="K5252" s="23"/>
      <c r="M5252" s="23"/>
      <c r="N5252" s="23"/>
      <c r="P5252" s="23"/>
    </row>
    <row r="5253" spans="2:16" x14ac:dyDescent="0.25">
      <c r="B5253" s="23"/>
      <c r="E5253" s="23"/>
      <c r="G5253" s="23"/>
      <c r="H5253" s="23"/>
      <c r="J5253" s="23"/>
      <c r="K5253" s="23"/>
      <c r="M5253" s="23"/>
      <c r="N5253" s="23"/>
      <c r="P5253" s="23"/>
    </row>
    <row r="5254" spans="2:16" x14ac:dyDescent="0.25">
      <c r="B5254" s="23"/>
      <c r="E5254" s="23"/>
      <c r="G5254" s="23"/>
      <c r="H5254" s="23"/>
      <c r="J5254" s="23"/>
      <c r="K5254" s="23"/>
      <c r="M5254" s="23"/>
      <c r="N5254" s="23"/>
      <c r="P5254" s="23"/>
    </row>
    <row r="5255" spans="2:16" x14ac:dyDescent="0.25">
      <c r="B5255" s="23"/>
      <c r="E5255" s="23"/>
      <c r="G5255" s="23"/>
      <c r="H5255" s="23"/>
      <c r="J5255" s="23"/>
      <c r="K5255" s="23"/>
      <c r="M5255" s="23"/>
      <c r="N5255" s="23"/>
      <c r="P5255" s="23"/>
    </row>
    <row r="5256" spans="2:16" x14ac:dyDescent="0.25">
      <c r="B5256" s="23"/>
      <c r="E5256" s="23"/>
      <c r="G5256" s="23"/>
      <c r="H5256" s="23"/>
      <c r="J5256" s="23"/>
      <c r="K5256" s="23"/>
      <c r="M5256" s="23"/>
      <c r="N5256" s="23"/>
      <c r="P5256" s="23"/>
    </row>
    <row r="5257" spans="2:16" x14ac:dyDescent="0.25">
      <c r="B5257" s="23"/>
      <c r="E5257" s="23"/>
      <c r="G5257" s="23"/>
      <c r="H5257" s="23"/>
      <c r="J5257" s="23"/>
      <c r="K5257" s="23"/>
      <c r="M5257" s="23"/>
      <c r="N5257" s="23"/>
      <c r="P5257" s="23"/>
    </row>
    <row r="5258" spans="2:16" x14ac:dyDescent="0.25">
      <c r="B5258" s="23"/>
      <c r="E5258" s="23"/>
      <c r="G5258" s="23"/>
      <c r="H5258" s="23"/>
      <c r="J5258" s="23"/>
      <c r="K5258" s="23"/>
      <c r="M5258" s="23"/>
      <c r="N5258" s="23"/>
      <c r="P5258" s="23"/>
    </row>
    <row r="5259" spans="2:16" x14ac:dyDescent="0.25">
      <c r="B5259" s="23"/>
      <c r="E5259" s="23"/>
      <c r="G5259" s="23"/>
      <c r="H5259" s="23"/>
      <c r="J5259" s="23"/>
      <c r="K5259" s="23"/>
      <c r="M5259" s="23"/>
      <c r="N5259" s="23"/>
      <c r="P5259" s="23"/>
    </row>
    <row r="5260" spans="2:16" x14ac:dyDescent="0.25">
      <c r="B5260" s="23"/>
      <c r="E5260" s="23"/>
      <c r="G5260" s="23"/>
      <c r="H5260" s="23"/>
      <c r="J5260" s="23"/>
      <c r="K5260" s="23"/>
      <c r="M5260" s="23"/>
      <c r="N5260" s="23"/>
      <c r="P5260" s="23"/>
    </row>
    <row r="5261" spans="2:16" x14ac:dyDescent="0.25">
      <c r="B5261" s="23"/>
      <c r="E5261" s="23"/>
      <c r="G5261" s="23"/>
      <c r="H5261" s="23"/>
      <c r="J5261" s="23"/>
      <c r="K5261" s="23"/>
      <c r="M5261" s="23"/>
      <c r="N5261" s="23"/>
      <c r="P5261" s="23"/>
    </row>
    <row r="5262" spans="2:16" x14ac:dyDescent="0.25">
      <c r="B5262" s="23"/>
      <c r="E5262" s="23"/>
      <c r="G5262" s="23"/>
      <c r="H5262" s="23"/>
      <c r="J5262" s="23"/>
      <c r="K5262" s="23"/>
      <c r="M5262" s="23"/>
      <c r="N5262" s="23"/>
      <c r="P5262" s="23"/>
    </row>
    <row r="5263" spans="2:16" x14ac:dyDescent="0.25">
      <c r="B5263" s="23"/>
      <c r="E5263" s="23"/>
      <c r="G5263" s="23"/>
      <c r="H5263" s="23"/>
      <c r="J5263" s="23"/>
      <c r="K5263" s="23"/>
      <c r="M5263" s="23"/>
      <c r="N5263" s="23"/>
      <c r="P5263" s="23"/>
    </row>
    <row r="5264" spans="2:16" x14ac:dyDescent="0.25">
      <c r="B5264" s="23"/>
      <c r="E5264" s="23"/>
      <c r="G5264" s="23"/>
      <c r="H5264" s="23"/>
      <c r="J5264" s="23"/>
      <c r="K5264" s="23"/>
      <c r="M5264" s="23"/>
      <c r="N5264" s="23"/>
      <c r="P5264" s="23"/>
    </row>
    <row r="5265" spans="2:16" x14ac:dyDescent="0.25">
      <c r="B5265" s="23"/>
      <c r="E5265" s="23"/>
      <c r="G5265" s="23"/>
      <c r="H5265" s="23"/>
      <c r="J5265" s="23"/>
      <c r="K5265" s="23"/>
      <c r="M5265" s="23"/>
      <c r="N5265" s="23"/>
      <c r="P5265" s="23"/>
    </row>
    <row r="5266" spans="2:16" x14ac:dyDescent="0.25">
      <c r="B5266" s="23"/>
      <c r="E5266" s="23"/>
      <c r="G5266" s="23"/>
      <c r="H5266" s="23"/>
      <c r="J5266" s="23"/>
      <c r="K5266" s="23"/>
      <c r="M5266" s="23"/>
      <c r="N5266" s="23"/>
      <c r="P5266" s="23"/>
    </row>
    <row r="5267" spans="2:16" x14ac:dyDescent="0.25">
      <c r="B5267" s="23"/>
      <c r="E5267" s="23"/>
      <c r="G5267" s="23"/>
      <c r="H5267" s="23"/>
      <c r="J5267" s="23"/>
      <c r="K5267" s="23"/>
      <c r="M5267" s="23"/>
      <c r="N5267" s="23"/>
      <c r="P5267" s="23"/>
    </row>
    <row r="5268" spans="2:16" x14ac:dyDescent="0.25">
      <c r="B5268" s="23"/>
      <c r="E5268" s="23"/>
      <c r="G5268" s="23"/>
      <c r="H5268" s="23"/>
      <c r="J5268" s="23"/>
      <c r="K5268" s="23"/>
      <c r="M5268" s="23"/>
      <c r="N5268" s="23"/>
      <c r="P5268" s="23"/>
    </row>
    <row r="5269" spans="2:16" x14ac:dyDescent="0.25">
      <c r="B5269" s="23"/>
      <c r="E5269" s="23"/>
      <c r="G5269" s="23"/>
      <c r="H5269" s="23"/>
      <c r="J5269" s="23"/>
      <c r="K5269" s="23"/>
      <c r="M5269" s="23"/>
      <c r="N5269" s="23"/>
      <c r="P5269" s="23"/>
    </row>
    <row r="5270" spans="2:16" x14ac:dyDescent="0.25">
      <c r="B5270" s="23"/>
      <c r="E5270" s="23"/>
      <c r="G5270" s="23"/>
      <c r="H5270" s="23"/>
      <c r="J5270" s="23"/>
      <c r="K5270" s="23"/>
      <c r="M5270" s="23"/>
      <c r="N5270" s="23"/>
      <c r="P5270" s="23"/>
    </row>
    <row r="5271" spans="2:16" x14ac:dyDescent="0.25">
      <c r="B5271" s="23"/>
      <c r="E5271" s="23"/>
      <c r="G5271" s="23"/>
      <c r="H5271" s="23"/>
      <c r="J5271" s="23"/>
      <c r="K5271" s="23"/>
      <c r="M5271" s="23"/>
      <c r="N5271" s="23"/>
      <c r="P5271" s="23"/>
    </row>
    <row r="5272" spans="2:16" x14ac:dyDescent="0.25">
      <c r="B5272" s="23"/>
      <c r="E5272" s="23"/>
      <c r="G5272" s="23"/>
      <c r="H5272" s="23"/>
      <c r="J5272" s="23"/>
      <c r="K5272" s="23"/>
      <c r="M5272" s="23"/>
      <c r="N5272" s="23"/>
      <c r="P5272" s="23"/>
    </row>
    <row r="5273" spans="2:16" x14ac:dyDescent="0.25">
      <c r="B5273" s="23"/>
      <c r="E5273" s="23"/>
      <c r="G5273" s="23"/>
      <c r="H5273" s="23"/>
      <c r="J5273" s="23"/>
      <c r="K5273" s="23"/>
      <c r="M5273" s="23"/>
      <c r="N5273" s="23"/>
      <c r="P5273" s="23"/>
    </row>
    <row r="5274" spans="2:16" x14ac:dyDescent="0.25">
      <c r="B5274" s="23"/>
      <c r="E5274" s="23"/>
      <c r="G5274" s="23"/>
      <c r="H5274" s="23"/>
      <c r="J5274" s="23"/>
      <c r="K5274" s="23"/>
      <c r="M5274" s="23"/>
      <c r="N5274" s="23"/>
      <c r="P5274" s="23"/>
    </row>
    <row r="5275" spans="2:16" x14ac:dyDescent="0.25">
      <c r="B5275" s="23"/>
      <c r="E5275" s="23"/>
      <c r="G5275" s="23"/>
      <c r="H5275" s="23"/>
      <c r="J5275" s="23"/>
      <c r="K5275" s="23"/>
      <c r="M5275" s="23"/>
      <c r="N5275" s="23"/>
      <c r="P5275" s="23"/>
    </row>
    <row r="5276" spans="2:16" x14ac:dyDescent="0.25">
      <c r="B5276" s="23"/>
      <c r="E5276" s="23"/>
      <c r="G5276" s="23"/>
      <c r="H5276" s="23"/>
      <c r="J5276" s="23"/>
      <c r="K5276" s="23"/>
      <c r="M5276" s="23"/>
      <c r="N5276" s="23"/>
      <c r="P5276" s="23"/>
    </row>
    <row r="5277" spans="2:16" x14ac:dyDescent="0.25">
      <c r="B5277" s="23"/>
      <c r="E5277" s="23"/>
      <c r="G5277" s="23"/>
      <c r="H5277" s="23"/>
      <c r="J5277" s="23"/>
      <c r="K5277" s="23"/>
      <c r="M5277" s="23"/>
      <c r="N5277" s="23"/>
      <c r="P5277" s="23"/>
    </row>
    <row r="5278" spans="2:16" x14ac:dyDescent="0.25">
      <c r="B5278" s="23"/>
      <c r="E5278" s="23"/>
      <c r="G5278" s="23"/>
      <c r="H5278" s="23"/>
      <c r="J5278" s="23"/>
      <c r="K5278" s="23"/>
      <c r="M5278" s="23"/>
      <c r="N5278" s="23"/>
      <c r="P5278" s="23"/>
    </row>
    <row r="5279" spans="2:16" x14ac:dyDescent="0.25">
      <c r="B5279" s="23"/>
      <c r="E5279" s="23"/>
      <c r="G5279" s="23"/>
      <c r="H5279" s="23"/>
      <c r="J5279" s="23"/>
      <c r="K5279" s="23"/>
      <c r="M5279" s="23"/>
      <c r="N5279" s="23"/>
      <c r="P5279" s="23"/>
    </row>
    <row r="5280" spans="2:16" x14ac:dyDescent="0.25">
      <c r="B5280" s="23"/>
      <c r="E5280" s="23"/>
      <c r="G5280" s="23"/>
      <c r="H5280" s="23"/>
      <c r="J5280" s="23"/>
      <c r="K5280" s="23"/>
      <c r="M5280" s="23"/>
      <c r="N5280" s="23"/>
      <c r="P5280" s="23"/>
    </row>
    <row r="5281" spans="2:16" x14ac:dyDescent="0.25">
      <c r="B5281" s="23"/>
      <c r="E5281" s="23"/>
      <c r="G5281" s="23"/>
      <c r="H5281" s="23"/>
      <c r="J5281" s="23"/>
      <c r="K5281" s="23"/>
      <c r="M5281" s="23"/>
      <c r="N5281" s="23"/>
      <c r="P5281" s="23"/>
    </row>
    <row r="5282" spans="2:16" x14ac:dyDescent="0.25">
      <c r="B5282" s="23"/>
      <c r="E5282" s="23"/>
      <c r="G5282" s="23"/>
      <c r="H5282" s="23"/>
      <c r="J5282" s="23"/>
      <c r="K5282" s="23"/>
      <c r="M5282" s="23"/>
      <c r="N5282" s="23"/>
      <c r="P5282" s="23"/>
    </row>
    <row r="5283" spans="2:16" x14ac:dyDescent="0.25">
      <c r="B5283" s="23"/>
      <c r="E5283" s="23"/>
      <c r="G5283" s="23"/>
      <c r="H5283" s="23"/>
      <c r="J5283" s="23"/>
      <c r="K5283" s="23"/>
      <c r="M5283" s="23"/>
      <c r="N5283" s="23"/>
      <c r="P5283" s="23"/>
    </row>
    <row r="5284" spans="2:16" x14ac:dyDescent="0.25">
      <c r="B5284" s="23"/>
      <c r="E5284" s="23"/>
      <c r="G5284" s="23"/>
      <c r="H5284" s="23"/>
      <c r="J5284" s="23"/>
      <c r="K5284" s="23"/>
      <c r="M5284" s="23"/>
      <c r="N5284" s="23"/>
      <c r="P5284" s="23"/>
    </row>
    <row r="5285" spans="2:16" x14ac:dyDescent="0.25">
      <c r="B5285" s="23"/>
      <c r="E5285" s="23"/>
      <c r="G5285" s="23"/>
      <c r="H5285" s="23"/>
      <c r="J5285" s="23"/>
      <c r="K5285" s="23"/>
      <c r="M5285" s="23"/>
      <c r="N5285" s="23"/>
      <c r="P5285" s="23"/>
    </row>
    <row r="5286" spans="2:16" x14ac:dyDescent="0.25">
      <c r="B5286" s="23"/>
      <c r="E5286" s="23"/>
      <c r="G5286" s="23"/>
      <c r="H5286" s="23"/>
      <c r="J5286" s="23"/>
      <c r="K5286" s="23"/>
      <c r="M5286" s="23"/>
      <c r="N5286" s="23"/>
      <c r="P5286" s="23"/>
    </row>
    <row r="5287" spans="2:16" x14ac:dyDescent="0.25">
      <c r="B5287" s="23"/>
      <c r="E5287" s="23"/>
      <c r="G5287" s="23"/>
      <c r="H5287" s="23"/>
      <c r="J5287" s="23"/>
      <c r="K5287" s="23"/>
      <c r="M5287" s="23"/>
      <c r="N5287" s="23"/>
      <c r="P5287" s="23"/>
    </row>
    <row r="5288" spans="2:16" x14ac:dyDescent="0.25">
      <c r="B5288" s="23"/>
      <c r="E5288" s="23"/>
      <c r="G5288" s="23"/>
      <c r="H5288" s="23"/>
      <c r="J5288" s="23"/>
      <c r="K5288" s="23"/>
      <c r="M5288" s="23"/>
      <c r="N5288" s="23"/>
      <c r="P5288" s="23"/>
    </row>
    <row r="5289" spans="2:16" x14ac:dyDescent="0.25">
      <c r="B5289" s="23"/>
      <c r="E5289" s="23"/>
      <c r="G5289" s="23"/>
      <c r="H5289" s="23"/>
      <c r="J5289" s="23"/>
      <c r="K5289" s="23"/>
      <c r="M5289" s="23"/>
      <c r="N5289" s="23"/>
      <c r="P5289" s="23"/>
    </row>
    <row r="5290" spans="2:16" x14ac:dyDescent="0.25">
      <c r="B5290" s="23"/>
      <c r="E5290" s="23"/>
      <c r="G5290" s="23"/>
      <c r="H5290" s="23"/>
      <c r="J5290" s="23"/>
      <c r="K5290" s="23"/>
      <c r="M5290" s="23"/>
      <c r="N5290" s="23"/>
      <c r="P5290" s="23"/>
    </row>
    <row r="5291" spans="2:16" x14ac:dyDescent="0.25">
      <c r="B5291" s="23"/>
      <c r="E5291" s="23"/>
      <c r="G5291" s="23"/>
      <c r="H5291" s="23"/>
      <c r="J5291" s="23"/>
      <c r="K5291" s="23"/>
      <c r="M5291" s="23"/>
      <c r="N5291" s="23"/>
      <c r="P5291" s="23"/>
    </row>
    <row r="5292" spans="2:16" x14ac:dyDescent="0.25">
      <c r="B5292" s="23"/>
      <c r="E5292" s="23"/>
      <c r="G5292" s="23"/>
      <c r="H5292" s="23"/>
      <c r="J5292" s="23"/>
      <c r="K5292" s="23"/>
      <c r="M5292" s="23"/>
      <c r="N5292" s="23"/>
      <c r="P5292" s="23"/>
    </row>
    <row r="5293" spans="2:16" x14ac:dyDescent="0.25">
      <c r="B5293" s="23"/>
      <c r="E5293" s="23"/>
      <c r="G5293" s="23"/>
      <c r="H5293" s="23"/>
      <c r="J5293" s="23"/>
      <c r="K5293" s="23"/>
      <c r="M5293" s="23"/>
      <c r="N5293" s="23"/>
      <c r="P5293" s="23"/>
    </row>
    <row r="5294" spans="2:16" x14ac:dyDescent="0.25">
      <c r="B5294" s="23"/>
      <c r="E5294" s="23"/>
      <c r="G5294" s="23"/>
      <c r="H5294" s="23"/>
      <c r="J5294" s="23"/>
      <c r="K5294" s="23"/>
      <c r="M5294" s="23"/>
      <c r="N5294" s="23"/>
      <c r="P5294" s="23"/>
    </row>
    <row r="5295" spans="2:16" x14ac:dyDescent="0.25">
      <c r="B5295" s="23"/>
      <c r="E5295" s="23"/>
      <c r="G5295" s="23"/>
      <c r="H5295" s="23"/>
      <c r="J5295" s="23"/>
      <c r="K5295" s="23"/>
      <c r="M5295" s="23"/>
      <c r="N5295" s="23"/>
      <c r="P5295" s="23"/>
    </row>
    <row r="5296" spans="2:16" x14ac:dyDescent="0.25">
      <c r="B5296" s="23"/>
      <c r="E5296" s="23"/>
      <c r="G5296" s="23"/>
      <c r="H5296" s="23"/>
      <c r="J5296" s="23"/>
      <c r="K5296" s="23"/>
      <c r="M5296" s="23"/>
      <c r="N5296" s="23"/>
      <c r="P5296" s="23"/>
    </row>
    <row r="5297" spans="2:16" x14ac:dyDescent="0.25">
      <c r="B5297" s="23"/>
      <c r="E5297" s="23"/>
      <c r="G5297" s="23"/>
      <c r="H5297" s="23"/>
      <c r="J5297" s="23"/>
      <c r="K5297" s="23"/>
      <c r="M5297" s="23"/>
      <c r="N5297" s="23"/>
      <c r="P5297" s="23"/>
    </row>
    <row r="5298" spans="2:16" x14ac:dyDescent="0.25">
      <c r="B5298" s="23"/>
      <c r="E5298" s="23"/>
      <c r="G5298" s="23"/>
      <c r="H5298" s="23"/>
      <c r="J5298" s="23"/>
      <c r="K5298" s="23"/>
      <c r="M5298" s="23"/>
      <c r="N5298" s="23"/>
      <c r="P5298" s="23"/>
    </row>
    <row r="5299" spans="2:16" x14ac:dyDescent="0.25">
      <c r="B5299" s="23"/>
      <c r="E5299" s="23"/>
      <c r="G5299" s="23"/>
      <c r="H5299" s="23"/>
      <c r="J5299" s="23"/>
      <c r="K5299" s="23"/>
      <c r="M5299" s="23"/>
      <c r="N5299" s="23"/>
      <c r="P5299" s="23"/>
    </row>
    <row r="5300" spans="2:16" x14ac:dyDescent="0.25">
      <c r="B5300" s="23"/>
      <c r="E5300" s="23"/>
      <c r="G5300" s="23"/>
      <c r="H5300" s="23"/>
      <c r="J5300" s="23"/>
      <c r="K5300" s="23"/>
      <c r="M5300" s="23"/>
      <c r="N5300" s="23"/>
      <c r="P5300" s="23"/>
    </row>
    <row r="5301" spans="2:16" x14ac:dyDescent="0.25">
      <c r="B5301" s="23"/>
      <c r="E5301" s="23"/>
      <c r="G5301" s="23"/>
      <c r="H5301" s="23"/>
      <c r="J5301" s="23"/>
      <c r="K5301" s="23"/>
      <c r="M5301" s="23"/>
      <c r="N5301" s="23"/>
      <c r="P5301" s="23"/>
    </row>
    <row r="5302" spans="2:16" x14ac:dyDescent="0.25">
      <c r="B5302" s="23"/>
      <c r="E5302" s="23"/>
      <c r="G5302" s="23"/>
      <c r="H5302" s="23"/>
      <c r="J5302" s="23"/>
      <c r="K5302" s="23"/>
      <c r="M5302" s="23"/>
      <c r="N5302" s="23"/>
      <c r="P5302" s="23"/>
    </row>
    <row r="5303" spans="2:16" x14ac:dyDescent="0.25">
      <c r="B5303" s="23"/>
      <c r="E5303" s="23"/>
      <c r="G5303" s="23"/>
      <c r="H5303" s="23"/>
      <c r="J5303" s="23"/>
      <c r="K5303" s="23"/>
      <c r="M5303" s="23"/>
      <c r="N5303" s="23"/>
      <c r="P5303" s="23"/>
    </row>
    <row r="5304" spans="2:16" x14ac:dyDescent="0.25">
      <c r="B5304" s="23"/>
      <c r="E5304" s="23"/>
      <c r="G5304" s="23"/>
      <c r="H5304" s="23"/>
      <c r="J5304" s="23"/>
      <c r="K5304" s="23"/>
      <c r="M5304" s="23"/>
      <c r="N5304" s="23"/>
      <c r="P5304" s="23"/>
    </row>
    <row r="5305" spans="2:16" x14ac:dyDescent="0.25">
      <c r="B5305" s="23"/>
      <c r="E5305" s="23"/>
      <c r="G5305" s="23"/>
      <c r="H5305" s="23"/>
      <c r="J5305" s="23"/>
      <c r="K5305" s="23"/>
      <c r="M5305" s="23"/>
      <c r="N5305" s="23"/>
      <c r="P5305" s="23"/>
    </row>
    <row r="5306" spans="2:16" x14ac:dyDescent="0.25">
      <c r="B5306" s="23"/>
      <c r="E5306" s="23"/>
      <c r="G5306" s="23"/>
      <c r="H5306" s="23"/>
      <c r="J5306" s="23"/>
      <c r="K5306" s="23"/>
      <c r="M5306" s="23"/>
      <c r="N5306" s="23"/>
      <c r="P5306" s="23"/>
    </row>
    <row r="5307" spans="2:16" x14ac:dyDescent="0.25">
      <c r="B5307" s="23"/>
      <c r="E5307" s="23"/>
      <c r="G5307" s="23"/>
      <c r="H5307" s="23"/>
      <c r="J5307" s="23"/>
      <c r="K5307" s="23"/>
      <c r="M5307" s="23"/>
      <c r="N5307" s="23"/>
      <c r="P5307" s="23"/>
    </row>
    <row r="5308" spans="2:16" x14ac:dyDescent="0.25">
      <c r="B5308" s="23"/>
      <c r="E5308" s="23"/>
      <c r="G5308" s="23"/>
      <c r="H5308" s="23"/>
      <c r="J5308" s="23"/>
      <c r="K5308" s="23"/>
      <c r="M5308" s="23"/>
      <c r="N5308" s="23"/>
      <c r="P5308" s="23"/>
    </row>
    <row r="5309" spans="2:16" x14ac:dyDescent="0.25">
      <c r="B5309" s="23"/>
      <c r="E5309" s="23"/>
      <c r="G5309" s="23"/>
      <c r="H5309" s="23"/>
      <c r="J5309" s="23"/>
      <c r="K5309" s="23"/>
      <c r="M5309" s="23"/>
      <c r="N5309" s="23"/>
      <c r="P5309" s="23"/>
    </row>
    <row r="5310" spans="2:16" x14ac:dyDescent="0.25">
      <c r="B5310" s="23"/>
      <c r="E5310" s="23"/>
      <c r="G5310" s="23"/>
      <c r="H5310" s="23"/>
      <c r="J5310" s="23"/>
      <c r="K5310" s="23"/>
      <c r="M5310" s="23"/>
      <c r="N5310" s="23"/>
      <c r="P5310" s="23"/>
    </row>
    <row r="5311" spans="2:16" x14ac:dyDescent="0.25">
      <c r="B5311" s="23"/>
      <c r="E5311" s="23"/>
      <c r="G5311" s="23"/>
      <c r="H5311" s="23"/>
      <c r="J5311" s="23"/>
      <c r="K5311" s="23"/>
      <c r="M5311" s="23"/>
      <c r="N5311" s="23"/>
      <c r="P5311" s="23"/>
    </row>
    <row r="5312" spans="2:16" x14ac:dyDescent="0.25">
      <c r="B5312" s="23"/>
      <c r="E5312" s="23"/>
      <c r="G5312" s="23"/>
      <c r="H5312" s="23"/>
      <c r="J5312" s="23"/>
      <c r="K5312" s="23"/>
      <c r="M5312" s="23"/>
      <c r="N5312" s="23"/>
      <c r="P5312" s="23"/>
    </row>
    <row r="5313" spans="2:16" x14ac:dyDescent="0.25">
      <c r="B5313" s="23"/>
      <c r="E5313" s="23"/>
      <c r="G5313" s="23"/>
      <c r="H5313" s="23"/>
      <c r="J5313" s="23"/>
      <c r="K5313" s="23"/>
      <c r="M5313" s="23"/>
      <c r="N5313" s="23"/>
      <c r="P5313" s="23"/>
    </row>
    <row r="5314" spans="2:16" x14ac:dyDescent="0.25">
      <c r="B5314" s="23"/>
      <c r="E5314" s="23"/>
      <c r="G5314" s="23"/>
      <c r="H5314" s="23"/>
      <c r="J5314" s="23"/>
      <c r="K5314" s="23"/>
      <c r="M5314" s="23"/>
      <c r="N5314" s="23"/>
      <c r="P5314" s="23"/>
    </row>
    <row r="5315" spans="2:16" x14ac:dyDescent="0.25">
      <c r="B5315" s="23"/>
      <c r="E5315" s="23"/>
      <c r="G5315" s="23"/>
      <c r="H5315" s="23"/>
      <c r="J5315" s="23"/>
      <c r="K5315" s="23"/>
      <c r="M5315" s="23"/>
      <c r="N5315" s="23"/>
      <c r="P5315" s="23"/>
    </row>
    <row r="5316" spans="2:16" x14ac:dyDescent="0.25">
      <c r="B5316" s="23"/>
      <c r="E5316" s="23"/>
      <c r="G5316" s="23"/>
      <c r="H5316" s="23"/>
      <c r="J5316" s="23"/>
      <c r="K5316" s="23"/>
      <c r="M5316" s="23"/>
      <c r="N5316" s="23"/>
      <c r="P5316" s="23"/>
    </row>
    <row r="5317" spans="2:16" x14ac:dyDescent="0.25">
      <c r="B5317" s="23"/>
      <c r="E5317" s="23"/>
      <c r="G5317" s="23"/>
      <c r="H5317" s="23"/>
      <c r="J5317" s="23"/>
      <c r="K5317" s="23"/>
      <c r="M5317" s="23"/>
      <c r="N5317" s="23"/>
      <c r="P5317" s="23"/>
    </row>
    <row r="5318" spans="2:16" x14ac:dyDescent="0.25">
      <c r="B5318" s="23"/>
      <c r="E5318" s="23"/>
      <c r="G5318" s="23"/>
      <c r="H5318" s="23"/>
      <c r="J5318" s="23"/>
      <c r="K5318" s="23"/>
      <c r="M5318" s="23"/>
      <c r="N5318" s="23"/>
      <c r="P5318" s="23"/>
    </row>
    <row r="5319" spans="2:16" x14ac:dyDescent="0.25">
      <c r="B5319" s="23"/>
      <c r="E5319" s="23"/>
      <c r="G5319" s="23"/>
      <c r="H5319" s="23"/>
      <c r="J5319" s="23"/>
      <c r="K5319" s="23"/>
      <c r="M5319" s="23"/>
      <c r="N5319" s="23"/>
      <c r="P5319" s="23"/>
    </row>
    <row r="5320" spans="2:16" x14ac:dyDescent="0.25">
      <c r="B5320" s="23"/>
      <c r="E5320" s="23"/>
      <c r="G5320" s="23"/>
      <c r="H5320" s="23"/>
      <c r="J5320" s="23"/>
      <c r="K5320" s="23"/>
      <c r="M5320" s="23"/>
      <c r="N5320" s="23"/>
      <c r="P5320" s="23"/>
    </row>
    <row r="5321" spans="2:16" x14ac:dyDescent="0.25">
      <c r="B5321" s="23"/>
      <c r="E5321" s="23"/>
      <c r="G5321" s="23"/>
      <c r="H5321" s="23"/>
      <c r="J5321" s="23"/>
      <c r="K5321" s="23"/>
      <c r="M5321" s="23"/>
      <c r="N5321" s="23"/>
      <c r="P5321" s="23"/>
    </row>
    <row r="5322" spans="2:16" x14ac:dyDescent="0.25">
      <c r="B5322" s="23"/>
      <c r="E5322" s="23"/>
      <c r="G5322" s="23"/>
      <c r="H5322" s="23"/>
      <c r="J5322" s="23"/>
      <c r="K5322" s="23"/>
      <c r="M5322" s="23"/>
      <c r="N5322" s="23"/>
      <c r="P5322" s="23"/>
    </row>
    <row r="5323" spans="2:16" x14ac:dyDescent="0.25">
      <c r="B5323" s="23"/>
      <c r="E5323" s="23"/>
      <c r="G5323" s="23"/>
      <c r="H5323" s="23"/>
      <c r="J5323" s="23"/>
      <c r="K5323" s="23"/>
      <c r="M5323" s="23"/>
      <c r="N5323" s="23"/>
      <c r="P5323" s="23"/>
    </row>
    <row r="5324" spans="2:16" x14ac:dyDescent="0.25">
      <c r="B5324" s="23"/>
      <c r="E5324" s="23"/>
      <c r="G5324" s="23"/>
      <c r="H5324" s="23"/>
      <c r="J5324" s="23"/>
      <c r="K5324" s="23"/>
      <c r="M5324" s="23"/>
      <c r="N5324" s="23"/>
      <c r="P5324" s="23"/>
    </row>
    <row r="5325" spans="2:16" x14ac:dyDescent="0.25">
      <c r="B5325" s="23"/>
      <c r="E5325" s="23"/>
      <c r="G5325" s="23"/>
      <c r="H5325" s="23"/>
      <c r="J5325" s="23"/>
      <c r="K5325" s="23"/>
      <c r="M5325" s="23"/>
      <c r="N5325" s="23"/>
      <c r="P5325" s="23"/>
    </row>
    <row r="5326" spans="2:16" x14ac:dyDescent="0.25">
      <c r="B5326" s="23"/>
      <c r="E5326" s="23"/>
      <c r="G5326" s="23"/>
      <c r="H5326" s="23"/>
      <c r="J5326" s="23"/>
      <c r="K5326" s="23"/>
      <c r="M5326" s="23"/>
      <c r="N5326" s="23"/>
      <c r="P5326" s="23"/>
    </row>
    <row r="5327" spans="2:16" x14ac:dyDescent="0.25">
      <c r="B5327" s="23"/>
      <c r="E5327" s="23"/>
      <c r="G5327" s="23"/>
      <c r="H5327" s="23"/>
      <c r="J5327" s="23"/>
      <c r="K5327" s="23"/>
      <c r="M5327" s="23"/>
      <c r="N5327" s="23"/>
      <c r="P5327" s="23"/>
    </row>
    <row r="5328" spans="2:16" x14ac:dyDescent="0.25">
      <c r="B5328" s="23"/>
      <c r="E5328" s="23"/>
      <c r="G5328" s="23"/>
      <c r="H5328" s="23"/>
      <c r="J5328" s="23"/>
      <c r="K5328" s="23"/>
      <c r="M5328" s="23"/>
      <c r="N5328" s="23"/>
      <c r="P5328" s="23"/>
    </row>
    <row r="5329" spans="2:16" x14ac:dyDescent="0.25">
      <c r="B5329" s="23"/>
      <c r="E5329" s="23"/>
      <c r="G5329" s="23"/>
      <c r="H5329" s="23"/>
      <c r="J5329" s="23"/>
      <c r="K5329" s="23"/>
      <c r="M5329" s="23"/>
      <c r="N5329" s="23"/>
      <c r="P5329" s="23"/>
    </row>
    <row r="5330" spans="2:16" x14ac:dyDescent="0.25">
      <c r="B5330" s="23"/>
      <c r="E5330" s="23"/>
      <c r="G5330" s="23"/>
      <c r="H5330" s="23"/>
      <c r="J5330" s="23"/>
      <c r="K5330" s="23"/>
      <c r="M5330" s="23"/>
      <c r="N5330" s="23"/>
      <c r="P5330" s="23"/>
    </row>
    <row r="5331" spans="2:16" x14ac:dyDescent="0.25">
      <c r="B5331" s="23"/>
      <c r="E5331" s="23"/>
      <c r="G5331" s="23"/>
      <c r="H5331" s="23"/>
      <c r="J5331" s="23"/>
      <c r="K5331" s="23"/>
      <c r="M5331" s="23"/>
      <c r="N5331" s="23"/>
      <c r="P5331" s="23"/>
    </row>
    <row r="5332" spans="2:16" x14ac:dyDescent="0.25">
      <c r="B5332" s="23"/>
      <c r="E5332" s="23"/>
      <c r="G5332" s="23"/>
      <c r="H5332" s="23"/>
      <c r="J5332" s="23"/>
      <c r="K5332" s="23"/>
      <c r="M5332" s="23"/>
      <c r="N5332" s="23"/>
      <c r="P5332" s="23"/>
    </row>
    <row r="5333" spans="2:16" x14ac:dyDescent="0.25">
      <c r="B5333" s="23"/>
      <c r="E5333" s="23"/>
      <c r="G5333" s="23"/>
      <c r="H5333" s="23"/>
      <c r="J5333" s="23"/>
      <c r="K5333" s="23"/>
      <c r="M5333" s="23"/>
      <c r="N5333" s="23"/>
      <c r="P5333" s="23"/>
    </row>
    <row r="5334" spans="2:16" x14ac:dyDescent="0.25">
      <c r="B5334" s="23"/>
      <c r="E5334" s="23"/>
      <c r="G5334" s="23"/>
      <c r="H5334" s="23"/>
      <c r="J5334" s="23"/>
      <c r="K5334" s="23"/>
      <c r="M5334" s="23"/>
      <c r="N5334" s="23"/>
      <c r="P5334" s="23"/>
    </row>
    <row r="5335" spans="2:16" x14ac:dyDescent="0.25">
      <c r="B5335" s="23"/>
      <c r="E5335" s="23"/>
      <c r="G5335" s="23"/>
      <c r="H5335" s="23"/>
      <c r="J5335" s="23"/>
      <c r="K5335" s="23"/>
      <c r="M5335" s="23"/>
      <c r="N5335" s="23"/>
      <c r="P5335" s="23"/>
    </row>
    <row r="5336" spans="2:16" x14ac:dyDescent="0.25">
      <c r="B5336" s="23"/>
      <c r="E5336" s="23"/>
      <c r="G5336" s="23"/>
      <c r="H5336" s="23"/>
      <c r="J5336" s="23"/>
      <c r="K5336" s="23"/>
      <c r="M5336" s="23"/>
      <c r="N5336" s="23"/>
      <c r="P5336" s="23"/>
    </row>
    <row r="5337" spans="2:16" x14ac:dyDescent="0.25">
      <c r="B5337" s="23"/>
      <c r="E5337" s="23"/>
      <c r="G5337" s="23"/>
      <c r="H5337" s="23"/>
      <c r="J5337" s="23"/>
      <c r="K5337" s="23"/>
      <c r="M5337" s="23"/>
      <c r="N5337" s="23"/>
      <c r="P5337" s="23"/>
    </row>
    <row r="5338" spans="2:16" x14ac:dyDescent="0.25">
      <c r="B5338" s="23"/>
      <c r="E5338" s="23"/>
      <c r="G5338" s="23"/>
      <c r="H5338" s="23"/>
      <c r="J5338" s="23"/>
      <c r="K5338" s="23"/>
      <c r="M5338" s="23"/>
      <c r="N5338" s="23"/>
      <c r="P5338" s="23"/>
    </row>
    <row r="5339" spans="2:16" x14ac:dyDescent="0.25">
      <c r="B5339" s="23"/>
      <c r="E5339" s="23"/>
      <c r="G5339" s="23"/>
      <c r="H5339" s="23"/>
      <c r="J5339" s="23"/>
      <c r="K5339" s="23"/>
      <c r="M5339" s="23"/>
      <c r="N5339" s="23"/>
      <c r="P5339" s="23"/>
    </row>
    <row r="5340" spans="2:16" x14ac:dyDescent="0.25">
      <c r="B5340" s="23"/>
      <c r="E5340" s="23"/>
      <c r="G5340" s="23"/>
      <c r="H5340" s="23"/>
      <c r="J5340" s="23"/>
      <c r="K5340" s="23"/>
      <c r="M5340" s="23"/>
      <c r="N5340" s="23"/>
      <c r="P5340" s="23"/>
    </row>
    <row r="5341" spans="2:16" x14ac:dyDescent="0.25">
      <c r="B5341" s="23"/>
      <c r="E5341" s="23"/>
      <c r="G5341" s="23"/>
      <c r="H5341" s="23"/>
      <c r="J5341" s="23"/>
      <c r="K5341" s="23"/>
      <c r="M5341" s="23"/>
      <c r="N5341" s="23"/>
      <c r="P5341" s="23"/>
    </row>
    <row r="5342" spans="2:16" x14ac:dyDescent="0.25">
      <c r="B5342" s="23"/>
      <c r="E5342" s="23"/>
      <c r="G5342" s="23"/>
      <c r="H5342" s="23"/>
      <c r="J5342" s="23"/>
      <c r="K5342" s="23"/>
      <c r="M5342" s="23"/>
      <c r="N5342" s="23"/>
      <c r="P5342" s="23"/>
    </row>
    <row r="5343" spans="2:16" x14ac:dyDescent="0.25">
      <c r="B5343" s="23"/>
      <c r="E5343" s="23"/>
      <c r="G5343" s="23"/>
      <c r="H5343" s="23"/>
      <c r="J5343" s="23"/>
      <c r="K5343" s="23"/>
      <c r="M5343" s="23"/>
      <c r="N5343" s="23"/>
      <c r="P5343" s="23"/>
    </row>
    <row r="5344" spans="2:16" x14ac:dyDescent="0.25">
      <c r="B5344" s="23"/>
      <c r="E5344" s="23"/>
      <c r="G5344" s="23"/>
      <c r="H5344" s="23"/>
      <c r="J5344" s="23"/>
      <c r="K5344" s="23"/>
      <c r="M5344" s="23"/>
      <c r="N5344" s="23"/>
      <c r="P5344" s="23"/>
    </row>
    <row r="5345" spans="2:16" x14ac:dyDescent="0.25">
      <c r="B5345" s="23"/>
      <c r="E5345" s="23"/>
      <c r="G5345" s="23"/>
      <c r="H5345" s="23"/>
      <c r="J5345" s="23"/>
      <c r="K5345" s="23"/>
      <c r="M5345" s="23"/>
      <c r="N5345" s="23"/>
      <c r="P5345" s="23"/>
    </row>
    <row r="5346" spans="2:16" x14ac:dyDescent="0.25">
      <c r="B5346" s="23"/>
      <c r="E5346" s="23"/>
      <c r="G5346" s="23"/>
      <c r="H5346" s="23"/>
      <c r="J5346" s="23"/>
      <c r="K5346" s="23"/>
      <c r="M5346" s="23"/>
      <c r="N5346" s="23"/>
      <c r="P5346" s="23"/>
    </row>
    <row r="5347" spans="2:16" x14ac:dyDescent="0.25">
      <c r="B5347" s="23"/>
      <c r="E5347" s="23"/>
      <c r="G5347" s="23"/>
      <c r="H5347" s="23"/>
      <c r="J5347" s="23"/>
      <c r="K5347" s="23"/>
      <c r="M5347" s="23"/>
      <c r="N5347" s="23"/>
      <c r="P5347" s="23"/>
    </row>
    <row r="5348" spans="2:16" x14ac:dyDescent="0.25">
      <c r="B5348" s="23"/>
      <c r="E5348" s="23"/>
      <c r="G5348" s="23"/>
      <c r="H5348" s="23"/>
      <c r="J5348" s="23"/>
      <c r="K5348" s="23"/>
      <c r="M5348" s="23"/>
      <c r="N5348" s="23"/>
      <c r="P5348" s="23"/>
    </row>
    <row r="5349" spans="2:16" x14ac:dyDescent="0.25">
      <c r="B5349" s="23"/>
      <c r="E5349" s="23"/>
      <c r="G5349" s="23"/>
      <c r="H5349" s="23"/>
      <c r="J5349" s="23"/>
      <c r="K5349" s="23"/>
      <c r="M5349" s="23"/>
      <c r="N5349" s="23"/>
      <c r="P5349" s="23"/>
    </row>
    <row r="5350" spans="2:16" x14ac:dyDescent="0.25">
      <c r="B5350" s="23"/>
      <c r="E5350" s="23"/>
      <c r="G5350" s="23"/>
      <c r="H5350" s="23"/>
      <c r="J5350" s="23"/>
      <c r="K5350" s="23"/>
      <c r="M5350" s="23"/>
      <c r="N5350" s="23"/>
      <c r="P5350" s="23"/>
    </row>
    <row r="5351" spans="2:16" x14ac:dyDescent="0.25">
      <c r="B5351" s="23"/>
      <c r="E5351" s="23"/>
      <c r="G5351" s="23"/>
      <c r="H5351" s="23"/>
      <c r="J5351" s="23"/>
      <c r="K5351" s="23"/>
      <c r="M5351" s="23"/>
      <c r="N5351" s="23"/>
      <c r="P5351" s="23"/>
    </row>
    <row r="5352" spans="2:16" x14ac:dyDescent="0.25">
      <c r="B5352" s="23"/>
      <c r="E5352" s="23"/>
      <c r="G5352" s="23"/>
      <c r="H5352" s="23"/>
      <c r="J5352" s="23"/>
      <c r="K5352" s="23"/>
      <c r="M5352" s="23"/>
      <c r="N5352" s="23"/>
      <c r="P5352" s="23"/>
    </row>
    <row r="5353" spans="2:16" x14ac:dyDescent="0.25">
      <c r="B5353" s="23"/>
      <c r="E5353" s="23"/>
      <c r="G5353" s="23"/>
      <c r="H5353" s="23"/>
      <c r="J5353" s="23"/>
      <c r="K5353" s="23"/>
      <c r="M5353" s="23"/>
      <c r="N5353" s="23"/>
      <c r="P5353" s="23"/>
    </row>
    <row r="5354" spans="2:16" x14ac:dyDescent="0.25">
      <c r="B5354" s="23"/>
      <c r="E5354" s="23"/>
      <c r="G5354" s="23"/>
      <c r="H5354" s="23"/>
      <c r="J5354" s="23"/>
      <c r="K5354" s="23"/>
      <c r="M5354" s="23"/>
      <c r="N5354" s="23"/>
      <c r="P5354" s="23"/>
    </row>
    <row r="5355" spans="2:16" x14ac:dyDescent="0.25">
      <c r="B5355" s="23"/>
      <c r="E5355" s="23"/>
      <c r="G5355" s="23"/>
      <c r="H5355" s="23"/>
      <c r="J5355" s="23"/>
      <c r="K5355" s="23"/>
      <c r="M5355" s="23"/>
      <c r="N5355" s="23"/>
      <c r="P5355" s="23"/>
    </row>
    <row r="5356" spans="2:16" x14ac:dyDescent="0.25">
      <c r="B5356" s="23"/>
      <c r="E5356" s="23"/>
      <c r="G5356" s="23"/>
      <c r="H5356" s="23"/>
      <c r="J5356" s="23"/>
      <c r="K5356" s="23"/>
      <c r="M5356" s="23"/>
      <c r="N5356" s="23"/>
      <c r="P5356" s="23"/>
    </row>
    <row r="5357" spans="2:16" x14ac:dyDescent="0.25">
      <c r="B5357" s="23"/>
      <c r="E5357" s="23"/>
      <c r="G5357" s="23"/>
      <c r="H5357" s="23"/>
      <c r="J5357" s="23"/>
      <c r="K5357" s="23"/>
      <c r="M5357" s="23"/>
      <c r="N5357" s="23"/>
      <c r="P5357" s="23"/>
    </row>
    <row r="5358" spans="2:16" x14ac:dyDescent="0.25">
      <c r="B5358" s="23"/>
      <c r="E5358" s="23"/>
      <c r="G5358" s="23"/>
      <c r="H5358" s="23"/>
      <c r="J5358" s="23"/>
      <c r="K5358" s="23"/>
      <c r="M5358" s="23"/>
      <c r="N5358" s="23"/>
      <c r="P5358" s="23"/>
    </row>
    <row r="5359" spans="2:16" x14ac:dyDescent="0.25">
      <c r="B5359" s="23"/>
      <c r="E5359" s="23"/>
      <c r="G5359" s="23"/>
      <c r="H5359" s="23"/>
      <c r="J5359" s="23"/>
      <c r="K5359" s="23"/>
      <c r="M5359" s="23"/>
      <c r="N5359" s="23"/>
      <c r="P5359" s="23"/>
    </row>
    <row r="5360" spans="2:16" x14ac:dyDescent="0.25">
      <c r="B5360" s="23"/>
      <c r="E5360" s="23"/>
      <c r="G5360" s="23"/>
      <c r="H5360" s="23"/>
      <c r="J5360" s="23"/>
      <c r="K5360" s="23"/>
      <c r="M5360" s="23"/>
      <c r="N5360" s="23"/>
      <c r="P5360" s="23"/>
    </row>
    <row r="5361" spans="2:16" x14ac:dyDescent="0.25">
      <c r="B5361" s="23"/>
      <c r="E5361" s="23"/>
      <c r="G5361" s="23"/>
      <c r="H5361" s="23"/>
      <c r="J5361" s="23"/>
      <c r="K5361" s="23"/>
      <c r="M5361" s="23"/>
      <c r="N5361" s="23"/>
      <c r="P5361" s="23"/>
    </row>
    <row r="5362" spans="2:16" x14ac:dyDescent="0.25">
      <c r="B5362" s="23"/>
      <c r="E5362" s="23"/>
      <c r="G5362" s="23"/>
      <c r="H5362" s="23"/>
      <c r="J5362" s="23"/>
      <c r="K5362" s="23"/>
      <c r="M5362" s="23"/>
      <c r="N5362" s="23"/>
      <c r="P5362" s="23"/>
    </row>
    <row r="5363" spans="2:16" x14ac:dyDescent="0.25">
      <c r="B5363" s="23"/>
      <c r="E5363" s="23"/>
      <c r="G5363" s="23"/>
      <c r="H5363" s="23"/>
      <c r="J5363" s="23"/>
      <c r="K5363" s="23"/>
      <c r="M5363" s="23"/>
      <c r="N5363" s="23"/>
      <c r="P5363" s="23"/>
    </row>
    <row r="5364" spans="2:16" x14ac:dyDescent="0.25">
      <c r="B5364" s="23"/>
      <c r="E5364" s="23"/>
      <c r="G5364" s="23"/>
      <c r="H5364" s="23"/>
      <c r="J5364" s="23"/>
      <c r="K5364" s="23"/>
      <c r="M5364" s="23"/>
      <c r="N5364" s="23"/>
      <c r="P5364" s="23"/>
    </row>
    <row r="5365" spans="2:16" x14ac:dyDescent="0.25">
      <c r="B5365" s="23"/>
      <c r="E5365" s="23"/>
      <c r="G5365" s="23"/>
      <c r="H5365" s="23"/>
      <c r="J5365" s="23"/>
      <c r="K5365" s="23"/>
      <c r="M5365" s="23"/>
      <c r="N5365" s="23"/>
      <c r="P5365" s="23"/>
    </row>
    <row r="5366" spans="2:16" x14ac:dyDescent="0.25">
      <c r="B5366" s="23"/>
      <c r="E5366" s="23"/>
      <c r="G5366" s="23"/>
      <c r="H5366" s="23"/>
      <c r="J5366" s="23"/>
      <c r="K5366" s="23"/>
      <c r="M5366" s="23"/>
      <c r="N5366" s="23"/>
      <c r="P5366" s="23"/>
    </row>
    <row r="5367" spans="2:16" x14ac:dyDescent="0.25">
      <c r="B5367" s="23"/>
      <c r="E5367" s="23"/>
      <c r="G5367" s="23"/>
      <c r="H5367" s="23"/>
      <c r="J5367" s="23"/>
      <c r="K5367" s="23"/>
      <c r="M5367" s="23"/>
      <c r="N5367" s="23"/>
      <c r="P5367" s="23"/>
    </row>
    <row r="5368" spans="2:16" x14ac:dyDescent="0.25">
      <c r="B5368" s="23"/>
      <c r="E5368" s="23"/>
      <c r="G5368" s="23"/>
      <c r="H5368" s="23"/>
      <c r="J5368" s="23"/>
      <c r="K5368" s="23"/>
      <c r="M5368" s="23"/>
      <c r="N5368" s="23"/>
      <c r="P5368" s="23"/>
    </row>
    <row r="5369" spans="2:16" x14ac:dyDescent="0.25">
      <c r="B5369" s="23"/>
      <c r="E5369" s="23"/>
      <c r="G5369" s="23"/>
      <c r="H5369" s="23"/>
      <c r="J5369" s="23"/>
      <c r="K5369" s="23"/>
      <c r="M5369" s="23"/>
      <c r="N5369" s="23"/>
      <c r="P5369" s="23"/>
    </row>
    <row r="5370" spans="2:16" x14ac:dyDescent="0.25">
      <c r="B5370" s="23"/>
      <c r="E5370" s="23"/>
      <c r="G5370" s="23"/>
      <c r="H5370" s="23"/>
      <c r="J5370" s="23"/>
      <c r="K5370" s="23"/>
      <c r="M5370" s="23"/>
      <c r="N5370" s="23"/>
      <c r="P5370" s="23"/>
    </row>
    <row r="5371" spans="2:16" x14ac:dyDescent="0.25">
      <c r="B5371" s="23"/>
      <c r="E5371" s="23"/>
      <c r="G5371" s="23"/>
      <c r="H5371" s="23"/>
      <c r="J5371" s="23"/>
      <c r="K5371" s="23"/>
      <c r="M5371" s="23"/>
      <c r="N5371" s="23"/>
      <c r="P5371" s="23"/>
    </row>
    <row r="5372" spans="2:16" x14ac:dyDescent="0.25">
      <c r="B5372" s="23"/>
      <c r="E5372" s="23"/>
      <c r="G5372" s="23"/>
      <c r="H5372" s="23"/>
      <c r="J5372" s="23"/>
      <c r="K5372" s="23"/>
      <c r="M5372" s="23"/>
      <c r="N5372" s="23"/>
      <c r="P5372" s="23"/>
    </row>
    <row r="5373" spans="2:16" x14ac:dyDescent="0.25">
      <c r="B5373" s="23"/>
      <c r="E5373" s="23"/>
      <c r="G5373" s="23"/>
      <c r="H5373" s="23"/>
      <c r="J5373" s="23"/>
      <c r="K5373" s="23"/>
      <c r="M5373" s="23"/>
      <c r="N5373" s="23"/>
      <c r="P5373" s="23"/>
    </row>
    <row r="5374" spans="2:16" x14ac:dyDescent="0.25">
      <c r="B5374" s="23"/>
      <c r="E5374" s="23"/>
      <c r="G5374" s="23"/>
      <c r="H5374" s="23"/>
      <c r="J5374" s="23"/>
      <c r="K5374" s="23"/>
      <c r="M5374" s="23"/>
      <c r="N5374" s="23"/>
      <c r="P5374" s="23"/>
    </row>
    <row r="5375" spans="2:16" x14ac:dyDescent="0.25">
      <c r="B5375" s="23"/>
      <c r="E5375" s="23"/>
      <c r="G5375" s="23"/>
      <c r="H5375" s="23"/>
      <c r="J5375" s="23"/>
      <c r="K5375" s="23"/>
      <c r="M5375" s="23"/>
      <c r="N5375" s="23"/>
      <c r="P5375" s="23"/>
    </row>
    <row r="5376" spans="2:16" x14ac:dyDescent="0.25">
      <c r="B5376" s="23"/>
      <c r="E5376" s="23"/>
      <c r="G5376" s="23"/>
      <c r="H5376" s="23"/>
      <c r="J5376" s="23"/>
      <c r="K5376" s="23"/>
      <c r="M5376" s="23"/>
      <c r="N5376" s="23"/>
      <c r="P5376" s="23"/>
    </row>
    <row r="5377" spans="2:16" x14ac:dyDescent="0.25">
      <c r="B5377" s="23"/>
      <c r="E5377" s="23"/>
      <c r="G5377" s="23"/>
      <c r="H5377" s="23"/>
      <c r="J5377" s="23"/>
      <c r="K5377" s="23"/>
      <c r="M5377" s="23"/>
      <c r="N5377" s="23"/>
      <c r="P5377" s="23"/>
    </row>
    <row r="5378" spans="2:16" x14ac:dyDescent="0.25">
      <c r="B5378" s="23"/>
      <c r="E5378" s="23"/>
      <c r="G5378" s="23"/>
      <c r="H5378" s="23"/>
      <c r="J5378" s="23"/>
      <c r="K5378" s="23"/>
      <c r="M5378" s="23"/>
      <c r="N5378" s="23"/>
      <c r="P5378" s="23"/>
    </row>
    <row r="5379" spans="2:16" x14ac:dyDescent="0.25">
      <c r="B5379" s="23"/>
      <c r="E5379" s="23"/>
      <c r="G5379" s="23"/>
      <c r="H5379" s="23"/>
      <c r="J5379" s="23"/>
      <c r="K5379" s="23"/>
      <c r="M5379" s="23"/>
      <c r="N5379" s="23"/>
      <c r="P5379" s="23"/>
    </row>
    <row r="5380" spans="2:16" x14ac:dyDescent="0.25">
      <c r="B5380" s="23"/>
      <c r="E5380" s="23"/>
      <c r="G5380" s="23"/>
      <c r="H5380" s="23"/>
      <c r="J5380" s="23"/>
      <c r="K5380" s="23"/>
      <c r="M5380" s="23"/>
      <c r="N5380" s="23"/>
      <c r="P5380" s="23"/>
    </row>
    <row r="5381" spans="2:16" x14ac:dyDescent="0.25">
      <c r="B5381" s="23"/>
      <c r="E5381" s="23"/>
      <c r="G5381" s="23"/>
      <c r="H5381" s="23"/>
      <c r="J5381" s="23"/>
      <c r="K5381" s="23"/>
      <c r="M5381" s="23"/>
      <c r="N5381" s="23"/>
      <c r="P5381" s="23"/>
    </row>
    <row r="5382" spans="2:16" x14ac:dyDescent="0.25">
      <c r="B5382" s="23"/>
      <c r="E5382" s="23"/>
      <c r="G5382" s="23"/>
      <c r="H5382" s="23"/>
      <c r="J5382" s="23"/>
      <c r="K5382" s="23"/>
      <c r="M5382" s="23"/>
      <c r="N5382" s="23"/>
      <c r="P5382" s="23"/>
    </row>
    <row r="5383" spans="2:16" x14ac:dyDescent="0.25">
      <c r="B5383" s="23"/>
      <c r="E5383" s="23"/>
      <c r="G5383" s="23"/>
      <c r="H5383" s="23"/>
      <c r="J5383" s="23"/>
      <c r="K5383" s="23"/>
      <c r="M5383" s="23"/>
      <c r="N5383" s="23"/>
      <c r="P5383" s="23"/>
    </row>
    <row r="5384" spans="2:16" x14ac:dyDescent="0.25">
      <c r="B5384" s="23"/>
      <c r="E5384" s="23"/>
      <c r="G5384" s="23"/>
      <c r="H5384" s="23"/>
      <c r="J5384" s="23"/>
      <c r="K5384" s="23"/>
      <c r="M5384" s="23"/>
      <c r="N5384" s="23"/>
      <c r="P5384" s="23"/>
    </row>
    <row r="5385" spans="2:16" x14ac:dyDescent="0.25">
      <c r="B5385" s="23"/>
      <c r="E5385" s="23"/>
      <c r="G5385" s="23"/>
      <c r="H5385" s="23"/>
      <c r="J5385" s="23"/>
      <c r="K5385" s="23"/>
      <c r="M5385" s="23"/>
      <c r="N5385" s="23"/>
      <c r="P5385" s="23"/>
    </row>
    <row r="5386" spans="2:16" x14ac:dyDescent="0.25">
      <c r="B5386" s="23"/>
      <c r="E5386" s="23"/>
      <c r="G5386" s="23"/>
      <c r="H5386" s="23"/>
      <c r="J5386" s="23"/>
      <c r="K5386" s="23"/>
      <c r="M5386" s="23"/>
      <c r="N5386" s="23"/>
      <c r="P5386" s="23"/>
    </row>
    <row r="5387" spans="2:16" x14ac:dyDescent="0.25">
      <c r="B5387" s="23"/>
      <c r="E5387" s="23"/>
      <c r="G5387" s="23"/>
      <c r="H5387" s="23"/>
      <c r="J5387" s="23"/>
      <c r="K5387" s="23"/>
      <c r="M5387" s="23"/>
      <c r="N5387" s="23"/>
      <c r="P5387" s="23"/>
    </row>
    <row r="5388" spans="2:16" x14ac:dyDescent="0.25">
      <c r="B5388" s="23"/>
      <c r="E5388" s="23"/>
      <c r="G5388" s="23"/>
      <c r="H5388" s="23"/>
      <c r="J5388" s="23"/>
      <c r="K5388" s="23"/>
      <c r="M5388" s="23"/>
      <c r="N5388" s="23"/>
      <c r="P5388" s="23"/>
    </row>
    <row r="5389" spans="2:16" x14ac:dyDescent="0.25">
      <c r="B5389" s="23"/>
      <c r="E5389" s="23"/>
      <c r="G5389" s="23"/>
      <c r="H5389" s="23"/>
      <c r="J5389" s="23"/>
      <c r="K5389" s="23"/>
      <c r="M5389" s="23"/>
      <c r="N5389" s="23"/>
      <c r="P5389" s="23"/>
    </row>
    <row r="5390" spans="2:16" x14ac:dyDescent="0.25">
      <c r="B5390" s="23"/>
      <c r="E5390" s="23"/>
      <c r="G5390" s="23"/>
      <c r="H5390" s="23"/>
      <c r="J5390" s="23"/>
      <c r="K5390" s="23"/>
      <c r="M5390" s="23"/>
      <c r="N5390" s="23"/>
      <c r="P5390" s="23"/>
    </row>
    <row r="5391" spans="2:16" x14ac:dyDescent="0.25">
      <c r="B5391" s="23"/>
      <c r="E5391" s="23"/>
      <c r="G5391" s="23"/>
      <c r="H5391" s="23"/>
      <c r="J5391" s="23"/>
      <c r="K5391" s="23"/>
      <c r="M5391" s="23"/>
      <c r="N5391" s="23"/>
      <c r="P5391" s="23"/>
    </row>
    <row r="5392" spans="2:16" x14ac:dyDescent="0.25">
      <c r="B5392" s="23"/>
      <c r="E5392" s="23"/>
      <c r="G5392" s="23"/>
      <c r="H5392" s="23"/>
      <c r="J5392" s="23"/>
      <c r="K5392" s="23"/>
      <c r="M5392" s="23"/>
      <c r="N5392" s="23"/>
      <c r="P5392" s="23"/>
    </row>
    <row r="5393" spans="2:16" x14ac:dyDescent="0.25">
      <c r="B5393" s="23"/>
      <c r="E5393" s="23"/>
      <c r="G5393" s="23"/>
      <c r="H5393" s="23"/>
      <c r="J5393" s="23"/>
      <c r="K5393" s="23"/>
      <c r="M5393" s="23"/>
      <c r="N5393" s="23"/>
      <c r="P5393" s="23"/>
    </row>
    <row r="5394" spans="2:16" x14ac:dyDescent="0.25">
      <c r="B5394" s="23"/>
      <c r="E5394" s="23"/>
      <c r="G5394" s="23"/>
      <c r="H5394" s="23"/>
      <c r="J5394" s="23"/>
      <c r="K5394" s="23"/>
      <c r="M5394" s="23"/>
      <c r="N5394" s="23"/>
      <c r="P5394" s="23"/>
    </row>
    <row r="5395" spans="2:16" x14ac:dyDescent="0.25">
      <c r="B5395" s="23"/>
      <c r="E5395" s="23"/>
      <c r="G5395" s="23"/>
      <c r="H5395" s="23"/>
      <c r="J5395" s="23"/>
      <c r="K5395" s="23"/>
      <c r="M5395" s="23"/>
      <c r="N5395" s="23"/>
      <c r="P5395" s="23"/>
    </row>
    <row r="5396" spans="2:16" x14ac:dyDescent="0.25">
      <c r="B5396" s="23"/>
      <c r="E5396" s="23"/>
      <c r="G5396" s="23"/>
      <c r="H5396" s="23"/>
      <c r="J5396" s="23"/>
      <c r="K5396" s="23"/>
      <c r="M5396" s="23"/>
      <c r="N5396" s="23"/>
      <c r="P5396" s="23"/>
    </row>
    <row r="5397" spans="2:16" x14ac:dyDescent="0.25">
      <c r="B5397" s="23"/>
      <c r="E5397" s="23"/>
      <c r="G5397" s="23"/>
      <c r="H5397" s="23"/>
      <c r="J5397" s="23"/>
      <c r="K5397" s="23"/>
      <c r="M5397" s="23"/>
      <c r="N5397" s="23"/>
      <c r="P5397" s="23"/>
    </row>
    <row r="5398" spans="2:16" x14ac:dyDescent="0.25">
      <c r="B5398" s="23"/>
      <c r="E5398" s="23"/>
      <c r="G5398" s="23"/>
      <c r="H5398" s="23"/>
      <c r="J5398" s="23"/>
      <c r="K5398" s="23"/>
      <c r="M5398" s="23"/>
      <c r="N5398" s="23"/>
      <c r="P5398" s="23"/>
    </row>
    <row r="5399" spans="2:16" x14ac:dyDescent="0.25">
      <c r="B5399" s="23"/>
      <c r="E5399" s="23"/>
      <c r="G5399" s="23"/>
      <c r="H5399" s="23"/>
      <c r="J5399" s="23"/>
      <c r="K5399" s="23"/>
      <c r="M5399" s="23"/>
      <c r="N5399" s="23"/>
      <c r="P5399" s="23"/>
    </row>
  </sheetData>
  <pageMargins left="0.75" right="0.75" top="1" bottom="1" header="0.5" footer="0.5"/>
  <pageSetup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186</vt:i4>
      </vt:variant>
    </vt:vector>
  </HeadingPairs>
  <TitlesOfParts>
    <vt:vector size="230" baseType="lpstr">
      <vt:lpstr>TitlePage</vt:lpstr>
      <vt:lpstr>Instructions</vt:lpstr>
      <vt:lpstr>Acknowledgements</vt:lpstr>
      <vt:lpstr>Version Notes</vt:lpstr>
      <vt:lpstr>Input</vt:lpstr>
      <vt:lpstr>Unitflowchart</vt:lpstr>
      <vt:lpstr>SummaryEtEnergy</vt:lpstr>
      <vt:lpstr>SummaryEtPrice</vt:lpstr>
      <vt:lpstr>SummaryEtMass</vt:lpstr>
      <vt:lpstr>SummaryEtSubstitution</vt:lpstr>
      <vt:lpstr>AllocationEnergy</vt:lpstr>
      <vt:lpstr>AllocationPrice</vt:lpstr>
      <vt:lpstr>AllocationMass</vt:lpstr>
      <vt:lpstr>SubstitutionCredit</vt:lpstr>
      <vt:lpstr>GlobalWarmingPotentials</vt:lpstr>
      <vt:lpstr>Cultivation</vt:lpstr>
      <vt:lpstr>NFertiliser</vt:lpstr>
      <vt:lpstr>PFertiliser</vt:lpstr>
      <vt:lpstr>KFertiliser</vt:lpstr>
      <vt:lpstr>Lime</vt:lpstr>
      <vt:lpstr>CropProtectChemicals</vt:lpstr>
      <vt:lpstr>OrganicManure</vt:lpstr>
      <vt:lpstr>CropResidues</vt:lpstr>
      <vt:lpstr>RoadTransportStage1</vt:lpstr>
      <vt:lpstr>RoadTransportStage2</vt:lpstr>
      <vt:lpstr>RailTransport</vt:lpstr>
      <vt:lpstr>BargeTransport</vt:lpstr>
      <vt:lpstr>ShipTransport</vt:lpstr>
      <vt:lpstr>BoilerGrid</vt:lpstr>
      <vt:lpstr>CHP</vt:lpstr>
      <vt:lpstr>EnergySupply</vt:lpstr>
      <vt:lpstr>Milling</vt:lpstr>
      <vt:lpstr>Pre-TreatHydrolysis</vt:lpstr>
      <vt:lpstr>Ferment</vt:lpstr>
      <vt:lpstr>EthanolRecovery</vt:lpstr>
      <vt:lpstr>WasteSolidFilter</vt:lpstr>
      <vt:lpstr>AnaerobicDigestion</vt:lpstr>
      <vt:lpstr>Utilities</vt:lpstr>
      <vt:lpstr>ElectricitySales</vt:lpstr>
      <vt:lpstr>Biorefinery</vt:lpstr>
      <vt:lpstr>RoadTransportEthanolStage1</vt:lpstr>
      <vt:lpstr>RoadTransportEthanolStage2</vt:lpstr>
      <vt:lpstr>RoadTransportEthanolStage3</vt:lpstr>
      <vt:lpstr>References</vt:lpstr>
      <vt:lpstr>an_source</vt:lpstr>
      <vt:lpstr>as_source</vt:lpstr>
      <vt:lpstr>biogas_ch4</vt:lpstr>
      <vt:lpstr>biogas_gen</vt:lpstr>
      <vt:lpstr>boiler_eff_fm</vt:lpstr>
      <vt:lpstr>broth_conc</vt:lpstr>
      <vt:lpstr>can_source</vt:lpstr>
      <vt:lpstr>carbondioxide_emit</vt:lpstr>
      <vt:lpstr>chp_eff_fm</vt:lpstr>
      <vt:lpstr>chp_h_to_p_fm</vt:lpstr>
      <vt:lpstr>chp_weight_fm</vt:lpstr>
      <vt:lpstr>Credit</vt:lpstr>
      <vt:lpstr>crop_protect</vt:lpstr>
      <vt:lpstr>crop_protect_source</vt:lpstr>
      <vt:lpstr>cs_mois</vt:lpstr>
      <vt:lpstr>cs_yield</vt:lpstr>
      <vt:lpstr>cult_energy</vt:lpstr>
      <vt:lpstr>cult_fuel_consumption</vt:lpstr>
      <vt:lpstr>cult_harrow</vt:lpstr>
      <vt:lpstr>cult_time</vt:lpstr>
      <vt:lpstr>CV_be</vt:lpstr>
      <vt:lpstr>CV_biogas</vt:lpstr>
      <vt:lpstr>CV_cs</vt:lpstr>
      <vt:lpstr>CV_gm</vt:lpstr>
      <vt:lpstr>CV_hx</vt:lpstr>
      <vt:lpstr>CV_ln</vt:lpstr>
      <vt:lpstr>CV_methane</vt:lpstr>
      <vt:lpstr>CV_pen</vt:lpstr>
      <vt:lpstr>CV_wax</vt:lpstr>
      <vt:lpstr>CV_ws</vt:lpstr>
      <vt:lpstr>distil_elec</vt:lpstr>
      <vt:lpstr>distil_heat</vt:lpstr>
      <vt:lpstr>distil_loss</vt:lpstr>
      <vt:lpstr>drill_harrow</vt:lpstr>
      <vt:lpstr>e_req_ws</vt:lpstr>
      <vt:lpstr>ferm_loss</vt:lpstr>
      <vt:lpstr>ferment_elec</vt:lpstr>
      <vt:lpstr>ferment_heat</vt:lpstr>
      <vt:lpstr>fert_application</vt:lpstr>
      <vt:lpstr>final_chop_elec</vt:lpstr>
      <vt:lpstr>final_chop_loss</vt:lpstr>
      <vt:lpstr>fm_mois</vt:lpstr>
      <vt:lpstr>fm_type</vt:lpstr>
      <vt:lpstr>fm_waste_solid_mois</vt:lpstr>
      <vt:lpstr>fm_yield</vt:lpstr>
      <vt:lpstr>forage_maize_harvest</vt:lpstr>
      <vt:lpstr>func_unit</vt:lpstr>
      <vt:lpstr>fym_app1</vt:lpstr>
      <vt:lpstr>fym_app2</vt:lpstr>
      <vt:lpstr>fym_app3</vt:lpstr>
      <vt:lpstr>fym_application</vt:lpstr>
      <vt:lpstr>fym_C</vt:lpstr>
      <vt:lpstr>fym_emissions</vt:lpstr>
      <vt:lpstr>gas_capt</vt:lpstr>
      <vt:lpstr>gas_credit</vt:lpstr>
      <vt:lpstr>gm_mois</vt:lpstr>
      <vt:lpstr>gm_yield</vt:lpstr>
      <vt:lpstr>h_req_ws</vt:lpstr>
      <vt:lpstr>hexoses</vt:lpstr>
      <vt:lpstr>hexoses_conc</vt:lpstr>
      <vt:lpstr>hexoses_maizhd</vt:lpstr>
      <vt:lpstr>hexoses_maizld</vt:lpstr>
      <vt:lpstr>hexoses_sce</vt:lpstr>
      <vt:lpstr>include_machinery</vt:lpstr>
      <vt:lpstr>k_fert</vt:lpstr>
      <vt:lpstr>k_fert_source</vt:lpstr>
      <vt:lpstr>lignin</vt:lpstr>
      <vt:lpstr>lignin_energy_source</vt:lpstr>
      <vt:lpstr>lignin_maizhd</vt:lpstr>
      <vt:lpstr>lignin_maizld</vt:lpstr>
      <vt:lpstr>lignin_mois</vt:lpstr>
      <vt:lpstr>lignin_sce</vt:lpstr>
      <vt:lpstr>lime_fert</vt:lpstr>
      <vt:lpstr>lime_fert_source</vt:lpstr>
      <vt:lpstr>lime_type</vt:lpstr>
      <vt:lpstr>maize_type</vt:lpstr>
      <vt:lpstr>method</vt:lpstr>
      <vt:lpstr>mms</vt:lpstr>
      <vt:lpstr>moist_dry_feed</vt:lpstr>
      <vt:lpstr>moist_ws</vt:lpstr>
      <vt:lpstr>Monoammonium_Phosphate</vt:lpstr>
      <vt:lpstr>n_fert</vt:lpstr>
      <vt:lpstr>n_fert_type</vt:lpstr>
      <vt:lpstr>ncv_diesel</vt:lpstr>
      <vt:lpstr>p_fert</vt:lpstr>
      <vt:lpstr>p_fert_type</vt:lpstr>
      <vt:lpstr>pentose</vt:lpstr>
      <vt:lpstr>ploughing</vt:lpstr>
      <vt:lpstr>pretreat_loss</vt:lpstr>
      <vt:lpstr>price_be_sc</vt:lpstr>
      <vt:lpstr>price_carbondioxide</vt:lpstr>
      <vt:lpstr>price_cs</vt:lpstr>
      <vt:lpstr>price_gm</vt:lpstr>
      <vt:lpstr>price_hx</vt:lpstr>
      <vt:lpstr>price_ln</vt:lpstr>
      <vt:lpstr>price_pen</vt:lpstr>
      <vt:lpstr>price_wax</vt:lpstr>
      <vt:lpstr>process_CSL</vt:lpstr>
      <vt:lpstr>process_DIAPHOS</vt:lpstr>
      <vt:lpstr>process_elect</vt:lpstr>
      <vt:lpstr>process_GLUCOSE</vt:lpstr>
      <vt:lpstr>process_H2O</vt:lpstr>
      <vt:lpstr>process_H2SO4</vt:lpstr>
      <vt:lpstr>process_NaOH</vt:lpstr>
      <vt:lpstr>process_NH3</vt:lpstr>
      <vt:lpstr>process_NUTRIENT</vt:lpstr>
      <vt:lpstr>process_SO2</vt:lpstr>
      <vt:lpstr>process_SORBITOL</vt:lpstr>
      <vt:lpstr>process_steam</vt:lpstr>
      <vt:lpstr>prod_pl_input_fm</vt:lpstr>
      <vt:lpstr>prod_pl_life_fm</vt:lpstr>
      <vt:lpstr>prod_pl_op_time_fm</vt:lpstr>
      <vt:lpstr>pur_loss_sc</vt:lpstr>
      <vt:lpstr>ref_sys</vt:lpstr>
      <vt:lpstr>residue_C</vt:lpstr>
      <vt:lpstr>residue_emissions</vt:lpstr>
      <vt:lpstr>sce_elect</vt:lpstr>
      <vt:lpstr>sce_heat</vt:lpstr>
      <vt:lpstr>sce_option</vt:lpstr>
      <vt:lpstr>sce_wax</vt:lpstr>
      <vt:lpstr>seed_incl</vt:lpstr>
      <vt:lpstr>seeds</vt:lpstr>
      <vt:lpstr>soil_emissions</vt:lpstr>
      <vt:lpstr>spray_application</vt:lpstr>
      <vt:lpstr>steam_heat</vt:lpstr>
      <vt:lpstr>sub_cred_gm</vt:lpstr>
      <vt:lpstr>sub_cred_ln</vt:lpstr>
      <vt:lpstr>sub_cred_pen</vt:lpstr>
      <vt:lpstr>sub_cred_wax</vt:lpstr>
      <vt:lpstr>sub_soiling</vt:lpstr>
      <vt:lpstr>subs_cred_carb_diox</vt:lpstr>
      <vt:lpstr>total_solids</vt:lpstr>
      <vt:lpstr>tr_f_pl_1_km</vt:lpstr>
      <vt:lpstr>tr_f_pl_1_loss</vt:lpstr>
      <vt:lpstr>tr_f_pl_1_mode</vt:lpstr>
      <vt:lpstr>tr_f_pl_1_truck</vt:lpstr>
      <vt:lpstr>tr_f_pl_2_km</vt:lpstr>
      <vt:lpstr>tr_f_pl_2_loss</vt:lpstr>
      <vt:lpstr>tr_f_pl_2_mode</vt:lpstr>
      <vt:lpstr>tr_f_pl_2_truck</vt:lpstr>
      <vt:lpstr>tr_pl_dtb_1_km</vt:lpstr>
      <vt:lpstr>tr_pl_dtb_1_km_ace</vt:lpstr>
      <vt:lpstr>tr_pl_dtb_1_km_but</vt:lpstr>
      <vt:lpstr>tr_pl_dtb_1_loss</vt:lpstr>
      <vt:lpstr>tr_pl_dtb_1_loss_ace</vt:lpstr>
      <vt:lpstr>tr_pl_dtb_1_loss_but</vt:lpstr>
      <vt:lpstr>tr_pl_dtb_1_mode</vt:lpstr>
      <vt:lpstr>tr_pl_dtb_1_mode_ace</vt:lpstr>
      <vt:lpstr>tr_pl_dtb_1_mode_but</vt:lpstr>
      <vt:lpstr>tr_pl_dtb_1_truck</vt:lpstr>
      <vt:lpstr>tr_pl_dtb_1_truck_ace</vt:lpstr>
      <vt:lpstr>tr_pl_dtb_1_truck_but</vt:lpstr>
      <vt:lpstr>tr_pl_dtb_2_km</vt:lpstr>
      <vt:lpstr>tr_pl_dtb_2_km_ace</vt:lpstr>
      <vt:lpstr>tr_pl_dtb_2_km_but</vt:lpstr>
      <vt:lpstr>tr_pl_dtb_2_loss</vt:lpstr>
      <vt:lpstr>tr_pl_dtb_2_loss_ace</vt:lpstr>
      <vt:lpstr>tr_pl_dtb_2_loss_but</vt:lpstr>
      <vt:lpstr>tr_pl_dtb_2_mode</vt:lpstr>
      <vt:lpstr>tr_pl_dtb_2_mode_ace</vt:lpstr>
      <vt:lpstr>tr_pl_dtb_2_mode_but</vt:lpstr>
      <vt:lpstr>tr_pl_dtb_2_truck</vt:lpstr>
      <vt:lpstr>tr_pl_dtb_2_truck_ace</vt:lpstr>
      <vt:lpstr>tr_pl_dtb_2_truck_but</vt:lpstr>
      <vt:lpstr>tr_pl_dtb_3_km</vt:lpstr>
      <vt:lpstr>tr_pl_dtb_3_km_ace</vt:lpstr>
      <vt:lpstr>tr_pl_dtb_3_km_but</vt:lpstr>
      <vt:lpstr>tr_pl_dtb_3_loss</vt:lpstr>
      <vt:lpstr>tr_pl_dtb_3_loss_ace</vt:lpstr>
      <vt:lpstr>tr_pl_dtb_3_loss_but</vt:lpstr>
      <vt:lpstr>tr_pl_dtb_3_mode</vt:lpstr>
      <vt:lpstr>tr_pl_dtb_3_mode_ace</vt:lpstr>
      <vt:lpstr>tr_pl_dtb_3_mode_but</vt:lpstr>
      <vt:lpstr>tr_pl_dtb_3_truck</vt:lpstr>
      <vt:lpstr>tr_pl_dtb_3_truck_ace</vt:lpstr>
      <vt:lpstr>tr_pl_dtb_3_truck_but</vt:lpstr>
      <vt:lpstr>ur_source</vt:lpstr>
      <vt:lpstr>use_chp_fm</vt:lpstr>
      <vt:lpstr>util_elec</vt:lpstr>
      <vt:lpstr>vinasse</vt:lpstr>
      <vt:lpstr>vinasse_COD</vt:lpstr>
      <vt:lpstr>vinasse_loss</vt:lpstr>
      <vt:lpstr>vol_ws</vt:lpstr>
      <vt:lpstr>wwt_elec</vt:lpstr>
      <vt:lpstr>wwt_NaOH</vt:lpstr>
      <vt:lpstr>yield_et</vt:lpstr>
    </vt:vector>
  </TitlesOfParts>
  <Company>Sheffield Hallam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Dr. Onesmus Mwabonje</dc:creator>
  <cp:lastModifiedBy>Readshaw, AE</cp:lastModifiedBy>
  <cp:lastPrinted>2007-09-06T13:51:23Z</cp:lastPrinted>
  <dcterms:created xsi:type="dcterms:W3CDTF">2003-12-31T09:58:00Z</dcterms:created>
  <dcterms:modified xsi:type="dcterms:W3CDTF">2014-11-19T10:53:59Z</dcterms:modified>
</cp:coreProperties>
</file>